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drawings/drawing3.xml" ContentType="application/vnd.openxmlformats-officedocument.drawing+xml"/>
  <Override PartName="/xl/comments32.xml" ContentType="application/vnd.openxmlformats-officedocument.spreadsheetml.comments+xml"/>
  <Override PartName="/xl/drawings/drawing4.xml" ContentType="application/vnd.openxmlformats-officedocument.drawing+xml"/>
  <Override PartName="/xl/comments3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My Drive\Extension Web\budgets\2024\D6\"/>
    </mc:Choice>
  </mc:AlternateContent>
  <xr:revisionPtr revIDLastSave="0" documentId="13_ncr:1_{E138F680-92D1-43DA-A9D9-7DFB25837C5D}" xr6:coauthVersionLast="47" xr6:coauthVersionMax="47" xr10:uidLastSave="{00000000-0000-0000-0000-000000000000}"/>
  <bookViews>
    <workbookView xWindow="4095" yWindow="915" windowWidth="28800" windowHeight="18360" tabRatio="608" xr2:uid="{00000000-000D-0000-FFFF-FFFF00000000}"/>
  </bookViews>
  <sheets>
    <sheet name="Menu" sheetId="36" r:id="rId1"/>
    <sheet name="Links" sheetId="31" r:id="rId2"/>
    <sheet name="Pecans" sheetId="477" r:id="rId3"/>
    <sheet name="RedChile" sheetId="426" r:id="rId4"/>
    <sheet name="Onions" sheetId="428" r:id="rId5"/>
    <sheet name="SwitchgrassEstablish" sheetId="430" r:id="rId6"/>
    <sheet name="SwitchgrassGraze" sheetId="434" r:id="rId7"/>
    <sheet name="SwitchgrassHay" sheetId="436" r:id="rId8"/>
    <sheet name="AlfalfaEstablish" sheetId="371" r:id="rId9"/>
    <sheet name="AlfalfaHayPivot" sheetId="432" r:id="rId10"/>
    <sheet name="AlfalfaHayFlood" sheetId="438" r:id="rId11"/>
    <sheet name="AlfalfaPivotDell" sheetId="440" r:id="rId12"/>
    <sheet name="AlfalfaFloodDell" sheetId="442" r:id="rId13"/>
    <sheet name="AlfalfaElPaso" sheetId="446" r:id="rId14"/>
    <sheet name="SLCottonDrip" sheetId="448" r:id="rId15"/>
    <sheet name="SLXFCottonDrip" sheetId="450" r:id="rId16"/>
    <sheet name="SLCottonDrylandGM" sheetId="474" r:id="rId17"/>
    <sheet name="SLXFCottonDryland" sheetId="454" r:id="rId18"/>
    <sheet name="SLGSDrip" sheetId="456" r:id="rId19"/>
    <sheet name="TPCottonFurrow" sheetId="458" r:id="rId20"/>
    <sheet name="TPCottonPivot" sheetId="460" r:id="rId21"/>
    <sheet name="ElPasoCotton" sheetId="464" r:id="rId22"/>
    <sheet name="WheatDryland" sheetId="494" r:id="rId23"/>
    <sheet name="WheatIrrigated" sheetId="496" r:id="rId24"/>
    <sheet name="SorghumHayDryland" sheetId="498" r:id="rId25"/>
    <sheet name="SorghumHayIrrigated" sheetId="500" r:id="rId26"/>
    <sheet name="CowCalfNative" sheetId="293" r:id="rId27"/>
    <sheet name="StockersSummer" sheetId="353" r:id="rId28"/>
    <sheet name="StockerWinter" sheetId="523" r:id="rId29"/>
    <sheet name="MeatGoats" sheetId="527" r:id="rId30"/>
    <sheet name="Angoras" sheetId="529" r:id="rId31"/>
    <sheet name="SheepWool" sheetId="531" r:id="rId32"/>
    <sheet name="SheepHair" sheetId="533" r:id="rId33"/>
    <sheet name="Livestock Budget" sheetId="508" r:id="rId34"/>
    <sheet name="Crop Budget" sheetId="509" r:id="rId35"/>
    <sheet name="Comparative Returns - Cash Rent" sheetId="27" r:id="rId36"/>
    <sheet name="Comparative Returns-Share Rent" sheetId="476" r:id="rId37"/>
    <sheet name="Your Returns - Cash Rent" sheetId="480" r:id="rId38"/>
    <sheet name="Your Returns-Share Rent" sheetId="481" r:id="rId39"/>
  </sheets>
  <definedNames>
    <definedName name="_xlnm._FilterDatabase" localSheetId="13" hidden="1">AlfalfaElPaso!$C$82:$C$122</definedName>
    <definedName name="_xlnm._FilterDatabase" localSheetId="8" hidden="1">AlfalfaEstablish!$C$25:$K$49</definedName>
    <definedName name="_xlnm._FilterDatabase" localSheetId="12" hidden="1">AlfalfaFloodDell!$C$85:$C$125</definedName>
    <definedName name="_xlnm._FilterDatabase" localSheetId="10" hidden="1">AlfalfaHayFlood!$C$85:$C$125</definedName>
    <definedName name="_xlnm._FilterDatabase" localSheetId="9" hidden="1">AlfalfaHayPivot!$C$85:$C$125</definedName>
    <definedName name="_xlnm._FilterDatabase" localSheetId="11" hidden="1">AlfalfaPivotDell!$C$85:$C$125</definedName>
    <definedName name="_xlnm._FilterDatabase" localSheetId="21" hidden="1">ElPasoCotton!$C$90:$C$130</definedName>
    <definedName name="_xlnm._FilterDatabase" localSheetId="4" hidden="1">Onions!$C$87:$C$127</definedName>
    <definedName name="_xlnm._FilterDatabase" localSheetId="2" hidden="1">Pecans!$C$89:$C$129</definedName>
    <definedName name="_xlnm._FilterDatabase" localSheetId="3" hidden="1">RedChile!$C$86:$C$126</definedName>
    <definedName name="_xlnm._FilterDatabase" localSheetId="14" hidden="1">SLCottonDrip!$C$97:$C$137</definedName>
    <definedName name="_xlnm._FilterDatabase" localSheetId="16" hidden="1">SLCottonDrylandGM!$C$87:$C$127</definedName>
    <definedName name="_xlnm._FilterDatabase" localSheetId="18" hidden="1">SLGSDrip!$C$86:$C$126</definedName>
    <definedName name="_xlnm._FilterDatabase" localSheetId="15" hidden="1">SLXFCottonDrip!$C$98:$C$138</definedName>
    <definedName name="_xlnm._FilterDatabase" localSheetId="17" hidden="1">SLXFCottonDryland!$C$88:$C$128</definedName>
    <definedName name="_xlnm._FilterDatabase" localSheetId="24" hidden="1">SorghumHayDryland!$C$72:$C$112</definedName>
    <definedName name="_xlnm._FilterDatabase" localSheetId="25" hidden="1">SorghumHayIrrigated!$C$77:$C$117</definedName>
    <definedName name="_xlnm._FilterDatabase" localSheetId="5" hidden="1">SwitchgrassEstablish!$C$77:$C$117</definedName>
    <definedName name="_xlnm._FilterDatabase" localSheetId="6" hidden="1">SwitchgrassGraze!$C$78:$C$118</definedName>
    <definedName name="_xlnm._FilterDatabase" localSheetId="7" hidden="1">SwitchgrassHay!$C$78:$C$118</definedName>
    <definedName name="_xlnm._FilterDatabase" localSheetId="19" hidden="1">TPCottonFurrow!$C$97:$C$137</definedName>
    <definedName name="_xlnm._FilterDatabase" localSheetId="20" hidden="1">TPCottonPivot!$C$98:$C$138</definedName>
    <definedName name="_xlnm._FilterDatabase" localSheetId="22" hidden="1">WheatDryland!$C$86:$C$121</definedName>
    <definedName name="_xlnm._FilterDatabase" localSheetId="23" hidden="1">WheatIrrigated!$C$86:$C$126</definedName>
    <definedName name="LTotExp" localSheetId="13">AlfalfaElPaso!$M$76</definedName>
    <definedName name="LTotExp" localSheetId="8">AlfalfaEstablish!$M$75</definedName>
    <definedName name="LTotExp" localSheetId="12">AlfalfaFloodDell!$M$79</definedName>
    <definedName name="LTotExp" localSheetId="10">AlfalfaHayFlood!$M$79</definedName>
    <definedName name="LTotExp" localSheetId="9">AlfalfaHayPivot!$M$79</definedName>
    <definedName name="LTotExp" localSheetId="11">AlfalfaPivotDell!$M$79</definedName>
    <definedName name="LTotExp" localSheetId="21">ElPasoCotton!$M$84</definedName>
    <definedName name="LTotExp" localSheetId="4">Onions!$M$81</definedName>
    <definedName name="LTotExp" localSheetId="2">Pecans!$M$83</definedName>
    <definedName name="LTotExp" localSheetId="3">RedChile!$M$80</definedName>
    <definedName name="LTotExp" localSheetId="14">SLCottonDrip!$M$91</definedName>
    <definedName name="LTotExp" localSheetId="16">SLCottonDrylandGM!$M$81</definedName>
    <definedName name="LTotExp" localSheetId="18">SLGSDrip!$M$80</definedName>
    <definedName name="LTotExp" localSheetId="15">SLXFCottonDrip!$M$92</definedName>
    <definedName name="LTotExp" localSheetId="17">SLXFCottonDryland!$M$82</definedName>
    <definedName name="LTotExp" localSheetId="24">SorghumHayDryland!$M$66</definedName>
    <definedName name="LTotExp" localSheetId="25">SorghumHayIrrigated!$M$71</definedName>
    <definedName name="LTotExp" localSheetId="5">SwitchgrassEstablish!$M$71</definedName>
    <definedName name="LTotExp" localSheetId="6">SwitchgrassGraze!$M$72</definedName>
    <definedName name="LTotExp" localSheetId="7">SwitchgrassHay!$M$72</definedName>
    <definedName name="LTotExp" localSheetId="19">TPCottonFurrow!$M$91</definedName>
    <definedName name="LTotExp" localSheetId="20">TPCottonPivot!$M$92</definedName>
    <definedName name="LTotExp" localSheetId="22">WheatDryland!$M$80</definedName>
    <definedName name="LTotExp" localSheetId="23">WheatIrrigated!$M$80</definedName>
    <definedName name="LTotRet" localSheetId="13">AlfalfaElPaso!$M$78</definedName>
    <definedName name="LTotRet" localSheetId="8">AlfalfaEstablish!$M$77</definedName>
    <definedName name="LTotRet" localSheetId="12">AlfalfaFloodDell!$M$81</definedName>
    <definedName name="LTotRet" localSheetId="10">AlfalfaHayFlood!$M$81</definedName>
    <definedName name="LTotRet" localSheetId="9">AlfalfaHayPivot!$M$81</definedName>
    <definedName name="LTotRet" localSheetId="11">AlfalfaPivotDell!$M$81</definedName>
    <definedName name="LTotRet" localSheetId="21">ElPasoCotton!$M$86</definedName>
    <definedName name="LTotRet" localSheetId="4">Onions!$M$83</definedName>
    <definedName name="LTotRet" localSheetId="2">Pecans!$M$85</definedName>
    <definedName name="LTotRet" localSheetId="3">RedChile!$M$82</definedName>
    <definedName name="LTotRet" localSheetId="14">SLCottonDrip!$M$93</definedName>
    <definedName name="LTotRet" localSheetId="16">SLCottonDrylandGM!$M$83</definedName>
    <definedName name="LTotRet" localSheetId="18">SLGSDrip!$M$82</definedName>
    <definedName name="LTotRet" localSheetId="15">SLXFCottonDrip!$M$94</definedName>
    <definedName name="LTotRet" localSheetId="17">SLXFCottonDryland!$M$84</definedName>
    <definedName name="LTotRet" localSheetId="24">SorghumHayDryland!$M$68</definedName>
    <definedName name="LTotRet" localSheetId="25">SorghumHayIrrigated!$M$73</definedName>
    <definedName name="LTotRet" localSheetId="5">SwitchgrassEstablish!$M$73</definedName>
    <definedName name="LTotRet" localSheetId="6">SwitchgrassGraze!$M$74</definedName>
    <definedName name="LTotRet" localSheetId="7">SwitchgrassHay!$M$74</definedName>
    <definedName name="LTotRet" localSheetId="19">TPCottonFurrow!$M$93</definedName>
    <definedName name="LTotRet" localSheetId="20">TPCottonPivot!$M$94</definedName>
    <definedName name="LTotRet" localSheetId="22">WheatDryland!$M$82</definedName>
    <definedName name="LTotRet" localSheetId="23">WheatIrrigated!$M$82</definedName>
    <definedName name="LVarExp" localSheetId="13">AlfalfaElPaso!$M$54</definedName>
    <definedName name="LVarExp" localSheetId="8">AlfalfaEstablish!$M$51</definedName>
    <definedName name="LVarExp" localSheetId="12">AlfalfaFloodDell!$M$55</definedName>
    <definedName name="LVarExp" localSheetId="10">AlfalfaHayFlood!$M$55</definedName>
    <definedName name="LVarExp" localSheetId="9">AlfalfaHayPivot!$M$55</definedName>
    <definedName name="LVarExp" localSheetId="11">AlfalfaPivotDell!$M$55</definedName>
    <definedName name="LVarExp" localSheetId="21">ElPasoCotton!$M$62</definedName>
    <definedName name="LVarExp" localSheetId="4">Onions!$M$57</definedName>
    <definedName name="LVarExp" localSheetId="2">Pecans!$M$59</definedName>
    <definedName name="LVarExp" localSheetId="3">RedChile!$M$56</definedName>
    <definedName name="LVarExp" localSheetId="14">SLCottonDrip!$M$67</definedName>
    <definedName name="LVarExp" localSheetId="16">SLCottonDrylandGM!$M$59</definedName>
    <definedName name="LVarExp" localSheetId="18">SLGSDrip!$M$56</definedName>
    <definedName name="LVarExp" localSheetId="15">SLXFCottonDrip!$M$68</definedName>
    <definedName name="LVarExp" localSheetId="17">SLXFCottonDryland!$M$60</definedName>
    <definedName name="LVarExp" localSheetId="24">SorghumHayDryland!$M$44</definedName>
    <definedName name="LVarExp" localSheetId="25">SorghumHayIrrigated!$M$47</definedName>
    <definedName name="LVarExp" localSheetId="5">SwitchgrassEstablish!$M$49</definedName>
    <definedName name="LVarExp" localSheetId="6">SwitchgrassGraze!$M$50</definedName>
    <definedName name="LVarExp" localSheetId="7">SwitchgrassHay!$M$50</definedName>
    <definedName name="LVarExp" localSheetId="19">TPCottonFurrow!$M$67</definedName>
    <definedName name="LVarExp" localSheetId="20">TPCottonPivot!$M$68</definedName>
    <definedName name="LVarExp" localSheetId="22">WheatDryland!$M$58</definedName>
    <definedName name="LVarExp" localSheetId="23">WheatIrrigated!$M$56</definedName>
    <definedName name="LVarRet" localSheetId="13">AlfalfaElPaso!$M$55</definedName>
    <definedName name="LVarRet" localSheetId="8">AlfalfaEstablish!$M$52</definedName>
    <definedName name="LVarRet" localSheetId="12">AlfalfaFloodDell!$M$56</definedName>
    <definedName name="LVarRet" localSheetId="10">AlfalfaHayFlood!$M$56</definedName>
    <definedName name="LVarRet" localSheetId="9">AlfalfaHayPivot!$M$56</definedName>
    <definedName name="LVarRet" localSheetId="11">AlfalfaPivotDell!$M$56</definedName>
    <definedName name="LVarRet" localSheetId="21">ElPasoCotton!$M$63</definedName>
    <definedName name="LVarRet" localSheetId="4">Onions!$M$58</definedName>
    <definedName name="LVarRet" localSheetId="2">Pecans!$M$60</definedName>
    <definedName name="LVarRet" localSheetId="3">RedChile!$M$57</definedName>
    <definedName name="LVarRet" localSheetId="14">SLCottonDrip!$M$68</definedName>
    <definedName name="LVarRet" localSheetId="16">SLCottonDrylandGM!$M$60</definedName>
    <definedName name="LVarRet" localSheetId="18">SLGSDrip!$M$57</definedName>
    <definedName name="LVarRet" localSheetId="15">SLXFCottonDrip!$M$69</definedName>
    <definedName name="LVarRet" localSheetId="17">SLXFCottonDryland!$M$61</definedName>
    <definedName name="LVarRet" localSheetId="24">SorghumHayDryland!$M$45</definedName>
    <definedName name="LVarRet" localSheetId="25">SorghumHayIrrigated!$M$48</definedName>
    <definedName name="LVarRet" localSheetId="5">SwitchgrassEstablish!$M$50</definedName>
    <definedName name="LVarRet" localSheetId="6">SwitchgrassGraze!$M$51</definedName>
    <definedName name="LVarRet" localSheetId="7">SwitchgrassHay!$M$51</definedName>
    <definedName name="LVarRet" localSheetId="19">TPCottonFurrow!$M$68</definedName>
    <definedName name="LVarRet" localSheetId="20">TPCottonPivot!$M$69</definedName>
    <definedName name="LVarRet" localSheetId="22">WheatDryland!$M$59</definedName>
    <definedName name="LVarRet" localSheetId="23">WheatIrrigated!$M$57</definedName>
    <definedName name="Price" localSheetId="13">AlfalfaElPaso!$G$10</definedName>
    <definedName name="Price" localSheetId="8">AlfalfaEstablish!$G$10</definedName>
    <definedName name="Price" localSheetId="12">AlfalfaFloodDell!$G$10</definedName>
    <definedName name="Price" localSheetId="10">AlfalfaHayFlood!$G$10</definedName>
    <definedName name="Price" localSheetId="9">AlfalfaHayPivot!$G$10</definedName>
    <definedName name="Price" localSheetId="11">AlfalfaPivotDell!$G$10</definedName>
    <definedName name="Price" localSheetId="30">Angoras!$K$83</definedName>
    <definedName name="Price" localSheetId="26">CowCalfNative!$K$87</definedName>
    <definedName name="Price" localSheetId="21">ElPasoCotton!$G$10</definedName>
    <definedName name="Price" localSheetId="29">MeatGoats!$K$81</definedName>
    <definedName name="Price" localSheetId="4">Onions!$G$10</definedName>
    <definedName name="Price" localSheetId="2">Pecans!$G$10</definedName>
    <definedName name="Price" localSheetId="3">RedChile!$G$10</definedName>
    <definedName name="Price" localSheetId="32">SheepHair!$K$82</definedName>
    <definedName name="Price" localSheetId="31">SheepWool!$K$84</definedName>
    <definedName name="Price" localSheetId="14">SLCottonDrip!$G$10</definedName>
    <definedName name="Price" localSheetId="16">SLCottonDrylandGM!$G$10</definedName>
    <definedName name="Price" localSheetId="18">SLGSDrip!$G$10</definedName>
    <definedName name="Price" localSheetId="15">SLXFCottonDrip!$G$10</definedName>
    <definedName name="Price" localSheetId="17">SLXFCottonDryland!$G$10</definedName>
    <definedName name="Price" localSheetId="24">SorghumHayDryland!$G$10</definedName>
    <definedName name="Price" localSheetId="25">SorghumHayIrrigated!$G$10</definedName>
    <definedName name="Price" localSheetId="27">StockersSummer!$I$11</definedName>
    <definedName name="Price" localSheetId="28">StockerWinter!$I$11</definedName>
    <definedName name="Price" localSheetId="5">SwitchgrassEstablish!$G$10</definedName>
    <definedName name="Price" localSheetId="6">SwitchgrassGraze!$G$10</definedName>
    <definedName name="Price" localSheetId="7">SwitchgrassHay!$G$10</definedName>
    <definedName name="Price" localSheetId="19">TPCottonFurrow!$G$10</definedName>
    <definedName name="Price" localSheetId="20">TPCottonPivot!$G$10</definedName>
    <definedName name="Price" localSheetId="22">WheatDryland!$G$10</definedName>
    <definedName name="Price" localSheetId="23">WheatIrrigated!$G$10</definedName>
    <definedName name="_xlnm.Print_Area" localSheetId="13">AlfalfaElPaso!$A:$Q</definedName>
    <definedName name="_xlnm.Print_Area" localSheetId="8">AlfalfaEstablish!$A:$Q</definedName>
    <definedName name="_xlnm.Print_Area" localSheetId="12">AlfalfaFloodDell!$A:$Q</definedName>
    <definedName name="_xlnm.Print_Area" localSheetId="10">AlfalfaHayFlood!$A:$Q</definedName>
    <definedName name="_xlnm.Print_Area" localSheetId="9">AlfalfaHayPivot!$A:$Q</definedName>
    <definedName name="_xlnm.Print_Area" localSheetId="11">AlfalfaPivotDell!$A:$Q</definedName>
    <definedName name="_xlnm.Print_Area" localSheetId="30">Angoras!$A:$N</definedName>
    <definedName name="_xlnm.Print_Area" localSheetId="35">'Comparative Returns - Cash Rent'!$A$1:$K$40</definedName>
    <definedName name="_xlnm.Print_Area" localSheetId="36">'Comparative Returns-Share Rent'!$A$1:$N$40</definedName>
    <definedName name="_xlnm.Print_Area" localSheetId="26">CowCalfNative!$A:$N</definedName>
    <definedName name="_xlnm.Print_Area" localSheetId="21">ElPasoCotton!$A:$Q</definedName>
    <definedName name="_xlnm.Print_Area" localSheetId="1">Links!$B$2:$J$23</definedName>
    <definedName name="_xlnm.Print_Area" localSheetId="29">MeatGoats!$A:$N</definedName>
    <definedName name="_xlnm.Print_Area" localSheetId="4">Onions!$A:$Q</definedName>
    <definedName name="_xlnm.Print_Area" localSheetId="2">Pecans!$A:$Q</definedName>
    <definedName name="_xlnm.Print_Area" localSheetId="3">RedChile!$A:$Q</definedName>
    <definedName name="_xlnm.Print_Area" localSheetId="32">SheepHair!$A:$N</definedName>
    <definedName name="_xlnm.Print_Area" localSheetId="31">SheepWool!$A:$N</definedName>
    <definedName name="_xlnm.Print_Area" localSheetId="14">SLCottonDrip!$A:$Q</definedName>
    <definedName name="_xlnm.Print_Area" localSheetId="16">SLCottonDrylandGM!$A:$Q</definedName>
    <definedName name="_xlnm.Print_Area" localSheetId="18">SLGSDrip!$A:$Q</definedName>
    <definedName name="_xlnm.Print_Area" localSheetId="15">SLXFCottonDrip!$A:$Q</definedName>
    <definedName name="_xlnm.Print_Area" localSheetId="17">SLXFCottonDryland!$A:$Q</definedName>
    <definedName name="_xlnm.Print_Area" localSheetId="24">SorghumHayDryland!$A:$Q</definedName>
    <definedName name="_xlnm.Print_Area" localSheetId="25">SorghumHayIrrigated!$A:$Q</definedName>
    <definedName name="_xlnm.Print_Area" localSheetId="27">StockersSummer!$A:$N</definedName>
    <definedName name="_xlnm.Print_Area" localSheetId="28">StockerWinter!$A:$N</definedName>
    <definedName name="_xlnm.Print_Area" localSheetId="5">SwitchgrassEstablish!$A:$Q</definedName>
    <definedName name="_xlnm.Print_Area" localSheetId="6">SwitchgrassGraze!$A:$Q</definedName>
    <definedName name="_xlnm.Print_Area" localSheetId="7">SwitchgrassHay!$A:$Q</definedName>
    <definedName name="_xlnm.Print_Area" localSheetId="19">TPCottonFurrow!$A:$Q</definedName>
    <definedName name="_xlnm.Print_Area" localSheetId="20">TPCottonPivot!$A:$Q</definedName>
    <definedName name="_xlnm.Print_Area" localSheetId="22">WheatDryland!$A:$Q</definedName>
    <definedName name="_xlnm.Print_Area" localSheetId="23">WheatIrrigated!$A:$Q</definedName>
    <definedName name="_xlnm.Print_Area" localSheetId="37">'Your Returns - Cash Rent'!$A$1:$L$40</definedName>
    <definedName name="_xlnm.Print_Area" localSheetId="38">'Your Returns-Share Rent'!$A$1:$O$61</definedName>
    <definedName name="_xlnm.Print_Titles" localSheetId="35">'Comparative Returns - Cash Rent'!$A:$A</definedName>
    <definedName name="_xlnm.Print_Titles" localSheetId="36">'Comparative Returns-Share Rent'!$A:$A</definedName>
    <definedName name="_xlnm.Print_Titles" localSheetId="37">'Your Returns - Cash Rent'!$A:$A</definedName>
    <definedName name="_xlnm.Print_Titles" localSheetId="38">'Your Returns-Share Rent'!$A:$A</definedName>
    <definedName name="TotExp" localSheetId="13">AlfalfaElPaso!$I$76</definedName>
    <definedName name="TotExp" localSheetId="8">AlfalfaEstablish!$I$75</definedName>
    <definedName name="TotExp" localSheetId="12">AlfalfaFloodDell!$I$79</definedName>
    <definedName name="TotExp" localSheetId="10">AlfalfaHayFlood!$I$79</definedName>
    <definedName name="TotExp" localSheetId="9">AlfalfaHayPivot!$I$79</definedName>
    <definedName name="TotExp" localSheetId="11">AlfalfaPivotDell!$I$79</definedName>
    <definedName name="TotExp" localSheetId="30">Angoras!$K$69</definedName>
    <definedName name="TotExp" localSheetId="26">CowCalfNative!$K$73</definedName>
    <definedName name="TotExp" localSheetId="21">ElPasoCotton!$I$84</definedName>
    <definedName name="TotExp" localSheetId="29">MeatGoats!$K$67</definedName>
    <definedName name="TotExp" localSheetId="4">Onions!$I$81</definedName>
    <definedName name="TotExp" localSheetId="2">Pecans!$I$83</definedName>
    <definedName name="TotExp" localSheetId="3">RedChile!$I$80</definedName>
    <definedName name="TotExp" localSheetId="32">SheepHair!$K$68</definedName>
    <definedName name="TotExp" localSheetId="31">SheepWool!$K$70</definedName>
    <definedName name="TotExp" localSheetId="14">SLCottonDrip!$I$91</definedName>
    <definedName name="TotExp" localSheetId="16">SLCottonDrylandGM!$I$81</definedName>
    <definedName name="TotExp" localSheetId="18">SLGSDrip!$I$80</definedName>
    <definedName name="TotExp" localSheetId="15">SLXFCottonDrip!$I$92</definedName>
    <definedName name="TotExp" localSheetId="17">SLXFCottonDryland!$I$82</definedName>
    <definedName name="TotExp" localSheetId="24">SorghumHayDryland!$I$66</definedName>
    <definedName name="TotExp" localSheetId="25">SorghumHayIrrigated!$I$71</definedName>
    <definedName name="TotExp" localSheetId="27">StockersSummer!$K$66</definedName>
    <definedName name="TotExp" localSheetId="28">StockerWinter!$K$66</definedName>
    <definedName name="TotExp" localSheetId="5">SwitchgrassEstablish!$I$71</definedName>
    <definedName name="TotExp" localSheetId="6">SwitchgrassGraze!$I$72</definedName>
    <definedName name="TotExp" localSheetId="7">SwitchgrassHay!$I$72</definedName>
    <definedName name="TotExp" localSheetId="19">TPCottonFurrow!$I$91</definedName>
    <definedName name="TotExp" localSheetId="20">TPCottonPivot!$I$92</definedName>
    <definedName name="TotExp" localSheetId="22">WheatDryland!$I$80</definedName>
    <definedName name="TotExp" localSheetId="23">WheatIrrigated!$I$80</definedName>
    <definedName name="TotRet" localSheetId="13">AlfalfaElPaso!$I$78</definedName>
    <definedName name="TotRet" localSheetId="8">AlfalfaEstablish!$I$77</definedName>
    <definedName name="TotRet" localSheetId="12">AlfalfaFloodDell!$I$81</definedName>
    <definedName name="TotRet" localSheetId="10">AlfalfaHayFlood!$I$81</definedName>
    <definedName name="TotRet" localSheetId="9">AlfalfaHayPivot!$I$81</definedName>
    <definedName name="TotRet" localSheetId="11">AlfalfaPivotDell!$I$81</definedName>
    <definedName name="TotRet" localSheetId="30">Angoras!$K$70</definedName>
    <definedName name="TotRet" localSheetId="26">CowCalfNative!$K$74</definedName>
    <definedName name="TotRet" localSheetId="21">ElPasoCotton!$I$86</definedName>
    <definedName name="TotRet" localSheetId="29">MeatGoats!$K$68</definedName>
    <definedName name="TotRet" localSheetId="4">Onions!$I$83</definedName>
    <definedName name="TotRet" localSheetId="2">Pecans!$I$85</definedName>
    <definedName name="TotRet" localSheetId="3">RedChile!$I$82</definedName>
    <definedName name="TotRet" localSheetId="32">SheepHair!$K$69</definedName>
    <definedName name="TotRet" localSheetId="31">SheepWool!$K$71</definedName>
    <definedName name="TotRet" localSheetId="14">SLCottonDrip!$I$93</definedName>
    <definedName name="TotRet" localSheetId="16">SLCottonDrylandGM!$I$83</definedName>
    <definedName name="TotRet" localSheetId="18">SLGSDrip!$I$82</definedName>
    <definedName name="TotRet" localSheetId="15">SLXFCottonDrip!$I$94</definedName>
    <definedName name="TotRet" localSheetId="17">SLXFCottonDryland!$I$84</definedName>
    <definedName name="TotRet" localSheetId="24">SorghumHayDryland!$I$68</definedName>
    <definedName name="TotRet" localSheetId="25">SorghumHayIrrigated!$I$73</definedName>
    <definedName name="TotRet" localSheetId="27">StockersSummer!$K$68</definedName>
    <definedName name="TotRet" localSheetId="28">StockerWinter!$K$68</definedName>
    <definedName name="TotRet" localSheetId="5">SwitchgrassEstablish!$I$73</definedName>
    <definedName name="TotRet" localSheetId="6">SwitchgrassGraze!$I$74</definedName>
    <definedName name="TotRet" localSheetId="7">SwitchgrassHay!$I$74</definedName>
    <definedName name="TotRet" localSheetId="19">TPCottonFurrow!$I$93</definedName>
    <definedName name="TotRet" localSheetId="20">TPCottonPivot!$I$94</definedName>
    <definedName name="TotRet" localSheetId="22">WheatDryland!$I$82</definedName>
    <definedName name="TotRet" localSheetId="23">WheatIrrigated!$I$82</definedName>
    <definedName name="TTotExp" localSheetId="13">AlfalfaElPaso!$O$76</definedName>
    <definedName name="TTotExp" localSheetId="8">AlfalfaEstablish!$O$75</definedName>
    <definedName name="TTotExp" localSheetId="12">AlfalfaFloodDell!$O$79</definedName>
    <definedName name="TTotExp" localSheetId="10">AlfalfaHayFlood!$O$79</definedName>
    <definedName name="TTotExp" localSheetId="9">AlfalfaHayPivot!$O$79</definedName>
    <definedName name="TTotExp" localSheetId="11">AlfalfaPivotDell!$O$79</definedName>
    <definedName name="TTotExp" localSheetId="21">ElPasoCotton!$O$84</definedName>
    <definedName name="TTotExp" localSheetId="4">Onions!$O$81</definedName>
    <definedName name="TTotExp" localSheetId="2">Pecans!$O$83</definedName>
    <definedName name="TTotExp" localSheetId="3">RedChile!$O$80</definedName>
    <definedName name="TTotExp" localSheetId="14">SLCottonDrip!$O$91</definedName>
    <definedName name="TTotExp" localSheetId="16">SLCottonDrylandGM!$O$81</definedName>
    <definedName name="TTotExp" localSheetId="18">SLGSDrip!$O$80</definedName>
    <definedName name="TTotExp" localSheetId="15">SLXFCottonDrip!$O$92</definedName>
    <definedName name="TTotExp" localSheetId="17">SLXFCottonDryland!$O$82</definedName>
    <definedName name="TTotExp" localSheetId="24">SorghumHayDryland!$O$66</definedName>
    <definedName name="TTotExp" localSheetId="25">SorghumHayIrrigated!$O$71</definedName>
    <definedName name="TTotExp" localSheetId="5">SwitchgrassEstablish!$O$71</definedName>
    <definedName name="TTotExp" localSheetId="6">SwitchgrassGraze!$O$72</definedName>
    <definedName name="TTotExp" localSheetId="7">SwitchgrassHay!$O$72</definedName>
    <definedName name="TTotExp" localSheetId="19">TPCottonFurrow!$O$91</definedName>
    <definedName name="TTotExp" localSheetId="20">TPCottonPivot!$O$92</definedName>
    <definedName name="TTotExp" localSheetId="22">WheatDryland!$O$80</definedName>
    <definedName name="TTotExp" localSheetId="23">WheatIrrigated!$O$80</definedName>
    <definedName name="TTotRet" localSheetId="13">AlfalfaElPaso!$O$78</definedName>
    <definedName name="TTotRet" localSheetId="8">AlfalfaEstablish!$O$77</definedName>
    <definedName name="TTotRet" localSheetId="12">AlfalfaFloodDell!$O$81</definedName>
    <definedName name="TTotRet" localSheetId="10">AlfalfaHayFlood!$O$81</definedName>
    <definedName name="TTotRet" localSheetId="9">AlfalfaHayPivot!$O$81</definedName>
    <definedName name="TTotRet" localSheetId="11">AlfalfaPivotDell!$O$81</definedName>
    <definedName name="TTotRet" localSheetId="21">ElPasoCotton!$O$86</definedName>
    <definedName name="TTotRet" localSheetId="4">Onions!$O$83</definedName>
    <definedName name="TTotRet" localSheetId="2">Pecans!$O$85</definedName>
    <definedName name="TTotRet" localSheetId="3">RedChile!$O$82</definedName>
    <definedName name="TTotRet" localSheetId="14">SLCottonDrip!$O$93</definedName>
    <definedName name="TTotRet" localSheetId="16">SLCottonDrylandGM!$O$83</definedName>
    <definedName name="TTotRet" localSheetId="18">SLGSDrip!$O$82</definedName>
    <definedName name="TTotRet" localSheetId="15">SLXFCottonDrip!$O$94</definedName>
    <definedName name="TTotRet" localSheetId="17">SLXFCottonDryland!$O$84</definedName>
    <definedName name="TTotRet" localSheetId="24">SorghumHayDryland!$O$68</definedName>
    <definedName name="TTotRet" localSheetId="25">SorghumHayIrrigated!$O$73</definedName>
    <definedName name="TTotRet" localSheetId="5">SwitchgrassEstablish!$O$73</definedName>
    <definedName name="TTotRet" localSheetId="6">SwitchgrassGraze!$O$74</definedName>
    <definedName name="TTotRet" localSheetId="7">SwitchgrassHay!$O$74</definedName>
    <definedName name="TTotRet" localSheetId="19">TPCottonFurrow!$O$93</definedName>
    <definedName name="TTotRet" localSheetId="20">TPCottonPivot!$O$94</definedName>
    <definedName name="TTotRet" localSheetId="22">WheatDryland!$O$82</definedName>
    <definedName name="TTotRet" localSheetId="23">WheatIrrigated!$O$82</definedName>
    <definedName name="TVarExp" localSheetId="13">AlfalfaElPaso!$O$54</definedName>
    <definedName name="TVarExp" localSheetId="8">AlfalfaEstablish!$O$51</definedName>
    <definedName name="TVarExp" localSheetId="12">AlfalfaFloodDell!$O$55</definedName>
    <definedName name="TVarExp" localSheetId="10">AlfalfaHayFlood!$O$55</definedName>
    <definedName name="TVarExp" localSheetId="9">AlfalfaHayPivot!$O$55</definedName>
    <definedName name="TVarExp" localSheetId="11">AlfalfaPivotDell!$O$55</definedName>
    <definedName name="TVarExp" localSheetId="21">ElPasoCotton!$O$62</definedName>
    <definedName name="TVarExp" localSheetId="4">Onions!$O$57</definedName>
    <definedName name="TVarExp" localSheetId="2">Pecans!$O$59</definedName>
    <definedName name="TVarExp" localSheetId="3">RedChile!$O$56</definedName>
    <definedName name="TVarExp" localSheetId="14">SLCottonDrip!$O$67</definedName>
    <definedName name="TVarExp" localSheetId="16">SLCottonDrylandGM!$O$59</definedName>
    <definedName name="TVarExp" localSheetId="18">SLGSDrip!$O$56</definedName>
    <definedName name="TVarExp" localSheetId="15">SLXFCottonDrip!$O$68</definedName>
    <definedName name="TVarExp" localSheetId="17">SLXFCottonDryland!$O$60</definedName>
    <definedName name="TVarExp" localSheetId="24">SorghumHayDryland!$O$44</definedName>
    <definedName name="TVarExp" localSheetId="25">SorghumHayIrrigated!$O$47</definedName>
    <definedName name="TVarExp" localSheetId="5">SwitchgrassEstablish!$O$49</definedName>
    <definedName name="TVarExp" localSheetId="6">SwitchgrassGraze!$O$50</definedName>
    <definedName name="TVarExp" localSheetId="7">SwitchgrassHay!$O$50</definedName>
    <definedName name="TVarExp" localSheetId="19">TPCottonFurrow!$O$67</definedName>
    <definedName name="TVarExp" localSheetId="20">TPCottonPivot!$O$68</definedName>
    <definedName name="TVarExp" localSheetId="22">WheatDryland!$O$58</definedName>
    <definedName name="TVarExp" localSheetId="23">WheatIrrigated!$O$56</definedName>
    <definedName name="TVarRet" localSheetId="13">AlfalfaElPaso!$O$55</definedName>
    <definedName name="TVarRet" localSheetId="8">AlfalfaEstablish!$O$52</definedName>
    <definedName name="TVarRet" localSheetId="12">AlfalfaFloodDell!$O$56</definedName>
    <definedName name="TVarRet" localSheetId="10">AlfalfaHayFlood!$O$56</definedName>
    <definedName name="TVarRet" localSheetId="9">AlfalfaHayPivot!$O$56</definedName>
    <definedName name="TVarRet" localSheetId="11">AlfalfaPivotDell!$O$56</definedName>
    <definedName name="TVarRet" localSheetId="21">ElPasoCotton!$O$63</definedName>
    <definedName name="TVarRet" localSheetId="4">Onions!$O$58</definedName>
    <definedName name="TVarRet" localSheetId="2">Pecans!$O$60</definedName>
    <definedName name="TVarRet" localSheetId="3">RedChile!$O$57</definedName>
    <definedName name="TVarRet" localSheetId="14">SLCottonDrip!$O$68</definedName>
    <definedName name="TVarRet" localSheetId="16">SLCottonDrylandGM!$O$60</definedName>
    <definedName name="TVarRet" localSheetId="18">SLGSDrip!$O$57</definedName>
    <definedName name="TVarRet" localSheetId="15">SLXFCottonDrip!$O$69</definedName>
    <definedName name="TVarRet" localSheetId="17">SLXFCottonDryland!$O$61</definedName>
    <definedName name="TVarRet" localSheetId="24">SorghumHayDryland!$O$45</definedName>
    <definedName name="TVarRet" localSheetId="25">SorghumHayIrrigated!$O$48</definedName>
    <definedName name="TVarRet" localSheetId="5">SwitchgrassEstablish!$O$50</definedName>
    <definedName name="TVarRet" localSheetId="6">SwitchgrassGraze!$O$51</definedName>
    <definedName name="TVarRet" localSheetId="7">SwitchgrassHay!$O$51</definedName>
    <definedName name="TVarRet" localSheetId="19">TPCottonFurrow!$O$68</definedName>
    <definedName name="TVarRet" localSheetId="20">TPCottonPivot!$O$69</definedName>
    <definedName name="TVarRet" localSheetId="22">WheatDryland!$O$59</definedName>
    <definedName name="TVarRet" localSheetId="23">WheatIrrigated!$O$57</definedName>
    <definedName name="Unit" localSheetId="13">AlfalfaElPaso!$F$10</definedName>
    <definedName name="Unit" localSheetId="8">AlfalfaEstablish!$F$10</definedName>
    <definedName name="Unit" localSheetId="12">AlfalfaFloodDell!$F$10</definedName>
    <definedName name="Unit" localSheetId="10">AlfalfaHayFlood!$F$10</definedName>
    <definedName name="Unit" localSheetId="9">AlfalfaHayPivot!$F$10</definedName>
    <definedName name="Unit" localSheetId="11">AlfalfaPivotDell!$F$10</definedName>
    <definedName name="Unit" localSheetId="30">Angoras!$H$11</definedName>
    <definedName name="Unit" localSheetId="26">CowCalfNative!$H$11</definedName>
    <definedName name="Unit" localSheetId="34">'Crop Budget'!$D$9</definedName>
    <definedName name="Unit" localSheetId="21">ElPasoCotton!$F$10</definedName>
    <definedName name="Unit" localSheetId="33">'Livestock Budget'!$F$90</definedName>
    <definedName name="Unit" localSheetId="29">MeatGoats!$H$11</definedName>
    <definedName name="Unit" localSheetId="4">Onions!$F$10</definedName>
    <definedName name="Unit" localSheetId="2">Pecans!$F$10</definedName>
    <definedName name="Unit" localSheetId="3">RedChile!$F$10</definedName>
    <definedName name="Unit" localSheetId="32">SheepHair!$H$11</definedName>
    <definedName name="Unit" localSheetId="31">SheepWool!$H$11</definedName>
    <definedName name="Unit" localSheetId="14">SLCottonDrip!$F$10</definedName>
    <definedName name="Unit" localSheetId="16">SLCottonDrylandGM!$F$10</definedName>
    <definedName name="Unit" localSheetId="18">SLGSDrip!$F$10</definedName>
    <definedName name="Unit" localSheetId="15">SLXFCottonDrip!$F$10</definedName>
    <definedName name="Unit" localSheetId="17">SLXFCottonDryland!$F$10</definedName>
    <definedName name="Unit" localSheetId="24">SorghumHayDryland!$F$10</definedName>
    <definedName name="Unit" localSheetId="25">SorghumHayIrrigated!$F$10</definedName>
    <definedName name="Unit" localSheetId="27">StockersSummer!$H$11</definedName>
    <definedName name="Unit" localSheetId="28">StockerWinter!$H$11</definedName>
    <definedName name="Unit" localSheetId="5">SwitchgrassEstablish!$F$10</definedName>
    <definedName name="Unit" localSheetId="6">SwitchgrassGraze!$F$10</definedName>
    <definedName name="Unit" localSheetId="7">SwitchgrassHay!$F$10</definedName>
    <definedName name="Unit" localSheetId="19">TPCottonFurrow!$F$10</definedName>
    <definedName name="Unit" localSheetId="20">TPCottonPivot!$F$10</definedName>
    <definedName name="Unit" localSheetId="22">WheatDryland!$F$10</definedName>
    <definedName name="Unit" localSheetId="23">WheatIrrigated!$F$10</definedName>
    <definedName name="VarExp" localSheetId="13">AlfalfaElPaso!$I$54</definedName>
    <definedName name="VarExp" localSheetId="8">AlfalfaEstablish!$I$51</definedName>
    <definedName name="VarExp" localSheetId="12">AlfalfaFloodDell!$I$55</definedName>
    <definedName name="VarExp" localSheetId="10">AlfalfaHayFlood!$I$55</definedName>
    <definedName name="VarExp" localSheetId="9">AlfalfaHayPivot!$I$55</definedName>
    <definedName name="VarExp" localSheetId="11">AlfalfaPivotDell!$I$55</definedName>
    <definedName name="VarExp" localSheetId="30">Angoras!$K$53</definedName>
    <definedName name="VarExp" localSheetId="26">CowCalfNative!$K$57</definedName>
    <definedName name="VarExp" localSheetId="21">ElPasoCotton!$I$62</definedName>
    <definedName name="VarExp" localSheetId="29">MeatGoats!$K$51</definedName>
    <definedName name="VarExp" localSheetId="4">Onions!$I$57</definedName>
    <definedName name="VarExp" localSheetId="2">Pecans!$I$59</definedName>
    <definedName name="VarExp" localSheetId="3">RedChile!$I$56</definedName>
    <definedName name="VarExp" localSheetId="32">SheepHair!$K$52</definedName>
    <definedName name="VarExp" localSheetId="31">SheepWool!$K$54</definedName>
    <definedName name="VarExp" localSheetId="14">SLCottonDrip!$I$67</definedName>
    <definedName name="VarExp" localSheetId="16">SLCottonDrylandGM!$I$59</definedName>
    <definedName name="VarExp" localSheetId="18">SLGSDrip!$I$56</definedName>
    <definedName name="VarExp" localSheetId="15">SLXFCottonDrip!$I$68</definedName>
    <definedName name="VarExp" localSheetId="17">SLXFCottonDryland!$I$60</definedName>
    <definedName name="VarExp" localSheetId="24">SorghumHayDryland!$I$44</definedName>
    <definedName name="VarExp" localSheetId="25">SorghumHayIrrigated!$I$47</definedName>
    <definedName name="VarExp" localSheetId="27">StockersSummer!$K$49</definedName>
    <definedName name="VarExp" localSheetId="28">StockerWinter!$K$49</definedName>
    <definedName name="VarExp" localSheetId="5">SwitchgrassEstablish!$I$49</definedName>
    <definedName name="VarExp" localSheetId="6">SwitchgrassGraze!$I$50</definedName>
    <definedName name="VarExp" localSheetId="7">SwitchgrassHay!$I$50</definedName>
    <definedName name="VarExp" localSheetId="19">TPCottonFurrow!$I$67</definedName>
    <definedName name="VarExp" localSheetId="20">TPCottonPivot!$I$68</definedName>
    <definedName name="VarExp" localSheetId="22">WheatDryland!$I$58</definedName>
    <definedName name="VarExp" localSheetId="23">WheatIrrigated!$I$56</definedName>
    <definedName name="VarRet" localSheetId="13">AlfalfaElPaso!$I$55</definedName>
    <definedName name="VarRet" localSheetId="8">AlfalfaEstablish!$I$52</definedName>
    <definedName name="VarRet" localSheetId="12">AlfalfaFloodDell!$I$56</definedName>
    <definedName name="VarRet" localSheetId="10">AlfalfaHayFlood!$I$56</definedName>
    <definedName name="VarRet" localSheetId="9">AlfalfaHayPivot!$I$56</definedName>
    <definedName name="VarRet" localSheetId="11">AlfalfaPivotDell!$I$56</definedName>
    <definedName name="VarRet" localSheetId="30">Angoras!$K$55</definedName>
    <definedName name="VarRet" localSheetId="26">CowCalfNative!$K$59</definedName>
    <definedName name="VarRet" localSheetId="21">ElPasoCotton!$I$63</definedName>
    <definedName name="VarRet" localSheetId="29">MeatGoats!$K$53</definedName>
    <definedName name="VarRet" localSheetId="4">Onions!$I$58</definedName>
    <definedName name="VarRet" localSheetId="2">Pecans!$I$60</definedName>
    <definedName name="VarRet" localSheetId="3">RedChile!$I$57</definedName>
    <definedName name="VarRet" localSheetId="32">SheepHair!$K$54</definedName>
    <definedName name="VarRet" localSheetId="31">SheepWool!$K$56</definedName>
    <definedName name="VarRet" localSheetId="14">SLCottonDrip!$I$68</definedName>
    <definedName name="VarRet" localSheetId="16">SLCottonDrylandGM!$I$60</definedName>
    <definedName name="VarRet" localSheetId="18">SLGSDrip!$I$57</definedName>
    <definedName name="VarRet" localSheetId="15">SLXFCottonDrip!$I$69</definedName>
    <definedName name="VarRet" localSheetId="17">SLXFCottonDryland!$I$61</definedName>
    <definedName name="VarRet" localSheetId="24">SorghumHayDryland!$I$45</definedName>
    <definedName name="VarRet" localSheetId="25">SorghumHayIrrigated!$I$48</definedName>
    <definedName name="VarRet" localSheetId="27">StockersSummer!$K$51</definedName>
    <definedName name="VarRet" localSheetId="28">StockerWinter!$K$51</definedName>
    <definedName name="VarRet" localSheetId="5">SwitchgrassEstablish!$I$50</definedName>
    <definedName name="VarRet" localSheetId="6">SwitchgrassGraze!$I$51</definedName>
    <definedName name="VarRet" localSheetId="7">SwitchgrassHay!$I$51</definedName>
    <definedName name="VarRet" localSheetId="19">TPCottonFurrow!$I$68</definedName>
    <definedName name="VarRet" localSheetId="20">TPCottonPivot!$I$69</definedName>
    <definedName name="VarRet" localSheetId="22">WheatDryland!$I$59</definedName>
    <definedName name="VarRet" localSheetId="23">WheatIrrigated!$I$57</definedName>
    <definedName name="YBT" localSheetId="13">AlfalfaElPaso!$H$80</definedName>
    <definedName name="YBT" localSheetId="8">AlfalfaEstablish!$H$79</definedName>
    <definedName name="YBT" localSheetId="12">AlfalfaFloodDell!$H$83</definedName>
    <definedName name="YBT" localSheetId="10">AlfalfaHayFlood!$H$83</definedName>
    <definedName name="YBT" localSheetId="9">AlfalfaHayPivot!$H$83</definedName>
    <definedName name="YBT" localSheetId="11">AlfalfaPivotDell!$H$83</definedName>
    <definedName name="YBT" localSheetId="21">ElPasoCotton!$H$88</definedName>
    <definedName name="YBT" localSheetId="4">Onions!$H$85</definedName>
    <definedName name="YBT" localSheetId="2">Pecans!$H$87</definedName>
    <definedName name="YBT" localSheetId="3">RedChile!$H$84</definedName>
    <definedName name="YBT" localSheetId="14">SLCottonDrip!$H$95</definedName>
    <definedName name="YBT" localSheetId="16">SLCottonDrylandGM!$H$85</definedName>
    <definedName name="YBT" localSheetId="18">SLGSDrip!$H$84</definedName>
    <definedName name="YBT" localSheetId="15">SLXFCottonDrip!$H$96</definedName>
    <definedName name="YBT" localSheetId="17">SLXFCottonDryland!$H$86</definedName>
    <definedName name="YBT" localSheetId="24">SorghumHayDryland!$H$70</definedName>
    <definedName name="YBT" localSheetId="25">SorghumHayIrrigated!$H$75</definedName>
    <definedName name="YBT" localSheetId="5">SwitchgrassEstablish!$H$75</definedName>
    <definedName name="YBT" localSheetId="6">SwitchgrassGraze!$H$76</definedName>
    <definedName name="YBT" localSheetId="7">SwitchgrassHay!$H$76</definedName>
    <definedName name="YBT" localSheetId="19">TPCottonFurrow!$H$95</definedName>
    <definedName name="YBT" localSheetId="20">TPCottonPivot!$H$96</definedName>
    <definedName name="YBT" localSheetId="22">WheatDryland!$H$84</definedName>
    <definedName name="YBT" localSheetId="23">WheatIrrigated!$H$84</definedName>
    <definedName name="YBV" localSheetId="13">AlfalfaElPaso!$H$56</definedName>
    <definedName name="YBV" localSheetId="8">AlfalfaEstablish!$H$53</definedName>
    <definedName name="YBV" localSheetId="12">AlfalfaFloodDell!$H$57</definedName>
    <definedName name="YBV" localSheetId="10">AlfalfaHayFlood!$H$57</definedName>
    <definedName name="YBV" localSheetId="9">AlfalfaHayPivot!$H$57</definedName>
    <definedName name="YBV" localSheetId="11">AlfalfaPivotDell!$H$57</definedName>
    <definedName name="YBV" localSheetId="21">ElPasoCotton!$H$64</definedName>
    <definedName name="YBV" localSheetId="4">Onions!$H$59</definedName>
    <definedName name="YBV" localSheetId="2">Pecans!$H$61</definedName>
    <definedName name="YBV" localSheetId="3">RedChile!$H$58</definedName>
    <definedName name="YBV" localSheetId="14">SLCottonDrip!$H$69</definedName>
    <definedName name="YBV" localSheetId="16">SLCottonDrylandGM!$H$61</definedName>
    <definedName name="YBV" localSheetId="18">SLGSDrip!$H$58</definedName>
    <definedName name="YBV" localSheetId="15">SLXFCottonDrip!$H$70</definedName>
    <definedName name="YBV" localSheetId="17">SLXFCottonDryland!$H$62</definedName>
    <definedName name="YBV" localSheetId="24">SorghumHayDryland!$H$46</definedName>
    <definedName name="YBV" localSheetId="25">SorghumHayIrrigated!$H$49</definedName>
    <definedName name="YBV" localSheetId="5">SwitchgrassEstablish!$H$51</definedName>
    <definedName name="YBV" localSheetId="6">SwitchgrassGraze!$H$52</definedName>
    <definedName name="YBV" localSheetId="7">SwitchgrassHay!$H$52</definedName>
    <definedName name="YBV" localSheetId="19">TPCottonFurrow!$H$69</definedName>
    <definedName name="YBV" localSheetId="20">TPCottonPivot!$H$70</definedName>
    <definedName name="YBV" localSheetId="22">WheatDryland!$H$60</definedName>
    <definedName name="YBV" localSheetId="23">WheatIrrigated!$H$58</definedName>
    <definedName name="Yeild3" localSheetId="34">'Crop Budget'!$C$100</definedName>
    <definedName name="YLTotExp" localSheetId="13">AlfalfaElPaso!$N$76</definedName>
    <definedName name="YLTotExp" localSheetId="8">AlfalfaEstablish!$N$75</definedName>
    <definedName name="YLTotExp" localSheetId="12">AlfalfaFloodDell!$N$79</definedName>
    <definedName name="YLTotExp" localSheetId="10">AlfalfaHayFlood!$N$79</definedName>
    <definedName name="YLTotExp" localSheetId="9">AlfalfaHayPivot!$N$79</definedName>
    <definedName name="YLTotExp" localSheetId="11">AlfalfaPivotDell!$N$79</definedName>
    <definedName name="YLTotExp" localSheetId="21">ElPasoCotton!$N$84</definedName>
    <definedName name="YLTotExp" localSheetId="4">Onions!$N$81</definedName>
    <definedName name="YLTotExp" localSheetId="2">Pecans!$N$83</definedName>
    <definedName name="YLTotExp" localSheetId="3">RedChile!$N$80</definedName>
    <definedName name="YLTotExp" localSheetId="14">SLCottonDrip!$N$91</definedName>
    <definedName name="YLTotExp" localSheetId="16">SLCottonDrylandGM!$N$81</definedName>
    <definedName name="YLTotExp" localSheetId="18">SLGSDrip!$N$80</definedName>
    <definedName name="YLTotExp" localSheetId="15">SLXFCottonDrip!$N$92</definedName>
    <definedName name="YLTotExp" localSheetId="17">SLXFCottonDryland!$N$82</definedName>
    <definedName name="YLTotExp" localSheetId="24">SorghumHayDryland!$N$66</definedName>
    <definedName name="YLTotExp" localSheetId="25">SorghumHayIrrigated!$N$71</definedName>
    <definedName name="YLTotExp" localSheetId="5">SwitchgrassEstablish!$N$71</definedName>
    <definedName name="YLTotExp" localSheetId="6">SwitchgrassGraze!$N$72</definedName>
    <definedName name="YLTotExp" localSheetId="7">SwitchgrassHay!$N$72</definedName>
    <definedName name="YLTotExp" localSheetId="19">TPCottonFurrow!$N$91</definedName>
    <definedName name="YLTotExp" localSheetId="20">TPCottonPivot!$N$92</definedName>
    <definedName name="YLTotExp" localSheetId="22">WheatDryland!$N$80</definedName>
    <definedName name="YLTotExp" localSheetId="23">WheatIrrigated!$N$80</definedName>
    <definedName name="YLTotRet" localSheetId="13">AlfalfaElPaso!$N$78</definedName>
    <definedName name="YLTotRet" localSheetId="8">AlfalfaEstablish!$N$77</definedName>
    <definedName name="YLTotRet" localSheetId="12">AlfalfaFloodDell!$N$81</definedName>
    <definedName name="YLTotRet" localSheetId="10">AlfalfaHayFlood!$N$81</definedName>
    <definedName name="YLTotRet" localSheetId="9">AlfalfaHayPivot!$N$81</definedName>
    <definedName name="YLTotRet" localSheetId="11">AlfalfaPivotDell!$N$81</definedName>
    <definedName name="YLTotRet" localSheetId="21">ElPasoCotton!$N$86</definedName>
    <definedName name="YLTotRet" localSheetId="4">Onions!$N$83</definedName>
    <definedName name="YLTotRet" localSheetId="2">Pecans!$N$85</definedName>
    <definedName name="YLTotRet" localSheetId="3">RedChile!$N$82</definedName>
    <definedName name="YLTotRet" localSheetId="14">SLCottonDrip!$N$93</definedName>
    <definedName name="YLTotRet" localSheetId="16">SLCottonDrylandGM!$N$83</definedName>
    <definedName name="YLTotRet" localSheetId="18">SLGSDrip!$N$82</definedName>
    <definedName name="YLTotRet" localSheetId="15">SLXFCottonDrip!$N$94</definedName>
    <definedName name="YLTotRet" localSheetId="17">SLXFCottonDryland!$N$84</definedName>
    <definedName name="YLTotRet" localSheetId="24">SorghumHayDryland!$N$68</definedName>
    <definedName name="YLTotRet" localSheetId="25">SorghumHayIrrigated!$N$73</definedName>
    <definedName name="YLTotRet" localSheetId="5">SwitchgrassEstablish!$N$73</definedName>
    <definedName name="YLTotRet" localSheetId="6">SwitchgrassGraze!$N$74</definedName>
    <definedName name="YLTotRet" localSheetId="7">SwitchgrassHay!$N$74</definedName>
    <definedName name="YLTotRet" localSheetId="19">TPCottonFurrow!$N$93</definedName>
    <definedName name="YLTotRet" localSheetId="20">TPCottonPivot!$N$94</definedName>
    <definedName name="YLTotRet" localSheetId="22">WheatDryland!$N$82</definedName>
    <definedName name="YLTotRet" localSheetId="23">WheatIrrigated!$N$82</definedName>
    <definedName name="YLVarExp" localSheetId="13">AlfalfaElPaso!$N$54</definedName>
    <definedName name="YLVarExp" localSheetId="8">AlfalfaEstablish!$N$51</definedName>
    <definedName name="YLVarExp" localSheetId="12">AlfalfaFloodDell!$N$55</definedName>
    <definedName name="YLVarExp" localSheetId="10">AlfalfaHayFlood!$N$55</definedName>
    <definedName name="YLVarExp" localSheetId="9">AlfalfaHayPivot!$N$55</definedName>
    <definedName name="YLVarExp" localSheetId="11">AlfalfaPivotDell!$N$55</definedName>
    <definedName name="YLVarExp" localSheetId="21">ElPasoCotton!$N$62</definedName>
    <definedName name="YLVarExp" localSheetId="4">Onions!$N$57</definedName>
    <definedName name="YLVarExp" localSheetId="2">Pecans!$N$59</definedName>
    <definedName name="YLVarExp" localSheetId="3">RedChile!$N$56</definedName>
    <definedName name="YLVarExp" localSheetId="14">SLCottonDrip!$N$67</definedName>
    <definedName name="YLVarExp" localSheetId="16">SLCottonDrylandGM!$N$59</definedName>
    <definedName name="YLVarExp" localSheetId="18">SLGSDrip!$N$56</definedName>
    <definedName name="YLVarExp" localSheetId="15">SLXFCottonDrip!$N$68</definedName>
    <definedName name="YLVarExp" localSheetId="17">SLXFCottonDryland!$N$60</definedName>
    <definedName name="YLVarExp" localSheetId="24">SorghumHayDryland!$N$44</definedName>
    <definedName name="YLVarExp" localSheetId="25">SorghumHayIrrigated!$N$47</definedName>
    <definedName name="YLVarExp" localSheetId="5">SwitchgrassEstablish!$N$49</definedName>
    <definedName name="YLVarExp" localSheetId="6">SwitchgrassGraze!$N$50</definedName>
    <definedName name="YLVarExp" localSheetId="7">SwitchgrassHay!$N$50</definedName>
    <definedName name="YLVarExp" localSheetId="19">TPCottonFurrow!$N$67</definedName>
    <definedName name="YLVarExp" localSheetId="20">TPCottonPivot!$N$68</definedName>
    <definedName name="YLVarExp" localSheetId="22">WheatDryland!$N$58</definedName>
    <definedName name="YLVarExp" localSheetId="23">WheatIrrigated!$N$56</definedName>
    <definedName name="YLVarRet" localSheetId="13">AlfalfaElPaso!$N$55</definedName>
    <definedName name="YLVarRet" localSheetId="8">AlfalfaEstablish!$N$52</definedName>
    <definedName name="YLVarRet" localSheetId="12">AlfalfaFloodDell!$N$56</definedName>
    <definedName name="YLVarRet" localSheetId="10">AlfalfaHayFlood!$N$56</definedName>
    <definedName name="YLVarRet" localSheetId="9">AlfalfaHayPivot!$N$56</definedName>
    <definedName name="YLVarRet" localSheetId="11">AlfalfaPivotDell!$N$56</definedName>
    <definedName name="YLVarRet" localSheetId="21">ElPasoCotton!$N$63</definedName>
    <definedName name="YLVarRet" localSheetId="4">Onions!$N$58</definedName>
    <definedName name="YLVarRet" localSheetId="2">Pecans!$N$60</definedName>
    <definedName name="YLVarRet" localSheetId="3">RedChile!$N$57</definedName>
    <definedName name="YLVarRet" localSheetId="14">SLCottonDrip!$N$68</definedName>
    <definedName name="YLVarRet" localSheetId="16">SLCottonDrylandGM!$N$60</definedName>
    <definedName name="YLVarRet" localSheetId="18">SLGSDrip!$N$57</definedName>
    <definedName name="YLVarRet" localSheetId="15">SLXFCottonDrip!$N$69</definedName>
    <definedName name="YLVarRet" localSheetId="17">SLXFCottonDryland!$N$61</definedName>
    <definedName name="YLVarRet" localSheetId="24">SorghumHayDryland!$N$45</definedName>
    <definedName name="YLVarRet" localSheetId="25">SorghumHayIrrigated!$N$48</definedName>
    <definedName name="YLVarRet" localSheetId="5">SwitchgrassEstablish!$N$50</definedName>
    <definedName name="YLVarRet" localSheetId="6">SwitchgrassGraze!$N$51</definedName>
    <definedName name="YLVarRet" localSheetId="7">SwitchgrassHay!$N$51</definedName>
    <definedName name="YLVarRet" localSheetId="19">TPCottonFurrow!$N$68</definedName>
    <definedName name="YLVarRet" localSheetId="20">TPCottonPivot!$N$69</definedName>
    <definedName name="YLVarRet" localSheetId="22">WheatDryland!$N$59</definedName>
    <definedName name="YLVarRet" localSheetId="23">WheatIrrigated!$N$57</definedName>
    <definedName name="YPrice" localSheetId="13">AlfalfaElPaso!$H$10</definedName>
    <definedName name="YPrice" localSheetId="8">AlfalfaEstablish!$H$10</definedName>
    <definedName name="YPrice" localSheetId="12">AlfalfaFloodDell!$H$10</definedName>
    <definedName name="YPrice" localSheetId="10">AlfalfaHayFlood!$H$10</definedName>
    <definedName name="YPrice" localSheetId="9">AlfalfaHayPivot!$H$10</definedName>
    <definedName name="YPrice" localSheetId="11">AlfalfaPivotDell!$H$10</definedName>
    <definedName name="YPrice" localSheetId="34">'Crop Budget'!$E$9</definedName>
    <definedName name="YPrice" localSheetId="21">ElPasoCotton!$H$10</definedName>
    <definedName name="YPrice" localSheetId="33">'Livestock Budget'!$F$103</definedName>
    <definedName name="YPrice" localSheetId="4">Onions!$H$10</definedName>
    <definedName name="YPrice" localSheetId="2">Pecans!$H$10</definedName>
    <definedName name="YPrice" localSheetId="3">RedChile!$H$10</definedName>
    <definedName name="YPrice" localSheetId="14">SLCottonDrip!$H$10</definedName>
    <definedName name="YPrice" localSheetId="16">SLCottonDrylandGM!$H$10</definedName>
    <definedName name="YPrice" localSheetId="18">SLGSDrip!$H$10</definedName>
    <definedName name="YPrice" localSheetId="15">SLXFCottonDrip!$H$10</definedName>
    <definedName name="YPrice" localSheetId="17">SLXFCottonDryland!$H$10</definedName>
    <definedName name="YPrice" localSheetId="24">SorghumHayDryland!$H$10</definedName>
    <definedName name="YPrice" localSheetId="25">SorghumHayIrrigated!$H$10</definedName>
    <definedName name="YPrice" localSheetId="27">StockersSummer!$J$11</definedName>
    <definedName name="YPrice" localSheetId="28">StockerWinter!$J$11</definedName>
    <definedName name="YPrice" localSheetId="5">SwitchgrassEstablish!$H$10</definedName>
    <definedName name="YPrice" localSheetId="6">SwitchgrassGraze!$H$10</definedName>
    <definedName name="YPrice" localSheetId="7">SwitchgrassHay!$H$10</definedName>
    <definedName name="YPrice" localSheetId="19">TPCottonFurrow!$H$10</definedName>
    <definedName name="YPrice" localSheetId="20">TPCottonPivot!$H$10</definedName>
    <definedName name="YPrice" localSheetId="22">WheatDryland!$H$10</definedName>
    <definedName name="YPrice" localSheetId="23">WheatIrrigated!$H$10</definedName>
    <definedName name="YTotExp" localSheetId="13">AlfalfaElPaso!$J$76</definedName>
    <definedName name="YTotExp" localSheetId="8">AlfalfaEstablish!$J$75</definedName>
    <definedName name="YTotExp" localSheetId="12">AlfalfaFloodDell!$J$79</definedName>
    <definedName name="YTotExp" localSheetId="10">AlfalfaHayFlood!$J$79</definedName>
    <definedName name="YTotExp" localSheetId="9">AlfalfaHayPivot!$J$79</definedName>
    <definedName name="YTotExp" localSheetId="11">AlfalfaPivotDell!$J$79</definedName>
    <definedName name="YTotExp" localSheetId="30">Angoras!$L$69</definedName>
    <definedName name="YTotExp" localSheetId="26">CowCalfNative!$L$73</definedName>
    <definedName name="YTotExp" localSheetId="34">'Crop Budget'!$F$141</definedName>
    <definedName name="YTotExp" localSheetId="21">ElPasoCotton!$J$84</definedName>
    <definedName name="YTotExp" localSheetId="33">'Livestock Budget'!$G$86</definedName>
    <definedName name="YTotExp" localSheetId="29">MeatGoats!$L$67</definedName>
    <definedName name="YTotExp" localSheetId="4">Onions!$J$81</definedName>
    <definedName name="YTotExp" localSheetId="2">Pecans!$J$83</definedName>
    <definedName name="YTotExp" localSheetId="3">RedChile!$J$80</definedName>
    <definedName name="YTotExp" localSheetId="32">SheepHair!$L$68</definedName>
    <definedName name="YTotExp" localSheetId="31">SheepWool!$L$70</definedName>
    <definedName name="YTotExp" localSheetId="14">SLCottonDrip!$J$91</definedName>
    <definedName name="YTotExp" localSheetId="16">SLCottonDrylandGM!$J$81</definedName>
    <definedName name="YTotExp" localSheetId="18">SLGSDrip!$J$80</definedName>
    <definedName name="YTotExp" localSheetId="15">SLXFCottonDrip!$J$92</definedName>
    <definedName name="YTotExp" localSheetId="17">SLXFCottonDryland!$J$82</definedName>
    <definedName name="YTotExp" localSheetId="24">SorghumHayDryland!$J$66</definedName>
    <definedName name="YTotExp" localSheetId="25">SorghumHayIrrigated!$J$71</definedName>
    <definedName name="YTotExp" localSheetId="27">StockersSummer!$L$66</definedName>
    <definedName name="YTotExp" localSheetId="28">StockerWinter!$L$66</definedName>
    <definedName name="YTotExp" localSheetId="5">SwitchgrassEstablish!$J$71</definedName>
    <definedName name="YTotExp" localSheetId="6">SwitchgrassGraze!$J$72</definedName>
    <definedName name="YTotExp" localSheetId="7">SwitchgrassHay!$J$72</definedName>
    <definedName name="YTotExp" localSheetId="19">TPCottonFurrow!$J$91</definedName>
    <definedName name="YTotExp" localSheetId="20">TPCottonPivot!$J$92</definedName>
    <definedName name="YTotExp" localSheetId="22">WheatDryland!$J$80</definedName>
    <definedName name="YTotExp" localSheetId="23">WheatIrrigated!$J$80</definedName>
    <definedName name="YTotRet" localSheetId="13">AlfalfaElPaso!$J$78</definedName>
    <definedName name="YTotRet" localSheetId="8">AlfalfaEstablish!$J$77</definedName>
    <definedName name="YTotRet" localSheetId="12">AlfalfaFloodDell!$J$81</definedName>
    <definedName name="YTotRet" localSheetId="10">AlfalfaHayFlood!$J$81</definedName>
    <definedName name="YTotRet" localSheetId="9">AlfalfaHayPivot!$J$81</definedName>
    <definedName name="YTotRet" localSheetId="11">AlfalfaPivotDell!$J$81</definedName>
    <definedName name="YTotRet" localSheetId="30">Angoras!$L$70</definedName>
    <definedName name="YTotRet" localSheetId="26">CowCalfNative!$L$74</definedName>
    <definedName name="YTotRet" localSheetId="34">'Crop Budget'!$F$143</definedName>
    <definedName name="YTotRet" localSheetId="21">ElPasoCotton!$J$86</definedName>
    <definedName name="YTotRet" localSheetId="33">'Livestock Budget'!$G$88</definedName>
    <definedName name="YTotRet" localSheetId="29">MeatGoats!$L$68</definedName>
    <definedName name="YTotRet" localSheetId="4">Onions!$J$83</definedName>
    <definedName name="YTotRet" localSheetId="2">Pecans!$J$85</definedName>
    <definedName name="YTotRet" localSheetId="3">RedChile!$J$82</definedName>
    <definedName name="YTotRet" localSheetId="32">SheepHair!$L$69</definedName>
    <definedName name="YTotRet" localSheetId="31">SheepWool!$L$71</definedName>
    <definedName name="YTotRet" localSheetId="14">SLCottonDrip!$J$93</definedName>
    <definedName name="YTotRet" localSheetId="16">SLCottonDrylandGM!$J$83</definedName>
    <definedName name="YTotRet" localSheetId="18">SLGSDrip!$J$82</definedName>
    <definedName name="YTotRet" localSheetId="15">SLXFCottonDrip!$J$94</definedName>
    <definedName name="YTotRet" localSheetId="17">SLXFCottonDryland!$J$84</definedName>
    <definedName name="YTotRet" localSheetId="24">SorghumHayDryland!$J$68</definedName>
    <definedName name="YTotRet" localSheetId="25">SorghumHayIrrigated!$J$73</definedName>
    <definedName name="YTotRet" localSheetId="27">StockersSummer!$L$68</definedName>
    <definedName name="YTotRet" localSheetId="28">StockerWinter!$L$68</definedName>
    <definedName name="YTotRet" localSheetId="5">SwitchgrassEstablish!$J$73</definedName>
    <definedName name="YTotRet" localSheetId="6">SwitchgrassGraze!$J$74</definedName>
    <definedName name="YTotRet" localSheetId="7">SwitchgrassHay!$J$74</definedName>
    <definedName name="YTotRet" localSheetId="19">TPCottonFurrow!$J$93</definedName>
    <definedName name="YTotRet" localSheetId="20">TPCottonPivot!$J$94</definedName>
    <definedName name="YTotRet" localSheetId="22">WheatDryland!$J$82</definedName>
    <definedName name="YTotRet" localSheetId="23">WheatIrrigated!$J$82</definedName>
    <definedName name="YTTotExp" localSheetId="13">AlfalfaElPaso!$P$76</definedName>
    <definedName name="YTTotExp" localSheetId="8">AlfalfaEstablish!$P$75</definedName>
    <definedName name="YTTotExp" localSheetId="12">AlfalfaFloodDell!$P$79</definedName>
    <definedName name="YTTotExp" localSheetId="10">AlfalfaHayFlood!$P$79</definedName>
    <definedName name="YTTotExp" localSheetId="9">AlfalfaHayPivot!$P$79</definedName>
    <definedName name="YTTotExp" localSheetId="11">AlfalfaPivotDell!$P$79</definedName>
    <definedName name="YTTotExp" localSheetId="21">ElPasoCotton!$P$84</definedName>
    <definedName name="YTTotExp" localSheetId="4">Onions!$P$81</definedName>
    <definedName name="YTTotExp" localSheetId="2">Pecans!$P$83</definedName>
    <definedName name="YTTotExp" localSheetId="3">RedChile!$P$80</definedName>
    <definedName name="YTTotExp" localSheetId="14">SLCottonDrip!$P$91</definedName>
    <definedName name="YTTotExp" localSheetId="16">SLCottonDrylandGM!$P$81</definedName>
    <definedName name="YTTotExp" localSheetId="18">SLGSDrip!$P$80</definedName>
    <definedName name="YTTotExp" localSheetId="15">SLXFCottonDrip!$P$92</definedName>
    <definedName name="YTTotExp" localSheetId="17">SLXFCottonDryland!$P$82</definedName>
    <definedName name="YTTotExp" localSheetId="24">SorghumHayDryland!$P$66</definedName>
    <definedName name="YTTotExp" localSheetId="25">SorghumHayIrrigated!$P$71</definedName>
    <definedName name="YTTotExp" localSheetId="5">SwitchgrassEstablish!$P$71</definedName>
    <definedName name="YTTotExp" localSheetId="6">SwitchgrassGraze!$P$72</definedName>
    <definedName name="YTTotExp" localSheetId="7">SwitchgrassHay!$P$72</definedName>
    <definedName name="YTTotExp" localSheetId="19">TPCottonFurrow!$P$91</definedName>
    <definedName name="YTTotExp" localSheetId="20">TPCottonPivot!$P$92</definedName>
    <definedName name="YTTotExp" localSheetId="22">WheatDryland!$P$80</definedName>
    <definedName name="YTTotExp" localSheetId="23">WheatIrrigated!$P$80</definedName>
    <definedName name="YTTotRet" localSheetId="13">AlfalfaElPaso!$P$78</definedName>
    <definedName name="YTTotRet" localSheetId="8">AlfalfaEstablish!$P$77</definedName>
    <definedName name="YTTotRet" localSheetId="12">AlfalfaFloodDell!$P$81</definedName>
    <definedName name="YTTotRet" localSheetId="10">AlfalfaHayFlood!$P$81</definedName>
    <definedName name="YTTotRet" localSheetId="9">AlfalfaHayPivot!$P$81</definedName>
    <definedName name="YTTotRet" localSheetId="11">AlfalfaPivotDell!$P$81</definedName>
    <definedName name="YTTotRet" localSheetId="21">ElPasoCotton!$P$86</definedName>
    <definedName name="YTTotRet" localSheetId="4">Onions!$P$83</definedName>
    <definedName name="YTTotRet" localSheetId="2">Pecans!$P$85</definedName>
    <definedName name="YTTotRet" localSheetId="3">RedChile!$P$82</definedName>
    <definedName name="YTTotRet" localSheetId="14">SLCottonDrip!$P$93</definedName>
    <definedName name="YTTotRet" localSheetId="16">SLCottonDrylandGM!$P$83</definedName>
    <definedName name="YTTotRet" localSheetId="18">SLGSDrip!$P$82</definedName>
    <definedName name="YTTotRet" localSheetId="15">SLXFCottonDrip!$P$94</definedName>
    <definedName name="YTTotRet" localSheetId="17">SLXFCottonDryland!$P$84</definedName>
    <definedName name="YTTotRet" localSheetId="24">SorghumHayDryland!$P$68</definedName>
    <definedName name="YTTotRet" localSheetId="25">SorghumHayIrrigated!$P$73</definedName>
    <definedName name="YTTotRet" localSheetId="5">SwitchgrassEstablish!$P$73</definedName>
    <definedName name="YTTotRet" localSheetId="6">SwitchgrassGraze!$P$74</definedName>
    <definedName name="YTTotRet" localSheetId="7">SwitchgrassHay!$P$74</definedName>
    <definedName name="YTTotRet" localSheetId="19">TPCottonFurrow!$P$93</definedName>
    <definedName name="YTTotRet" localSheetId="20">TPCottonPivot!$P$94</definedName>
    <definedName name="YTTotRet" localSheetId="22">WheatDryland!$P$82</definedName>
    <definedName name="YTTotRet" localSheetId="23">WheatIrrigated!$P$82</definedName>
    <definedName name="YTVarExp" localSheetId="13">AlfalfaElPaso!$P$54</definedName>
    <definedName name="YTVarExp" localSheetId="8">AlfalfaEstablish!$P$51</definedName>
    <definedName name="YTVarExp" localSheetId="12">AlfalfaFloodDell!$P$55</definedName>
    <definedName name="YTVarExp" localSheetId="10">AlfalfaHayFlood!$P$55</definedName>
    <definedName name="YTVarExp" localSheetId="9">AlfalfaHayPivot!$P$55</definedName>
    <definedName name="YTVarExp" localSheetId="11">AlfalfaPivotDell!$P$55</definedName>
    <definedName name="YTVarExp" localSheetId="21">ElPasoCotton!$P$62</definedName>
    <definedName name="YTVarExp" localSheetId="4">Onions!$P$57</definedName>
    <definedName name="YTVarExp" localSheetId="2">Pecans!$P$59</definedName>
    <definedName name="YTVarExp" localSheetId="3">RedChile!$P$56</definedName>
    <definedName name="YTVarExp" localSheetId="14">SLCottonDrip!$P$67</definedName>
    <definedName name="YTVarExp" localSheetId="16">SLCottonDrylandGM!$P$59</definedName>
    <definedName name="YTVarExp" localSheetId="18">SLGSDrip!$P$56</definedName>
    <definedName name="YTVarExp" localSheetId="15">SLXFCottonDrip!$P$68</definedName>
    <definedName name="YTVarExp" localSheetId="17">SLXFCottonDryland!$P$60</definedName>
    <definedName name="YTVarExp" localSheetId="24">SorghumHayDryland!$P$44</definedName>
    <definedName name="YTVarExp" localSheetId="25">SorghumHayIrrigated!$P$47</definedName>
    <definedName name="YTVarExp" localSheetId="5">SwitchgrassEstablish!$P$49</definedName>
    <definedName name="YTVarExp" localSheetId="6">SwitchgrassGraze!$P$50</definedName>
    <definedName name="YTVarExp" localSheetId="7">SwitchgrassHay!$P$50</definedName>
    <definedName name="YTVarExp" localSheetId="19">TPCottonFurrow!$P$67</definedName>
    <definedName name="YTVarExp" localSheetId="20">TPCottonPivot!$P$68</definedName>
    <definedName name="YTVarExp" localSheetId="22">WheatDryland!$P$58</definedName>
    <definedName name="YTVarExp" localSheetId="23">WheatIrrigated!$P$56</definedName>
    <definedName name="YTVarRet" localSheetId="13">AlfalfaElPaso!$P$55</definedName>
    <definedName name="YTVarRet" localSheetId="8">AlfalfaEstablish!$P$52</definedName>
    <definedName name="YTVarRet" localSheetId="12">AlfalfaFloodDell!$P$56</definedName>
    <definedName name="YTVarRet" localSheetId="10">AlfalfaHayFlood!$P$56</definedName>
    <definedName name="YTVarRet" localSheetId="9">AlfalfaHayPivot!$P$56</definedName>
    <definedName name="YTVarRet" localSheetId="11">AlfalfaPivotDell!$P$56</definedName>
    <definedName name="YTVarRet" localSheetId="21">ElPasoCotton!$P$63</definedName>
    <definedName name="YTVarRet" localSheetId="4">Onions!$P$58</definedName>
    <definedName name="YTVarRet" localSheetId="2">Pecans!$P$60</definedName>
    <definedName name="YTVarRet" localSheetId="3">RedChile!$P$57</definedName>
    <definedName name="YTVarRet" localSheetId="14">SLCottonDrip!$P$68</definedName>
    <definedName name="YTVarRet" localSheetId="16">SLCottonDrylandGM!$P$60</definedName>
    <definedName name="YTVarRet" localSheetId="18">SLGSDrip!$P$57</definedName>
    <definedName name="YTVarRet" localSheetId="15">SLXFCottonDrip!$P$69</definedName>
    <definedName name="YTVarRet" localSheetId="17">SLXFCottonDryland!$P$61</definedName>
    <definedName name="YTVarRet" localSheetId="24">SorghumHayDryland!$P$45</definedName>
    <definedName name="YTVarRet" localSheetId="25">SorghumHayIrrigated!$P$48</definedName>
    <definedName name="YTVarRet" localSheetId="5">SwitchgrassEstablish!$P$50</definedName>
    <definedName name="YTVarRet" localSheetId="6">SwitchgrassGraze!$P$51</definedName>
    <definedName name="YTVarRet" localSheetId="7">SwitchgrassHay!$J$51</definedName>
    <definedName name="YTVarRet" localSheetId="19">TPCottonFurrow!$P$68</definedName>
    <definedName name="YTVarRet" localSheetId="20">TPCottonPivot!$P$69</definedName>
    <definedName name="YTVarRet" localSheetId="22">WheatDryland!$P$59</definedName>
    <definedName name="YTVarRet" localSheetId="23">WheatIrrigated!$P$57</definedName>
    <definedName name="YVarExp" localSheetId="13">AlfalfaElPaso!$J$54</definedName>
    <definedName name="YVarExp" localSheetId="8">AlfalfaEstablish!$J$51</definedName>
    <definedName name="YVarExp" localSheetId="12">AlfalfaFloodDell!$J$55</definedName>
    <definedName name="YVarExp" localSheetId="10">AlfalfaHayFlood!$J$55</definedName>
    <definedName name="YVarExp" localSheetId="9">AlfalfaHayPivot!$J$55</definedName>
    <definedName name="YVarExp" localSheetId="11">AlfalfaPivotDell!$J$55</definedName>
    <definedName name="YVarExp" localSheetId="30">Angoras!$L$53</definedName>
    <definedName name="YVarExp" localSheetId="26">CowCalfNative!$L$57</definedName>
    <definedName name="YVarExp" localSheetId="34">'Crop Budget'!$F$118</definedName>
    <definedName name="YVarExp" localSheetId="21">ElPasoCotton!$J$62</definedName>
    <definedName name="YVarExp" localSheetId="33">'Livestock Budget'!$G$63</definedName>
    <definedName name="YVarExp" localSheetId="29">MeatGoats!$L$51</definedName>
    <definedName name="YVarExp" localSheetId="4">Onions!$J$57</definedName>
    <definedName name="YVarExp" localSheetId="2">Pecans!$J$59</definedName>
    <definedName name="YVarExp" localSheetId="3">RedChile!$J$56</definedName>
    <definedName name="YVarExp" localSheetId="32">SheepHair!$L$52</definedName>
    <definedName name="YVarExp" localSheetId="31">SheepWool!$L$54</definedName>
    <definedName name="YVarExp" localSheetId="14">SLCottonDrip!$J$67</definedName>
    <definedName name="YVarExp" localSheetId="16">SLCottonDrylandGM!$J$59</definedName>
    <definedName name="YVarExp" localSheetId="18">SLGSDrip!$J$56</definedName>
    <definedName name="YVarExp" localSheetId="15">SLXFCottonDrip!$J$68</definedName>
    <definedName name="YVarExp" localSheetId="17">SLXFCottonDryland!$J$60</definedName>
    <definedName name="YVarExp" localSheetId="24">SorghumHayDryland!$J$44</definedName>
    <definedName name="YVarExp" localSheetId="25">SorghumHayIrrigated!$J$47</definedName>
    <definedName name="YVarExp" localSheetId="27">StockersSummer!$L$49</definedName>
    <definedName name="YVarExp" localSheetId="28">StockerWinter!$L$49</definedName>
    <definedName name="YVarExp" localSheetId="5">SwitchgrassEstablish!$J$49</definedName>
    <definedName name="YVarExp" localSheetId="6">SwitchgrassGraze!$J$50</definedName>
    <definedName name="YVarExp" localSheetId="7">SwitchgrassHay!$J$50</definedName>
    <definedName name="YVarExp" localSheetId="19">TPCottonFurrow!$J$67</definedName>
    <definedName name="YVarExp" localSheetId="20">TPCottonPivot!$J$68</definedName>
    <definedName name="YVarExp" localSheetId="22">WheatDryland!$J$58</definedName>
    <definedName name="YVarExp" localSheetId="23">WheatIrrigated!$J$56</definedName>
    <definedName name="YVarRet" localSheetId="13">AlfalfaElPaso!$J$55</definedName>
    <definedName name="YVarRet" localSheetId="8">AlfalfaEstablish!$J$52</definedName>
    <definedName name="YVarRet" localSheetId="12">AlfalfaFloodDell!$J$56</definedName>
    <definedName name="YVarRet" localSheetId="10">AlfalfaHayFlood!$J$56</definedName>
    <definedName name="YVarRet" localSheetId="9">AlfalfaHayPivot!$J$56</definedName>
    <definedName name="YVarRet" localSheetId="11">AlfalfaPivotDell!$J$56</definedName>
    <definedName name="YVarRet" localSheetId="30">Angoras!$L$55</definedName>
    <definedName name="YVarRet" localSheetId="26">CowCalfNative!$L$59</definedName>
    <definedName name="YVarRet" localSheetId="34">'Crop Budget'!$F$120</definedName>
    <definedName name="YVarRet" localSheetId="21">ElPasoCotton!$J$63</definedName>
    <definedName name="YVarRet" localSheetId="33">'Livestock Budget'!$G$65</definedName>
    <definedName name="YVarRet" localSheetId="29">MeatGoats!$L$53</definedName>
    <definedName name="YVarRet" localSheetId="4">Onions!$J$58</definedName>
    <definedName name="YVarRet" localSheetId="2">Pecans!$J$60</definedName>
    <definedName name="YVarRet" localSheetId="3">RedChile!$J$57</definedName>
    <definedName name="YVarRet" localSheetId="32">SheepHair!$L$54</definedName>
    <definedName name="YVarRet" localSheetId="31">SheepWool!$L$56</definedName>
    <definedName name="YVarRet" localSheetId="14">SLCottonDrip!$J$68</definedName>
    <definedName name="YVarRet" localSheetId="16">SLCottonDrylandGM!$J$60</definedName>
    <definedName name="YVarRet" localSheetId="18">SLGSDrip!$J$57</definedName>
    <definedName name="YVarRet" localSheetId="15">SLXFCottonDrip!$J$69</definedName>
    <definedName name="YVarRet" localSheetId="17">SLXFCottonDryland!$J$61</definedName>
    <definedName name="YVarRet" localSheetId="24">SorghumHayDryland!$J$45</definedName>
    <definedName name="YVarRet" localSheetId="25">SorghumHayIrrigated!$J$48</definedName>
    <definedName name="YVarRet" localSheetId="27">StockersSummer!$L$51</definedName>
    <definedName name="YVarRet" localSheetId="28">StockerWinter!$L$51</definedName>
    <definedName name="YVarRet" localSheetId="5">SwitchgrassEstablish!$J$50</definedName>
    <definedName name="YVarRet" localSheetId="6">SwitchgrassGraze!$J$51</definedName>
    <definedName name="YVarRet" localSheetId="7">SwitchgrassHay!$J$51</definedName>
    <definedName name="YVarRet" localSheetId="19">TPCottonFurrow!$J$68</definedName>
    <definedName name="YVarRet" localSheetId="20">TPCottonPivot!$J$69</definedName>
    <definedName name="YVarRet" localSheetId="22">WheatDryland!$J$59</definedName>
    <definedName name="YVarRet" localSheetId="23">WheatIrrigated!$J$57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533" l="1"/>
  <c r="M10" i="531"/>
  <c r="M10" i="529"/>
  <c r="M10" i="527"/>
  <c r="M9" i="523"/>
  <c r="M9" i="353"/>
  <c r="M10" i="293"/>
  <c r="J22" i="500"/>
  <c r="R22" i="500" s="1"/>
  <c r="J21" i="500"/>
  <c r="R21" i="500" s="1"/>
  <c r="J20" i="500"/>
  <c r="R20" i="500" s="1"/>
  <c r="J18" i="500"/>
  <c r="N18" i="500" s="1"/>
  <c r="P18" i="500" s="1"/>
  <c r="J22" i="498"/>
  <c r="R22" i="498" s="1"/>
  <c r="J21" i="498"/>
  <c r="R21" i="498" s="1"/>
  <c r="J20" i="498"/>
  <c r="R20" i="498" s="1"/>
  <c r="J18" i="498"/>
  <c r="N18" i="498" s="1"/>
  <c r="P18" i="498" s="1"/>
  <c r="J31" i="496"/>
  <c r="R31" i="496" s="1"/>
  <c r="J30" i="496"/>
  <c r="R30" i="496" s="1"/>
  <c r="J29" i="496"/>
  <c r="R29" i="496" s="1"/>
  <c r="J27" i="496"/>
  <c r="N27" i="496" s="1"/>
  <c r="J25" i="496"/>
  <c r="N25" i="496" s="1"/>
  <c r="J23" i="496"/>
  <c r="R23" i="496" s="1"/>
  <c r="J21" i="496"/>
  <c r="N21" i="496" s="1"/>
  <c r="P21" i="496" s="1"/>
  <c r="J20" i="496"/>
  <c r="R20" i="496" s="1"/>
  <c r="J18" i="496"/>
  <c r="J36" i="494"/>
  <c r="R36" i="494" s="1"/>
  <c r="J35" i="494"/>
  <c r="R35" i="494" s="1"/>
  <c r="J34" i="494"/>
  <c r="R34" i="494" s="1"/>
  <c r="J32" i="494"/>
  <c r="R32" i="494" s="1"/>
  <c r="J30" i="494"/>
  <c r="N30" i="494" s="1"/>
  <c r="P30" i="494" s="1"/>
  <c r="J29" i="494"/>
  <c r="R29" i="494" s="1"/>
  <c r="J27" i="494"/>
  <c r="N27" i="494" s="1"/>
  <c r="J25" i="494"/>
  <c r="J23" i="494"/>
  <c r="R23" i="494" s="1"/>
  <c r="J22" i="494"/>
  <c r="N22" i="494" s="1"/>
  <c r="P22" i="494" s="1"/>
  <c r="J20" i="494"/>
  <c r="J19" i="494"/>
  <c r="J18" i="494"/>
  <c r="R18" i="494" s="1"/>
  <c r="J38" i="464"/>
  <c r="R38" i="464" s="1"/>
  <c r="J37" i="464"/>
  <c r="R37" i="464" s="1"/>
  <c r="J36" i="464"/>
  <c r="N36" i="464" s="1"/>
  <c r="P36" i="464" s="1"/>
  <c r="J35" i="464"/>
  <c r="R35" i="464" s="1"/>
  <c r="J34" i="464"/>
  <c r="R34" i="464" s="1"/>
  <c r="J33" i="464"/>
  <c r="R33" i="464" s="1"/>
  <c r="J31" i="464"/>
  <c r="R31" i="464" s="1"/>
  <c r="J29" i="464"/>
  <c r="R29" i="464" s="1"/>
  <c r="J28" i="464"/>
  <c r="R28" i="464" s="1"/>
  <c r="J26" i="464"/>
  <c r="R26" i="464" s="1"/>
  <c r="J25" i="464"/>
  <c r="R25" i="464" s="1"/>
  <c r="J23" i="464"/>
  <c r="R23" i="464" s="1"/>
  <c r="J22" i="464"/>
  <c r="R22" i="464" s="1"/>
  <c r="J20" i="464"/>
  <c r="R20" i="464" s="1"/>
  <c r="J19" i="464"/>
  <c r="R19" i="464" s="1"/>
  <c r="J43" i="460"/>
  <c r="R43" i="460" s="1"/>
  <c r="J42" i="460"/>
  <c r="R42" i="460" s="1"/>
  <c r="J41" i="460"/>
  <c r="R41" i="460" s="1"/>
  <c r="J40" i="460"/>
  <c r="R40" i="460" s="1"/>
  <c r="J38" i="460"/>
  <c r="J37" i="460"/>
  <c r="R37" i="460" s="1"/>
  <c r="J36" i="460"/>
  <c r="R36" i="460" s="1"/>
  <c r="J34" i="460"/>
  <c r="R34" i="460" s="1"/>
  <c r="J33" i="460"/>
  <c r="R33" i="460" s="1"/>
  <c r="J32" i="460"/>
  <c r="R32" i="460" s="1"/>
  <c r="J31" i="460"/>
  <c r="R31" i="460" s="1"/>
  <c r="J30" i="460"/>
  <c r="R30" i="460" s="1"/>
  <c r="J28" i="460"/>
  <c r="R28" i="460" s="1"/>
  <c r="J27" i="460"/>
  <c r="R27" i="460" s="1"/>
  <c r="J26" i="460"/>
  <c r="N26" i="460" s="1"/>
  <c r="P26" i="460" s="1"/>
  <c r="J25" i="460"/>
  <c r="R25" i="460" s="1"/>
  <c r="J23" i="460"/>
  <c r="N23" i="460" s="1"/>
  <c r="P23" i="460" s="1"/>
  <c r="J22" i="460"/>
  <c r="R22" i="460" s="1"/>
  <c r="J21" i="460"/>
  <c r="R21" i="460" s="1"/>
  <c r="J19" i="460"/>
  <c r="R19" i="460" s="1"/>
  <c r="J42" i="458"/>
  <c r="R42" i="458" s="1"/>
  <c r="J41" i="458"/>
  <c r="R41" i="458" s="1"/>
  <c r="J40" i="458"/>
  <c r="N40" i="458" s="1"/>
  <c r="J39" i="458"/>
  <c r="N39" i="458" s="1"/>
  <c r="P39" i="458" s="1"/>
  <c r="J38" i="458"/>
  <c r="J36" i="458"/>
  <c r="R36" i="458" s="1"/>
  <c r="J34" i="458"/>
  <c r="R34" i="458" s="1"/>
  <c r="J33" i="458"/>
  <c r="R33" i="458" s="1"/>
  <c r="J31" i="458"/>
  <c r="N31" i="458" s="1"/>
  <c r="J30" i="458"/>
  <c r="N30" i="458" s="1"/>
  <c r="P30" i="458" s="1"/>
  <c r="J29" i="458"/>
  <c r="R29" i="458" s="1"/>
  <c r="J27" i="458"/>
  <c r="R27" i="458" s="1"/>
  <c r="J26" i="458"/>
  <c r="N26" i="458" s="1"/>
  <c r="J25" i="458"/>
  <c r="J23" i="458"/>
  <c r="R23" i="458" s="1"/>
  <c r="J21" i="458"/>
  <c r="R21" i="458" s="1"/>
  <c r="J20" i="458"/>
  <c r="R20" i="458" s="1"/>
  <c r="J19" i="458"/>
  <c r="J31" i="456"/>
  <c r="R31" i="456" s="1"/>
  <c r="J30" i="456"/>
  <c r="R30" i="456" s="1"/>
  <c r="J29" i="456"/>
  <c r="R29" i="456" s="1"/>
  <c r="J27" i="456"/>
  <c r="N27" i="456" s="1"/>
  <c r="J26" i="456"/>
  <c r="R26" i="456" s="1"/>
  <c r="J24" i="456"/>
  <c r="J23" i="456"/>
  <c r="R23" i="456" s="1"/>
  <c r="J21" i="456"/>
  <c r="R21" i="456" s="1"/>
  <c r="J19" i="456"/>
  <c r="R19" i="456" s="1"/>
  <c r="J18" i="456"/>
  <c r="R18" i="456" s="1"/>
  <c r="J38" i="454"/>
  <c r="R38" i="454" s="1"/>
  <c r="J37" i="454"/>
  <c r="R37" i="454" s="1"/>
  <c r="J36" i="454"/>
  <c r="R36" i="454" s="1"/>
  <c r="J34" i="454"/>
  <c r="J33" i="454"/>
  <c r="J31" i="454"/>
  <c r="R31" i="454" s="1"/>
  <c r="J30" i="454"/>
  <c r="R30" i="454" s="1"/>
  <c r="J29" i="454"/>
  <c r="R29" i="454" s="1"/>
  <c r="J28" i="454"/>
  <c r="R28" i="454" s="1"/>
  <c r="J26" i="454"/>
  <c r="N26" i="454" s="1"/>
  <c r="P26" i="454" s="1"/>
  <c r="J25" i="454"/>
  <c r="R25" i="454" s="1"/>
  <c r="J23" i="454"/>
  <c r="N23" i="454" s="1"/>
  <c r="J21" i="454"/>
  <c r="N21" i="454" s="1"/>
  <c r="P21" i="454" s="1"/>
  <c r="J20" i="454"/>
  <c r="R20" i="454" s="1"/>
  <c r="J19" i="454"/>
  <c r="R19" i="454" s="1"/>
  <c r="J37" i="474"/>
  <c r="R37" i="474" s="1"/>
  <c r="J36" i="474"/>
  <c r="R36" i="474" s="1"/>
  <c r="J35" i="474"/>
  <c r="R35" i="474" s="1"/>
  <c r="J33" i="474"/>
  <c r="R33" i="474" s="1"/>
  <c r="J32" i="474"/>
  <c r="R32" i="474" s="1"/>
  <c r="J30" i="474"/>
  <c r="R30" i="474" s="1"/>
  <c r="J29" i="474"/>
  <c r="R29" i="474" s="1"/>
  <c r="J27" i="474"/>
  <c r="R27" i="474" s="1"/>
  <c r="J26" i="474"/>
  <c r="J25" i="474"/>
  <c r="N25" i="474" s="1"/>
  <c r="P25" i="474" s="1"/>
  <c r="J24" i="474"/>
  <c r="R24" i="474" s="1"/>
  <c r="J22" i="474"/>
  <c r="R22" i="474" s="1"/>
  <c r="J21" i="474"/>
  <c r="R21" i="474" s="1"/>
  <c r="J19" i="474"/>
  <c r="R19" i="474" s="1"/>
  <c r="J43" i="450"/>
  <c r="R43" i="450" s="1"/>
  <c r="J42" i="450"/>
  <c r="N42" i="450" s="1"/>
  <c r="P42" i="450" s="1"/>
  <c r="J41" i="450"/>
  <c r="R41" i="450" s="1"/>
  <c r="J40" i="450"/>
  <c r="R40" i="450" s="1"/>
  <c r="J39" i="450"/>
  <c r="R39" i="450" s="1"/>
  <c r="J37" i="450"/>
  <c r="R37" i="450" s="1"/>
  <c r="J35" i="450"/>
  <c r="R35" i="450" s="1"/>
  <c r="J34" i="450"/>
  <c r="R34" i="450" s="1"/>
  <c r="J32" i="450"/>
  <c r="R32" i="450" s="1"/>
  <c r="J31" i="450"/>
  <c r="R31" i="450" s="1"/>
  <c r="J30" i="450"/>
  <c r="R30" i="450" s="1"/>
  <c r="J29" i="450"/>
  <c r="R29" i="450" s="1"/>
  <c r="J27" i="450"/>
  <c r="R27" i="450" s="1"/>
  <c r="J26" i="450"/>
  <c r="R26" i="450" s="1"/>
  <c r="J25" i="450"/>
  <c r="N25" i="450" s="1"/>
  <c r="P25" i="450" s="1"/>
  <c r="J23" i="450"/>
  <c r="N23" i="450" s="1"/>
  <c r="P23" i="450" s="1"/>
  <c r="J21" i="450"/>
  <c r="N21" i="450" s="1"/>
  <c r="J20" i="450"/>
  <c r="R20" i="450" s="1"/>
  <c r="J19" i="450"/>
  <c r="R19" i="450" s="1"/>
  <c r="J42" i="448"/>
  <c r="R42" i="448" s="1"/>
  <c r="J41" i="448"/>
  <c r="R41" i="448" s="1"/>
  <c r="J40" i="448"/>
  <c r="N40" i="448" s="1"/>
  <c r="J39" i="448"/>
  <c r="R39" i="448" s="1"/>
  <c r="J38" i="448"/>
  <c r="J36" i="448"/>
  <c r="R36" i="448" s="1"/>
  <c r="J34" i="448"/>
  <c r="R34" i="448" s="1"/>
  <c r="J32" i="448"/>
  <c r="R32" i="448" s="1"/>
  <c r="J31" i="448"/>
  <c r="R31" i="448" s="1"/>
  <c r="J30" i="448"/>
  <c r="R30" i="448" s="1"/>
  <c r="J29" i="448"/>
  <c r="R29" i="448" s="1"/>
  <c r="J27" i="448"/>
  <c r="R27" i="448" s="1"/>
  <c r="J26" i="448"/>
  <c r="N26" i="448" s="1"/>
  <c r="J25" i="448"/>
  <c r="R25" i="448" s="1"/>
  <c r="J23" i="448"/>
  <c r="R23" i="448" s="1"/>
  <c r="J21" i="448"/>
  <c r="R21" i="448" s="1"/>
  <c r="J20" i="448"/>
  <c r="R20" i="448" s="1"/>
  <c r="J19" i="448"/>
  <c r="N19" i="448" s="1"/>
  <c r="P19" i="448" s="1"/>
  <c r="J30" i="446"/>
  <c r="R30" i="446" s="1"/>
  <c r="J29" i="446"/>
  <c r="R29" i="446" s="1"/>
  <c r="J28" i="446"/>
  <c r="R28" i="446" s="1"/>
  <c r="J27" i="446"/>
  <c r="N27" i="446" s="1"/>
  <c r="J25" i="446"/>
  <c r="J24" i="446"/>
  <c r="J22" i="446"/>
  <c r="J20" i="446"/>
  <c r="R20" i="446" s="1"/>
  <c r="J19" i="446"/>
  <c r="N19" i="446" s="1"/>
  <c r="P19" i="446" s="1"/>
  <c r="J18" i="446"/>
  <c r="J30" i="442"/>
  <c r="R30" i="442" s="1"/>
  <c r="J29" i="442"/>
  <c r="R29" i="442" s="1"/>
  <c r="J28" i="442"/>
  <c r="R28" i="442" s="1"/>
  <c r="J27" i="442"/>
  <c r="N27" i="442" s="1"/>
  <c r="P27" i="442" s="1"/>
  <c r="J25" i="442"/>
  <c r="R25" i="442" s="1"/>
  <c r="J24" i="442"/>
  <c r="R24" i="442" s="1"/>
  <c r="J23" i="442"/>
  <c r="R23" i="442" s="1"/>
  <c r="J21" i="442"/>
  <c r="R21" i="442" s="1"/>
  <c r="J20" i="442"/>
  <c r="R20" i="442" s="1"/>
  <c r="J18" i="442"/>
  <c r="R18" i="442" s="1"/>
  <c r="J30" i="440"/>
  <c r="R30" i="440" s="1"/>
  <c r="J29" i="440"/>
  <c r="J28" i="440"/>
  <c r="R28" i="440" s="1"/>
  <c r="J27" i="440"/>
  <c r="N27" i="440" s="1"/>
  <c r="J25" i="440"/>
  <c r="J23" i="440"/>
  <c r="R23" i="440" s="1"/>
  <c r="J22" i="440"/>
  <c r="R22" i="440" s="1"/>
  <c r="J20" i="440"/>
  <c r="R20" i="440" s="1"/>
  <c r="J19" i="440"/>
  <c r="R19" i="440" s="1"/>
  <c r="J18" i="440"/>
  <c r="R18" i="440" s="1"/>
  <c r="J30" i="438"/>
  <c r="R30" i="438" s="1"/>
  <c r="J29" i="438"/>
  <c r="R29" i="438" s="1"/>
  <c r="J28" i="438"/>
  <c r="R28" i="438" s="1"/>
  <c r="J27" i="438"/>
  <c r="N27" i="438" s="1"/>
  <c r="J25" i="438"/>
  <c r="J24" i="438"/>
  <c r="J23" i="438"/>
  <c r="R23" i="438" s="1"/>
  <c r="J21" i="438"/>
  <c r="R21" i="438" s="1"/>
  <c r="J19" i="438"/>
  <c r="N19" i="438" s="1"/>
  <c r="P19" i="438" s="1"/>
  <c r="J18" i="438"/>
  <c r="R18" i="438" s="1"/>
  <c r="J30" i="432"/>
  <c r="R30" i="432" s="1"/>
  <c r="J29" i="432"/>
  <c r="R29" i="432" s="1"/>
  <c r="J28" i="432"/>
  <c r="R28" i="432" s="1"/>
  <c r="J27" i="432"/>
  <c r="R27" i="432" s="1"/>
  <c r="J25" i="432"/>
  <c r="R25" i="432" s="1"/>
  <c r="J24" i="432"/>
  <c r="R24" i="432" s="1"/>
  <c r="J23" i="432"/>
  <c r="R23" i="432" s="1"/>
  <c r="J21" i="432"/>
  <c r="R21" i="432" s="1"/>
  <c r="J19" i="432"/>
  <c r="R19" i="432" s="1"/>
  <c r="J18" i="432"/>
  <c r="J26" i="371"/>
  <c r="R26" i="371" s="1"/>
  <c r="J25" i="371"/>
  <c r="R25" i="371" s="1"/>
  <c r="J24" i="371"/>
  <c r="R24" i="371" s="1"/>
  <c r="J22" i="371"/>
  <c r="N22" i="371" s="1"/>
  <c r="P22" i="371" s="1"/>
  <c r="J20" i="371"/>
  <c r="R20" i="371" s="1"/>
  <c r="J18" i="371"/>
  <c r="R18" i="371" s="1"/>
  <c r="J25" i="436"/>
  <c r="N25" i="436" s="1"/>
  <c r="P25" i="436" s="1"/>
  <c r="J24" i="436"/>
  <c r="R24" i="436" s="1"/>
  <c r="J23" i="436"/>
  <c r="R23" i="436" s="1"/>
  <c r="J21" i="436"/>
  <c r="R21" i="436" s="1"/>
  <c r="J19" i="436"/>
  <c r="R19" i="436" s="1"/>
  <c r="J18" i="436"/>
  <c r="N18" i="436" s="1"/>
  <c r="P18" i="436" s="1"/>
  <c r="J25" i="434"/>
  <c r="N25" i="434" s="1"/>
  <c r="P25" i="434" s="1"/>
  <c r="J24" i="434"/>
  <c r="R24" i="434" s="1"/>
  <c r="J23" i="434"/>
  <c r="R23" i="434" s="1"/>
  <c r="J21" i="434"/>
  <c r="R21" i="434" s="1"/>
  <c r="J19" i="434"/>
  <c r="R19" i="434" s="1"/>
  <c r="J18" i="434"/>
  <c r="R18" i="434" s="1"/>
  <c r="J24" i="430"/>
  <c r="R24" i="430" s="1"/>
  <c r="J23" i="430"/>
  <c r="J22" i="430"/>
  <c r="R22" i="430" s="1"/>
  <c r="J20" i="430"/>
  <c r="R20" i="430" s="1"/>
  <c r="J18" i="430"/>
  <c r="R18" i="430" s="1"/>
  <c r="J32" i="428"/>
  <c r="R32" i="428" s="1"/>
  <c r="J31" i="428"/>
  <c r="R31" i="428" s="1"/>
  <c r="J30" i="428"/>
  <c r="R30" i="428" s="1"/>
  <c r="J28" i="428"/>
  <c r="R28" i="428" s="1"/>
  <c r="J26" i="428"/>
  <c r="N26" i="428" s="1"/>
  <c r="J24" i="428"/>
  <c r="J22" i="428"/>
  <c r="R22" i="428" s="1"/>
  <c r="J21" i="428"/>
  <c r="J19" i="428"/>
  <c r="R19" i="428" s="1"/>
  <c r="J18" i="428"/>
  <c r="R18" i="428" s="1"/>
  <c r="J31" i="426"/>
  <c r="R31" i="426" s="1"/>
  <c r="J30" i="426"/>
  <c r="R30" i="426" s="1"/>
  <c r="J29" i="426"/>
  <c r="R29" i="426" s="1"/>
  <c r="J28" i="426"/>
  <c r="R28" i="426" s="1"/>
  <c r="J26" i="426"/>
  <c r="N26" i="426" s="1"/>
  <c r="J24" i="426"/>
  <c r="R24" i="426" s="1"/>
  <c r="J22" i="426"/>
  <c r="R22" i="426" s="1"/>
  <c r="J20" i="426"/>
  <c r="R20" i="426" s="1"/>
  <c r="J19" i="426"/>
  <c r="R19" i="426" s="1"/>
  <c r="J18" i="426"/>
  <c r="R18" i="426" s="1"/>
  <c r="J34" i="477"/>
  <c r="R34" i="477" s="1"/>
  <c r="J33" i="477"/>
  <c r="R33" i="477" s="1"/>
  <c r="J32" i="477"/>
  <c r="R32" i="477" s="1"/>
  <c r="J30" i="477"/>
  <c r="R30" i="477" s="1"/>
  <c r="J28" i="477"/>
  <c r="R28" i="477" s="1"/>
  <c r="J27" i="477"/>
  <c r="N27" i="477" s="1"/>
  <c r="P27" i="477" s="1"/>
  <c r="J25" i="477"/>
  <c r="R25" i="477" s="1"/>
  <c r="J24" i="477"/>
  <c r="N24" i="477" s="1"/>
  <c r="J22" i="477"/>
  <c r="R22" i="477" s="1"/>
  <c r="J21" i="477"/>
  <c r="R21" i="477" s="1"/>
  <c r="J20" i="477"/>
  <c r="R20" i="477" s="1"/>
  <c r="J18" i="477"/>
  <c r="R18" i="477" s="1"/>
  <c r="N20" i="500" l="1"/>
  <c r="P20" i="500" s="1"/>
  <c r="R18" i="500"/>
  <c r="N22" i="500"/>
  <c r="N21" i="500"/>
  <c r="P21" i="500" s="1"/>
  <c r="P22" i="500"/>
  <c r="N20" i="498"/>
  <c r="P20" i="498" s="1"/>
  <c r="R18" i="498"/>
  <c r="N21" i="498"/>
  <c r="P21" i="498" s="1"/>
  <c r="N22" i="498"/>
  <c r="P22" i="498" s="1"/>
  <c r="R21" i="496"/>
  <c r="N20" i="496"/>
  <c r="P20" i="496" s="1"/>
  <c r="N18" i="496"/>
  <c r="P18" i="496" s="1"/>
  <c r="R18" i="496"/>
  <c r="R27" i="496"/>
  <c r="P25" i="496"/>
  <c r="R25" i="496"/>
  <c r="P27" i="496"/>
  <c r="N29" i="496"/>
  <c r="P29" i="496" s="1"/>
  <c r="N30" i="496"/>
  <c r="P30" i="496" s="1"/>
  <c r="N23" i="496"/>
  <c r="P23" i="496" s="1"/>
  <c r="N31" i="496"/>
  <c r="P31" i="496" s="1"/>
  <c r="N23" i="494"/>
  <c r="N34" i="494"/>
  <c r="P34" i="494" s="1"/>
  <c r="N18" i="494"/>
  <c r="P18" i="494" s="1"/>
  <c r="R22" i="494"/>
  <c r="R20" i="494"/>
  <c r="N32" i="494"/>
  <c r="P32" i="494" s="1"/>
  <c r="R30" i="494"/>
  <c r="R19" i="494"/>
  <c r="N19" i="494"/>
  <c r="P19" i="494" s="1"/>
  <c r="N20" i="494"/>
  <c r="P20" i="494" s="1"/>
  <c r="N35" i="494"/>
  <c r="P35" i="494" s="1"/>
  <c r="R25" i="494"/>
  <c r="P27" i="494"/>
  <c r="N29" i="494"/>
  <c r="P29" i="494" s="1"/>
  <c r="R27" i="494"/>
  <c r="N36" i="494"/>
  <c r="P36" i="494" s="1"/>
  <c r="P23" i="494"/>
  <c r="N25" i="494"/>
  <c r="P25" i="494" s="1"/>
  <c r="N26" i="464"/>
  <c r="P26" i="464" s="1"/>
  <c r="N22" i="464"/>
  <c r="P22" i="464" s="1"/>
  <c r="R36" i="464"/>
  <c r="N20" i="464"/>
  <c r="P20" i="464" s="1"/>
  <c r="N25" i="464"/>
  <c r="N28" i="464"/>
  <c r="P28" i="464" s="1"/>
  <c r="P25" i="464"/>
  <c r="N29" i="464"/>
  <c r="P29" i="464" s="1"/>
  <c r="N19" i="464"/>
  <c r="P19" i="464" s="1"/>
  <c r="N31" i="464"/>
  <c r="P31" i="464" s="1"/>
  <c r="N33" i="464"/>
  <c r="P33" i="464" s="1"/>
  <c r="N34" i="464"/>
  <c r="P34" i="464" s="1"/>
  <c r="N23" i="464"/>
  <c r="P23" i="464" s="1"/>
  <c r="N35" i="464"/>
  <c r="P35" i="464" s="1"/>
  <c r="N37" i="464"/>
  <c r="P37" i="464" s="1"/>
  <c r="N38" i="464"/>
  <c r="P38" i="464" s="1"/>
  <c r="N30" i="460"/>
  <c r="N31" i="460"/>
  <c r="N41" i="460"/>
  <c r="R23" i="460"/>
  <c r="R26" i="460"/>
  <c r="N38" i="460"/>
  <c r="P38" i="460" s="1"/>
  <c r="R38" i="460"/>
  <c r="P27" i="460"/>
  <c r="N28" i="460"/>
  <c r="P28" i="460" s="1"/>
  <c r="N37" i="460"/>
  <c r="P37" i="460" s="1"/>
  <c r="N25" i="460"/>
  <c r="P25" i="460" s="1"/>
  <c r="N40" i="460"/>
  <c r="P40" i="460" s="1"/>
  <c r="N27" i="460"/>
  <c r="N19" i="460"/>
  <c r="P19" i="460" s="1"/>
  <c r="P41" i="460"/>
  <c r="P30" i="460"/>
  <c r="N32" i="460"/>
  <c r="P32" i="460" s="1"/>
  <c r="N21" i="460"/>
  <c r="P21" i="460" s="1"/>
  <c r="P31" i="460"/>
  <c r="N33" i="460"/>
  <c r="P33" i="460" s="1"/>
  <c r="N22" i="460"/>
  <c r="P22" i="460" s="1"/>
  <c r="N34" i="460"/>
  <c r="N42" i="460"/>
  <c r="P42" i="460" s="1"/>
  <c r="P34" i="460"/>
  <c r="N36" i="460"/>
  <c r="P36" i="460" s="1"/>
  <c r="N43" i="460"/>
  <c r="P43" i="460" s="1"/>
  <c r="N34" i="458"/>
  <c r="P34" i="458" s="1"/>
  <c r="R30" i="458"/>
  <c r="N21" i="458"/>
  <c r="P21" i="458" s="1"/>
  <c r="R31" i="458"/>
  <c r="N33" i="458"/>
  <c r="P33" i="458" s="1"/>
  <c r="N19" i="458"/>
  <c r="P19" i="458" s="1"/>
  <c r="R19" i="458"/>
  <c r="P27" i="458"/>
  <c r="P38" i="458"/>
  <c r="P31" i="458"/>
  <c r="R40" i="458"/>
  <c r="P26" i="458"/>
  <c r="N27" i="458"/>
  <c r="N20" i="458"/>
  <c r="P20" i="458" s="1"/>
  <c r="N38" i="458"/>
  <c r="N29" i="458"/>
  <c r="P29" i="458" s="1"/>
  <c r="R26" i="458"/>
  <c r="R38" i="458"/>
  <c r="P40" i="458"/>
  <c r="R25" i="458"/>
  <c r="R39" i="458"/>
  <c r="N41" i="458"/>
  <c r="P41" i="458" s="1"/>
  <c r="N36" i="458"/>
  <c r="P36" i="458" s="1"/>
  <c r="N42" i="458"/>
  <c r="P42" i="458" s="1"/>
  <c r="N23" i="458"/>
  <c r="P23" i="458" s="1"/>
  <c r="N25" i="458"/>
  <c r="P25" i="458" s="1"/>
  <c r="N21" i="456"/>
  <c r="P21" i="456" s="1"/>
  <c r="N18" i="456"/>
  <c r="P18" i="456" s="1"/>
  <c r="N26" i="456"/>
  <c r="N19" i="456"/>
  <c r="P19" i="456" s="1"/>
  <c r="R24" i="456"/>
  <c r="P26" i="456"/>
  <c r="P27" i="456"/>
  <c r="N29" i="456"/>
  <c r="P29" i="456" s="1"/>
  <c r="R27" i="456"/>
  <c r="N30" i="456"/>
  <c r="P30" i="456" s="1"/>
  <c r="N23" i="456"/>
  <c r="P23" i="456" s="1"/>
  <c r="N31" i="456"/>
  <c r="P31" i="456" s="1"/>
  <c r="N24" i="456"/>
  <c r="P24" i="456" s="1"/>
  <c r="N36" i="454"/>
  <c r="P36" i="454" s="1"/>
  <c r="R21" i="454"/>
  <c r="P23" i="454"/>
  <c r="N33" i="454"/>
  <c r="P33" i="454" s="1"/>
  <c r="R23" i="454"/>
  <c r="R33" i="454"/>
  <c r="N25" i="454"/>
  <c r="P25" i="454" s="1"/>
  <c r="N20" i="454"/>
  <c r="P20" i="454" s="1"/>
  <c r="N34" i="454"/>
  <c r="P34" i="454" s="1"/>
  <c r="R34" i="454"/>
  <c r="N28" i="454"/>
  <c r="P28" i="454" s="1"/>
  <c r="N29" i="454"/>
  <c r="P29" i="454" s="1"/>
  <c r="R26" i="454"/>
  <c r="N30" i="454"/>
  <c r="N19" i="454"/>
  <c r="N31" i="454"/>
  <c r="P31" i="454" s="1"/>
  <c r="P30" i="454"/>
  <c r="P19" i="454"/>
  <c r="N37" i="454"/>
  <c r="P37" i="454" s="1"/>
  <c r="N38" i="454"/>
  <c r="P38" i="454" s="1"/>
  <c r="N32" i="474"/>
  <c r="P32" i="474"/>
  <c r="N22" i="474"/>
  <c r="P22" i="474" s="1"/>
  <c r="N24" i="474"/>
  <c r="P24" i="474" s="1"/>
  <c r="N35" i="474"/>
  <c r="P35" i="474" s="1"/>
  <c r="N27" i="474"/>
  <c r="P27" i="474" s="1"/>
  <c r="N19" i="474"/>
  <c r="P19" i="474" s="1"/>
  <c r="R25" i="474"/>
  <c r="N29" i="474"/>
  <c r="P29" i="474" s="1"/>
  <c r="R26" i="474"/>
  <c r="N30" i="474"/>
  <c r="P30" i="474" s="1"/>
  <c r="N21" i="474"/>
  <c r="P21" i="474" s="1"/>
  <c r="N33" i="474"/>
  <c r="P33" i="474"/>
  <c r="N36" i="474"/>
  <c r="P36" i="474" s="1"/>
  <c r="N37" i="474"/>
  <c r="P37" i="474" s="1"/>
  <c r="N26" i="474"/>
  <c r="P26" i="474" s="1"/>
  <c r="R23" i="450"/>
  <c r="N41" i="450"/>
  <c r="R25" i="450"/>
  <c r="N29" i="450"/>
  <c r="P29" i="450" s="1"/>
  <c r="N26" i="450"/>
  <c r="P26" i="450" s="1"/>
  <c r="N27" i="450"/>
  <c r="P27" i="450" s="1"/>
  <c r="P21" i="450"/>
  <c r="R21" i="450"/>
  <c r="N39" i="450"/>
  <c r="P39" i="450" s="1"/>
  <c r="N40" i="450"/>
  <c r="P40" i="450" s="1"/>
  <c r="P41" i="450"/>
  <c r="R42" i="450"/>
  <c r="N30" i="450"/>
  <c r="P30" i="450" s="1"/>
  <c r="N19" i="450"/>
  <c r="P19" i="450" s="1"/>
  <c r="N31" i="450"/>
  <c r="P31" i="450" s="1"/>
  <c r="N20" i="450"/>
  <c r="N32" i="450"/>
  <c r="P32" i="450" s="1"/>
  <c r="P20" i="450"/>
  <c r="N34" i="450"/>
  <c r="P34" i="450" s="1"/>
  <c r="N35" i="450"/>
  <c r="P35" i="450" s="1"/>
  <c r="N43" i="450"/>
  <c r="P43" i="450" s="1"/>
  <c r="N37" i="450"/>
  <c r="P37" i="450" s="1"/>
  <c r="R19" i="448"/>
  <c r="N20" i="448"/>
  <c r="P20" i="448" s="1"/>
  <c r="N39" i="448"/>
  <c r="N32" i="448"/>
  <c r="P26" i="448"/>
  <c r="N25" i="448"/>
  <c r="P25" i="448" s="1"/>
  <c r="N27" i="448"/>
  <c r="P27" i="448" s="1"/>
  <c r="N38" i="448"/>
  <c r="P38" i="448" s="1"/>
  <c r="N31" i="448"/>
  <c r="P31" i="448" s="1"/>
  <c r="R26" i="448"/>
  <c r="N36" i="448"/>
  <c r="P36" i="448" s="1"/>
  <c r="N41" i="448"/>
  <c r="N29" i="448"/>
  <c r="P29" i="448" s="1"/>
  <c r="P39" i="448"/>
  <c r="N30" i="448"/>
  <c r="P30" i="448" s="1"/>
  <c r="R38" i="448"/>
  <c r="P40" i="448"/>
  <c r="R40" i="448"/>
  <c r="N21" i="448"/>
  <c r="P21" i="448" s="1"/>
  <c r="P32" i="448"/>
  <c r="N34" i="448"/>
  <c r="P34" i="448" s="1"/>
  <c r="N23" i="448"/>
  <c r="P23" i="448" s="1"/>
  <c r="N42" i="448"/>
  <c r="P42" i="448" s="1"/>
  <c r="P41" i="448"/>
  <c r="R19" i="446"/>
  <c r="N25" i="446"/>
  <c r="P25" i="446" s="1"/>
  <c r="R18" i="446"/>
  <c r="N18" i="446"/>
  <c r="P18" i="446" s="1"/>
  <c r="N20" i="446"/>
  <c r="P20" i="446" s="1"/>
  <c r="R24" i="446"/>
  <c r="N28" i="446"/>
  <c r="P28" i="446" s="1"/>
  <c r="R25" i="446"/>
  <c r="P27" i="446"/>
  <c r="R22" i="446"/>
  <c r="R27" i="446"/>
  <c r="N22" i="446"/>
  <c r="P22" i="446" s="1"/>
  <c r="N29" i="446"/>
  <c r="P29" i="446" s="1"/>
  <c r="N30" i="446"/>
  <c r="P30" i="446" s="1"/>
  <c r="N24" i="446"/>
  <c r="P24" i="446" s="1"/>
  <c r="N25" i="442"/>
  <c r="N21" i="442"/>
  <c r="P21" i="442" s="1"/>
  <c r="N23" i="442"/>
  <c r="P23" i="442" s="1"/>
  <c r="P25" i="442"/>
  <c r="N28" i="442"/>
  <c r="P28" i="442" s="1"/>
  <c r="N30" i="442"/>
  <c r="P30" i="442" s="1"/>
  <c r="N18" i="442"/>
  <c r="P18" i="442" s="1"/>
  <c r="R27" i="442"/>
  <c r="N20" i="442"/>
  <c r="P20" i="442" s="1"/>
  <c r="N29" i="442"/>
  <c r="P29" i="442" s="1"/>
  <c r="N24" i="442"/>
  <c r="P24" i="442" s="1"/>
  <c r="N20" i="440"/>
  <c r="P20" i="440"/>
  <c r="N19" i="440"/>
  <c r="P19" i="440" s="1"/>
  <c r="N22" i="440"/>
  <c r="P22" i="440" s="1"/>
  <c r="N18" i="440"/>
  <c r="P18" i="440" s="1"/>
  <c r="N23" i="440"/>
  <c r="P23" i="440" s="1"/>
  <c r="N30" i="440"/>
  <c r="P30" i="440" s="1"/>
  <c r="N29" i="440"/>
  <c r="P29" i="440" s="1"/>
  <c r="R29" i="440"/>
  <c r="N28" i="440"/>
  <c r="P28" i="440" s="1"/>
  <c r="R25" i="440"/>
  <c r="P27" i="440"/>
  <c r="R27" i="440"/>
  <c r="N25" i="440"/>
  <c r="P25" i="440" s="1"/>
  <c r="R19" i="438"/>
  <c r="N21" i="438"/>
  <c r="P21" i="438" s="1"/>
  <c r="N25" i="438"/>
  <c r="P25" i="438" s="1"/>
  <c r="N18" i="438"/>
  <c r="P18" i="438" s="1"/>
  <c r="R24" i="438"/>
  <c r="N28" i="438"/>
  <c r="P28" i="438" s="1"/>
  <c r="R25" i="438"/>
  <c r="P27" i="438"/>
  <c r="R27" i="438"/>
  <c r="N29" i="438"/>
  <c r="P29" i="438" s="1"/>
  <c r="N23" i="438"/>
  <c r="P23" i="438" s="1"/>
  <c r="N30" i="438"/>
  <c r="P30" i="438" s="1"/>
  <c r="N24" i="438"/>
  <c r="P24" i="438" s="1"/>
  <c r="N28" i="432"/>
  <c r="P28" i="432" s="1"/>
  <c r="N27" i="432"/>
  <c r="P27" i="432" s="1"/>
  <c r="N18" i="432"/>
  <c r="P18" i="432" s="1"/>
  <c r="N19" i="432"/>
  <c r="P19" i="432" s="1"/>
  <c r="N21" i="432"/>
  <c r="P21" i="432" s="1"/>
  <c r="R18" i="432"/>
  <c r="N29" i="432"/>
  <c r="P29" i="432" s="1"/>
  <c r="N23" i="432"/>
  <c r="P23" i="432" s="1"/>
  <c r="N30" i="432"/>
  <c r="P30" i="432" s="1"/>
  <c r="N24" i="432"/>
  <c r="P24" i="432" s="1"/>
  <c r="N25" i="432"/>
  <c r="P25" i="432" s="1"/>
  <c r="R22" i="371"/>
  <c r="N24" i="371"/>
  <c r="P24" i="371" s="1"/>
  <c r="N26" i="371"/>
  <c r="P26" i="371" s="1"/>
  <c r="N18" i="371"/>
  <c r="P18" i="371" s="1"/>
  <c r="N20" i="371"/>
  <c r="P20" i="371" s="1"/>
  <c r="N25" i="371"/>
  <c r="P25" i="371" s="1"/>
  <c r="R18" i="436"/>
  <c r="N23" i="436"/>
  <c r="P23" i="436" s="1"/>
  <c r="N21" i="436"/>
  <c r="P21" i="436" s="1"/>
  <c r="R25" i="436"/>
  <c r="N24" i="436"/>
  <c r="P24" i="436" s="1"/>
  <c r="N19" i="436"/>
  <c r="P19" i="436" s="1"/>
  <c r="N23" i="434"/>
  <c r="P23" i="434" s="1"/>
  <c r="N21" i="434"/>
  <c r="P21" i="434" s="1"/>
  <c r="N19" i="434"/>
  <c r="P19" i="434" s="1"/>
  <c r="R25" i="434"/>
  <c r="N18" i="434"/>
  <c r="P18" i="434" s="1"/>
  <c r="N24" i="434"/>
  <c r="P24" i="434" s="1"/>
  <c r="N22" i="430"/>
  <c r="P22" i="430" s="1"/>
  <c r="N24" i="430"/>
  <c r="P24" i="430" s="1"/>
  <c r="N23" i="430"/>
  <c r="P23" i="430" s="1"/>
  <c r="R23" i="430"/>
  <c r="N18" i="430"/>
  <c r="P18" i="430" s="1"/>
  <c r="N20" i="430"/>
  <c r="P20" i="430" s="1"/>
  <c r="R24" i="428"/>
  <c r="R21" i="428"/>
  <c r="N24" i="428"/>
  <c r="P24" i="428" s="1"/>
  <c r="N21" i="428"/>
  <c r="P21" i="428" s="1"/>
  <c r="N22" i="428"/>
  <c r="P22" i="428" s="1"/>
  <c r="N32" i="428"/>
  <c r="P32" i="428" s="1"/>
  <c r="N18" i="428"/>
  <c r="P18" i="428" s="1"/>
  <c r="R26" i="428"/>
  <c r="N30" i="428"/>
  <c r="P30" i="428" s="1"/>
  <c r="N19" i="428"/>
  <c r="P19" i="428" s="1"/>
  <c r="N28" i="428"/>
  <c r="P28" i="428" s="1"/>
  <c r="P26" i="428"/>
  <c r="N31" i="428"/>
  <c r="P31" i="428" s="1"/>
  <c r="N29" i="426"/>
  <c r="P29" i="426" s="1"/>
  <c r="N24" i="426"/>
  <c r="P24" i="426" s="1"/>
  <c r="N18" i="426"/>
  <c r="P18" i="426" s="1"/>
  <c r="N22" i="426"/>
  <c r="P22" i="426" s="1"/>
  <c r="N30" i="426"/>
  <c r="P30" i="426" s="1"/>
  <c r="P26" i="426"/>
  <c r="N28" i="426"/>
  <c r="P28" i="426" s="1"/>
  <c r="R26" i="426"/>
  <c r="N19" i="426"/>
  <c r="P19" i="426" s="1"/>
  <c r="N20" i="426"/>
  <c r="P20" i="426" s="1"/>
  <c r="N31" i="426"/>
  <c r="P31" i="426" s="1"/>
  <c r="N18" i="477"/>
  <c r="P18" i="477" s="1"/>
  <c r="N21" i="477"/>
  <c r="P24" i="477"/>
  <c r="P21" i="477"/>
  <c r="R24" i="477"/>
  <c r="N28" i="477"/>
  <c r="P28" i="477" s="1"/>
  <c r="N30" i="477"/>
  <c r="P30" i="477" s="1"/>
  <c r="R27" i="477"/>
  <c r="N20" i="477"/>
  <c r="P20" i="477" s="1"/>
  <c r="N32" i="477"/>
  <c r="P32" i="477" s="1"/>
  <c r="N22" i="477"/>
  <c r="P22" i="477" s="1"/>
  <c r="N33" i="477"/>
  <c r="P33" i="477" s="1"/>
  <c r="N34" i="477"/>
  <c r="P34" i="477" s="1"/>
  <c r="N25" i="477"/>
  <c r="P25" i="477" s="1"/>
  <c r="B16" i="480" l="1"/>
  <c r="I16" i="480"/>
  <c r="L16" i="480" s="1"/>
  <c r="B12" i="480"/>
  <c r="I12" i="480"/>
  <c r="K12" i="480" s="1"/>
  <c r="B46" i="481"/>
  <c r="B46" i="480"/>
  <c r="Y46" i="476"/>
  <c r="Y46" i="481"/>
  <c r="J70" i="533"/>
  <c r="L66" i="533"/>
  <c r="N66" i="533" s="1"/>
  <c r="L65" i="533"/>
  <c r="N65" i="533" s="1"/>
  <c r="L64" i="533"/>
  <c r="N64" i="533" s="1"/>
  <c r="L63" i="533"/>
  <c r="N63" i="533" s="1"/>
  <c r="L62" i="533"/>
  <c r="N62" i="533" s="1"/>
  <c r="L61" i="533"/>
  <c r="N61" i="533" s="1"/>
  <c r="L60" i="533"/>
  <c r="N60" i="533" s="1"/>
  <c r="L59" i="533"/>
  <c r="N59" i="533" s="1"/>
  <c r="L58" i="533"/>
  <c r="N58" i="533" s="1"/>
  <c r="J55" i="533"/>
  <c r="L50" i="533"/>
  <c r="N50" i="533" s="1"/>
  <c r="L49" i="533"/>
  <c r="N49" i="533" s="1"/>
  <c r="L48" i="533"/>
  <c r="N48" i="533" s="1"/>
  <c r="L47" i="533"/>
  <c r="N47" i="533" s="1"/>
  <c r="L46" i="533"/>
  <c r="N46" i="533" s="1"/>
  <c r="L45" i="533"/>
  <c r="N45" i="533" s="1"/>
  <c r="L44" i="533"/>
  <c r="N44" i="533" s="1"/>
  <c r="L43" i="533"/>
  <c r="N43" i="533" s="1"/>
  <c r="L42" i="533"/>
  <c r="N42" i="533" s="1"/>
  <c r="L41" i="533"/>
  <c r="N41" i="533" s="1"/>
  <c r="L40" i="533"/>
  <c r="N40" i="533" s="1"/>
  <c r="L39" i="533"/>
  <c r="N39" i="533" s="1"/>
  <c r="L38" i="533"/>
  <c r="N38" i="533" s="1"/>
  <c r="L37" i="533"/>
  <c r="N37" i="533" s="1"/>
  <c r="L36" i="533"/>
  <c r="N36" i="533" s="1"/>
  <c r="L35" i="533"/>
  <c r="N35" i="533" s="1"/>
  <c r="L33" i="533"/>
  <c r="N33" i="533" s="1"/>
  <c r="L32" i="533"/>
  <c r="N32" i="533" s="1"/>
  <c r="L31" i="533"/>
  <c r="N31" i="533" s="1"/>
  <c r="L30" i="533"/>
  <c r="N30" i="533" s="1"/>
  <c r="L29" i="533"/>
  <c r="N29" i="533" s="1"/>
  <c r="L27" i="533"/>
  <c r="N27" i="533" s="1"/>
  <c r="L26" i="533"/>
  <c r="N26" i="533" s="1"/>
  <c r="L25" i="533"/>
  <c r="N25" i="533" s="1"/>
  <c r="L24" i="533"/>
  <c r="N24" i="533" s="1"/>
  <c r="L23" i="533"/>
  <c r="L16" i="533"/>
  <c r="N16" i="533" s="1"/>
  <c r="L15" i="533"/>
  <c r="N15" i="533" s="1"/>
  <c r="L14" i="533"/>
  <c r="N14" i="533" s="1"/>
  <c r="L13" i="533"/>
  <c r="N13" i="533" s="1"/>
  <c r="L12" i="533"/>
  <c r="N12" i="533" s="1"/>
  <c r="L11" i="533"/>
  <c r="N11" i="533" s="1"/>
  <c r="N10" i="533"/>
  <c r="B45" i="481"/>
  <c r="B45" i="480"/>
  <c r="Y45" i="476"/>
  <c r="I45" i="480"/>
  <c r="J72" i="531"/>
  <c r="L68" i="531"/>
  <c r="N68" i="531" s="1"/>
  <c r="L67" i="531"/>
  <c r="N67" i="531" s="1"/>
  <c r="L66" i="531"/>
  <c r="N66" i="531" s="1"/>
  <c r="L65" i="531"/>
  <c r="N65" i="531" s="1"/>
  <c r="L64" i="531"/>
  <c r="N64" i="531" s="1"/>
  <c r="L63" i="531"/>
  <c r="N63" i="531" s="1"/>
  <c r="L62" i="531"/>
  <c r="N62" i="531" s="1"/>
  <c r="L61" i="531"/>
  <c r="N61" i="531" s="1"/>
  <c r="L60" i="531"/>
  <c r="J57" i="531"/>
  <c r="L52" i="531"/>
  <c r="N52" i="531" s="1"/>
  <c r="L51" i="531"/>
  <c r="N51" i="531" s="1"/>
  <c r="L50" i="531"/>
  <c r="N50" i="531" s="1"/>
  <c r="L49" i="531"/>
  <c r="N49" i="531" s="1"/>
  <c r="L48" i="531"/>
  <c r="N48" i="531" s="1"/>
  <c r="L47" i="531"/>
  <c r="N47" i="531" s="1"/>
  <c r="L46" i="531"/>
  <c r="N46" i="531" s="1"/>
  <c r="L45" i="531"/>
  <c r="N45" i="531" s="1"/>
  <c r="L44" i="531"/>
  <c r="N44" i="531" s="1"/>
  <c r="L43" i="531"/>
  <c r="N43" i="531" s="1"/>
  <c r="L42" i="531"/>
  <c r="N42" i="531" s="1"/>
  <c r="L41" i="531"/>
  <c r="N41" i="531" s="1"/>
  <c r="L40" i="531"/>
  <c r="N40" i="531" s="1"/>
  <c r="L39" i="531"/>
  <c r="N39" i="531" s="1"/>
  <c r="L38" i="531"/>
  <c r="N38" i="531" s="1"/>
  <c r="L37" i="531"/>
  <c r="N37" i="531" s="1"/>
  <c r="L35" i="531"/>
  <c r="N35" i="531" s="1"/>
  <c r="L34" i="531"/>
  <c r="N34" i="531" s="1"/>
  <c r="L33" i="531"/>
  <c r="N33" i="531" s="1"/>
  <c r="L32" i="531"/>
  <c r="N32" i="531" s="1"/>
  <c r="L31" i="531"/>
  <c r="N31" i="531" s="1"/>
  <c r="L29" i="531"/>
  <c r="N29" i="531" s="1"/>
  <c r="L28" i="531"/>
  <c r="N28" i="531" s="1"/>
  <c r="L27" i="531"/>
  <c r="N27" i="531" s="1"/>
  <c r="L26" i="531"/>
  <c r="N26" i="531" s="1"/>
  <c r="L25" i="531"/>
  <c r="N25" i="531" s="1"/>
  <c r="L24" i="531"/>
  <c r="L17" i="531"/>
  <c r="N17" i="531" s="1"/>
  <c r="L16" i="531"/>
  <c r="N16" i="531" s="1"/>
  <c r="L15" i="531"/>
  <c r="N15" i="531" s="1"/>
  <c r="L14" i="531"/>
  <c r="N14" i="531" s="1"/>
  <c r="L13" i="531"/>
  <c r="N13" i="531" s="1"/>
  <c r="L12" i="531"/>
  <c r="L11" i="531"/>
  <c r="N11" i="531" s="1"/>
  <c r="N10" i="531"/>
  <c r="B44" i="481"/>
  <c r="B44" i="480"/>
  <c r="D50" i="36"/>
  <c r="Y44" i="481"/>
  <c r="J71" i="529"/>
  <c r="L67" i="529"/>
  <c r="N67" i="529" s="1"/>
  <c r="L66" i="529"/>
  <c r="N66" i="529" s="1"/>
  <c r="L65" i="529"/>
  <c r="N65" i="529" s="1"/>
  <c r="L64" i="529"/>
  <c r="N64" i="529" s="1"/>
  <c r="L63" i="529"/>
  <c r="N63" i="529" s="1"/>
  <c r="L62" i="529"/>
  <c r="N62" i="529" s="1"/>
  <c r="L61" i="529"/>
  <c r="N61" i="529" s="1"/>
  <c r="L60" i="529"/>
  <c r="N60" i="529" s="1"/>
  <c r="L59" i="529"/>
  <c r="N59" i="529" s="1"/>
  <c r="J56" i="529"/>
  <c r="L51" i="529"/>
  <c r="N51" i="529" s="1"/>
  <c r="L50" i="529"/>
  <c r="N50" i="529" s="1"/>
  <c r="L49" i="529"/>
  <c r="N49" i="529" s="1"/>
  <c r="L48" i="529"/>
  <c r="N48" i="529" s="1"/>
  <c r="L47" i="529"/>
  <c r="N47" i="529" s="1"/>
  <c r="L46" i="529"/>
  <c r="N46" i="529" s="1"/>
  <c r="L45" i="529"/>
  <c r="N45" i="529" s="1"/>
  <c r="L44" i="529"/>
  <c r="N44" i="529" s="1"/>
  <c r="L43" i="529"/>
  <c r="N43" i="529" s="1"/>
  <c r="L42" i="529"/>
  <c r="N42" i="529" s="1"/>
  <c r="L41" i="529"/>
  <c r="N41" i="529" s="1"/>
  <c r="L40" i="529"/>
  <c r="N40" i="529" s="1"/>
  <c r="L39" i="529"/>
  <c r="N39" i="529" s="1"/>
  <c r="L38" i="529"/>
  <c r="N38" i="529" s="1"/>
  <c r="L37" i="529"/>
  <c r="N37" i="529" s="1"/>
  <c r="L36" i="529"/>
  <c r="N36" i="529" s="1"/>
  <c r="L34" i="529"/>
  <c r="N34" i="529" s="1"/>
  <c r="L33" i="529"/>
  <c r="N33" i="529" s="1"/>
  <c r="L32" i="529"/>
  <c r="N32" i="529" s="1"/>
  <c r="L31" i="529"/>
  <c r="N31" i="529" s="1"/>
  <c r="L30" i="529"/>
  <c r="N30" i="529" s="1"/>
  <c r="L28" i="529"/>
  <c r="N28" i="529" s="1"/>
  <c r="L27" i="529"/>
  <c r="N27" i="529" s="1"/>
  <c r="L26" i="529"/>
  <c r="N26" i="529" s="1"/>
  <c r="L25" i="529"/>
  <c r="N25" i="529" s="1"/>
  <c r="L24" i="529"/>
  <c r="L17" i="529"/>
  <c r="N17" i="529" s="1"/>
  <c r="L16" i="529"/>
  <c r="N16" i="529" s="1"/>
  <c r="L15" i="529"/>
  <c r="N15" i="529" s="1"/>
  <c r="L14" i="529"/>
  <c r="N14" i="529" s="1"/>
  <c r="L13" i="529"/>
  <c r="N13" i="529" s="1"/>
  <c r="L12" i="529"/>
  <c r="N12" i="529" s="1"/>
  <c r="L11" i="529"/>
  <c r="N11" i="529" s="1"/>
  <c r="N10" i="529"/>
  <c r="A44" i="480" l="1"/>
  <c r="A44" i="481"/>
  <c r="A44" i="27"/>
  <c r="A46" i="480"/>
  <c r="A46" i="481"/>
  <c r="A46" i="27"/>
  <c r="A44" i="476"/>
  <c r="A45" i="480"/>
  <c r="A45" i="481"/>
  <c r="A45" i="27"/>
  <c r="K46" i="481"/>
  <c r="M46" i="481" s="1"/>
  <c r="I46" i="480"/>
  <c r="K46" i="480" s="1"/>
  <c r="I46" i="27"/>
  <c r="K44" i="476"/>
  <c r="Y44" i="476"/>
  <c r="J46" i="480"/>
  <c r="L46" i="481"/>
  <c r="K46" i="476"/>
  <c r="Z46" i="481"/>
  <c r="K82" i="531"/>
  <c r="K82" i="529"/>
  <c r="K80" i="533"/>
  <c r="K81" i="533"/>
  <c r="K16" i="480"/>
  <c r="L12" i="480"/>
  <c r="D52" i="36"/>
  <c r="A46" i="476"/>
  <c r="L17" i="533"/>
  <c r="N67" i="533"/>
  <c r="N17" i="533"/>
  <c r="L67" i="533"/>
  <c r="D80" i="533"/>
  <c r="N23" i="533"/>
  <c r="D81" i="533"/>
  <c r="L51" i="533"/>
  <c r="N51" i="533" s="1"/>
  <c r="D82" i="533"/>
  <c r="L18" i="531"/>
  <c r="K45" i="480"/>
  <c r="L45" i="480"/>
  <c r="K45" i="481"/>
  <c r="Y45" i="481"/>
  <c r="J45" i="480"/>
  <c r="L45" i="481"/>
  <c r="I45" i="27"/>
  <c r="Z45" i="481"/>
  <c r="K45" i="476"/>
  <c r="K83" i="531"/>
  <c r="D51" i="36"/>
  <c r="A45" i="476"/>
  <c r="L53" i="531"/>
  <c r="N53" i="531" s="1"/>
  <c r="N12" i="531"/>
  <c r="N18" i="531" s="1"/>
  <c r="D84" i="531"/>
  <c r="D82" i="531"/>
  <c r="D83" i="531"/>
  <c r="N24" i="531"/>
  <c r="N60" i="531"/>
  <c r="N69" i="531" s="1"/>
  <c r="L69" i="531"/>
  <c r="I44" i="480"/>
  <c r="L44" i="480" s="1"/>
  <c r="K44" i="481"/>
  <c r="J44" i="480"/>
  <c r="L44" i="481"/>
  <c r="I44" i="27"/>
  <c r="K81" i="529"/>
  <c r="Z44" i="481"/>
  <c r="L18" i="529"/>
  <c r="N18" i="529"/>
  <c r="L52" i="529"/>
  <c r="N52" i="529" s="1"/>
  <c r="N24" i="529"/>
  <c r="D83" i="529"/>
  <c r="D81" i="529"/>
  <c r="D82" i="529"/>
  <c r="N68" i="529"/>
  <c r="L68" i="529"/>
  <c r="AA46" i="481" l="1"/>
  <c r="L46" i="480"/>
  <c r="N54" i="531"/>
  <c r="N70" i="531" s="1"/>
  <c r="N71" i="531" s="1"/>
  <c r="N52" i="533"/>
  <c r="N68" i="533" s="1"/>
  <c r="N69" i="533" s="1"/>
  <c r="L52" i="533"/>
  <c r="L54" i="531"/>
  <c r="U45" i="481" s="1"/>
  <c r="AA45" i="481"/>
  <c r="M45" i="481"/>
  <c r="K44" i="480"/>
  <c r="AA44" i="481"/>
  <c r="M44" i="481"/>
  <c r="N53" i="529"/>
  <c r="N69" i="529" s="1"/>
  <c r="N70" i="529" s="1"/>
  <c r="L53" i="529"/>
  <c r="N56" i="531" l="1"/>
  <c r="L70" i="531"/>
  <c r="F45" i="480" s="1"/>
  <c r="G45" i="480"/>
  <c r="L56" i="531"/>
  <c r="D45" i="480" s="1"/>
  <c r="U46" i="481"/>
  <c r="G46" i="480"/>
  <c r="N54" i="533"/>
  <c r="L68" i="533"/>
  <c r="L54" i="533"/>
  <c r="G44" i="480"/>
  <c r="U44" i="481"/>
  <c r="N55" i="529"/>
  <c r="L69" i="529"/>
  <c r="L55" i="529"/>
  <c r="Q45" i="481" l="1"/>
  <c r="L71" i="531"/>
  <c r="C45" i="480" s="1"/>
  <c r="G45" i="481"/>
  <c r="L69" i="533"/>
  <c r="F46" i="480"/>
  <c r="G46" i="481"/>
  <c r="Q46" i="481"/>
  <c r="D46" i="480"/>
  <c r="K82" i="533"/>
  <c r="K84" i="531"/>
  <c r="L70" i="529"/>
  <c r="G44" i="481"/>
  <c r="F44" i="480"/>
  <c r="Q44" i="481"/>
  <c r="D44" i="480"/>
  <c r="C45" i="481" l="1"/>
  <c r="X46" i="476"/>
  <c r="H46" i="27"/>
  <c r="J46" i="476"/>
  <c r="C46" i="481"/>
  <c r="C46" i="480"/>
  <c r="H45" i="27"/>
  <c r="X45" i="476"/>
  <c r="J45" i="476"/>
  <c r="C44" i="481"/>
  <c r="C44" i="480"/>
  <c r="K83" i="529"/>
  <c r="X44" i="476" l="1"/>
  <c r="J44" i="476"/>
  <c r="H44" i="27"/>
  <c r="F46" i="27" l="1"/>
  <c r="K46" i="27" s="1"/>
  <c r="T46" i="476"/>
  <c r="Z46" i="476" s="1"/>
  <c r="F45" i="27"/>
  <c r="K45" i="27" s="1"/>
  <c r="T45" i="476"/>
  <c r="Z45" i="476" s="1"/>
  <c r="F46" i="476" l="1"/>
  <c r="L46" i="476" s="1"/>
  <c r="E46" i="27"/>
  <c r="J46" i="27" s="1"/>
  <c r="P46" i="476"/>
  <c r="C46" i="27"/>
  <c r="P45" i="476"/>
  <c r="C45" i="27"/>
  <c r="F45" i="476"/>
  <c r="L45" i="476" s="1"/>
  <c r="E45" i="27"/>
  <c r="J45" i="27" s="1"/>
  <c r="F44" i="27"/>
  <c r="K44" i="27" s="1"/>
  <c r="T44" i="476"/>
  <c r="Z44" i="476" s="1"/>
  <c r="B46" i="476" l="1"/>
  <c r="B46" i="27"/>
  <c r="B45" i="476"/>
  <c r="B45" i="27"/>
  <c r="P44" i="476"/>
  <c r="C44" i="27"/>
  <c r="F44" i="476"/>
  <c r="L44" i="476" s="1"/>
  <c r="E44" i="27"/>
  <c r="J44" i="27" s="1"/>
  <c r="B44" i="476" l="1"/>
  <c r="B44" i="27"/>
  <c r="B43" i="481" l="1"/>
  <c r="B43" i="480"/>
  <c r="I43" i="27"/>
  <c r="Y43" i="481"/>
  <c r="J69" i="527"/>
  <c r="L65" i="527"/>
  <c r="N65" i="527" s="1"/>
  <c r="L64" i="527"/>
  <c r="N64" i="527" s="1"/>
  <c r="L63" i="527"/>
  <c r="N63" i="527" s="1"/>
  <c r="L62" i="527"/>
  <c r="N62" i="527" s="1"/>
  <c r="L61" i="527"/>
  <c r="N61" i="527" s="1"/>
  <c r="L60" i="527"/>
  <c r="N60" i="527" s="1"/>
  <c r="L59" i="527"/>
  <c r="N59" i="527" s="1"/>
  <c r="L58" i="527"/>
  <c r="N58" i="527" s="1"/>
  <c r="L57" i="527"/>
  <c r="N57" i="527" s="1"/>
  <c r="J54" i="527"/>
  <c r="L49" i="527"/>
  <c r="N49" i="527" s="1"/>
  <c r="L48" i="527"/>
  <c r="N48" i="527" s="1"/>
  <c r="L47" i="527"/>
  <c r="N47" i="527" s="1"/>
  <c r="L46" i="527"/>
  <c r="N46" i="527" s="1"/>
  <c r="L45" i="527"/>
  <c r="N45" i="527" s="1"/>
  <c r="L44" i="527"/>
  <c r="N44" i="527" s="1"/>
  <c r="L43" i="527"/>
  <c r="N43" i="527" s="1"/>
  <c r="L42" i="527"/>
  <c r="N42" i="527" s="1"/>
  <c r="L41" i="527"/>
  <c r="N41" i="527" s="1"/>
  <c r="L40" i="527"/>
  <c r="N40" i="527" s="1"/>
  <c r="L39" i="527"/>
  <c r="N39" i="527" s="1"/>
  <c r="L38" i="527"/>
  <c r="N38" i="527" s="1"/>
  <c r="L37" i="527"/>
  <c r="N37" i="527" s="1"/>
  <c r="L36" i="527"/>
  <c r="N36" i="527" s="1"/>
  <c r="L35" i="527"/>
  <c r="N35" i="527" s="1"/>
  <c r="L34" i="527"/>
  <c r="N34" i="527" s="1"/>
  <c r="L32" i="527"/>
  <c r="N32" i="527" s="1"/>
  <c r="L31" i="527"/>
  <c r="N31" i="527" s="1"/>
  <c r="L30" i="527"/>
  <c r="N30" i="527" s="1"/>
  <c r="L29" i="527"/>
  <c r="N29" i="527" s="1"/>
  <c r="L28" i="527"/>
  <c r="N28" i="527" s="1"/>
  <c r="L26" i="527"/>
  <c r="N26" i="527" s="1"/>
  <c r="L25" i="527"/>
  <c r="N25" i="527" s="1"/>
  <c r="L24" i="527"/>
  <c r="N24" i="527" s="1"/>
  <c r="L23" i="527"/>
  <c r="N23" i="527" s="1"/>
  <c r="L16" i="527"/>
  <c r="N16" i="527" s="1"/>
  <c r="L15" i="527"/>
  <c r="N15" i="527" s="1"/>
  <c r="L14" i="527"/>
  <c r="N14" i="527" s="1"/>
  <c r="L13" i="527"/>
  <c r="N13" i="527" s="1"/>
  <c r="L12" i="527"/>
  <c r="N12" i="527" s="1"/>
  <c r="L11" i="527"/>
  <c r="N10" i="527"/>
  <c r="A43" i="476"/>
  <c r="D49" i="36" l="1"/>
  <c r="A43" i="480"/>
  <c r="L43" i="481"/>
  <c r="Z43" i="481"/>
  <c r="J43" i="480"/>
  <c r="K43" i="476"/>
  <c r="Y43" i="476"/>
  <c r="K79" i="527"/>
  <c r="K80" i="527"/>
  <c r="L17" i="527"/>
  <c r="K43" i="481"/>
  <c r="I43" i="480"/>
  <c r="A43" i="481"/>
  <c r="A43" i="27"/>
  <c r="D81" i="527"/>
  <c r="D79" i="527"/>
  <c r="D80" i="527"/>
  <c r="N66" i="527"/>
  <c r="N11" i="527"/>
  <c r="N17" i="527" s="1"/>
  <c r="L50" i="527"/>
  <c r="N50" i="527" s="1"/>
  <c r="N51" i="527" s="1"/>
  <c r="L66" i="527"/>
  <c r="K43" i="480" l="1"/>
  <c r="L43" i="480"/>
  <c r="AA43" i="481"/>
  <c r="M43" i="481"/>
  <c r="N67" i="527"/>
  <c r="N68" i="527" s="1"/>
  <c r="L51" i="527"/>
  <c r="L67" i="527" s="1"/>
  <c r="N53" i="527"/>
  <c r="L68" i="527" l="1"/>
  <c r="G43" i="481"/>
  <c r="F43" i="480"/>
  <c r="L53" i="527"/>
  <c r="U43" i="481"/>
  <c r="G43" i="480"/>
  <c r="K81" i="527"/>
  <c r="Q43" i="481" l="1"/>
  <c r="D43" i="480"/>
  <c r="C43" i="481"/>
  <c r="C43" i="480"/>
  <c r="X43" i="476"/>
  <c r="J43" i="476"/>
  <c r="H43" i="27"/>
  <c r="F43" i="27" l="1"/>
  <c r="K43" i="27" s="1"/>
  <c r="T43" i="476"/>
  <c r="Z43" i="476" s="1"/>
  <c r="C43" i="27" l="1"/>
  <c r="P43" i="476"/>
  <c r="F43" i="476"/>
  <c r="L43" i="476" s="1"/>
  <c r="E43" i="27"/>
  <c r="J43" i="27" s="1"/>
  <c r="B43" i="27" l="1"/>
  <c r="B43" i="476"/>
  <c r="Y10" i="481"/>
  <c r="Y36" i="481"/>
  <c r="Y7" i="481"/>
  <c r="Z42" i="481"/>
  <c r="Y42" i="481"/>
  <c r="L42" i="481"/>
  <c r="K42" i="481"/>
  <c r="AA42" i="481" s="1"/>
  <c r="B42" i="481"/>
  <c r="J42" i="480"/>
  <c r="I42" i="480"/>
  <c r="L42" i="480" s="1"/>
  <c r="B42" i="480"/>
  <c r="Y42" i="476"/>
  <c r="K42" i="476"/>
  <c r="I42" i="27"/>
  <c r="O63" i="481" l="1"/>
  <c r="M42" i="481"/>
  <c r="K42" i="480"/>
  <c r="J70" i="523" l="1"/>
  <c r="L63" i="523"/>
  <c r="N63" i="523" s="1"/>
  <c r="L62" i="523"/>
  <c r="N62" i="523" s="1"/>
  <c r="L61" i="523"/>
  <c r="N61" i="523" s="1"/>
  <c r="L60" i="523"/>
  <c r="N60" i="523" s="1"/>
  <c r="L59" i="523"/>
  <c r="N59" i="523" s="1"/>
  <c r="L58" i="523"/>
  <c r="N58" i="523" s="1"/>
  <c r="L57" i="523"/>
  <c r="J53" i="523"/>
  <c r="L47" i="523"/>
  <c r="N47" i="523" s="1"/>
  <c r="L46" i="523"/>
  <c r="N46" i="523" s="1"/>
  <c r="L45" i="523"/>
  <c r="N45" i="523" s="1"/>
  <c r="L44" i="523"/>
  <c r="N44" i="523" s="1"/>
  <c r="L43" i="523"/>
  <c r="N43" i="523" s="1"/>
  <c r="L42" i="523"/>
  <c r="N42" i="523" s="1"/>
  <c r="L41" i="523"/>
  <c r="N41" i="523" s="1"/>
  <c r="L40" i="523"/>
  <c r="N40" i="523" s="1"/>
  <c r="L39" i="523"/>
  <c r="N39" i="523" s="1"/>
  <c r="L38" i="523"/>
  <c r="N38" i="523" s="1"/>
  <c r="L36" i="523"/>
  <c r="N36" i="523" s="1"/>
  <c r="L35" i="523"/>
  <c r="N35" i="523" s="1"/>
  <c r="L34" i="523"/>
  <c r="N34" i="523" s="1"/>
  <c r="L33" i="523"/>
  <c r="N33" i="523" s="1"/>
  <c r="L31" i="523"/>
  <c r="N31" i="523" s="1"/>
  <c r="L30" i="523"/>
  <c r="N30" i="523" s="1"/>
  <c r="L29" i="523"/>
  <c r="N29" i="523" s="1"/>
  <c r="L28" i="523"/>
  <c r="N28" i="523" s="1"/>
  <c r="L27" i="523"/>
  <c r="N27" i="523" s="1"/>
  <c r="L26" i="523"/>
  <c r="N26" i="523" s="1"/>
  <c r="L24" i="523"/>
  <c r="N24" i="523" s="1"/>
  <c r="L23" i="523"/>
  <c r="N23" i="523" s="1"/>
  <c r="L22" i="523"/>
  <c r="N22" i="523" s="1"/>
  <c r="L21" i="523"/>
  <c r="N21" i="523" s="1"/>
  <c r="L19" i="523"/>
  <c r="N19" i="523" s="1"/>
  <c r="L18" i="523"/>
  <c r="N18" i="523" s="1"/>
  <c r="L13" i="523"/>
  <c r="N13" i="523" s="1"/>
  <c r="L12" i="523"/>
  <c r="N12" i="523" s="1"/>
  <c r="L11" i="523"/>
  <c r="L14" i="523" s="1"/>
  <c r="N9" i="523"/>
  <c r="D48" i="36" l="1"/>
  <c r="A42" i="481"/>
  <c r="A42" i="476"/>
  <c r="A42" i="27"/>
  <c r="A42" i="480"/>
  <c r="L64" i="523"/>
  <c r="N11" i="523"/>
  <c r="N57" i="523"/>
  <c r="N64" i="523" s="1"/>
  <c r="N14" i="523"/>
  <c r="L48" i="523"/>
  <c r="N48" i="523" s="1"/>
  <c r="N49" i="523" s="1"/>
  <c r="N66" i="523" l="1"/>
  <c r="L49" i="523"/>
  <c r="N51" i="523"/>
  <c r="N68" i="523" s="1"/>
  <c r="U42" i="481" l="1"/>
  <c r="G42" i="480"/>
  <c r="L66" i="523"/>
  <c r="L51" i="523"/>
  <c r="L68" i="523" l="1"/>
  <c r="D42" i="480"/>
  <c r="Q42" i="481"/>
  <c r="G42" i="481"/>
  <c r="F42" i="480"/>
  <c r="C42" i="481" l="1"/>
  <c r="C42" i="480"/>
  <c r="J42" i="476"/>
  <c r="X42" i="476"/>
  <c r="H42" i="27"/>
  <c r="T42" i="476" l="1"/>
  <c r="Z42" i="476" s="1"/>
  <c r="F42" i="27"/>
  <c r="K42" i="27" s="1"/>
  <c r="P42" i="476" l="1"/>
  <c r="C42" i="27"/>
  <c r="F42" i="476"/>
  <c r="L42" i="476" s="1"/>
  <c r="E42" i="27"/>
  <c r="J42" i="27" s="1"/>
  <c r="N9" i="353"/>
  <c r="B42" i="476" l="1"/>
  <c r="B42" i="27"/>
  <c r="N10" i="293"/>
  <c r="H75" i="500" l="1"/>
  <c r="H49" i="500"/>
  <c r="R9" i="500"/>
  <c r="H70" i="498"/>
  <c r="H46" i="498"/>
  <c r="R9" i="498"/>
  <c r="H84" i="496"/>
  <c r="H58" i="496"/>
  <c r="R9" i="496"/>
  <c r="H84" i="494"/>
  <c r="H60" i="494"/>
  <c r="R9" i="494"/>
  <c r="H88" i="464"/>
  <c r="H64" i="464"/>
  <c r="R9" i="464"/>
  <c r="H96" i="460"/>
  <c r="H70" i="460"/>
  <c r="R9" i="460"/>
  <c r="H95" i="458"/>
  <c r="H69" i="458"/>
  <c r="R9" i="458"/>
  <c r="H84" i="456"/>
  <c r="H58" i="456"/>
  <c r="R9" i="456"/>
  <c r="H86" i="454"/>
  <c r="H62" i="454"/>
  <c r="R9" i="454"/>
  <c r="H85" i="474"/>
  <c r="H61" i="474"/>
  <c r="R9" i="474"/>
  <c r="H96" i="450"/>
  <c r="H70" i="450"/>
  <c r="R9" i="450"/>
  <c r="H95" i="448"/>
  <c r="H69" i="448"/>
  <c r="R9" i="448"/>
  <c r="H80" i="446"/>
  <c r="H56" i="446"/>
  <c r="R9" i="446"/>
  <c r="H83" i="442"/>
  <c r="H57" i="442"/>
  <c r="R9" i="442"/>
  <c r="H83" i="440"/>
  <c r="H57" i="440"/>
  <c r="R9" i="440"/>
  <c r="H83" i="438"/>
  <c r="H57" i="438"/>
  <c r="R9" i="438"/>
  <c r="H83" i="432"/>
  <c r="H57" i="432"/>
  <c r="R9" i="432"/>
  <c r="H76" i="436"/>
  <c r="H52" i="436"/>
  <c r="R9" i="436"/>
  <c r="H76" i="434"/>
  <c r="H52" i="434"/>
  <c r="R9" i="434"/>
  <c r="H75" i="430"/>
  <c r="H51" i="430"/>
  <c r="R9" i="430"/>
  <c r="H85" i="428"/>
  <c r="H59" i="428"/>
  <c r="R9" i="428"/>
  <c r="H79" i="371"/>
  <c r="H53" i="371"/>
  <c r="R9" i="371"/>
  <c r="H87" i="477"/>
  <c r="H61" i="477"/>
  <c r="R9" i="477"/>
  <c r="H84" i="426"/>
  <c r="H58" i="426"/>
  <c r="R9" i="426"/>
  <c r="H116" i="508" l="1"/>
  <c r="H115" i="508"/>
  <c r="H114" i="508"/>
  <c r="H113" i="508"/>
  <c r="H112" i="508"/>
  <c r="F116" i="508"/>
  <c r="F115" i="508"/>
  <c r="F114" i="508"/>
  <c r="F113" i="508"/>
  <c r="F112" i="508"/>
  <c r="H102" i="508" l="1"/>
  <c r="H101" i="508"/>
  <c r="F103" i="508"/>
  <c r="C99" i="508" l="1"/>
  <c r="C98" i="508"/>
  <c r="C95" i="508"/>
  <c r="C96" i="508"/>
  <c r="E90" i="508"/>
  <c r="E67" i="508"/>
  <c r="E94" i="508" l="1"/>
  <c r="B51" i="480" l="1"/>
  <c r="B50" i="480"/>
  <c r="J51" i="480"/>
  <c r="I51" i="480"/>
  <c r="L51" i="480" s="1"/>
  <c r="A51" i="480"/>
  <c r="A50" i="480"/>
  <c r="D57" i="36"/>
  <c r="D56" i="36"/>
  <c r="G155" i="509"/>
  <c r="E155" i="509"/>
  <c r="G154" i="509"/>
  <c r="E154" i="509"/>
  <c r="C153" i="509"/>
  <c r="E153" i="509" s="1"/>
  <c r="C151" i="509"/>
  <c r="E151" i="509" s="1"/>
  <c r="C150" i="509"/>
  <c r="F145" i="509"/>
  <c r="E145" i="509"/>
  <c r="F137" i="509"/>
  <c r="G137" i="509" s="1"/>
  <c r="F136" i="509"/>
  <c r="G136" i="509" s="1"/>
  <c r="F135" i="509"/>
  <c r="G135" i="509" s="1"/>
  <c r="F134" i="509"/>
  <c r="G134" i="509" s="1"/>
  <c r="F133" i="509"/>
  <c r="G133" i="509" s="1"/>
  <c r="F132" i="509"/>
  <c r="G132" i="509" s="1"/>
  <c r="F131" i="509"/>
  <c r="G131" i="509" s="1"/>
  <c r="F130" i="509"/>
  <c r="G130" i="509" s="1"/>
  <c r="F129" i="509"/>
  <c r="G129" i="509" s="1"/>
  <c r="F128" i="509"/>
  <c r="G128" i="509" s="1"/>
  <c r="F127" i="509"/>
  <c r="G127" i="509" s="1"/>
  <c r="F126" i="509"/>
  <c r="G126" i="509" s="1"/>
  <c r="F122" i="509"/>
  <c r="E122" i="509"/>
  <c r="F114" i="509"/>
  <c r="G114" i="509" s="1"/>
  <c r="F113" i="509"/>
  <c r="G113" i="509" s="1"/>
  <c r="F112" i="509"/>
  <c r="G112" i="509" s="1"/>
  <c r="F111" i="509"/>
  <c r="G111" i="509" s="1"/>
  <c r="F110" i="509"/>
  <c r="G110" i="509" s="1"/>
  <c r="F109" i="509"/>
  <c r="G109" i="509" s="1"/>
  <c r="F108" i="509"/>
  <c r="G108" i="509" s="1"/>
  <c r="F107" i="509"/>
  <c r="G107" i="509" s="1"/>
  <c r="F106" i="509"/>
  <c r="G106" i="509" s="1"/>
  <c r="F104" i="509"/>
  <c r="G104" i="509" s="1"/>
  <c r="F103" i="509"/>
  <c r="G103" i="509" s="1"/>
  <c r="F102" i="509"/>
  <c r="G102" i="509" s="1"/>
  <c r="F101" i="509"/>
  <c r="G101" i="509" s="1"/>
  <c r="F100" i="509"/>
  <c r="G100" i="509" s="1"/>
  <c r="F99" i="509"/>
  <c r="G99" i="509" s="1"/>
  <c r="F98" i="509"/>
  <c r="G98" i="509" s="1"/>
  <c r="F97" i="509"/>
  <c r="G97" i="509" s="1"/>
  <c r="F96" i="509"/>
  <c r="G96" i="509" s="1"/>
  <c r="F94" i="509"/>
  <c r="G94" i="509" s="1"/>
  <c r="F93" i="509"/>
  <c r="G93" i="509" s="1"/>
  <c r="F92" i="509"/>
  <c r="G92" i="509" s="1"/>
  <c r="F91" i="509"/>
  <c r="G91" i="509" s="1"/>
  <c r="F90" i="509"/>
  <c r="G90" i="509" s="1"/>
  <c r="F89" i="509"/>
  <c r="G89" i="509" s="1"/>
  <c r="F87" i="509"/>
  <c r="G87" i="509" s="1"/>
  <c r="F86" i="509"/>
  <c r="G86" i="509" s="1"/>
  <c r="F85" i="509"/>
  <c r="G85" i="509" s="1"/>
  <c r="F84" i="509"/>
  <c r="G84" i="509" s="1"/>
  <c r="F83" i="509"/>
  <c r="G83" i="509" s="1"/>
  <c r="F82" i="509"/>
  <c r="G82" i="509" s="1"/>
  <c r="F80" i="509"/>
  <c r="G80" i="509" s="1"/>
  <c r="F79" i="509"/>
  <c r="G79" i="509" s="1"/>
  <c r="F78" i="509"/>
  <c r="G78" i="509" s="1"/>
  <c r="F77" i="509"/>
  <c r="G77" i="509" s="1"/>
  <c r="F76" i="509"/>
  <c r="G76" i="509" s="1"/>
  <c r="F75" i="509"/>
  <c r="G75" i="509" s="1"/>
  <c r="F73" i="509"/>
  <c r="G73" i="509" s="1"/>
  <c r="F72" i="509"/>
  <c r="G72" i="509" s="1"/>
  <c r="F71" i="509"/>
  <c r="G71" i="509" s="1"/>
  <c r="F70" i="509"/>
  <c r="G70" i="509" s="1"/>
  <c r="F69" i="509"/>
  <c r="G69" i="509" s="1"/>
  <c r="F68" i="509"/>
  <c r="G68" i="509" s="1"/>
  <c r="F66" i="509"/>
  <c r="G66" i="509" s="1"/>
  <c r="F65" i="509"/>
  <c r="G65" i="509" s="1"/>
  <c r="F64" i="509"/>
  <c r="G64" i="509" s="1"/>
  <c r="F63" i="509"/>
  <c r="G63" i="509" s="1"/>
  <c r="F62" i="509"/>
  <c r="G62" i="509" s="1"/>
  <c r="F61" i="509"/>
  <c r="G61" i="509" s="1"/>
  <c r="F59" i="509"/>
  <c r="G59" i="509" s="1"/>
  <c r="F58" i="509"/>
  <c r="G58" i="509" s="1"/>
  <c r="F57" i="509"/>
  <c r="G57" i="509" s="1"/>
  <c r="F56" i="509"/>
  <c r="G56" i="509" s="1"/>
  <c r="F55" i="509"/>
  <c r="G55" i="509" s="1"/>
  <c r="F54" i="509"/>
  <c r="G54" i="509" s="1"/>
  <c r="F53" i="509"/>
  <c r="G53" i="509" s="1"/>
  <c r="F52" i="509"/>
  <c r="G52" i="509" s="1"/>
  <c r="F50" i="509"/>
  <c r="G50" i="509" s="1"/>
  <c r="F49" i="509"/>
  <c r="G49" i="509" s="1"/>
  <c r="F48" i="509"/>
  <c r="G48" i="509" s="1"/>
  <c r="F47" i="509"/>
  <c r="G47" i="509" s="1"/>
  <c r="F46" i="509"/>
  <c r="G46" i="509" s="1"/>
  <c r="F45" i="509"/>
  <c r="G45" i="509" s="1"/>
  <c r="F43" i="509"/>
  <c r="G43" i="509" s="1"/>
  <c r="F42" i="509"/>
  <c r="G42" i="509" s="1"/>
  <c r="F41" i="509"/>
  <c r="G41" i="509" s="1"/>
  <c r="F40" i="509"/>
  <c r="G40" i="509" s="1"/>
  <c r="F39" i="509"/>
  <c r="G39" i="509" s="1"/>
  <c r="F38" i="509"/>
  <c r="G38" i="509" s="1"/>
  <c r="F36" i="509"/>
  <c r="G36" i="509" s="1"/>
  <c r="F35" i="509"/>
  <c r="G35" i="509" s="1"/>
  <c r="F34" i="509"/>
  <c r="G34" i="509" s="1"/>
  <c r="F33" i="509"/>
  <c r="G33" i="509" s="1"/>
  <c r="F32" i="509"/>
  <c r="G32" i="509" s="1"/>
  <c r="F31" i="509"/>
  <c r="G31" i="509" s="1"/>
  <c r="F29" i="509"/>
  <c r="G29" i="509" s="1"/>
  <c r="F28" i="509"/>
  <c r="G28" i="509" s="1"/>
  <c r="F27" i="509"/>
  <c r="G27" i="509" s="1"/>
  <c r="F26" i="509"/>
  <c r="G26" i="509" s="1"/>
  <c r="F25" i="509"/>
  <c r="G25" i="509" s="1"/>
  <c r="F24" i="509"/>
  <c r="G24" i="509" s="1"/>
  <c r="F16" i="509"/>
  <c r="G16" i="509" s="1"/>
  <c r="F15" i="509"/>
  <c r="G15" i="509" s="1"/>
  <c r="F14" i="509"/>
  <c r="G14" i="509" s="1"/>
  <c r="F13" i="509"/>
  <c r="G13" i="509" s="1"/>
  <c r="F12" i="509"/>
  <c r="G12" i="509" s="1"/>
  <c r="F11" i="509"/>
  <c r="G11" i="509" s="1"/>
  <c r="F10" i="509"/>
  <c r="G10" i="509" s="1"/>
  <c r="F9" i="509"/>
  <c r="G9" i="509" s="1"/>
  <c r="C114" i="508"/>
  <c r="D114" i="508" s="1"/>
  <c r="H110" i="508"/>
  <c r="F110" i="508"/>
  <c r="F109" i="508"/>
  <c r="C107" i="508"/>
  <c r="I50" i="480"/>
  <c r="L50" i="480" s="1"/>
  <c r="F102" i="508"/>
  <c r="F101" i="508"/>
  <c r="B98" i="508"/>
  <c r="B99" i="508" s="1"/>
  <c r="B96" i="508"/>
  <c r="B95" i="508" s="1"/>
  <c r="G82" i="508"/>
  <c r="H82" i="508" s="1"/>
  <c r="G81" i="508"/>
  <c r="H81" i="508" s="1"/>
  <c r="G80" i="508"/>
  <c r="H80" i="508" s="1"/>
  <c r="G79" i="508"/>
  <c r="H79" i="508" s="1"/>
  <c r="G78" i="508"/>
  <c r="H78" i="508" s="1"/>
  <c r="G77" i="508"/>
  <c r="H77" i="508" s="1"/>
  <c r="G76" i="508"/>
  <c r="H76" i="508" s="1"/>
  <c r="G75" i="508"/>
  <c r="H75" i="508" s="1"/>
  <c r="G74" i="508"/>
  <c r="H74" i="508" s="1"/>
  <c r="G73" i="508"/>
  <c r="H73" i="508" s="1"/>
  <c r="G72" i="508"/>
  <c r="H72" i="508" s="1"/>
  <c r="G71" i="508"/>
  <c r="H71" i="508" s="1"/>
  <c r="F67" i="508"/>
  <c r="F90" i="508" s="1"/>
  <c r="J50" i="480" s="1"/>
  <c r="G59" i="508"/>
  <c r="H59" i="508" s="1"/>
  <c r="G58" i="508"/>
  <c r="H58" i="508" s="1"/>
  <c r="G57" i="508"/>
  <c r="H57" i="508" s="1"/>
  <c r="G56" i="508"/>
  <c r="H56" i="508" s="1"/>
  <c r="G55" i="508"/>
  <c r="H55" i="508" s="1"/>
  <c r="G54" i="508"/>
  <c r="H54" i="508" s="1"/>
  <c r="G52" i="508"/>
  <c r="H52" i="508" s="1"/>
  <c r="G50" i="508"/>
  <c r="H50" i="508" s="1"/>
  <c r="G48" i="508"/>
  <c r="H48" i="508" s="1"/>
  <c r="G47" i="508"/>
  <c r="H47" i="508" s="1"/>
  <c r="G46" i="508"/>
  <c r="H46" i="508" s="1"/>
  <c r="G45" i="508"/>
  <c r="H45" i="508" s="1"/>
  <c r="G44" i="508"/>
  <c r="H44" i="508" s="1"/>
  <c r="G43" i="508"/>
  <c r="H43" i="508" s="1"/>
  <c r="G42" i="508"/>
  <c r="H42" i="508" s="1"/>
  <c r="G41" i="508"/>
  <c r="H41" i="508" s="1"/>
  <c r="G40" i="508"/>
  <c r="H40" i="508" s="1"/>
  <c r="G39" i="508"/>
  <c r="H39" i="508" s="1"/>
  <c r="G37" i="508"/>
  <c r="H37" i="508" s="1"/>
  <c r="G36" i="508"/>
  <c r="H36" i="508" s="1"/>
  <c r="G35" i="508"/>
  <c r="H35" i="508" s="1"/>
  <c r="G34" i="508"/>
  <c r="H34" i="508" s="1"/>
  <c r="G33" i="508"/>
  <c r="H33" i="508" s="1"/>
  <c r="G32" i="508"/>
  <c r="H32" i="508" s="1"/>
  <c r="G31" i="508"/>
  <c r="H31" i="508" s="1"/>
  <c r="G30" i="508"/>
  <c r="G28" i="508"/>
  <c r="H28" i="508" s="1"/>
  <c r="G27" i="508"/>
  <c r="H27" i="508" s="1"/>
  <c r="G26" i="508"/>
  <c r="G25" i="508"/>
  <c r="H25" i="508" s="1"/>
  <c r="G23" i="508"/>
  <c r="G16" i="508"/>
  <c r="H16" i="508" s="1"/>
  <c r="G15" i="508"/>
  <c r="H15" i="508" s="1"/>
  <c r="G14" i="508"/>
  <c r="H14" i="508" s="1"/>
  <c r="G13" i="508"/>
  <c r="H13" i="508" s="1"/>
  <c r="G12" i="508"/>
  <c r="H12" i="508" s="1"/>
  <c r="G11" i="508"/>
  <c r="H11" i="508" s="1"/>
  <c r="G10" i="508"/>
  <c r="H10" i="508" s="1"/>
  <c r="G9" i="508"/>
  <c r="G153" i="509" l="1"/>
  <c r="C38" i="508"/>
  <c r="G151" i="509"/>
  <c r="C152" i="509"/>
  <c r="G152" i="509" s="1"/>
  <c r="G139" i="509"/>
  <c r="D98" i="508"/>
  <c r="G98" i="508" s="1"/>
  <c r="C24" i="508"/>
  <c r="G84" i="508"/>
  <c r="K51" i="480"/>
  <c r="K50" i="480"/>
  <c r="H84" i="508"/>
  <c r="C29" i="508"/>
  <c r="H30" i="508"/>
  <c r="G18" i="508"/>
  <c r="C97" i="508" s="1"/>
  <c r="G61" i="508"/>
  <c r="H61" i="508" s="1"/>
  <c r="G63" i="508"/>
  <c r="G18" i="509"/>
  <c r="C116" i="508"/>
  <c r="D116" i="508" s="1"/>
  <c r="C112" i="508"/>
  <c r="D112" i="508" s="1"/>
  <c r="C115" i="508"/>
  <c r="D115" i="508" s="1"/>
  <c r="C113" i="508"/>
  <c r="D113" i="508" s="1"/>
  <c r="H26" i="508"/>
  <c r="H9" i="508"/>
  <c r="H18" i="508" s="1"/>
  <c r="D99" i="508"/>
  <c r="G99" i="508" s="1"/>
  <c r="F18" i="509"/>
  <c r="D97" i="508"/>
  <c r="G97" i="508" s="1"/>
  <c r="H23" i="508"/>
  <c r="D95" i="508"/>
  <c r="G95" i="508" s="1"/>
  <c r="D96" i="508"/>
  <c r="G96" i="508" s="1"/>
  <c r="F116" i="509"/>
  <c r="G116" i="509" s="1"/>
  <c r="G118" i="509" s="1"/>
  <c r="F139" i="509"/>
  <c r="E99" i="508" l="1"/>
  <c r="E95" i="508"/>
  <c r="E98" i="508"/>
  <c r="E97" i="508"/>
  <c r="E96" i="508"/>
  <c r="G141" i="509"/>
  <c r="G143" i="509" s="1"/>
  <c r="E152" i="509"/>
  <c r="G86" i="508"/>
  <c r="F50" i="480" s="1"/>
  <c r="G50" i="480"/>
  <c r="F118" i="509"/>
  <c r="G120" i="509"/>
  <c r="H63" i="508"/>
  <c r="H86" i="508" s="1"/>
  <c r="H88" i="508" s="1"/>
  <c r="G65" i="508"/>
  <c r="D50" i="480" s="1"/>
  <c r="G88" i="508" l="1"/>
  <c r="C50" i="480" s="1"/>
  <c r="H65" i="508"/>
  <c r="F141" i="509"/>
  <c r="G51" i="480"/>
  <c r="F120" i="509"/>
  <c r="D51" i="480" s="1"/>
  <c r="J70" i="353"/>
  <c r="J53" i="353"/>
  <c r="Z41" i="481"/>
  <c r="Y41" i="481"/>
  <c r="L41" i="481"/>
  <c r="K41" i="481"/>
  <c r="AA41" i="481" s="1"/>
  <c r="B41" i="481"/>
  <c r="A41" i="481"/>
  <c r="B40" i="481"/>
  <c r="Y11" i="481"/>
  <c r="K11" i="481"/>
  <c r="B11" i="481"/>
  <c r="K10" i="481"/>
  <c r="B10" i="481"/>
  <c r="Y9" i="481"/>
  <c r="K9" i="481"/>
  <c r="B9" i="481"/>
  <c r="Y22" i="481"/>
  <c r="K22" i="481"/>
  <c r="B22" i="481"/>
  <c r="Y26" i="481"/>
  <c r="K26" i="481"/>
  <c r="B26" i="481"/>
  <c r="Y12" i="481"/>
  <c r="K12" i="481"/>
  <c r="B12" i="481"/>
  <c r="Y16" i="481"/>
  <c r="K16" i="481"/>
  <c r="B16" i="481"/>
  <c r="Y27" i="481"/>
  <c r="K27" i="481"/>
  <c r="B27" i="481"/>
  <c r="Y21" i="481"/>
  <c r="K21" i="481"/>
  <c r="B21" i="481"/>
  <c r="Y28" i="481"/>
  <c r="K28" i="481"/>
  <c r="B28" i="481"/>
  <c r="Y25" i="481"/>
  <c r="K25" i="481"/>
  <c r="B25" i="481"/>
  <c r="Y24" i="481"/>
  <c r="K24" i="481"/>
  <c r="B24" i="481"/>
  <c r="Y23" i="481"/>
  <c r="K23" i="481"/>
  <c r="B23" i="481"/>
  <c r="Y8" i="481"/>
  <c r="K8" i="481"/>
  <c r="B8" i="481"/>
  <c r="Y17" i="481"/>
  <c r="K17" i="481"/>
  <c r="B17" i="481"/>
  <c r="Y35" i="481"/>
  <c r="K35" i="481"/>
  <c r="B35" i="481"/>
  <c r="Y34" i="481"/>
  <c r="K34" i="481"/>
  <c r="B34" i="481"/>
  <c r="Y29" i="481"/>
  <c r="K29" i="481"/>
  <c r="B29" i="481"/>
  <c r="Y14" i="481"/>
  <c r="K14" i="481"/>
  <c r="B14" i="481"/>
  <c r="Y30" i="481"/>
  <c r="K30" i="481"/>
  <c r="B30" i="481"/>
  <c r="Y13" i="481"/>
  <c r="K13" i="481"/>
  <c r="B13" i="481"/>
  <c r="Y15" i="481"/>
  <c r="K15" i="481"/>
  <c r="B15" i="481"/>
  <c r="K36" i="481"/>
  <c r="B36" i="481"/>
  <c r="K7" i="481"/>
  <c r="B7" i="481"/>
  <c r="J41" i="480"/>
  <c r="I41" i="480"/>
  <c r="K41" i="480" s="1"/>
  <c r="B41" i="480"/>
  <c r="B40" i="480"/>
  <c r="I11" i="480"/>
  <c r="L11" i="480" s="1"/>
  <c r="B11" i="480"/>
  <c r="I10" i="480"/>
  <c r="L10" i="480" s="1"/>
  <c r="B10" i="480"/>
  <c r="I9" i="480"/>
  <c r="L9" i="480" s="1"/>
  <c r="B9" i="480"/>
  <c r="I22" i="480"/>
  <c r="K22" i="480" s="1"/>
  <c r="B22" i="480"/>
  <c r="I26" i="480"/>
  <c r="L26" i="480" s="1"/>
  <c r="B26" i="480"/>
  <c r="I27" i="480"/>
  <c r="L27" i="480" s="1"/>
  <c r="B27" i="480"/>
  <c r="I21" i="480"/>
  <c r="L21" i="480" s="1"/>
  <c r="B21" i="480"/>
  <c r="I28" i="480"/>
  <c r="L28" i="480" s="1"/>
  <c r="B28" i="480"/>
  <c r="I25" i="480"/>
  <c r="L25" i="480" s="1"/>
  <c r="B25" i="480"/>
  <c r="I24" i="480"/>
  <c r="K24" i="480" s="1"/>
  <c r="B24" i="480"/>
  <c r="I23" i="480"/>
  <c r="L23" i="480" s="1"/>
  <c r="B23" i="480"/>
  <c r="I8" i="480"/>
  <c r="K8" i="480" s="1"/>
  <c r="B8" i="480"/>
  <c r="I17" i="480"/>
  <c r="L17" i="480" s="1"/>
  <c r="B17" i="480"/>
  <c r="I35" i="480"/>
  <c r="L35" i="480" s="1"/>
  <c r="B35" i="480"/>
  <c r="I34" i="480"/>
  <c r="L34" i="480" s="1"/>
  <c r="B34" i="480"/>
  <c r="I29" i="480"/>
  <c r="L29" i="480" s="1"/>
  <c r="B29" i="480"/>
  <c r="I14" i="480"/>
  <c r="K14" i="480" s="1"/>
  <c r="B14" i="480"/>
  <c r="I30" i="480"/>
  <c r="K30" i="480" s="1"/>
  <c r="B30" i="480"/>
  <c r="I13" i="480"/>
  <c r="K13" i="480" s="1"/>
  <c r="B13" i="480"/>
  <c r="I15" i="480"/>
  <c r="K15" i="480" s="1"/>
  <c r="B15" i="480"/>
  <c r="I36" i="480"/>
  <c r="L36" i="480" s="1"/>
  <c r="B36" i="480"/>
  <c r="I7" i="480"/>
  <c r="L7" i="480" s="1"/>
  <c r="B7" i="480"/>
  <c r="Y41" i="476"/>
  <c r="K41" i="476"/>
  <c r="I41" i="27"/>
  <c r="L63" i="353"/>
  <c r="N63" i="353" s="1"/>
  <c r="L62" i="353"/>
  <c r="N62" i="353" s="1"/>
  <c r="L61" i="353"/>
  <c r="N61" i="353" s="1"/>
  <c r="L60" i="353"/>
  <c r="N60" i="353" s="1"/>
  <c r="L59" i="353"/>
  <c r="N59" i="353" s="1"/>
  <c r="L58" i="353"/>
  <c r="N58" i="353" s="1"/>
  <c r="L57" i="353"/>
  <c r="N57" i="353" s="1"/>
  <c r="L47" i="353"/>
  <c r="N47" i="353" s="1"/>
  <c r="L46" i="353"/>
  <c r="N46" i="353" s="1"/>
  <c r="L45" i="353"/>
  <c r="N45" i="353" s="1"/>
  <c r="L44" i="353"/>
  <c r="N44" i="353" s="1"/>
  <c r="L43" i="353"/>
  <c r="N43" i="353" s="1"/>
  <c r="L42" i="353"/>
  <c r="N42" i="353" s="1"/>
  <c r="L41" i="353"/>
  <c r="N41" i="353" s="1"/>
  <c r="L40" i="353"/>
  <c r="N40" i="353" s="1"/>
  <c r="L39" i="353"/>
  <c r="N39" i="353" s="1"/>
  <c r="L38" i="353"/>
  <c r="N38" i="353" s="1"/>
  <c r="L36" i="353"/>
  <c r="N36" i="353" s="1"/>
  <c r="L35" i="353"/>
  <c r="N35" i="353" s="1"/>
  <c r="L34" i="353"/>
  <c r="N34" i="353" s="1"/>
  <c r="L33" i="353"/>
  <c r="N33" i="353" s="1"/>
  <c r="L31" i="353"/>
  <c r="N31" i="353" s="1"/>
  <c r="L30" i="353"/>
  <c r="N30" i="353" s="1"/>
  <c r="L29" i="353"/>
  <c r="N29" i="353" s="1"/>
  <c r="L28" i="353"/>
  <c r="N28" i="353" s="1"/>
  <c r="L27" i="353"/>
  <c r="N27" i="353" s="1"/>
  <c r="L26" i="353"/>
  <c r="N26" i="353" s="1"/>
  <c r="L24" i="353"/>
  <c r="N24" i="353" s="1"/>
  <c r="L23" i="353"/>
  <c r="N23" i="353" s="1"/>
  <c r="L22" i="353"/>
  <c r="N22" i="353" s="1"/>
  <c r="L21" i="353"/>
  <c r="L19" i="353"/>
  <c r="N19" i="353" s="1"/>
  <c r="L18" i="353"/>
  <c r="N18" i="353" s="1"/>
  <c r="L13" i="353"/>
  <c r="N13" i="353" s="1"/>
  <c r="L12" i="353"/>
  <c r="N12" i="353" s="1"/>
  <c r="L11" i="353"/>
  <c r="L14" i="353" s="1"/>
  <c r="N14" i="353" s="1"/>
  <c r="K86" i="293"/>
  <c r="Y40" i="481"/>
  <c r="J75" i="293"/>
  <c r="L71" i="293"/>
  <c r="N71" i="293" s="1"/>
  <c r="L70" i="293"/>
  <c r="N70" i="293" s="1"/>
  <c r="L69" i="293"/>
  <c r="N69" i="293" s="1"/>
  <c r="L68" i="293"/>
  <c r="N68" i="293" s="1"/>
  <c r="L67" i="293"/>
  <c r="N67" i="293" s="1"/>
  <c r="L66" i="293"/>
  <c r="N66" i="293" s="1"/>
  <c r="L65" i="293"/>
  <c r="N65" i="293" s="1"/>
  <c r="L64" i="293"/>
  <c r="N64" i="293" s="1"/>
  <c r="L63" i="293"/>
  <c r="J60" i="293"/>
  <c r="L55" i="293"/>
  <c r="N55" i="293" s="1"/>
  <c r="L54" i="293"/>
  <c r="N54" i="293" s="1"/>
  <c r="L53" i="293"/>
  <c r="N53" i="293" s="1"/>
  <c r="L52" i="293"/>
  <c r="N52" i="293" s="1"/>
  <c r="L51" i="293"/>
  <c r="N51" i="293" s="1"/>
  <c r="L50" i="293"/>
  <c r="N50" i="293" s="1"/>
  <c r="L49" i="293"/>
  <c r="N49" i="293" s="1"/>
  <c r="L48" i="293"/>
  <c r="N48" i="293" s="1"/>
  <c r="L47" i="293"/>
  <c r="N47" i="293" s="1"/>
  <c r="L46" i="293"/>
  <c r="N46" i="293" s="1"/>
  <c r="L45" i="293"/>
  <c r="N45" i="293" s="1"/>
  <c r="L44" i="293"/>
  <c r="N44" i="293" s="1"/>
  <c r="L43" i="293"/>
  <c r="N43" i="293" s="1"/>
  <c r="L42" i="293"/>
  <c r="N42" i="293" s="1"/>
  <c r="L41" i="293"/>
  <c r="N41" i="293" s="1"/>
  <c r="L40" i="293"/>
  <c r="N40" i="293" s="1"/>
  <c r="L39" i="293"/>
  <c r="N39" i="293" s="1"/>
  <c r="L38" i="293"/>
  <c r="N38" i="293" s="1"/>
  <c r="L37" i="293"/>
  <c r="N37" i="293" s="1"/>
  <c r="L36" i="293"/>
  <c r="N36" i="293" s="1"/>
  <c r="L35" i="293"/>
  <c r="N35" i="293" s="1"/>
  <c r="L34" i="293"/>
  <c r="N34" i="293" s="1"/>
  <c r="L32" i="293"/>
  <c r="N32" i="293" s="1"/>
  <c r="L31" i="293"/>
  <c r="N31" i="293" s="1"/>
  <c r="L30" i="293"/>
  <c r="N30" i="293" s="1"/>
  <c r="L29" i="293"/>
  <c r="N29" i="293" s="1"/>
  <c r="L28" i="293"/>
  <c r="N28" i="293" s="1"/>
  <c r="L26" i="293"/>
  <c r="N26" i="293" s="1"/>
  <c r="L25" i="293"/>
  <c r="N25" i="293" s="1"/>
  <c r="L24" i="293"/>
  <c r="N24" i="293" s="1"/>
  <c r="L23" i="293"/>
  <c r="N23" i="293" s="1"/>
  <c r="L16" i="293"/>
  <c r="N16" i="293" s="1"/>
  <c r="L15" i="293"/>
  <c r="N15" i="293" s="1"/>
  <c r="L14" i="293"/>
  <c r="N14" i="293" s="1"/>
  <c r="L13" i="293"/>
  <c r="N13" i="293" s="1"/>
  <c r="L12" i="293"/>
  <c r="N12" i="293" s="1"/>
  <c r="L11" i="293"/>
  <c r="N11" i="293" s="1"/>
  <c r="A40" i="27"/>
  <c r="J69" i="500"/>
  <c r="R69" i="500" s="1"/>
  <c r="J68" i="500"/>
  <c r="R68" i="500" s="1"/>
  <c r="J67" i="500"/>
  <c r="N67" i="500" s="1"/>
  <c r="P67" i="500" s="1"/>
  <c r="J66" i="500"/>
  <c r="R66" i="500" s="1"/>
  <c r="J65" i="500"/>
  <c r="R65" i="500" s="1"/>
  <c r="J64" i="500"/>
  <c r="N64" i="500" s="1"/>
  <c r="J63" i="500"/>
  <c r="N63" i="500" s="1"/>
  <c r="J62" i="500"/>
  <c r="R62" i="500" s="1"/>
  <c r="J61" i="500"/>
  <c r="N61" i="500" s="1"/>
  <c r="J60" i="500"/>
  <c r="N60" i="500" s="1"/>
  <c r="P60" i="500" s="1"/>
  <c r="J59" i="500"/>
  <c r="R59" i="500" s="1"/>
  <c r="J58" i="500"/>
  <c r="R58" i="500" s="1"/>
  <c r="J56" i="500"/>
  <c r="N56" i="500" s="1"/>
  <c r="P56" i="500" s="1"/>
  <c r="J55" i="500"/>
  <c r="N55" i="500" s="1"/>
  <c r="J54" i="500"/>
  <c r="R54" i="500" s="1"/>
  <c r="J53" i="500"/>
  <c r="R53" i="500" s="1"/>
  <c r="J45" i="500"/>
  <c r="N45" i="500" s="1"/>
  <c r="J44" i="500"/>
  <c r="R44" i="500" s="1"/>
  <c r="J43" i="500"/>
  <c r="N43" i="500" s="1"/>
  <c r="J42" i="500"/>
  <c r="R42" i="500" s="1"/>
  <c r="J41" i="500"/>
  <c r="N41" i="500" s="1"/>
  <c r="P41" i="500" s="1"/>
  <c r="J40" i="500"/>
  <c r="N40" i="500" s="1"/>
  <c r="J37" i="500"/>
  <c r="N37" i="500" s="1"/>
  <c r="J36" i="500"/>
  <c r="R36" i="500" s="1"/>
  <c r="J33" i="500"/>
  <c r="R33" i="500" s="1"/>
  <c r="J32" i="500"/>
  <c r="J29" i="500"/>
  <c r="R29" i="500" s="1"/>
  <c r="J28" i="500"/>
  <c r="N28" i="500" s="1"/>
  <c r="P28" i="500" s="1"/>
  <c r="J26" i="500"/>
  <c r="R26" i="500" s="1"/>
  <c r="J25" i="500"/>
  <c r="R25" i="500" s="1"/>
  <c r="J23" i="500"/>
  <c r="N23" i="500" s="1"/>
  <c r="J12" i="500"/>
  <c r="N12" i="500" s="1"/>
  <c r="P12" i="500" s="1"/>
  <c r="J11" i="500"/>
  <c r="R11" i="500" s="1"/>
  <c r="J10" i="500"/>
  <c r="N10" i="500" s="1"/>
  <c r="A14" i="476"/>
  <c r="J64" i="498"/>
  <c r="R64" i="498" s="1"/>
  <c r="J63" i="498"/>
  <c r="N63" i="498" s="1"/>
  <c r="J62" i="498"/>
  <c r="N62" i="498" s="1"/>
  <c r="J61" i="498"/>
  <c r="N61" i="498" s="1"/>
  <c r="J60" i="498"/>
  <c r="N60" i="498" s="1"/>
  <c r="J59" i="498"/>
  <c r="R59" i="498" s="1"/>
  <c r="J58" i="498"/>
  <c r="R58" i="498" s="1"/>
  <c r="J57" i="498"/>
  <c r="N57" i="498" s="1"/>
  <c r="J56" i="498"/>
  <c r="N56" i="498" s="1"/>
  <c r="P56" i="498" s="1"/>
  <c r="J55" i="498"/>
  <c r="R55" i="498" s="1"/>
  <c r="J54" i="498"/>
  <c r="R54" i="498" s="1"/>
  <c r="J52" i="498"/>
  <c r="N52" i="498" s="1"/>
  <c r="J51" i="498"/>
  <c r="R51" i="498" s="1"/>
  <c r="J50" i="498"/>
  <c r="N50" i="498" s="1"/>
  <c r="J42" i="498"/>
  <c r="N42" i="498" s="1"/>
  <c r="J41" i="498"/>
  <c r="R41" i="498" s="1"/>
  <c r="J40" i="498"/>
  <c r="R40" i="498" s="1"/>
  <c r="J39" i="498"/>
  <c r="R39" i="498" s="1"/>
  <c r="J38" i="498"/>
  <c r="N38" i="498" s="1"/>
  <c r="J37" i="498"/>
  <c r="J34" i="498"/>
  <c r="R34" i="498" s="1"/>
  <c r="J33" i="498"/>
  <c r="N33" i="498" s="1"/>
  <c r="J30" i="498"/>
  <c r="J29" i="498"/>
  <c r="N29" i="498" s="1"/>
  <c r="J26" i="498"/>
  <c r="R26" i="498" s="1"/>
  <c r="J25" i="498"/>
  <c r="R25" i="498" s="1"/>
  <c r="J23" i="498"/>
  <c r="J12" i="498"/>
  <c r="N12" i="498" s="1"/>
  <c r="J11" i="498"/>
  <c r="R11" i="498" s="1"/>
  <c r="J10" i="498"/>
  <c r="N10" i="498" s="1"/>
  <c r="A14" i="480"/>
  <c r="J78" i="496"/>
  <c r="N78" i="496" s="1"/>
  <c r="P78" i="496" s="1"/>
  <c r="J77" i="496"/>
  <c r="R77" i="496" s="1"/>
  <c r="J76" i="496"/>
  <c r="N76" i="496" s="1"/>
  <c r="P76" i="496" s="1"/>
  <c r="J75" i="496"/>
  <c r="R75" i="496" s="1"/>
  <c r="J74" i="496"/>
  <c r="R74" i="496" s="1"/>
  <c r="J73" i="496"/>
  <c r="R73" i="496" s="1"/>
  <c r="J72" i="496"/>
  <c r="R72" i="496" s="1"/>
  <c r="J71" i="496"/>
  <c r="R71" i="496" s="1"/>
  <c r="J70" i="496"/>
  <c r="N70" i="496" s="1"/>
  <c r="J69" i="496"/>
  <c r="R69" i="496" s="1"/>
  <c r="J68" i="496"/>
  <c r="N68" i="496" s="1"/>
  <c r="P68" i="496" s="1"/>
  <c r="J67" i="496"/>
  <c r="R67" i="496" s="1"/>
  <c r="J65" i="496"/>
  <c r="N65" i="496" s="1"/>
  <c r="P65" i="496" s="1"/>
  <c r="J64" i="496"/>
  <c r="N64" i="496" s="1"/>
  <c r="P64" i="496" s="1"/>
  <c r="J63" i="496"/>
  <c r="R63" i="496" s="1"/>
  <c r="J62" i="496"/>
  <c r="R62" i="496" s="1"/>
  <c r="J54" i="496"/>
  <c r="R54" i="496" s="1"/>
  <c r="J53" i="496"/>
  <c r="R53" i="496" s="1"/>
  <c r="J52" i="496"/>
  <c r="R52" i="496" s="1"/>
  <c r="J51" i="496"/>
  <c r="N51" i="496" s="1"/>
  <c r="J50" i="496"/>
  <c r="R50" i="496" s="1"/>
  <c r="J49" i="496"/>
  <c r="N49" i="496" s="1"/>
  <c r="P49" i="496" s="1"/>
  <c r="J46" i="496"/>
  <c r="N46" i="496" s="1"/>
  <c r="J45" i="496"/>
  <c r="R45" i="496" s="1"/>
  <c r="J42" i="496"/>
  <c r="N42" i="496" s="1"/>
  <c r="P42" i="496" s="1"/>
  <c r="J41" i="496"/>
  <c r="N41" i="496" s="1"/>
  <c r="P41" i="496" s="1"/>
  <c r="J38" i="496"/>
  <c r="R38" i="496" s="1"/>
  <c r="J37" i="496"/>
  <c r="R37" i="496" s="1"/>
  <c r="J35" i="496"/>
  <c r="R35" i="496" s="1"/>
  <c r="J34" i="496"/>
  <c r="R34" i="496" s="1"/>
  <c r="J32" i="496"/>
  <c r="N32" i="496" s="1"/>
  <c r="J12" i="496"/>
  <c r="N12" i="496" s="1"/>
  <c r="J11" i="496"/>
  <c r="R11" i="496" s="1"/>
  <c r="J10" i="496"/>
  <c r="R10" i="496" s="1"/>
  <c r="A30" i="481"/>
  <c r="J78" i="494"/>
  <c r="R78" i="494" s="1"/>
  <c r="J77" i="494"/>
  <c r="R77" i="494" s="1"/>
  <c r="J76" i="494"/>
  <c r="R76" i="494" s="1"/>
  <c r="J75" i="494"/>
  <c r="R75" i="494" s="1"/>
  <c r="J74" i="494"/>
  <c r="N74" i="494" s="1"/>
  <c r="P74" i="494" s="1"/>
  <c r="J73" i="494"/>
  <c r="R73" i="494" s="1"/>
  <c r="J72" i="494"/>
  <c r="N72" i="494" s="1"/>
  <c r="P72" i="494" s="1"/>
  <c r="J71" i="494"/>
  <c r="R71" i="494" s="1"/>
  <c r="J70" i="494"/>
  <c r="N70" i="494" s="1"/>
  <c r="P70" i="494" s="1"/>
  <c r="J69" i="494"/>
  <c r="N69" i="494" s="1"/>
  <c r="J68" i="494"/>
  <c r="N68" i="494" s="1"/>
  <c r="P68" i="494" s="1"/>
  <c r="J66" i="494"/>
  <c r="R66" i="494" s="1"/>
  <c r="J65" i="494"/>
  <c r="N65" i="494" s="1"/>
  <c r="J64" i="494"/>
  <c r="N64" i="494" s="1"/>
  <c r="J56" i="494"/>
  <c r="R56" i="494" s="1"/>
  <c r="J55" i="494"/>
  <c r="N55" i="494" s="1"/>
  <c r="J54" i="494"/>
  <c r="N54" i="494" s="1"/>
  <c r="P54" i="494" s="1"/>
  <c r="J53" i="494"/>
  <c r="R53" i="494" s="1"/>
  <c r="J52" i="494"/>
  <c r="R52" i="494" s="1"/>
  <c r="J51" i="494"/>
  <c r="N51" i="494" s="1"/>
  <c r="J48" i="494"/>
  <c r="R48" i="494" s="1"/>
  <c r="J47" i="494"/>
  <c r="N47" i="494" s="1"/>
  <c r="P47" i="494" s="1"/>
  <c r="J44" i="494"/>
  <c r="N44" i="494" s="1"/>
  <c r="J43" i="494"/>
  <c r="R43" i="494" s="1"/>
  <c r="J40" i="494"/>
  <c r="R40" i="494" s="1"/>
  <c r="J39" i="494"/>
  <c r="N39" i="494" s="1"/>
  <c r="J37" i="494"/>
  <c r="N37" i="494" s="1"/>
  <c r="J12" i="494"/>
  <c r="R12" i="494" s="1"/>
  <c r="J11" i="494"/>
  <c r="R11" i="494" s="1"/>
  <c r="J10" i="494"/>
  <c r="R10" i="494" s="1"/>
  <c r="J82" i="464"/>
  <c r="N82" i="464" s="1"/>
  <c r="P82" i="464" s="1"/>
  <c r="J81" i="464"/>
  <c r="N81" i="464" s="1"/>
  <c r="P81" i="464" s="1"/>
  <c r="J80" i="464"/>
  <c r="N80" i="464" s="1"/>
  <c r="P80" i="464" s="1"/>
  <c r="J79" i="464"/>
  <c r="N79" i="464" s="1"/>
  <c r="P79" i="464" s="1"/>
  <c r="J78" i="464"/>
  <c r="R78" i="464" s="1"/>
  <c r="J77" i="464"/>
  <c r="R77" i="464" s="1"/>
  <c r="J76" i="464"/>
  <c r="R76" i="464" s="1"/>
  <c r="J75" i="464"/>
  <c r="N75" i="464" s="1"/>
  <c r="P75" i="464" s="1"/>
  <c r="J74" i="464"/>
  <c r="R74" i="464" s="1"/>
  <c r="J73" i="464"/>
  <c r="R73" i="464" s="1"/>
  <c r="J72" i="464"/>
  <c r="R72" i="464" s="1"/>
  <c r="J70" i="464"/>
  <c r="N70" i="464" s="1"/>
  <c r="P70" i="464" s="1"/>
  <c r="J69" i="464"/>
  <c r="N69" i="464" s="1"/>
  <c r="P69" i="464" s="1"/>
  <c r="J68" i="464"/>
  <c r="R68" i="464" s="1"/>
  <c r="J60" i="464"/>
  <c r="N60" i="464" s="1"/>
  <c r="P60" i="464" s="1"/>
  <c r="J59" i="464"/>
  <c r="R59" i="464" s="1"/>
  <c r="J58" i="464"/>
  <c r="R58" i="464" s="1"/>
  <c r="J57" i="464"/>
  <c r="R57" i="464" s="1"/>
  <c r="J56" i="464"/>
  <c r="N56" i="464" s="1"/>
  <c r="J55" i="464"/>
  <c r="R55" i="464" s="1"/>
  <c r="J52" i="464"/>
  <c r="N52" i="464" s="1"/>
  <c r="P52" i="464" s="1"/>
  <c r="J51" i="464"/>
  <c r="R51" i="464" s="1"/>
  <c r="J48" i="464"/>
  <c r="R48" i="464" s="1"/>
  <c r="J47" i="464"/>
  <c r="R47" i="464" s="1"/>
  <c r="J44" i="464"/>
  <c r="R44" i="464" s="1"/>
  <c r="J43" i="464"/>
  <c r="R43" i="464" s="1"/>
  <c r="J41" i="464"/>
  <c r="R41" i="464" s="1"/>
  <c r="J39" i="464"/>
  <c r="R39" i="464" s="1"/>
  <c r="J13" i="464"/>
  <c r="N13" i="464" s="1"/>
  <c r="P13" i="464" s="1"/>
  <c r="J12" i="464"/>
  <c r="N12" i="464" s="1"/>
  <c r="P12" i="464" s="1"/>
  <c r="J11" i="464"/>
  <c r="R11" i="464" s="1"/>
  <c r="J10" i="464"/>
  <c r="R10" i="464" s="1"/>
  <c r="J90" i="460"/>
  <c r="N90" i="460" s="1"/>
  <c r="J89" i="460"/>
  <c r="N89" i="460" s="1"/>
  <c r="P89" i="460" s="1"/>
  <c r="J88" i="460"/>
  <c r="N88" i="460" s="1"/>
  <c r="J87" i="460"/>
  <c r="N87" i="460" s="1"/>
  <c r="J86" i="460"/>
  <c r="N86" i="460" s="1"/>
  <c r="P86" i="460" s="1"/>
  <c r="J85" i="460"/>
  <c r="R85" i="460" s="1"/>
  <c r="J84" i="460"/>
  <c r="R84" i="460" s="1"/>
  <c r="J83" i="460"/>
  <c r="R83" i="460" s="1"/>
  <c r="J82" i="460"/>
  <c r="R82" i="460" s="1"/>
  <c r="J81" i="460"/>
  <c r="R81" i="460" s="1"/>
  <c r="J80" i="460"/>
  <c r="N80" i="460" s="1"/>
  <c r="J79" i="460"/>
  <c r="N79" i="460" s="1"/>
  <c r="P79" i="460" s="1"/>
  <c r="J77" i="460"/>
  <c r="R77" i="460" s="1"/>
  <c r="J76" i="460"/>
  <c r="R76" i="460" s="1"/>
  <c r="J75" i="460"/>
  <c r="R75" i="460" s="1"/>
  <c r="J74" i="460"/>
  <c r="R74" i="460" s="1"/>
  <c r="J66" i="460"/>
  <c r="N66" i="460" s="1"/>
  <c r="J65" i="460"/>
  <c r="N65" i="460" s="1"/>
  <c r="J64" i="460"/>
  <c r="R64" i="460" s="1"/>
  <c r="J63" i="460"/>
  <c r="N63" i="460" s="1"/>
  <c r="P63" i="460" s="1"/>
  <c r="J62" i="460"/>
  <c r="R62" i="460" s="1"/>
  <c r="J61" i="460"/>
  <c r="R61" i="460" s="1"/>
  <c r="J58" i="460"/>
  <c r="N58" i="460" s="1"/>
  <c r="J57" i="460"/>
  <c r="N57" i="460" s="1"/>
  <c r="J54" i="460"/>
  <c r="R54" i="460" s="1"/>
  <c r="J53" i="460"/>
  <c r="N53" i="460" s="1"/>
  <c r="J50" i="460"/>
  <c r="N50" i="460" s="1"/>
  <c r="J49" i="460"/>
  <c r="R49" i="460" s="1"/>
  <c r="J47" i="460"/>
  <c r="N47" i="460" s="1"/>
  <c r="P47" i="460" s="1"/>
  <c r="J46" i="460"/>
  <c r="N46" i="460" s="1"/>
  <c r="J44" i="460"/>
  <c r="R44" i="460" s="1"/>
  <c r="J13" i="460"/>
  <c r="R13" i="460" s="1"/>
  <c r="J12" i="460"/>
  <c r="N12" i="460" s="1"/>
  <c r="P12" i="460" s="1"/>
  <c r="J11" i="460"/>
  <c r="R11" i="460" s="1"/>
  <c r="J10" i="460"/>
  <c r="R10" i="460" s="1"/>
  <c r="X22" i="476"/>
  <c r="J89" i="458"/>
  <c r="J88" i="458"/>
  <c r="R88" i="458" s="1"/>
  <c r="J87" i="458"/>
  <c r="J86" i="458"/>
  <c r="J85" i="458"/>
  <c r="J84" i="458"/>
  <c r="N84" i="458" s="1"/>
  <c r="P84" i="458" s="1"/>
  <c r="J83" i="458"/>
  <c r="R83" i="458" s="1"/>
  <c r="J82" i="458"/>
  <c r="J81" i="458"/>
  <c r="N81" i="458" s="1"/>
  <c r="J80" i="458"/>
  <c r="R80" i="458" s="1"/>
  <c r="J79" i="458"/>
  <c r="N79" i="458" s="1"/>
  <c r="J78" i="458"/>
  <c r="J76" i="458"/>
  <c r="N76" i="458" s="1"/>
  <c r="J75" i="458"/>
  <c r="R75" i="458" s="1"/>
  <c r="J74" i="458"/>
  <c r="J73" i="458"/>
  <c r="R73" i="458" s="1"/>
  <c r="J65" i="458"/>
  <c r="R65" i="458" s="1"/>
  <c r="J64" i="458"/>
  <c r="N64" i="458" s="1"/>
  <c r="J63" i="458"/>
  <c r="N63" i="458" s="1"/>
  <c r="J62" i="458"/>
  <c r="N62" i="458" s="1"/>
  <c r="J61" i="458"/>
  <c r="R61" i="458" s="1"/>
  <c r="J60" i="458"/>
  <c r="N60" i="458" s="1"/>
  <c r="P60" i="458" s="1"/>
  <c r="J57" i="458"/>
  <c r="N57" i="458" s="1"/>
  <c r="P57" i="458" s="1"/>
  <c r="J56" i="458"/>
  <c r="R56" i="458" s="1"/>
  <c r="J53" i="458"/>
  <c r="N53" i="458" s="1"/>
  <c r="P53" i="458" s="1"/>
  <c r="J52" i="458"/>
  <c r="R52" i="458" s="1"/>
  <c r="J49" i="458"/>
  <c r="R49" i="458" s="1"/>
  <c r="J48" i="458"/>
  <c r="N48" i="458" s="1"/>
  <c r="J46" i="458"/>
  <c r="N46" i="458" s="1"/>
  <c r="P46" i="458" s="1"/>
  <c r="J45" i="458"/>
  <c r="N45" i="458" s="1"/>
  <c r="J43" i="458"/>
  <c r="N43" i="458" s="1"/>
  <c r="P43" i="458" s="1"/>
  <c r="J13" i="458"/>
  <c r="N13" i="458" s="1"/>
  <c r="J12" i="458"/>
  <c r="J11" i="458"/>
  <c r="N11" i="458" s="1"/>
  <c r="J10" i="458"/>
  <c r="N10" i="458" s="1"/>
  <c r="P10" i="458" s="1"/>
  <c r="A21" i="480"/>
  <c r="J78" i="456"/>
  <c r="R78" i="456" s="1"/>
  <c r="J77" i="456"/>
  <c r="N77" i="456" s="1"/>
  <c r="J76" i="456"/>
  <c r="R76" i="456" s="1"/>
  <c r="J75" i="456"/>
  <c r="N75" i="456" s="1"/>
  <c r="P75" i="456" s="1"/>
  <c r="J74" i="456"/>
  <c r="R74" i="456" s="1"/>
  <c r="J73" i="456"/>
  <c r="N73" i="456" s="1"/>
  <c r="J72" i="456"/>
  <c r="R72" i="456" s="1"/>
  <c r="J71" i="456"/>
  <c r="R71" i="456" s="1"/>
  <c r="J70" i="456"/>
  <c r="N70" i="456" s="1"/>
  <c r="J69" i="456"/>
  <c r="R69" i="456" s="1"/>
  <c r="J68" i="456"/>
  <c r="N68" i="456" s="1"/>
  <c r="P68" i="456" s="1"/>
  <c r="J67" i="456"/>
  <c r="N67" i="456" s="1"/>
  <c r="P67" i="456" s="1"/>
  <c r="J65" i="456"/>
  <c r="R65" i="456" s="1"/>
  <c r="J64" i="456"/>
  <c r="N64" i="456" s="1"/>
  <c r="J63" i="456"/>
  <c r="N63" i="456" s="1"/>
  <c r="J62" i="456"/>
  <c r="R62" i="456" s="1"/>
  <c r="J54" i="456"/>
  <c r="N54" i="456" s="1"/>
  <c r="J53" i="456"/>
  <c r="N53" i="456" s="1"/>
  <c r="P53" i="456" s="1"/>
  <c r="J52" i="456"/>
  <c r="N52" i="456" s="1"/>
  <c r="J51" i="456"/>
  <c r="N51" i="456" s="1"/>
  <c r="P51" i="456" s="1"/>
  <c r="J50" i="456"/>
  <c r="N50" i="456" s="1"/>
  <c r="P50" i="456" s="1"/>
  <c r="J49" i="456"/>
  <c r="R49" i="456" s="1"/>
  <c r="J46" i="456"/>
  <c r="N46" i="456" s="1"/>
  <c r="P46" i="456" s="1"/>
  <c r="J45" i="456"/>
  <c r="N45" i="456" s="1"/>
  <c r="J42" i="456"/>
  <c r="R42" i="456" s="1"/>
  <c r="J41" i="456"/>
  <c r="N41" i="456" s="1"/>
  <c r="J38" i="456"/>
  <c r="R38" i="456" s="1"/>
  <c r="J37" i="456"/>
  <c r="N37" i="456" s="1"/>
  <c r="J35" i="456"/>
  <c r="R35" i="456" s="1"/>
  <c r="J34" i="456"/>
  <c r="N34" i="456" s="1"/>
  <c r="J32" i="456"/>
  <c r="R32" i="456" s="1"/>
  <c r="J12" i="456"/>
  <c r="R12" i="456" s="1"/>
  <c r="J11" i="456"/>
  <c r="R11" i="456" s="1"/>
  <c r="J10" i="456"/>
  <c r="R10" i="456" s="1"/>
  <c r="A28" i="480"/>
  <c r="J80" i="454"/>
  <c r="R80" i="454" s="1"/>
  <c r="J79" i="454"/>
  <c r="R79" i="454" s="1"/>
  <c r="J78" i="454"/>
  <c r="R78" i="454" s="1"/>
  <c r="J77" i="454"/>
  <c r="R77" i="454" s="1"/>
  <c r="J76" i="454"/>
  <c r="N76" i="454" s="1"/>
  <c r="P76" i="454" s="1"/>
  <c r="J75" i="454"/>
  <c r="R75" i="454" s="1"/>
  <c r="J74" i="454"/>
  <c r="N74" i="454" s="1"/>
  <c r="J73" i="454"/>
  <c r="N73" i="454" s="1"/>
  <c r="J72" i="454"/>
  <c r="R72" i="454" s="1"/>
  <c r="J71" i="454"/>
  <c r="R71" i="454" s="1"/>
  <c r="J70" i="454"/>
  <c r="N70" i="454" s="1"/>
  <c r="P70" i="454" s="1"/>
  <c r="J68" i="454"/>
  <c r="N68" i="454" s="1"/>
  <c r="P68" i="454" s="1"/>
  <c r="J67" i="454"/>
  <c r="N67" i="454" s="1"/>
  <c r="J66" i="454"/>
  <c r="N66" i="454" s="1"/>
  <c r="J58" i="454"/>
  <c r="R58" i="454" s="1"/>
  <c r="J57" i="454"/>
  <c r="R57" i="454" s="1"/>
  <c r="J56" i="454"/>
  <c r="R56" i="454" s="1"/>
  <c r="J55" i="454"/>
  <c r="R55" i="454" s="1"/>
  <c r="J54" i="454"/>
  <c r="R54" i="454" s="1"/>
  <c r="J53" i="454"/>
  <c r="N53" i="454" s="1"/>
  <c r="P53" i="454" s="1"/>
  <c r="J50" i="454"/>
  <c r="N50" i="454" s="1"/>
  <c r="P50" i="454" s="1"/>
  <c r="J49" i="454"/>
  <c r="J46" i="454"/>
  <c r="R46" i="454" s="1"/>
  <c r="J45" i="454"/>
  <c r="N45" i="454" s="1"/>
  <c r="P45" i="454" s="1"/>
  <c r="J42" i="454"/>
  <c r="N42" i="454" s="1"/>
  <c r="J41" i="454"/>
  <c r="N41" i="454" s="1"/>
  <c r="P41" i="454" s="1"/>
  <c r="J39" i="454"/>
  <c r="R39" i="454" s="1"/>
  <c r="J13" i="454"/>
  <c r="R13" i="454" s="1"/>
  <c r="J12" i="454"/>
  <c r="R12" i="454" s="1"/>
  <c r="J11" i="454"/>
  <c r="R11" i="454" s="1"/>
  <c r="J10" i="454"/>
  <c r="N10" i="454" s="1"/>
  <c r="A26" i="27"/>
  <c r="J79" i="474"/>
  <c r="R79" i="474" s="1"/>
  <c r="J78" i="474"/>
  <c r="R78" i="474" s="1"/>
  <c r="J77" i="474"/>
  <c r="R77" i="474" s="1"/>
  <c r="J76" i="474"/>
  <c r="R76" i="474" s="1"/>
  <c r="J75" i="474"/>
  <c r="R75" i="474" s="1"/>
  <c r="J74" i="474"/>
  <c r="N74" i="474" s="1"/>
  <c r="J73" i="474"/>
  <c r="R73" i="474" s="1"/>
  <c r="J72" i="474"/>
  <c r="R72" i="474" s="1"/>
  <c r="J71" i="474"/>
  <c r="R71" i="474" s="1"/>
  <c r="J70" i="474"/>
  <c r="R70" i="474" s="1"/>
  <c r="J69" i="474"/>
  <c r="R69" i="474" s="1"/>
  <c r="J67" i="474"/>
  <c r="R67" i="474" s="1"/>
  <c r="J66" i="474"/>
  <c r="N66" i="474" s="1"/>
  <c r="J65" i="474"/>
  <c r="R65" i="474" s="1"/>
  <c r="J57" i="474"/>
  <c r="N57" i="474" s="1"/>
  <c r="P57" i="474" s="1"/>
  <c r="J56" i="474"/>
  <c r="N56" i="474" s="1"/>
  <c r="J55" i="474"/>
  <c r="R55" i="474" s="1"/>
  <c r="J54" i="474"/>
  <c r="R54" i="474" s="1"/>
  <c r="J53" i="474"/>
  <c r="N53" i="474" s="1"/>
  <c r="J52" i="474"/>
  <c r="N52" i="474" s="1"/>
  <c r="J49" i="474"/>
  <c r="R49" i="474" s="1"/>
  <c r="J48" i="474"/>
  <c r="N48" i="474" s="1"/>
  <c r="J45" i="474"/>
  <c r="R45" i="474" s="1"/>
  <c r="J44" i="474"/>
  <c r="R44" i="474" s="1"/>
  <c r="J41" i="474"/>
  <c r="N41" i="474" s="1"/>
  <c r="P41" i="474" s="1"/>
  <c r="J40" i="474"/>
  <c r="R40" i="474" s="1"/>
  <c r="J38" i="474"/>
  <c r="R38" i="474" s="1"/>
  <c r="J13" i="474"/>
  <c r="R13" i="474" s="1"/>
  <c r="J12" i="474"/>
  <c r="R12" i="474" s="1"/>
  <c r="J11" i="474"/>
  <c r="N11" i="474" s="1"/>
  <c r="J10" i="474"/>
  <c r="R10" i="474" s="1"/>
  <c r="A25" i="27"/>
  <c r="J90" i="450"/>
  <c r="N90" i="450" s="1"/>
  <c r="P90" i="450" s="1"/>
  <c r="J89" i="450"/>
  <c r="N89" i="450" s="1"/>
  <c r="J88" i="450"/>
  <c r="N88" i="450" s="1"/>
  <c r="P88" i="450" s="1"/>
  <c r="J87" i="450"/>
  <c r="N87" i="450" s="1"/>
  <c r="P87" i="450" s="1"/>
  <c r="J86" i="450"/>
  <c r="N86" i="450" s="1"/>
  <c r="J85" i="450"/>
  <c r="R85" i="450" s="1"/>
  <c r="J84" i="450"/>
  <c r="R84" i="450" s="1"/>
  <c r="J83" i="450"/>
  <c r="N83" i="450" s="1"/>
  <c r="P83" i="450" s="1"/>
  <c r="J82" i="450"/>
  <c r="N82" i="450" s="1"/>
  <c r="J81" i="450"/>
  <c r="N81" i="450" s="1"/>
  <c r="J80" i="450"/>
  <c r="R80" i="450" s="1"/>
  <c r="J79" i="450"/>
  <c r="N79" i="450" s="1"/>
  <c r="P79" i="450" s="1"/>
  <c r="J77" i="450"/>
  <c r="N77" i="450" s="1"/>
  <c r="J76" i="450"/>
  <c r="N76" i="450" s="1"/>
  <c r="J75" i="450"/>
  <c r="N75" i="450" s="1"/>
  <c r="J74" i="450"/>
  <c r="N74" i="450" s="1"/>
  <c r="P74" i="450" s="1"/>
  <c r="J66" i="450"/>
  <c r="N66" i="450" s="1"/>
  <c r="J65" i="450"/>
  <c r="N65" i="450" s="1"/>
  <c r="P65" i="450" s="1"/>
  <c r="J64" i="450"/>
  <c r="N64" i="450" s="1"/>
  <c r="J63" i="450"/>
  <c r="R63" i="450" s="1"/>
  <c r="J62" i="450"/>
  <c r="N62" i="450" s="1"/>
  <c r="P62" i="450" s="1"/>
  <c r="J61" i="450"/>
  <c r="R61" i="450" s="1"/>
  <c r="J58" i="450"/>
  <c r="R58" i="450" s="1"/>
  <c r="J57" i="450"/>
  <c r="N57" i="450" s="1"/>
  <c r="J54" i="450"/>
  <c r="R54" i="450" s="1"/>
  <c r="J53" i="450"/>
  <c r="R53" i="450" s="1"/>
  <c r="J50" i="450"/>
  <c r="R50" i="450" s="1"/>
  <c r="J49" i="450"/>
  <c r="N49" i="450" s="1"/>
  <c r="J47" i="450"/>
  <c r="N47" i="450" s="1"/>
  <c r="J46" i="450"/>
  <c r="R46" i="450" s="1"/>
  <c r="J44" i="450"/>
  <c r="N44" i="450" s="1"/>
  <c r="P44" i="450" s="1"/>
  <c r="J13" i="450"/>
  <c r="N13" i="450" s="1"/>
  <c r="P13" i="450" s="1"/>
  <c r="J12" i="450"/>
  <c r="R12" i="450" s="1"/>
  <c r="J11" i="450"/>
  <c r="N11" i="450" s="1"/>
  <c r="P11" i="450" s="1"/>
  <c r="J10" i="450"/>
  <c r="N10" i="450" s="1"/>
  <c r="A24" i="481"/>
  <c r="J89" i="448"/>
  <c r="R89" i="448" s="1"/>
  <c r="J88" i="448"/>
  <c r="R88" i="448" s="1"/>
  <c r="J87" i="448"/>
  <c r="R87" i="448" s="1"/>
  <c r="J86" i="448"/>
  <c r="R86" i="448" s="1"/>
  <c r="J85" i="448"/>
  <c r="R85" i="448" s="1"/>
  <c r="J84" i="448"/>
  <c r="R84" i="448" s="1"/>
  <c r="J83" i="448"/>
  <c r="N83" i="448" s="1"/>
  <c r="P83" i="448" s="1"/>
  <c r="J82" i="448"/>
  <c r="R82" i="448" s="1"/>
  <c r="J81" i="448"/>
  <c r="R81" i="448" s="1"/>
  <c r="J80" i="448"/>
  <c r="N80" i="448" s="1"/>
  <c r="P80" i="448" s="1"/>
  <c r="J79" i="448"/>
  <c r="R79" i="448" s="1"/>
  <c r="J78" i="448"/>
  <c r="N78" i="448" s="1"/>
  <c r="P78" i="448" s="1"/>
  <c r="J76" i="448"/>
  <c r="N76" i="448" s="1"/>
  <c r="J75" i="448"/>
  <c r="N75" i="448" s="1"/>
  <c r="J74" i="448"/>
  <c r="R74" i="448" s="1"/>
  <c r="J73" i="448"/>
  <c r="N73" i="448" s="1"/>
  <c r="J65" i="448"/>
  <c r="R65" i="448" s="1"/>
  <c r="J64" i="448"/>
  <c r="N64" i="448" s="1"/>
  <c r="J63" i="448"/>
  <c r="N63" i="448" s="1"/>
  <c r="J62" i="448"/>
  <c r="N62" i="448" s="1"/>
  <c r="P62" i="448" s="1"/>
  <c r="J61" i="448"/>
  <c r="R61" i="448" s="1"/>
  <c r="J60" i="448"/>
  <c r="N60" i="448" s="1"/>
  <c r="J57" i="448"/>
  <c r="N57" i="448" s="1"/>
  <c r="J56" i="448"/>
  <c r="R56" i="448" s="1"/>
  <c r="J53" i="448"/>
  <c r="R53" i="448" s="1"/>
  <c r="J52" i="448"/>
  <c r="R52" i="448" s="1"/>
  <c r="J49" i="448"/>
  <c r="N49" i="448" s="1"/>
  <c r="P49" i="448" s="1"/>
  <c r="J48" i="448"/>
  <c r="R48" i="448" s="1"/>
  <c r="J46" i="448"/>
  <c r="N46" i="448" s="1"/>
  <c r="J45" i="448"/>
  <c r="R45" i="448" s="1"/>
  <c r="J43" i="448"/>
  <c r="R43" i="448" s="1"/>
  <c r="J13" i="448"/>
  <c r="R13" i="448" s="1"/>
  <c r="J12" i="448"/>
  <c r="R12" i="448" s="1"/>
  <c r="J11" i="448"/>
  <c r="N11" i="448" s="1"/>
  <c r="P11" i="448" s="1"/>
  <c r="J10" i="448"/>
  <c r="R10" i="448" s="1"/>
  <c r="A23" i="476"/>
  <c r="J74" i="446"/>
  <c r="R74" i="446" s="1"/>
  <c r="J73" i="446"/>
  <c r="N73" i="446" s="1"/>
  <c r="J72" i="446"/>
  <c r="N72" i="446" s="1"/>
  <c r="P72" i="446" s="1"/>
  <c r="J71" i="446"/>
  <c r="R71" i="446" s="1"/>
  <c r="J70" i="446"/>
  <c r="R70" i="446" s="1"/>
  <c r="J69" i="446"/>
  <c r="R69" i="446" s="1"/>
  <c r="J68" i="446"/>
  <c r="R68" i="446" s="1"/>
  <c r="J67" i="446"/>
  <c r="N67" i="446" s="1"/>
  <c r="P67" i="446" s="1"/>
  <c r="J66" i="446"/>
  <c r="N66" i="446" s="1"/>
  <c r="P66" i="446" s="1"/>
  <c r="J65" i="446"/>
  <c r="R65" i="446" s="1"/>
  <c r="J64" i="446"/>
  <c r="N64" i="446" s="1"/>
  <c r="P64" i="446" s="1"/>
  <c r="J62" i="446"/>
  <c r="J61" i="446"/>
  <c r="N61" i="446" s="1"/>
  <c r="J60" i="446"/>
  <c r="N60" i="446" s="1"/>
  <c r="P60" i="446" s="1"/>
  <c r="J52" i="446"/>
  <c r="R52" i="446" s="1"/>
  <c r="J51" i="446"/>
  <c r="J50" i="446"/>
  <c r="R50" i="446" s="1"/>
  <c r="J49" i="446"/>
  <c r="N49" i="446" s="1"/>
  <c r="P49" i="446" s="1"/>
  <c r="J48" i="446"/>
  <c r="R48" i="446" s="1"/>
  <c r="J47" i="446"/>
  <c r="N47" i="446" s="1"/>
  <c r="J44" i="446"/>
  <c r="N44" i="446" s="1"/>
  <c r="P44" i="446" s="1"/>
  <c r="J43" i="446"/>
  <c r="R43" i="446" s="1"/>
  <c r="J40" i="446"/>
  <c r="R40" i="446" s="1"/>
  <c r="J39" i="446"/>
  <c r="R39" i="446" s="1"/>
  <c r="J36" i="446"/>
  <c r="N36" i="446" s="1"/>
  <c r="P36" i="446" s="1"/>
  <c r="J35" i="446"/>
  <c r="N35" i="446" s="1"/>
  <c r="J33" i="446"/>
  <c r="N33" i="446" s="1"/>
  <c r="J31" i="446"/>
  <c r="N31" i="446" s="1"/>
  <c r="J12" i="446"/>
  <c r="R12" i="446" s="1"/>
  <c r="J11" i="446"/>
  <c r="N11" i="446" s="1"/>
  <c r="J10" i="446"/>
  <c r="N10" i="446" s="1"/>
  <c r="P10" i="446" s="1"/>
  <c r="J77" i="442"/>
  <c r="N77" i="442" s="1"/>
  <c r="P77" i="442" s="1"/>
  <c r="J76" i="442"/>
  <c r="N76" i="442" s="1"/>
  <c r="J75" i="442"/>
  <c r="R75" i="442" s="1"/>
  <c r="J74" i="442"/>
  <c r="N74" i="442" s="1"/>
  <c r="J73" i="442"/>
  <c r="N73" i="442" s="1"/>
  <c r="J72" i="442"/>
  <c r="N72" i="442" s="1"/>
  <c r="P72" i="442" s="1"/>
  <c r="J71" i="442"/>
  <c r="R71" i="442" s="1"/>
  <c r="J70" i="442"/>
  <c r="N70" i="442" s="1"/>
  <c r="J69" i="442"/>
  <c r="R69" i="442" s="1"/>
  <c r="J68" i="442"/>
  <c r="R68" i="442" s="1"/>
  <c r="J67" i="442"/>
  <c r="N67" i="442" s="1"/>
  <c r="P67" i="442" s="1"/>
  <c r="J66" i="442"/>
  <c r="R66" i="442" s="1"/>
  <c r="J64" i="442"/>
  <c r="N64" i="442" s="1"/>
  <c r="J63" i="442"/>
  <c r="N63" i="442" s="1"/>
  <c r="J62" i="442"/>
  <c r="N62" i="442" s="1"/>
  <c r="J61" i="442"/>
  <c r="R61" i="442" s="1"/>
  <c r="J53" i="442"/>
  <c r="R53" i="442" s="1"/>
  <c r="J52" i="442"/>
  <c r="R52" i="442" s="1"/>
  <c r="J51" i="442"/>
  <c r="N51" i="442" s="1"/>
  <c r="J50" i="442"/>
  <c r="R50" i="442" s="1"/>
  <c r="J49" i="442"/>
  <c r="R49" i="442" s="1"/>
  <c r="J48" i="442"/>
  <c r="N48" i="442" s="1"/>
  <c r="P48" i="442" s="1"/>
  <c r="J45" i="442"/>
  <c r="N45" i="442" s="1"/>
  <c r="P45" i="442" s="1"/>
  <c r="J44" i="442"/>
  <c r="N44" i="442" s="1"/>
  <c r="J41" i="442"/>
  <c r="R41" i="442" s="1"/>
  <c r="J40" i="442"/>
  <c r="R40" i="442" s="1"/>
  <c r="J37" i="442"/>
  <c r="R37" i="442" s="1"/>
  <c r="J36" i="442"/>
  <c r="R36" i="442" s="1"/>
  <c r="J34" i="442"/>
  <c r="R34" i="442" s="1"/>
  <c r="J33" i="442"/>
  <c r="R33" i="442" s="1"/>
  <c r="J31" i="442"/>
  <c r="N31" i="442" s="1"/>
  <c r="J12" i="442"/>
  <c r="R12" i="442" s="1"/>
  <c r="J11" i="442"/>
  <c r="R11" i="442" s="1"/>
  <c r="J10" i="442"/>
  <c r="N10" i="442" s="1"/>
  <c r="A11" i="27"/>
  <c r="J77" i="440"/>
  <c r="N77" i="440" s="1"/>
  <c r="P77" i="440" s="1"/>
  <c r="J76" i="440"/>
  <c r="R76" i="440" s="1"/>
  <c r="J75" i="440"/>
  <c r="R75" i="440" s="1"/>
  <c r="J74" i="440"/>
  <c r="N74" i="440" s="1"/>
  <c r="J73" i="440"/>
  <c r="N73" i="440" s="1"/>
  <c r="J72" i="440"/>
  <c r="R72" i="440" s="1"/>
  <c r="J71" i="440"/>
  <c r="R71" i="440" s="1"/>
  <c r="J70" i="440"/>
  <c r="R70" i="440" s="1"/>
  <c r="J69" i="440"/>
  <c r="R69" i="440" s="1"/>
  <c r="J68" i="440"/>
  <c r="N68" i="440" s="1"/>
  <c r="J67" i="440"/>
  <c r="N67" i="440" s="1"/>
  <c r="P67" i="440" s="1"/>
  <c r="J66" i="440"/>
  <c r="R66" i="440" s="1"/>
  <c r="J64" i="440"/>
  <c r="N64" i="440" s="1"/>
  <c r="J63" i="440"/>
  <c r="R63" i="440" s="1"/>
  <c r="J62" i="440"/>
  <c r="N62" i="440" s="1"/>
  <c r="P62" i="440" s="1"/>
  <c r="J61" i="440"/>
  <c r="R61" i="440" s="1"/>
  <c r="J53" i="440"/>
  <c r="N53" i="440" s="1"/>
  <c r="J52" i="440"/>
  <c r="N52" i="440" s="1"/>
  <c r="P52" i="440" s="1"/>
  <c r="J51" i="440"/>
  <c r="N51" i="440" s="1"/>
  <c r="P51" i="440" s="1"/>
  <c r="J50" i="440"/>
  <c r="N50" i="440" s="1"/>
  <c r="J49" i="440"/>
  <c r="R49" i="440" s="1"/>
  <c r="J48" i="440"/>
  <c r="R48" i="440" s="1"/>
  <c r="J45" i="440"/>
  <c r="N45" i="440" s="1"/>
  <c r="J44" i="440"/>
  <c r="R44" i="440" s="1"/>
  <c r="J41" i="440"/>
  <c r="N41" i="440" s="1"/>
  <c r="P41" i="440" s="1"/>
  <c r="J40" i="440"/>
  <c r="N40" i="440" s="1"/>
  <c r="P40" i="440" s="1"/>
  <c r="J37" i="440"/>
  <c r="N37" i="440" s="1"/>
  <c r="J36" i="440"/>
  <c r="N36" i="440" s="1"/>
  <c r="J34" i="440"/>
  <c r="R34" i="440" s="1"/>
  <c r="J33" i="440"/>
  <c r="N33" i="440" s="1"/>
  <c r="J31" i="440"/>
  <c r="R31" i="440" s="1"/>
  <c r="J12" i="440"/>
  <c r="R12" i="440" s="1"/>
  <c r="J11" i="440"/>
  <c r="N11" i="440" s="1"/>
  <c r="J10" i="440"/>
  <c r="A10" i="481"/>
  <c r="J77" i="438"/>
  <c r="R77" i="438" s="1"/>
  <c r="J76" i="438"/>
  <c r="R76" i="438" s="1"/>
  <c r="J75" i="438"/>
  <c r="R75" i="438" s="1"/>
  <c r="J74" i="438"/>
  <c r="N74" i="438" s="1"/>
  <c r="J73" i="438"/>
  <c r="R73" i="438" s="1"/>
  <c r="J72" i="438"/>
  <c r="R72" i="438" s="1"/>
  <c r="J71" i="438"/>
  <c r="J70" i="438"/>
  <c r="R70" i="438" s="1"/>
  <c r="J69" i="438"/>
  <c r="N69" i="438" s="1"/>
  <c r="J68" i="438"/>
  <c r="R68" i="438" s="1"/>
  <c r="J67" i="438"/>
  <c r="N67" i="438" s="1"/>
  <c r="J66" i="438"/>
  <c r="R66" i="438" s="1"/>
  <c r="J64" i="438"/>
  <c r="R64" i="438" s="1"/>
  <c r="J63" i="438"/>
  <c r="N63" i="438" s="1"/>
  <c r="P63" i="438" s="1"/>
  <c r="J62" i="438"/>
  <c r="R62" i="438" s="1"/>
  <c r="J61" i="438"/>
  <c r="N61" i="438" s="1"/>
  <c r="P61" i="438" s="1"/>
  <c r="J53" i="438"/>
  <c r="R53" i="438" s="1"/>
  <c r="J52" i="438"/>
  <c r="N52" i="438" s="1"/>
  <c r="J51" i="438"/>
  <c r="R51" i="438" s="1"/>
  <c r="J50" i="438"/>
  <c r="N50" i="438" s="1"/>
  <c r="J49" i="438"/>
  <c r="R49" i="438" s="1"/>
  <c r="J48" i="438"/>
  <c r="R48" i="438" s="1"/>
  <c r="J45" i="438"/>
  <c r="R45" i="438" s="1"/>
  <c r="J44" i="438"/>
  <c r="R44" i="438" s="1"/>
  <c r="J41" i="438"/>
  <c r="R41" i="438" s="1"/>
  <c r="J40" i="438"/>
  <c r="R40" i="438" s="1"/>
  <c r="J37" i="438"/>
  <c r="N37" i="438" s="1"/>
  <c r="P37" i="438" s="1"/>
  <c r="J36" i="438"/>
  <c r="R36" i="438" s="1"/>
  <c r="J34" i="438"/>
  <c r="R34" i="438" s="1"/>
  <c r="J33" i="438"/>
  <c r="R33" i="438" s="1"/>
  <c r="J31" i="438"/>
  <c r="R31" i="438" s="1"/>
  <c r="J12" i="438"/>
  <c r="R12" i="438" s="1"/>
  <c r="J11" i="438"/>
  <c r="N11" i="438" s="1"/>
  <c r="J10" i="438"/>
  <c r="R10" i="438" s="1"/>
  <c r="J77" i="432"/>
  <c r="R77" i="432" s="1"/>
  <c r="J76" i="432"/>
  <c r="R76" i="432" s="1"/>
  <c r="J75" i="432"/>
  <c r="R75" i="432" s="1"/>
  <c r="J74" i="432"/>
  <c r="R74" i="432" s="1"/>
  <c r="J73" i="432"/>
  <c r="R73" i="432" s="1"/>
  <c r="J72" i="432"/>
  <c r="R72" i="432" s="1"/>
  <c r="J71" i="432"/>
  <c r="N71" i="432" s="1"/>
  <c r="J70" i="432"/>
  <c r="N70" i="432" s="1"/>
  <c r="J69" i="432"/>
  <c r="N69" i="432" s="1"/>
  <c r="P69" i="432" s="1"/>
  <c r="J68" i="432"/>
  <c r="N68" i="432" s="1"/>
  <c r="J67" i="432"/>
  <c r="N67" i="432" s="1"/>
  <c r="J66" i="432"/>
  <c r="R66" i="432" s="1"/>
  <c r="J64" i="432"/>
  <c r="R64" i="432" s="1"/>
  <c r="J63" i="432"/>
  <c r="R63" i="432" s="1"/>
  <c r="J62" i="432"/>
  <c r="R62" i="432" s="1"/>
  <c r="J61" i="432"/>
  <c r="N61" i="432" s="1"/>
  <c r="J53" i="432"/>
  <c r="N53" i="432" s="1"/>
  <c r="J52" i="432"/>
  <c r="N52" i="432" s="1"/>
  <c r="J51" i="432"/>
  <c r="R51" i="432" s="1"/>
  <c r="J50" i="432"/>
  <c r="R50" i="432" s="1"/>
  <c r="J49" i="432"/>
  <c r="N49" i="432" s="1"/>
  <c r="P49" i="432" s="1"/>
  <c r="J48" i="432"/>
  <c r="N48" i="432" s="1"/>
  <c r="J45" i="432"/>
  <c r="R45" i="432" s="1"/>
  <c r="J44" i="432"/>
  <c r="R44" i="432" s="1"/>
  <c r="J41" i="432"/>
  <c r="N41" i="432" s="1"/>
  <c r="J40" i="432"/>
  <c r="N40" i="432" s="1"/>
  <c r="P40" i="432" s="1"/>
  <c r="J37" i="432"/>
  <c r="N37" i="432" s="1"/>
  <c r="J36" i="432"/>
  <c r="N36" i="432" s="1"/>
  <c r="J34" i="432"/>
  <c r="N34" i="432" s="1"/>
  <c r="P34" i="432" s="1"/>
  <c r="J33" i="432"/>
  <c r="N33" i="432" s="1"/>
  <c r="P33" i="432" s="1"/>
  <c r="J31" i="432"/>
  <c r="R31" i="432" s="1"/>
  <c r="J12" i="432"/>
  <c r="R12" i="432" s="1"/>
  <c r="J11" i="432"/>
  <c r="N11" i="432" s="1"/>
  <c r="J10" i="432"/>
  <c r="R10" i="432" s="1"/>
  <c r="J70" i="436"/>
  <c r="N70" i="436" s="1"/>
  <c r="P70" i="436" s="1"/>
  <c r="J69" i="436"/>
  <c r="N69" i="436" s="1"/>
  <c r="P69" i="436" s="1"/>
  <c r="J68" i="436"/>
  <c r="N68" i="436" s="1"/>
  <c r="P68" i="436" s="1"/>
  <c r="J67" i="436"/>
  <c r="R67" i="436" s="1"/>
  <c r="J66" i="436"/>
  <c r="R66" i="436" s="1"/>
  <c r="J65" i="436"/>
  <c r="R65" i="436" s="1"/>
  <c r="J64" i="436"/>
  <c r="N64" i="436" s="1"/>
  <c r="P64" i="436" s="1"/>
  <c r="J63" i="436"/>
  <c r="R63" i="436" s="1"/>
  <c r="J62" i="436"/>
  <c r="N62" i="436" s="1"/>
  <c r="P62" i="436" s="1"/>
  <c r="J61" i="436"/>
  <c r="R61" i="436" s="1"/>
  <c r="J60" i="436"/>
  <c r="N60" i="436" s="1"/>
  <c r="P60" i="436" s="1"/>
  <c r="J58" i="436"/>
  <c r="N58" i="436" s="1"/>
  <c r="J57" i="436"/>
  <c r="R57" i="436" s="1"/>
  <c r="J56" i="436"/>
  <c r="N56" i="436" s="1"/>
  <c r="P56" i="436" s="1"/>
  <c r="J48" i="436"/>
  <c r="N48" i="436" s="1"/>
  <c r="J47" i="436"/>
  <c r="N47" i="436" s="1"/>
  <c r="J46" i="436"/>
  <c r="R46" i="436" s="1"/>
  <c r="J45" i="436"/>
  <c r="R45" i="436" s="1"/>
  <c r="J44" i="436"/>
  <c r="N44" i="436" s="1"/>
  <c r="J43" i="436"/>
  <c r="R43" i="436" s="1"/>
  <c r="J40" i="436"/>
  <c r="R40" i="436" s="1"/>
  <c r="J39" i="436"/>
  <c r="R39" i="436" s="1"/>
  <c r="J36" i="436"/>
  <c r="R36" i="436" s="1"/>
  <c r="J35" i="436"/>
  <c r="N35" i="436" s="1"/>
  <c r="J32" i="436"/>
  <c r="N32" i="436" s="1"/>
  <c r="J31" i="436"/>
  <c r="R31" i="436" s="1"/>
  <c r="J29" i="436"/>
  <c r="N29" i="436" s="1"/>
  <c r="P29" i="436" s="1"/>
  <c r="J28" i="436"/>
  <c r="R28" i="436" s="1"/>
  <c r="J26" i="436"/>
  <c r="N26" i="436" s="1"/>
  <c r="J12" i="436"/>
  <c r="N12" i="436" s="1"/>
  <c r="J11" i="436"/>
  <c r="R11" i="436" s="1"/>
  <c r="J10" i="436"/>
  <c r="R10" i="436" s="1"/>
  <c r="A17" i="480"/>
  <c r="J70" i="434"/>
  <c r="N70" i="434" s="1"/>
  <c r="P70" i="434" s="1"/>
  <c r="J69" i="434"/>
  <c r="N69" i="434" s="1"/>
  <c r="J68" i="434"/>
  <c r="N68" i="434" s="1"/>
  <c r="P68" i="434" s="1"/>
  <c r="J67" i="434"/>
  <c r="N67" i="434" s="1"/>
  <c r="J66" i="434"/>
  <c r="R66" i="434" s="1"/>
  <c r="J65" i="434"/>
  <c r="N65" i="434" s="1"/>
  <c r="P65" i="434" s="1"/>
  <c r="J64" i="434"/>
  <c r="R64" i="434" s="1"/>
  <c r="J63" i="434"/>
  <c r="N63" i="434" s="1"/>
  <c r="P63" i="434" s="1"/>
  <c r="J62" i="434"/>
  <c r="N62" i="434" s="1"/>
  <c r="P62" i="434" s="1"/>
  <c r="J61" i="434"/>
  <c r="R61" i="434" s="1"/>
  <c r="J60" i="434"/>
  <c r="N60" i="434" s="1"/>
  <c r="P60" i="434" s="1"/>
  <c r="J58" i="434"/>
  <c r="N58" i="434" s="1"/>
  <c r="J57" i="434"/>
  <c r="R57" i="434" s="1"/>
  <c r="J56" i="434"/>
  <c r="N56" i="434" s="1"/>
  <c r="P56" i="434" s="1"/>
  <c r="J48" i="434"/>
  <c r="R48" i="434" s="1"/>
  <c r="J47" i="434"/>
  <c r="R47" i="434" s="1"/>
  <c r="J46" i="434"/>
  <c r="N46" i="434" s="1"/>
  <c r="J45" i="434"/>
  <c r="R45" i="434" s="1"/>
  <c r="J44" i="434"/>
  <c r="N44" i="434" s="1"/>
  <c r="J43" i="434"/>
  <c r="N43" i="434" s="1"/>
  <c r="P43" i="434" s="1"/>
  <c r="J40" i="434"/>
  <c r="N40" i="434" s="1"/>
  <c r="J39" i="434"/>
  <c r="J36" i="434"/>
  <c r="R36" i="434" s="1"/>
  <c r="J35" i="434"/>
  <c r="R35" i="434" s="1"/>
  <c r="J32" i="434"/>
  <c r="N32" i="434" s="1"/>
  <c r="P32" i="434" s="1"/>
  <c r="J31" i="434"/>
  <c r="N31" i="434" s="1"/>
  <c r="P31" i="434" s="1"/>
  <c r="J29" i="434"/>
  <c r="N29" i="434" s="1"/>
  <c r="P29" i="434" s="1"/>
  <c r="J28" i="434"/>
  <c r="R28" i="434" s="1"/>
  <c r="J26" i="434"/>
  <c r="R26" i="434" s="1"/>
  <c r="J12" i="434"/>
  <c r="R12" i="434" s="1"/>
  <c r="J11" i="434"/>
  <c r="N11" i="434" s="1"/>
  <c r="J10" i="434"/>
  <c r="R10" i="434" s="1"/>
  <c r="J69" i="430"/>
  <c r="N69" i="430" s="1"/>
  <c r="J68" i="430"/>
  <c r="R68" i="430" s="1"/>
  <c r="J67" i="430"/>
  <c r="N67" i="430" s="1"/>
  <c r="P67" i="430" s="1"/>
  <c r="J66" i="430"/>
  <c r="N66" i="430" s="1"/>
  <c r="J65" i="430"/>
  <c r="R65" i="430" s="1"/>
  <c r="J64" i="430"/>
  <c r="N64" i="430" s="1"/>
  <c r="J63" i="430"/>
  <c r="N63" i="430" s="1"/>
  <c r="J62" i="430"/>
  <c r="R62" i="430" s="1"/>
  <c r="J61" i="430"/>
  <c r="J60" i="430"/>
  <c r="J59" i="430"/>
  <c r="R59" i="430" s="1"/>
  <c r="J57" i="430"/>
  <c r="J56" i="430"/>
  <c r="J55" i="430"/>
  <c r="N55" i="430" s="1"/>
  <c r="P55" i="430" s="1"/>
  <c r="J47" i="430"/>
  <c r="R47" i="430" s="1"/>
  <c r="J46" i="430"/>
  <c r="R46" i="430" s="1"/>
  <c r="J45" i="430"/>
  <c r="R45" i="430" s="1"/>
  <c r="J44" i="430"/>
  <c r="N44" i="430" s="1"/>
  <c r="P44" i="430" s="1"/>
  <c r="J43" i="430"/>
  <c r="R43" i="430" s="1"/>
  <c r="J42" i="430"/>
  <c r="N42" i="430" s="1"/>
  <c r="J39" i="430"/>
  <c r="N39" i="430" s="1"/>
  <c r="P39" i="430" s="1"/>
  <c r="J38" i="430"/>
  <c r="R38" i="430" s="1"/>
  <c r="J35" i="430"/>
  <c r="N35" i="430" s="1"/>
  <c r="P35" i="430" s="1"/>
  <c r="J34" i="430"/>
  <c r="R34" i="430" s="1"/>
  <c r="J31" i="430"/>
  <c r="R31" i="430" s="1"/>
  <c r="J30" i="430"/>
  <c r="N30" i="430" s="1"/>
  <c r="J28" i="430"/>
  <c r="R28" i="430" s="1"/>
  <c r="J27" i="430"/>
  <c r="R27" i="430" s="1"/>
  <c r="J25" i="430"/>
  <c r="R25" i="430" s="1"/>
  <c r="J12" i="430"/>
  <c r="N12" i="430" s="1"/>
  <c r="J11" i="430"/>
  <c r="R11" i="430" s="1"/>
  <c r="J10" i="430"/>
  <c r="N10" i="430" s="1"/>
  <c r="A15" i="27"/>
  <c r="J79" i="428"/>
  <c r="R79" i="428" s="1"/>
  <c r="J78" i="428"/>
  <c r="N78" i="428" s="1"/>
  <c r="J77" i="428"/>
  <c r="R77" i="428" s="1"/>
  <c r="J76" i="428"/>
  <c r="N76" i="428" s="1"/>
  <c r="J75" i="428"/>
  <c r="R75" i="428" s="1"/>
  <c r="J74" i="428"/>
  <c r="N74" i="428" s="1"/>
  <c r="J73" i="428"/>
  <c r="R73" i="428" s="1"/>
  <c r="J72" i="428"/>
  <c r="N72" i="428" s="1"/>
  <c r="J71" i="428"/>
  <c r="R71" i="428" s="1"/>
  <c r="J70" i="428"/>
  <c r="R70" i="428" s="1"/>
  <c r="J69" i="428"/>
  <c r="R69" i="428" s="1"/>
  <c r="J68" i="428"/>
  <c r="N68" i="428" s="1"/>
  <c r="J66" i="428"/>
  <c r="R66" i="428" s="1"/>
  <c r="J65" i="428"/>
  <c r="R65" i="428" s="1"/>
  <c r="J64" i="428"/>
  <c r="R64" i="428" s="1"/>
  <c r="J63" i="428"/>
  <c r="R63" i="428" s="1"/>
  <c r="J55" i="428"/>
  <c r="N55" i="428" s="1"/>
  <c r="J54" i="428"/>
  <c r="N54" i="428" s="1"/>
  <c r="J53" i="428"/>
  <c r="N53" i="428" s="1"/>
  <c r="P53" i="428" s="1"/>
  <c r="J52" i="428"/>
  <c r="R52" i="428" s="1"/>
  <c r="J51" i="428"/>
  <c r="R51" i="428" s="1"/>
  <c r="J50" i="428"/>
  <c r="R50" i="428" s="1"/>
  <c r="J47" i="428"/>
  <c r="N47" i="428" s="1"/>
  <c r="J46" i="428"/>
  <c r="N46" i="428" s="1"/>
  <c r="J43" i="428"/>
  <c r="J42" i="428"/>
  <c r="N42" i="428" s="1"/>
  <c r="P42" i="428" s="1"/>
  <c r="J39" i="428"/>
  <c r="R39" i="428" s="1"/>
  <c r="J38" i="428"/>
  <c r="R38" i="428" s="1"/>
  <c r="J36" i="428"/>
  <c r="R36" i="428" s="1"/>
  <c r="J35" i="428"/>
  <c r="R35" i="428" s="1"/>
  <c r="J33" i="428"/>
  <c r="N33" i="428" s="1"/>
  <c r="J12" i="428"/>
  <c r="R12" i="428" s="1"/>
  <c r="J11" i="428"/>
  <c r="N11" i="428" s="1"/>
  <c r="P11" i="428" s="1"/>
  <c r="J10" i="428"/>
  <c r="R10" i="428" s="1"/>
  <c r="L35" i="481"/>
  <c r="J78" i="426"/>
  <c r="R78" i="426" s="1"/>
  <c r="J77" i="426"/>
  <c r="N77" i="426" s="1"/>
  <c r="J76" i="426"/>
  <c r="N76" i="426" s="1"/>
  <c r="J75" i="426"/>
  <c r="N75" i="426" s="1"/>
  <c r="J74" i="426"/>
  <c r="N74" i="426" s="1"/>
  <c r="P74" i="426" s="1"/>
  <c r="J73" i="426"/>
  <c r="N73" i="426" s="1"/>
  <c r="P73" i="426" s="1"/>
  <c r="J72" i="426"/>
  <c r="R72" i="426" s="1"/>
  <c r="J71" i="426"/>
  <c r="N71" i="426" s="1"/>
  <c r="J70" i="426"/>
  <c r="N70" i="426" s="1"/>
  <c r="J69" i="426"/>
  <c r="R69" i="426" s="1"/>
  <c r="J68" i="426"/>
  <c r="N68" i="426" s="1"/>
  <c r="P68" i="426" s="1"/>
  <c r="J67" i="426"/>
  <c r="J65" i="426"/>
  <c r="R65" i="426" s="1"/>
  <c r="J64" i="426"/>
  <c r="N64" i="426" s="1"/>
  <c r="J63" i="426"/>
  <c r="N63" i="426" s="1"/>
  <c r="J62" i="426"/>
  <c r="R62" i="426" s="1"/>
  <c r="J54" i="426"/>
  <c r="R54" i="426" s="1"/>
  <c r="J53" i="426"/>
  <c r="N53" i="426" s="1"/>
  <c r="J52" i="426"/>
  <c r="R52" i="426" s="1"/>
  <c r="J51" i="426"/>
  <c r="R51" i="426" s="1"/>
  <c r="J50" i="426"/>
  <c r="R50" i="426" s="1"/>
  <c r="J49" i="426"/>
  <c r="N49" i="426" s="1"/>
  <c r="J46" i="426"/>
  <c r="N46" i="426" s="1"/>
  <c r="J45" i="426"/>
  <c r="N45" i="426" s="1"/>
  <c r="P45" i="426" s="1"/>
  <c r="J42" i="426"/>
  <c r="R42" i="426" s="1"/>
  <c r="J41" i="426"/>
  <c r="N41" i="426" s="1"/>
  <c r="J38" i="426"/>
  <c r="N38" i="426" s="1"/>
  <c r="J37" i="426"/>
  <c r="N37" i="426" s="1"/>
  <c r="J35" i="426"/>
  <c r="N35" i="426" s="1"/>
  <c r="J34" i="426"/>
  <c r="N34" i="426" s="1"/>
  <c r="P34" i="426" s="1"/>
  <c r="J32" i="426"/>
  <c r="N32" i="426" s="1"/>
  <c r="P32" i="426" s="1"/>
  <c r="J12" i="426"/>
  <c r="R12" i="426" s="1"/>
  <c r="J11" i="426"/>
  <c r="R11" i="426" s="1"/>
  <c r="J10" i="426"/>
  <c r="R10" i="426" s="1"/>
  <c r="J81" i="477"/>
  <c r="R81" i="477" s="1"/>
  <c r="J80" i="477"/>
  <c r="R80" i="477" s="1"/>
  <c r="J79" i="477"/>
  <c r="R79" i="477" s="1"/>
  <c r="J78" i="477"/>
  <c r="N78" i="477" s="1"/>
  <c r="J77" i="477"/>
  <c r="R77" i="477" s="1"/>
  <c r="J76" i="477"/>
  <c r="N76" i="477" s="1"/>
  <c r="J75" i="477"/>
  <c r="J74" i="477"/>
  <c r="R74" i="477" s="1"/>
  <c r="J73" i="477"/>
  <c r="N73" i="477" s="1"/>
  <c r="J72" i="477"/>
  <c r="R72" i="477" s="1"/>
  <c r="J71" i="477"/>
  <c r="N71" i="477" s="1"/>
  <c r="P71" i="477" s="1"/>
  <c r="J70" i="477"/>
  <c r="R70" i="477" s="1"/>
  <c r="J68" i="477"/>
  <c r="R68" i="477" s="1"/>
  <c r="J67" i="477"/>
  <c r="R67" i="477" s="1"/>
  <c r="J66" i="477"/>
  <c r="J65" i="477"/>
  <c r="J57" i="477"/>
  <c r="J56" i="477"/>
  <c r="N56" i="477" s="1"/>
  <c r="J55" i="477"/>
  <c r="R55" i="477" s="1"/>
  <c r="J54" i="477"/>
  <c r="N54" i="477" s="1"/>
  <c r="P54" i="477" s="1"/>
  <c r="J53" i="477"/>
  <c r="R53" i="477" s="1"/>
  <c r="J52" i="477"/>
  <c r="J49" i="477"/>
  <c r="R49" i="477" s="1"/>
  <c r="J48" i="477"/>
  <c r="N48" i="477" s="1"/>
  <c r="J45" i="477"/>
  <c r="N45" i="477" s="1"/>
  <c r="J44" i="477"/>
  <c r="R44" i="477" s="1"/>
  <c r="J41" i="477"/>
  <c r="J40" i="477"/>
  <c r="J38" i="477"/>
  <c r="R38" i="477" s="1"/>
  <c r="J37" i="477"/>
  <c r="N37" i="477" s="1"/>
  <c r="J35" i="477"/>
  <c r="R35" i="477" s="1"/>
  <c r="J12" i="477"/>
  <c r="R12" i="477" s="1"/>
  <c r="J11" i="477"/>
  <c r="R11" i="477" s="1"/>
  <c r="J10" i="477"/>
  <c r="N10" i="477" s="1"/>
  <c r="P10" i="477" s="1"/>
  <c r="D42" i="36"/>
  <c r="J73" i="371"/>
  <c r="R73" i="371" s="1"/>
  <c r="J72" i="371"/>
  <c r="R72" i="371" s="1"/>
  <c r="J71" i="371"/>
  <c r="N71" i="371" s="1"/>
  <c r="J70" i="371"/>
  <c r="J69" i="371"/>
  <c r="R69" i="371" s="1"/>
  <c r="J68" i="371"/>
  <c r="J67" i="371"/>
  <c r="N67" i="371" s="1"/>
  <c r="J66" i="371"/>
  <c r="R66" i="371" s="1"/>
  <c r="J65" i="371"/>
  <c r="J64" i="371"/>
  <c r="R64" i="371" s="1"/>
  <c r="J63" i="371"/>
  <c r="J62" i="371"/>
  <c r="N62" i="371" s="1"/>
  <c r="J60" i="371"/>
  <c r="R60" i="371" s="1"/>
  <c r="J59" i="371"/>
  <c r="N59" i="371" s="1"/>
  <c r="P59" i="371" s="1"/>
  <c r="J58" i="371"/>
  <c r="N58" i="371" s="1"/>
  <c r="P58" i="371" s="1"/>
  <c r="J57" i="371"/>
  <c r="J49" i="371"/>
  <c r="N49" i="371" s="1"/>
  <c r="P49" i="371" s="1"/>
  <c r="J48" i="371"/>
  <c r="R48" i="371" s="1"/>
  <c r="J47" i="371"/>
  <c r="R47" i="371" s="1"/>
  <c r="J46" i="371"/>
  <c r="R46" i="371" s="1"/>
  <c r="J45" i="371"/>
  <c r="N45" i="371" s="1"/>
  <c r="P45" i="371" s="1"/>
  <c r="J44" i="371"/>
  <c r="N44" i="371" s="1"/>
  <c r="J41" i="371"/>
  <c r="R41" i="371" s="1"/>
  <c r="J40" i="371"/>
  <c r="R40" i="371" s="1"/>
  <c r="J37" i="371"/>
  <c r="N37" i="371" s="1"/>
  <c r="J36" i="371"/>
  <c r="N36" i="371" s="1"/>
  <c r="P36" i="371" s="1"/>
  <c r="J33" i="371"/>
  <c r="J32" i="371"/>
  <c r="N32" i="371" s="1"/>
  <c r="P32" i="371" s="1"/>
  <c r="J30" i="371"/>
  <c r="R30" i="371" s="1"/>
  <c r="J29" i="371"/>
  <c r="R29" i="371" s="1"/>
  <c r="J27" i="371"/>
  <c r="N27" i="371" s="1"/>
  <c r="J12" i="371"/>
  <c r="N12" i="371" s="1"/>
  <c r="J11" i="371"/>
  <c r="R11" i="371" s="1"/>
  <c r="J10" i="371"/>
  <c r="R10" i="371" s="1"/>
  <c r="A7" i="480"/>
  <c r="D33" i="36"/>
  <c r="D30" i="36"/>
  <c r="D15" i="36"/>
  <c r="D22" i="36"/>
  <c r="D32" i="36"/>
  <c r="D31" i="36"/>
  <c r="D28" i="36"/>
  <c r="D27" i="36"/>
  <c r="D23" i="36"/>
  <c r="D41" i="36"/>
  <c r="D35" i="36"/>
  <c r="D20" i="36"/>
  <c r="D36" i="36"/>
  <c r="D21" i="36"/>
  <c r="J14" i="476"/>
  <c r="A13" i="481"/>
  <c r="A14" i="27"/>
  <c r="A13" i="480"/>
  <c r="Z13" i="481"/>
  <c r="A14" i="481"/>
  <c r="L14" i="481"/>
  <c r="A30" i="476"/>
  <c r="A29" i="27"/>
  <c r="A29" i="476"/>
  <c r="D34" i="36"/>
  <c r="A27" i="476"/>
  <c r="A27" i="27"/>
  <c r="A27" i="481"/>
  <c r="A27" i="480"/>
  <c r="A22" i="476"/>
  <c r="A22" i="481"/>
  <c r="K21" i="476"/>
  <c r="A21" i="27"/>
  <c r="A21" i="481"/>
  <c r="J28" i="480"/>
  <c r="A28" i="476"/>
  <c r="A25" i="480"/>
  <c r="A25" i="476"/>
  <c r="D29" i="36"/>
  <c r="A25" i="481"/>
  <c r="A24" i="480"/>
  <c r="A24" i="27"/>
  <c r="A24" i="476"/>
  <c r="X23" i="476"/>
  <c r="J23" i="480"/>
  <c r="A23" i="27"/>
  <c r="X12" i="476"/>
  <c r="A10" i="476"/>
  <c r="A9" i="27"/>
  <c r="J8" i="476"/>
  <c r="A17" i="476"/>
  <c r="A17" i="27"/>
  <c r="A16" i="476"/>
  <c r="X15" i="476"/>
  <c r="Y15" i="476"/>
  <c r="A15" i="480"/>
  <c r="D40" i="36"/>
  <c r="A34" i="480"/>
  <c r="A34" i="27"/>
  <c r="A34" i="476"/>
  <c r="A34" i="481"/>
  <c r="A36" i="27"/>
  <c r="A7" i="481"/>
  <c r="D18" i="36" l="1"/>
  <c r="A12" i="480"/>
  <c r="Z24" i="481"/>
  <c r="A16" i="481"/>
  <c r="A16" i="480"/>
  <c r="Y12" i="476"/>
  <c r="J12" i="480"/>
  <c r="I16" i="27"/>
  <c r="J16" i="480"/>
  <c r="L30" i="480"/>
  <c r="AB13" i="481"/>
  <c r="AC13" i="481"/>
  <c r="AA13" i="481"/>
  <c r="M13" i="481"/>
  <c r="N13" i="481"/>
  <c r="O13" i="481"/>
  <c r="AC14" i="481"/>
  <c r="AB14" i="481"/>
  <c r="AA14" i="481"/>
  <c r="O14" i="481"/>
  <c r="N14" i="481"/>
  <c r="M14" i="481"/>
  <c r="A30" i="480"/>
  <c r="AC30" i="481"/>
  <c r="AB30" i="481"/>
  <c r="AA30" i="481"/>
  <c r="O30" i="481"/>
  <c r="N30" i="481"/>
  <c r="M30" i="481"/>
  <c r="H29" i="27"/>
  <c r="AB29" i="481"/>
  <c r="AC29" i="481"/>
  <c r="AA29" i="481"/>
  <c r="M29" i="481"/>
  <c r="O29" i="481"/>
  <c r="N29" i="481"/>
  <c r="AA27" i="481"/>
  <c r="AC27" i="481"/>
  <c r="AB27" i="481"/>
  <c r="O27" i="481"/>
  <c r="N27" i="481"/>
  <c r="M27" i="481"/>
  <c r="AA22" i="481"/>
  <c r="AC22" i="481"/>
  <c r="AB22" i="481"/>
  <c r="O22" i="481"/>
  <c r="N22" i="481"/>
  <c r="M22" i="481"/>
  <c r="AC21" i="481"/>
  <c r="AB21" i="481"/>
  <c r="AA21" i="481"/>
  <c r="N21" i="481"/>
  <c r="M21" i="481"/>
  <c r="O21" i="481"/>
  <c r="AB28" i="481"/>
  <c r="AA28" i="481"/>
  <c r="AC28" i="481"/>
  <c r="M28" i="481"/>
  <c r="O28" i="481"/>
  <c r="N28" i="481"/>
  <c r="AA26" i="481"/>
  <c r="AC26" i="481"/>
  <c r="AB26" i="481"/>
  <c r="N26" i="481"/>
  <c r="M26" i="481"/>
  <c r="O26" i="481"/>
  <c r="AA25" i="481"/>
  <c r="AC25" i="481"/>
  <c r="AB25" i="481"/>
  <c r="O25" i="481"/>
  <c r="N25" i="481"/>
  <c r="M25" i="481"/>
  <c r="AB24" i="481"/>
  <c r="AC24" i="481"/>
  <c r="AA24" i="481"/>
  <c r="O24" i="481"/>
  <c r="N24" i="481"/>
  <c r="M24" i="481"/>
  <c r="AB23" i="481"/>
  <c r="AA23" i="481"/>
  <c r="AC23" i="481"/>
  <c r="N23" i="481"/>
  <c r="M23" i="481"/>
  <c r="O23" i="481"/>
  <c r="AC12" i="481"/>
  <c r="AA12" i="481"/>
  <c r="AB12" i="481"/>
  <c r="M12" i="481"/>
  <c r="O12" i="481"/>
  <c r="N12" i="481"/>
  <c r="AB11" i="481"/>
  <c r="AC11" i="481"/>
  <c r="AA11" i="481"/>
  <c r="N11" i="481"/>
  <c r="M11" i="481"/>
  <c r="O11" i="481"/>
  <c r="D16" i="36"/>
  <c r="AA10" i="481"/>
  <c r="AB10" i="481"/>
  <c r="AC10" i="481"/>
  <c r="O10" i="481"/>
  <c r="N10" i="481"/>
  <c r="M10" i="481"/>
  <c r="AC9" i="481"/>
  <c r="AB9" i="481"/>
  <c r="AA9" i="481"/>
  <c r="N9" i="481"/>
  <c r="M9" i="481"/>
  <c r="O9" i="481"/>
  <c r="AA8" i="481"/>
  <c r="AC8" i="481"/>
  <c r="AB8" i="481"/>
  <c r="M8" i="481"/>
  <c r="O8" i="481"/>
  <c r="N8" i="481"/>
  <c r="H17" i="27"/>
  <c r="AB17" i="481"/>
  <c r="AC17" i="481"/>
  <c r="AA17" i="481"/>
  <c r="O17" i="481"/>
  <c r="M17" i="481"/>
  <c r="N17" i="481"/>
  <c r="AC16" i="481"/>
  <c r="AB16" i="481"/>
  <c r="AA16" i="481"/>
  <c r="O16" i="481"/>
  <c r="N16" i="481"/>
  <c r="M16" i="481"/>
  <c r="AA15" i="481"/>
  <c r="AC15" i="481"/>
  <c r="AB15" i="481"/>
  <c r="N15" i="481"/>
  <c r="O15" i="481"/>
  <c r="M15" i="481"/>
  <c r="J35" i="476"/>
  <c r="AB35" i="481"/>
  <c r="AA35" i="481"/>
  <c r="AC35" i="481"/>
  <c r="O35" i="481"/>
  <c r="N35" i="481"/>
  <c r="M35" i="481"/>
  <c r="AC34" i="481"/>
  <c r="AB34" i="481"/>
  <c r="AA34" i="481"/>
  <c r="N34" i="481"/>
  <c r="M34" i="481"/>
  <c r="O34" i="481"/>
  <c r="AC36" i="481"/>
  <c r="AB36" i="481"/>
  <c r="AA36" i="481"/>
  <c r="M36" i="481"/>
  <c r="O36" i="481"/>
  <c r="N36" i="481"/>
  <c r="L10" i="481"/>
  <c r="Z10" i="481"/>
  <c r="Z11" i="481"/>
  <c r="AB7" i="481"/>
  <c r="AA7" i="481"/>
  <c r="O7" i="481"/>
  <c r="AC7" i="481"/>
  <c r="N7" i="481"/>
  <c r="O62" i="481"/>
  <c r="A36" i="480"/>
  <c r="Y27" i="476"/>
  <c r="D46" i="36"/>
  <c r="D47" i="36"/>
  <c r="A41" i="27"/>
  <c r="L14" i="480"/>
  <c r="A13" i="27"/>
  <c r="A13" i="476"/>
  <c r="D19" i="36"/>
  <c r="I26" i="27"/>
  <c r="A7" i="27"/>
  <c r="Z7" i="481"/>
  <c r="A7" i="476"/>
  <c r="D13" i="36"/>
  <c r="A41" i="476"/>
  <c r="A21" i="476"/>
  <c r="J25" i="480"/>
  <c r="L17" i="481"/>
  <c r="H34" i="27"/>
  <c r="A12" i="27"/>
  <c r="A12" i="481"/>
  <c r="A12" i="476"/>
  <c r="J10" i="476"/>
  <c r="A41" i="480"/>
  <c r="A30" i="27"/>
  <c r="A40" i="481"/>
  <c r="R10" i="430"/>
  <c r="X7" i="476"/>
  <c r="A35" i="481"/>
  <c r="A35" i="476"/>
  <c r="A35" i="27"/>
  <c r="A35" i="480"/>
  <c r="Y9" i="476"/>
  <c r="A8" i="481"/>
  <c r="A8" i="476"/>
  <c r="A8" i="27"/>
  <c r="A8" i="480"/>
  <c r="D14" i="36"/>
  <c r="R56" i="430"/>
  <c r="N56" i="430"/>
  <c r="P56" i="430" s="1"/>
  <c r="A36" i="481"/>
  <c r="A36" i="476"/>
  <c r="D87" i="293"/>
  <c r="D86" i="293"/>
  <c r="D85" i="293"/>
  <c r="A15" i="481"/>
  <c r="A15" i="476"/>
  <c r="A9" i="476"/>
  <c r="A9" i="480"/>
  <c r="A9" i="481"/>
  <c r="A16" i="27"/>
  <c r="A10" i="27"/>
  <c r="A10" i="480"/>
  <c r="D17" i="36"/>
  <c r="A11" i="476"/>
  <c r="X25" i="476"/>
  <c r="A17" i="481"/>
  <c r="A22" i="27"/>
  <c r="A22" i="480"/>
  <c r="A26" i="481"/>
  <c r="A26" i="476"/>
  <c r="A26" i="480"/>
  <c r="A29" i="481"/>
  <c r="A29" i="480"/>
  <c r="A23" i="480"/>
  <c r="A23" i="481"/>
  <c r="A28" i="27"/>
  <c r="A28" i="481"/>
  <c r="L29" i="481"/>
  <c r="A40" i="480"/>
  <c r="A40" i="476"/>
  <c r="X13" i="476"/>
  <c r="F51" i="480"/>
  <c r="F143" i="509"/>
  <c r="C51" i="480" s="1"/>
  <c r="R48" i="458"/>
  <c r="R78" i="448"/>
  <c r="R53" i="454"/>
  <c r="N79" i="448"/>
  <c r="P79" i="448" s="1"/>
  <c r="N85" i="448"/>
  <c r="P85" i="448" s="1"/>
  <c r="R66" i="446"/>
  <c r="N27" i="430"/>
  <c r="P27" i="430" s="1"/>
  <c r="N38" i="430"/>
  <c r="P38" i="430" s="1"/>
  <c r="N54" i="500"/>
  <c r="P54" i="500" s="1"/>
  <c r="R40" i="440"/>
  <c r="R50" i="440"/>
  <c r="M41" i="481"/>
  <c r="N28" i="434"/>
  <c r="P28" i="434" s="1"/>
  <c r="N51" i="498"/>
  <c r="P51" i="498" s="1"/>
  <c r="N55" i="464"/>
  <c r="P55" i="464" s="1"/>
  <c r="N28" i="430"/>
  <c r="P28" i="430" s="1"/>
  <c r="N38" i="428"/>
  <c r="P38" i="428" s="1"/>
  <c r="N66" i="428"/>
  <c r="P66" i="428" s="1"/>
  <c r="N53" i="477"/>
  <c r="P53" i="477" s="1"/>
  <c r="K29" i="480"/>
  <c r="N72" i="464"/>
  <c r="P72" i="464" s="1"/>
  <c r="N53" i="448"/>
  <c r="P53" i="448" s="1"/>
  <c r="R62" i="448"/>
  <c r="R60" i="448"/>
  <c r="N62" i="430"/>
  <c r="P62" i="430" s="1"/>
  <c r="N69" i="426"/>
  <c r="P69" i="426" s="1"/>
  <c r="N64" i="371"/>
  <c r="P64" i="371" s="1"/>
  <c r="R70" i="494"/>
  <c r="R63" i="438"/>
  <c r="R45" i="371"/>
  <c r="R50" i="498"/>
  <c r="N59" i="498"/>
  <c r="P59" i="498" s="1"/>
  <c r="N37" i="496"/>
  <c r="P37" i="496" s="1"/>
  <c r="N55" i="454"/>
  <c r="P55" i="454" s="1"/>
  <c r="N54" i="454"/>
  <c r="P54" i="454" s="1"/>
  <c r="N54" i="474"/>
  <c r="P54" i="474" s="1"/>
  <c r="R49" i="448"/>
  <c r="N49" i="440"/>
  <c r="P49" i="440" s="1"/>
  <c r="R61" i="438"/>
  <c r="N51" i="438"/>
  <c r="P51" i="438" s="1"/>
  <c r="R37" i="432"/>
  <c r="R33" i="498"/>
  <c r="R62" i="498"/>
  <c r="N77" i="494"/>
  <c r="P77" i="494" s="1"/>
  <c r="N47" i="464"/>
  <c r="P47" i="464" s="1"/>
  <c r="N65" i="456"/>
  <c r="P65" i="456" s="1"/>
  <c r="K28" i="480"/>
  <c r="N69" i="474"/>
  <c r="P69" i="474" s="1"/>
  <c r="R77" i="450"/>
  <c r="O57" i="481"/>
  <c r="N43" i="446"/>
  <c r="P43" i="446" s="1"/>
  <c r="K9" i="480"/>
  <c r="N71" i="428"/>
  <c r="P71" i="428" s="1"/>
  <c r="N11" i="353"/>
  <c r="R68" i="496"/>
  <c r="R72" i="494"/>
  <c r="R74" i="494"/>
  <c r="L22" i="480"/>
  <c r="N77" i="460"/>
  <c r="P77" i="460" s="1"/>
  <c r="R89" i="460"/>
  <c r="R62" i="458"/>
  <c r="J21" i="480"/>
  <c r="R76" i="454"/>
  <c r="N80" i="450"/>
  <c r="P80" i="450" s="1"/>
  <c r="N87" i="448"/>
  <c r="P87" i="448" s="1"/>
  <c r="R10" i="446"/>
  <c r="R69" i="432"/>
  <c r="R41" i="432"/>
  <c r="R29" i="436"/>
  <c r="N43" i="436"/>
  <c r="P43" i="436" s="1"/>
  <c r="R31" i="434"/>
  <c r="R44" i="430"/>
  <c r="R45" i="426"/>
  <c r="K36" i="480"/>
  <c r="N44" i="500"/>
  <c r="P44" i="500" s="1"/>
  <c r="N26" i="500"/>
  <c r="P26" i="500" s="1"/>
  <c r="N55" i="498"/>
  <c r="P55" i="498" s="1"/>
  <c r="N59" i="464"/>
  <c r="P59" i="464" s="1"/>
  <c r="R69" i="464"/>
  <c r="R79" i="460"/>
  <c r="N10" i="456"/>
  <c r="P10" i="456" s="1"/>
  <c r="R70" i="454"/>
  <c r="R42" i="454"/>
  <c r="N55" i="474"/>
  <c r="P55" i="474" s="1"/>
  <c r="N70" i="474"/>
  <c r="P70" i="474" s="1"/>
  <c r="N40" i="474"/>
  <c r="P40" i="474" s="1"/>
  <c r="N45" i="474"/>
  <c r="P45" i="474" s="1"/>
  <c r="N12" i="474"/>
  <c r="P12" i="474" s="1"/>
  <c r="N84" i="450"/>
  <c r="P84" i="450" s="1"/>
  <c r="R49" i="450"/>
  <c r="R74" i="450"/>
  <c r="R64" i="450"/>
  <c r="N56" i="448"/>
  <c r="P56" i="448" s="1"/>
  <c r="R64" i="446"/>
  <c r="R62" i="442"/>
  <c r="R44" i="442"/>
  <c r="N63" i="432"/>
  <c r="P63" i="432" s="1"/>
  <c r="R49" i="432"/>
  <c r="R36" i="432"/>
  <c r="N31" i="436"/>
  <c r="P31" i="436" s="1"/>
  <c r="N57" i="436"/>
  <c r="P57" i="436" s="1"/>
  <c r="N57" i="434"/>
  <c r="P57" i="434" s="1"/>
  <c r="R63" i="434"/>
  <c r="N43" i="430"/>
  <c r="P43" i="430" s="1"/>
  <c r="N52" i="428"/>
  <c r="P52" i="428" s="1"/>
  <c r="R75" i="426"/>
  <c r="N65" i="426"/>
  <c r="P65" i="426" s="1"/>
  <c r="N51" i="426"/>
  <c r="P51" i="426" s="1"/>
  <c r="N55" i="477"/>
  <c r="P55" i="477" s="1"/>
  <c r="K7" i="480"/>
  <c r="R36" i="371"/>
  <c r="N46" i="371"/>
  <c r="P46" i="371" s="1"/>
  <c r="Z8" i="481"/>
  <c r="J15" i="480"/>
  <c r="R43" i="500"/>
  <c r="N65" i="500"/>
  <c r="P65" i="500" s="1"/>
  <c r="N25" i="500"/>
  <c r="P25" i="500" s="1"/>
  <c r="R41" i="500"/>
  <c r="R29" i="498"/>
  <c r="P33" i="498"/>
  <c r="N78" i="494"/>
  <c r="P78" i="494" s="1"/>
  <c r="N58" i="464"/>
  <c r="P58" i="464" s="1"/>
  <c r="N68" i="464"/>
  <c r="P68" i="464" s="1"/>
  <c r="N48" i="464"/>
  <c r="P48" i="464" s="1"/>
  <c r="R63" i="460"/>
  <c r="N74" i="460"/>
  <c r="P74" i="460" s="1"/>
  <c r="N61" i="460"/>
  <c r="P61" i="460" s="1"/>
  <c r="N56" i="458"/>
  <c r="P56" i="458" s="1"/>
  <c r="R43" i="458"/>
  <c r="R46" i="458"/>
  <c r="N80" i="458"/>
  <c r="P80" i="458" s="1"/>
  <c r="R10" i="454"/>
  <c r="N80" i="454"/>
  <c r="P80" i="454" s="1"/>
  <c r="N75" i="454"/>
  <c r="P75" i="454" s="1"/>
  <c r="N71" i="454"/>
  <c r="P71" i="454" s="1"/>
  <c r="N58" i="454"/>
  <c r="P58" i="454" s="1"/>
  <c r="N72" i="474"/>
  <c r="P72" i="474" s="1"/>
  <c r="N65" i="474"/>
  <c r="P65" i="474" s="1"/>
  <c r="R48" i="474"/>
  <c r="N12" i="450"/>
  <c r="P12" i="450" s="1"/>
  <c r="R81" i="450"/>
  <c r="N65" i="448"/>
  <c r="P65" i="448" s="1"/>
  <c r="N89" i="448"/>
  <c r="P89" i="448" s="1"/>
  <c r="N71" i="446"/>
  <c r="P71" i="446" s="1"/>
  <c r="N65" i="446"/>
  <c r="P65" i="446" s="1"/>
  <c r="N40" i="446"/>
  <c r="P40" i="446" s="1"/>
  <c r="N36" i="442"/>
  <c r="P36" i="442" s="1"/>
  <c r="R68" i="440"/>
  <c r="N44" i="438"/>
  <c r="P44" i="438" s="1"/>
  <c r="N31" i="438"/>
  <c r="P31" i="438" s="1"/>
  <c r="N33" i="438"/>
  <c r="P33" i="438" s="1"/>
  <c r="L8" i="481"/>
  <c r="I8" i="27"/>
  <c r="N12" i="432"/>
  <c r="P12" i="432" s="1"/>
  <c r="N72" i="432"/>
  <c r="P72" i="432" s="1"/>
  <c r="R68" i="436"/>
  <c r="R48" i="436"/>
  <c r="N66" i="436"/>
  <c r="P66" i="436" s="1"/>
  <c r="N45" i="436"/>
  <c r="P45" i="436" s="1"/>
  <c r="R32" i="436"/>
  <c r="R43" i="434"/>
  <c r="N70" i="428"/>
  <c r="P70" i="428" s="1"/>
  <c r="N50" i="428"/>
  <c r="P50" i="428" s="1"/>
  <c r="N70" i="477"/>
  <c r="P70" i="477" s="1"/>
  <c r="P48" i="477"/>
  <c r="N30" i="371"/>
  <c r="P30" i="371" s="1"/>
  <c r="Y23" i="476"/>
  <c r="N33" i="500"/>
  <c r="P33" i="500" s="1"/>
  <c r="N25" i="498"/>
  <c r="P25" i="498" s="1"/>
  <c r="N40" i="498"/>
  <c r="P40" i="498" s="1"/>
  <c r="R10" i="498"/>
  <c r="R38" i="498"/>
  <c r="R49" i="496"/>
  <c r="R65" i="496"/>
  <c r="N74" i="496"/>
  <c r="P74" i="496" s="1"/>
  <c r="N35" i="496"/>
  <c r="P35" i="496" s="1"/>
  <c r="N73" i="494"/>
  <c r="P73" i="494" s="1"/>
  <c r="N52" i="494"/>
  <c r="P52" i="494" s="1"/>
  <c r="R54" i="494"/>
  <c r="N48" i="494"/>
  <c r="P48" i="494" s="1"/>
  <c r="N75" i="494"/>
  <c r="P75" i="494" s="1"/>
  <c r="N71" i="494"/>
  <c r="P71" i="494" s="1"/>
  <c r="R80" i="464"/>
  <c r="N77" i="464"/>
  <c r="P77" i="464" s="1"/>
  <c r="R79" i="464"/>
  <c r="R75" i="464"/>
  <c r="J27" i="476"/>
  <c r="R12" i="464"/>
  <c r="N43" i="464"/>
  <c r="P43" i="464" s="1"/>
  <c r="N10" i="464"/>
  <c r="P10" i="464" s="1"/>
  <c r="N82" i="460"/>
  <c r="P82" i="460" s="1"/>
  <c r="N64" i="460"/>
  <c r="P64" i="460" s="1"/>
  <c r="N44" i="460"/>
  <c r="P44" i="460" s="1"/>
  <c r="R58" i="460"/>
  <c r="N75" i="458"/>
  <c r="P75" i="458" s="1"/>
  <c r="R60" i="458"/>
  <c r="P81" i="458"/>
  <c r="R10" i="458"/>
  <c r="R77" i="456"/>
  <c r="N69" i="456"/>
  <c r="P69" i="456" s="1"/>
  <c r="R63" i="456"/>
  <c r="N74" i="456"/>
  <c r="P74" i="456" s="1"/>
  <c r="R50" i="456"/>
  <c r="R68" i="454"/>
  <c r="R74" i="454"/>
  <c r="N77" i="454"/>
  <c r="P77" i="454" s="1"/>
  <c r="N72" i="454"/>
  <c r="P72" i="454" s="1"/>
  <c r="N75" i="474"/>
  <c r="P75" i="474" s="1"/>
  <c r="R41" i="474"/>
  <c r="R13" i="450"/>
  <c r="L24" i="481"/>
  <c r="N46" i="450"/>
  <c r="P46" i="450" s="1"/>
  <c r="R62" i="450"/>
  <c r="P49" i="450"/>
  <c r="I23" i="27"/>
  <c r="L23" i="481"/>
  <c r="K23" i="476"/>
  <c r="N61" i="448"/>
  <c r="P61" i="448" s="1"/>
  <c r="Z23" i="481"/>
  <c r="N45" i="448"/>
  <c r="P45" i="448" s="1"/>
  <c r="N43" i="448"/>
  <c r="P43" i="448" s="1"/>
  <c r="N50" i="446"/>
  <c r="P50" i="446" s="1"/>
  <c r="N70" i="446"/>
  <c r="P70" i="446" s="1"/>
  <c r="K11" i="480"/>
  <c r="R74" i="442"/>
  <c r="R64" i="442"/>
  <c r="N61" i="442"/>
  <c r="P61" i="442" s="1"/>
  <c r="N41" i="442"/>
  <c r="P41" i="442" s="1"/>
  <c r="N37" i="442"/>
  <c r="P37" i="442" s="1"/>
  <c r="R41" i="440"/>
  <c r="R62" i="440"/>
  <c r="R37" i="440"/>
  <c r="R64" i="440"/>
  <c r="N36" i="438"/>
  <c r="P36" i="438" s="1"/>
  <c r="N73" i="438"/>
  <c r="P73" i="438" s="1"/>
  <c r="N10" i="438"/>
  <c r="P10" i="438" s="1"/>
  <c r="N76" i="438"/>
  <c r="P76" i="438" s="1"/>
  <c r="N34" i="438"/>
  <c r="P34" i="438" s="1"/>
  <c r="N77" i="432"/>
  <c r="P77" i="432" s="1"/>
  <c r="R61" i="432"/>
  <c r="N31" i="432"/>
  <c r="P31" i="432" s="1"/>
  <c r="R68" i="432"/>
  <c r="K17" i="480"/>
  <c r="N28" i="436"/>
  <c r="P28" i="436" s="1"/>
  <c r="R68" i="434"/>
  <c r="R65" i="434"/>
  <c r="R56" i="434"/>
  <c r="N10" i="434"/>
  <c r="P10" i="434" s="1"/>
  <c r="R62" i="434"/>
  <c r="N36" i="434"/>
  <c r="P36" i="434" s="1"/>
  <c r="N47" i="434"/>
  <c r="P47" i="434" s="1"/>
  <c r="N65" i="430"/>
  <c r="P65" i="430" s="1"/>
  <c r="L15" i="480"/>
  <c r="N31" i="430"/>
  <c r="P31" i="430" s="1"/>
  <c r="R30" i="430"/>
  <c r="R33" i="428"/>
  <c r="N36" i="428"/>
  <c r="P36" i="428" s="1"/>
  <c r="R71" i="426"/>
  <c r="N78" i="426"/>
  <c r="P78" i="426" s="1"/>
  <c r="N50" i="426"/>
  <c r="P50" i="426" s="1"/>
  <c r="N79" i="477"/>
  <c r="P79" i="477" s="1"/>
  <c r="N74" i="477"/>
  <c r="P74" i="477" s="1"/>
  <c r="R71" i="477"/>
  <c r="R48" i="477"/>
  <c r="N48" i="371"/>
  <c r="P48" i="371" s="1"/>
  <c r="R44" i="371"/>
  <c r="N69" i="371"/>
  <c r="P69" i="371" s="1"/>
  <c r="Z21" i="481"/>
  <c r="X26" i="476"/>
  <c r="X27" i="476"/>
  <c r="A11" i="480"/>
  <c r="A11" i="481"/>
  <c r="R10" i="442"/>
  <c r="R51" i="442"/>
  <c r="N50" i="442"/>
  <c r="P50" i="442" s="1"/>
  <c r="N66" i="442"/>
  <c r="P66" i="442" s="1"/>
  <c r="N36" i="500"/>
  <c r="P36" i="500" s="1"/>
  <c r="N59" i="500"/>
  <c r="P59" i="500" s="1"/>
  <c r="N53" i="500"/>
  <c r="P53" i="500" s="1"/>
  <c r="J13" i="480"/>
  <c r="L13" i="481"/>
  <c r="I14" i="27"/>
  <c r="R28" i="500"/>
  <c r="P62" i="498"/>
  <c r="N34" i="498"/>
  <c r="P34" i="498" s="1"/>
  <c r="R42" i="498"/>
  <c r="R56" i="498"/>
  <c r="N58" i="498"/>
  <c r="P58" i="498" s="1"/>
  <c r="N64" i="498"/>
  <c r="P64" i="498" s="1"/>
  <c r="R76" i="496"/>
  <c r="R42" i="496"/>
  <c r="N52" i="496"/>
  <c r="P52" i="496" s="1"/>
  <c r="R70" i="496"/>
  <c r="N75" i="496"/>
  <c r="P75" i="496" s="1"/>
  <c r="N69" i="496"/>
  <c r="P69" i="496" s="1"/>
  <c r="R41" i="496"/>
  <c r="P70" i="496"/>
  <c r="R47" i="494"/>
  <c r="N39" i="464"/>
  <c r="P39" i="464" s="1"/>
  <c r="K27" i="480"/>
  <c r="N11" i="464"/>
  <c r="P11" i="464" s="1"/>
  <c r="R82" i="464"/>
  <c r="R60" i="464"/>
  <c r="N51" i="464"/>
  <c r="P51" i="464" s="1"/>
  <c r="N62" i="460"/>
  <c r="P62" i="460" s="1"/>
  <c r="N11" i="460"/>
  <c r="P11" i="460" s="1"/>
  <c r="Z22" i="481"/>
  <c r="H22" i="27"/>
  <c r="J22" i="476"/>
  <c r="N84" i="460"/>
  <c r="P84" i="460" s="1"/>
  <c r="N54" i="460"/>
  <c r="P54" i="460" s="1"/>
  <c r="N49" i="458"/>
  <c r="P49" i="458" s="1"/>
  <c r="N65" i="458"/>
  <c r="P65" i="458" s="1"/>
  <c r="R45" i="458"/>
  <c r="R81" i="458"/>
  <c r="N78" i="456"/>
  <c r="P78" i="456" s="1"/>
  <c r="R46" i="456"/>
  <c r="N12" i="456"/>
  <c r="P12" i="456" s="1"/>
  <c r="N38" i="456"/>
  <c r="P38" i="456" s="1"/>
  <c r="R68" i="456"/>
  <c r="N49" i="454"/>
  <c r="P49" i="454" s="1"/>
  <c r="R49" i="454"/>
  <c r="N79" i="454"/>
  <c r="P79" i="454" s="1"/>
  <c r="P66" i="454"/>
  <c r="P10" i="454"/>
  <c r="N56" i="454"/>
  <c r="P56" i="454" s="1"/>
  <c r="R66" i="454"/>
  <c r="J26" i="476"/>
  <c r="N73" i="474"/>
  <c r="P73" i="474" s="1"/>
  <c r="N49" i="474"/>
  <c r="P49" i="474" s="1"/>
  <c r="P48" i="474"/>
  <c r="R66" i="474"/>
  <c r="N85" i="450"/>
  <c r="P85" i="450" s="1"/>
  <c r="R10" i="450"/>
  <c r="R88" i="450"/>
  <c r="R57" i="450"/>
  <c r="N63" i="450"/>
  <c r="P63" i="450" s="1"/>
  <c r="N50" i="450"/>
  <c r="P50" i="450" s="1"/>
  <c r="R82" i="450"/>
  <c r="N54" i="450"/>
  <c r="P54" i="450" s="1"/>
  <c r="R79" i="450"/>
  <c r="P60" i="448"/>
  <c r="R75" i="448"/>
  <c r="N48" i="448"/>
  <c r="P48" i="448" s="1"/>
  <c r="N74" i="448"/>
  <c r="P74" i="448" s="1"/>
  <c r="R63" i="448"/>
  <c r="R44" i="446"/>
  <c r="R49" i="446"/>
  <c r="R60" i="446"/>
  <c r="R72" i="446"/>
  <c r="N69" i="446"/>
  <c r="P69" i="446" s="1"/>
  <c r="N39" i="446"/>
  <c r="P39" i="446" s="1"/>
  <c r="R36" i="446"/>
  <c r="N52" i="446"/>
  <c r="P52" i="446" s="1"/>
  <c r="R70" i="442"/>
  <c r="N33" i="442"/>
  <c r="P33" i="442" s="1"/>
  <c r="R72" i="442"/>
  <c r="R31" i="442"/>
  <c r="R73" i="442"/>
  <c r="P64" i="440"/>
  <c r="N63" i="440"/>
  <c r="P63" i="440" s="1"/>
  <c r="N48" i="438"/>
  <c r="P48" i="438" s="1"/>
  <c r="R37" i="438"/>
  <c r="N45" i="438"/>
  <c r="P45" i="438" s="1"/>
  <c r="N64" i="438"/>
  <c r="P64" i="438" s="1"/>
  <c r="N70" i="438"/>
  <c r="P70" i="438" s="1"/>
  <c r="R40" i="432"/>
  <c r="R34" i="432"/>
  <c r="N74" i="432"/>
  <c r="P74" i="432" s="1"/>
  <c r="N50" i="432"/>
  <c r="P50" i="432" s="1"/>
  <c r="N36" i="436"/>
  <c r="P36" i="436" s="1"/>
  <c r="N67" i="436"/>
  <c r="P67" i="436" s="1"/>
  <c r="R56" i="436"/>
  <c r="N63" i="436"/>
  <c r="P63" i="436" s="1"/>
  <c r="R60" i="434"/>
  <c r="R46" i="434"/>
  <c r="N35" i="434"/>
  <c r="P35" i="434" s="1"/>
  <c r="R39" i="430"/>
  <c r="N47" i="430"/>
  <c r="P47" i="430" s="1"/>
  <c r="N75" i="428"/>
  <c r="P75" i="428" s="1"/>
  <c r="N64" i="428"/>
  <c r="P64" i="428" s="1"/>
  <c r="Y35" i="476"/>
  <c r="N65" i="428"/>
  <c r="P65" i="428" s="1"/>
  <c r="R43" i="428"/>
  <c r="N35" i="428"/>
  <c r="P35" i="428" s="1"/>
  <c r="N69" i="428"/>
  <c r="P69" i="428" s="1"/>
  <c r="R11" i="428"/>
  <c r="N43" i="428"/>
  <c r="P43" i="428" s="1"/>
  <c r="R76" i="426"/>
  <c r="R73" i="426"/>
  <c r="R13" i="426"/>
  <c r="N72" i="426"/>
  <c r="P72" i="426" s="1"/>
  <c r="N54" i="426"/>
  <c r="P54" i="426" s="1"/>
  <c r="N52" i="426"/>
  <c r="P52" i="426" s="1"/>
  <c r="R64" i="426"/>
  <c r="K34" i="480"/>
  <c r="R45" i="477"/>
  <c r="N77" i="477"/>
  <c r="P77" i="477" s="1"/>
  <c r="N80" i="477"/>
  <c r="P80" i="477" s="1"/>
  <c r="R59" i="371"/>
  <c r="R32" i="371"/>
  <c r="H11" i="27"/>
  <c r="Y8" i="476"/>
  <c r="K8" i="476"/>
  <c r="X14" i="476"/>
  <c r="I22" i="27"/>
  <c r="H14" i="27"/>
  <c r="J8" i="480"/>
  <c r="I10" i="27"/>
  <c r="H15" i="27"/>
  <c r="K10" i="476"/>
  <c r="Z28" i="481"/>
  <c r="J11" i="480"/>
  <c r="N66" i="500"/>
  <c r="P66" i="500" s="1"/>
  <c r="N62" i="500"/>
  <c r="P62" i="500" s="1"/>
  <c r="R45" i="500"/>
  <c r="R12" i="500"/>
  <c r="R56" i="500"/>
  <c r="N68" i="500"/>
  <c r="P68" i="500" s="1"/>
  <c r="R61" i="500"/>
  <c r="J70" i="500"/>
  <c r="R37" i="500"/>
  <c r="R60" i="500"/>
  <c r="R10" i="500"/>
  <c r="R55" i="500"/>
  <c r="R61" i="498"/>
  <c r="R60" i="498"/>
  <c r="N54" i="498"/>
  <c r="P54" i="498" s="1"/>
  <c r="N41" i="498"/>
  <c r="P41" i="498" s="1"/>
  <c r="P50" i="498"/>
  <c r="N39" i="498"/>
  <c r="P39" i="498" s="1"/>
  <c r="N72" i="496"/>
  <c r="P72" i="496" s="1"/>
  <c r="P12" i="496"/>
  <c r="R51" i="496"/>
  <c r="N53" i="496"/>
  <c r="P53" i="496" s="1"/>
  <c r="R78" i="496"/>
  <c r="R12" i="496"/>
  <c r="R13" i="496" s="1"/>
  <c r="N54" i="496"/>
  <c r="P54" i="496" s="1"/>
  <c r="N77" i="496"/>
  <c r="P77" i="496" s="1"/>
  <c r="N62" i="496"/>
  <c r="P62" i="496" s="1"/>
  <c r="N73" i="496"/>
  <c r="P73" i="496" s="1"/>
  <c r="R65" i="494"/>
  <c r="P44" i="494"/>
  <c r="N40" i="494"/>
  <c r="P40" i="494" s="1"/>
  <c r="R55" i="494"/>
  <c r="N76" i="494"/>
  <c r="P76" i="494" s="1"/>
  <c r="R64" i="494"/>
  <c r="R51" i="494"/>
  <c r="R44" i="494"/>
  <c r="N43" i="494"/>
  <c r="P43" i="494" s="1"/>
  <c r="R69" i="494"/>
  <c r="N76" i="464"/>
  <c r="P76" i="464" s="1"/>
  <c r="N57" i="464"/>
  <c r="P57" i="464" s="1"/>
  <c r="R70" i="464"/>
  <c r="R13" i="464"/>
  <c r="N44" i="464"/>
  <c r="P44" i="464" s="1"/>
  <c r="N78" i="464"/>
  <c r="P78" i="464" s="1"/>
  <c r="J14" i="464"/>
  <c r="N74" i="464"/>
  <c r="P74" i="464" s="1"/>
  <c r="R81" i="464"/>
  <c r="R56" i="464"/>
  <c r="R88" i="460"/>
  <c r="N83" i="460"/>
  <c r="P83" i="460" s="1"/>
  <c r="R65" i="460"/>
  <c r="P65" i="460"/>
  <c r="R47" i="460"/>
  <c r="N81" i="460"/>
  <c r="P81" i="460" s="1"/>
  <c r="N49" i="460"/>
  <c r="P49" i="460" s="1"/>
  <c r="N13" i="460"/>
  <c r="P13" i="460" s="1"/>
  <c r="R50" i="460"/>
  <c r="N10" i="460"/>
  <c r="R12" i="460"/>
  <c r="R86" i="460"/>
  <c r="R57" i="458"/>
  <c r="R13" i="458"/>
  <c r="N52" i="458"/>
  <c r="P52" i="458" s="1"/>
  <c r="N83" i="458"/>
  <c r="P83" i="458" s="1"/>
  <c r="R53" i="458"/>
  <c r="R64" i="458"/>
  <c r="N73" i="458"/>
  <c r="P73" i="458" s="1"/>
  <c r="P62" i="458"/>
  <c r="R84" i="458"/>
  <c r="P63" i="458"/>
  <c r="P64" i="458"/>
  <c r="N61" i="458"/>
  <c r="P61" i="458" s="1"/>
  <c r="R63" i="458"/>
  <c r="R76" i="458"/>
  <c r="N88" i="458"/>
  <c r="P88" i="458" s="1"/>
  <c r="R75" i="456"/>
  <c r="P37" i="456"/>
  <c r="N42" i="456"/>
  <c r="P42" i="456" s="1"/>
  <c r="R51" i="456"/>
  <c r="N11" i="456"/>
  <c r="P11" i="456" s="1"/>
  <c r="N72" i="456"/>
  <c r="P72" i="456" s="1"/>
  <c r="P70" i="456"/>
  <c r="N76" i="456"/>
  <c r="P76" i="456" s="1"/>
  <c r="R37" i="456"/>
  <c r="N71" i="456"/>
  <c r="P71" i="456" s="1"/>
  <c r="N49" i="456"/>
  <c r="P49" i="456" s="1"/>
  <c r="R70" i="456"/>
  <c r="R45" i="456"/>
  <c r="P52" i="456"/>
  <c r="R67" i="456"/>
  <c r="P63" i="456"/>
  <c r="N62" i="456"/>
  <c r="N78" i="454"/>
  <c r="P78" i="454" s="1"/>
  <c r="N39" i="454"/>
  <c r="P39" i="454" s="1"/>
  <c r="N13" i="454"/>
  <c r="P13" i="454" s="1"/>
  <c r="N12" i="454"/>
  <c r="P12" i="454" s="1"/>
  <c r="K26" i="480"/>
  <c r="R41" i="454"/>
  <c r="R67" i="454"/>
  <c r="R45" i="454"/>
  <c r="N77" i="474"/>
  <c r="P77" i="474" s="1"/>
  <c r="N38" i="474"/>
  <c r="P38" i="474" s="1"/>
  <c r="R11" i="474"/>
  <c r="R14" i="474" s="1"/>
  <c r="K25" i="480"/>
  <c r="R57" i="474"/>
  <c r="N10" i="474"/>
  <c r="P10" i="474" s="1"/>
  <c r="N44" i="474"/>
  <c r="P44" i="474" s="1"/>
  <c r="R65" i="450"/>
  <c r="N53" i="450"/>
  <c r="P53" i="450" s="1"/>
  <c r="P57" i="450"/>
  <c r="K24" i="476"/>
  <c r="P10" i="450"/>
  <c r="R44" i="450"/>
  <c r="L24" i="480"/>
  <c r="N13" i="448"/>
  <c r="P13" i="448" s="1"/>
  <c r="R11" i="448"/>
  <c r="N10" i="448"/>
  <c r="P10" i="448" s="1"/>
  <c r="R80" i="448"/>
  <c r="R76" i="448"/>
  <c r="P76" i="448"/>
  <c r="N82" i="448"/>
  <c r="P82" i="448" s="1"/>
  <c r="P75" i="448"/>
  <c r="J14" i="448"/>
  <c r="P46" i="448"/>
  <c r="R46" i="448"/>
  <c r="R73" i="448"/>
  <c r="N48" i="446"/>
  <c r="P48" i="446" s="1"/>
  <c r="R35" i="446"/>
  <c r="N62" i="446"/>
  <c r="R67" i="446"/>
  <c r="R62" i="446"/>
  <c r="P35" i="446"/>
  <c r="N74" i="446"/>
  <c r="P74" i="446" s="1"/>
  <c r="N68" i="442"/>
  <c r="P68" i="442" s="1"/>
  <c r="P64" i="442"/>
  <c r="N34" i="442"/>
  <c r="P34" i="442" s="1"/>
  <c r="N52" i="442"/>
  <c r="P52" i="442" s="1"/>
  <c r="R77" i="442"/>
  <c r="N12" i="442"/>
  <c r="P12" i="442" s="1"/>
  <c r="N49" i="442"/>
  <c r="P49" i="442" s="1"/>
  <c r="P44" i="442"/>
  <c r="R63" i="442"/>
  <c r="R77" i="440"/>
  <c r="R52" i="440"/>
  <c r="N34" i="440"/>
  <c r="P34" i="440" s="1"/>
  <c r="N70" i="440"/>
  <c r="P70" i="440" s="1"/>
  <c r="P50" i="440"/>
  <c r="N71" i="440"/>
  <c r="P71" i="440" s="1"/>
  <c r="N75" i="440"/>
  <c r="P75" i="440" s="1"/>
  <c r="R73" i="440"/>
  <c r="N69" i="440"/>
  <c r="P69" i="440" s="1"/>
  <c r="P37" i="440"/>
  <c r="N76" i="440"/>
  <c r="P76" i="440" s="1"/>
  <c r="N48" i="440"/>
  <c r="P48" i="440" s="1"/>
  <c r="N53" i="438"/>
  <c r="P53" i="438" s="1"/>
  <c r="N49" i="438"/>
  <c r="P49" i="438" s="1"/>
  <c r="N40" i="438"/>
  <c r="P40" i="438" s="1"/>
  <c r="N12" i="438"/>
  <c r="P12" i="438" s="1"/>
  <c r="N72" i="438"/>
  <c r="P72" i="438" s="1"/>
  <c r="N68" i="438"/>
  <c r="P68" i="438" s="1"/>
  <c r="P69" i="438"/>
  <c r="N75" i="432"/>
  <c r="P75" i="432" s="1"/>
  <c r="J78" i="432"/>
  <c r="N45" i="432"/>
  <c r="P45" i="432" s="1"/>
  <c r="P48" i="432"/>
  <c r="N62" i="432"/>
  <c r="P62" i="432" s="1"/>
  <c r="R11" i="432"/>
  <c r="R33" i="432"/>
  <c r="R67" i="432"/>
  <c r="N76" i="432"/>
  <c r="P76" i="432" s="1"/>
  <c r="P67" i="432"/>
  <c r="N66" i="432"/>
  <c r="P66" i="432" s="1"/>
  <c r="P61" i="432"/>
  <c r="R52" i="432"/>
  <c r="R48" i="432"/>
  <c r="P37" i="432"/>
  <c r="R69" i="436"/>
  <c r="R47" i="436"/>
  <c r="R64" i="436"/>
  <c r="R62" i="436"/>
  <c r="N39" i="436"/>
  <c r="P39" i="436" s="1"/>
  <c r="P32" i="436"/>
  <c r="R70" i="436"/>
  <c r="N65" i="436"/>
  <c r="P65" i="436" s="1"/>
  <c r="N40" i="436"/>
  <c r="P40" i="436" s="1"/>
  <c r="N10" i="436"/>
  <c r="P10" i="436" s="1"/>
  <c r="R60" i="436"/>
  <c r="R35" i="436"/>
  <c r="R69" i="434"/>
  <c r="N48" i="434"/>
  <c r="P48" i="434" s="1"/>
  <c r="R29" i="434"/>
  <c r="N26" i="434"/>
  <c r="P26" i="434" s="1"/>
  <c r="N12" i="434"/>
  <c r="P12" i="434" s="1"/>
  <c r="R11" i="434"/>
  <c r="P58" i="434"/>
  <c r="R40" i="434"/>
  <c r="N45" i="434"/>
  <c r="P45" i="434" s="1"/>
  <c r="R70" i="434"/>
  <c r="L16" i="481"/>
  <c r="N39" i="434"/>
  <c r="P39" i="434" s="1"/>
  <c r="P69" i="434"/>
  <c r="R67" i="430"/>
  <c r="R63" i="430"/>
  <c r="R55" i="430"/>
  <c r="N68" i="430"/>
  <c r="P68" i="430" s="1"/>
  <c r="N59" i="430"/>
  <c r="P59" i="430" s="1"/>
  <c r="R35" i="430"/>
  <c r="R64" i="430"/>
  <c r="R69" i="430"/>
  <c r="P64" i="430"/>
  <c r="N34" i="430"/>
  <c r="P34" i="430" s="1"/>
  <c r="N46" i="430"/>
  <c r="P46" i="430" s="1"/>
  <c r="J15" i="476"/>
  <c r="R66" i="430"/>
  <c r="N61" i="430"/>
  <c r="P61" i="430" s="1"/>
  <c r="R76" i="428"/>
  <c r="N73" i="428"/>
  <c r="P73" i="428" s="1"/>
  <c r="N63" i="428"/>
  <c r="P63" i="428" s="1"/>
  <c r="J13" i="428"/>
  <c r="P71" i="426"/>
  <c r="R38" i="426"/>
  <c r="R32" i="426"/>
  <c r="P63" i="426"/>
  <c r="R68" i="426"/>
  <c r="N42" i="426"/>
  <c r="P42" i="426" s="1"/>
  <c r="R49" i="426"/>
  <c r="R46" i="426"/>
  <c r="P38" i="426"/>
  <c r="N62" i="426"/>
  <c r="P62" i="426" s="1"/>
  <c r="N12" i="426"/>
  <c r="P12" i="426" s="1"/>
  <c r="P49" i="426"/>
  <c r="R77" i="426"/>
  <c r="R34" i="426"/>
  <c r="R35" i="426"/>
  <c r="R37" i="426"/>
  <c r="N67" i="426"/>
  <c r="P67" i="426" s="1"/>
  <c r="R70" i="426"/>
  <c r="R74" i="426"/>
  <c r="N35" i="477"/>
  <c r="P35" i="477" s="1"/>
  <c r="N44" i="477"/>
  <c r="P44" i="477" s="1"/>
  <c r="N11" i="371"/>
  <c r="P11" i="371" s="1"/>
  <c r="N10" i="371"/>
  <c r="P10" i="371" s="1"/>
  <c r="N60" i="371"/>
  <c r="P60" i="371" s="1"/>
  <c r="R58" i="371"/>
  <c r="N41" i="371"/>
  <c r="P41" i="371" s="1"/>
  <c r="I15" i="27"/>
  <c r="L21" i="481"/>
  <c r="Y21" i="476"/>
  <c r="H26" i="27"/>
  <c r="H27" i="27"/>
  <c r="Y11" i="476"/>
  <c r="K11" i="476"/>
  <c r="I21" i="27"/>
  <c r="Z15" i="481"/>
  <c r="J12" i="476"/>
  <c r="X11" i="476"/>
  <c r="L15" i="481"/>
  <c r="K15" i="476"/>
  <c r="I11" i="27"/>
  <c r="L11" i="481"/>
  <c r="J11" i="476"/>
  <c r="H12" i="27"/>
  <c r="L64" i="353"/>
  <c r="L48" i="353"/>
  <c r="N48" i="353" s="1"/>
  <c r="N21" i="353"/>
  <c r="N64" i="353"/>
  <c r="L41" i="480"/>
  <c r="R67" i="500"/>
  <c r="P64" i="500"/>
  <c r="P63" i="500"/>
  <c r="P45" i="500"/>
  <c r="P37" i="500"/>
  <c r="J13" i="500"/>
  <c r="P10" i="500"/>
  <c r="N58" i="500"/>
  <c r="P58" i="500" s="1"/>
  <c r="R32" i="500"/>
  <c r="N32" i="500"/>
  <c r="P32" i="500" s="1"/>
  <c r="J46" i="500"/>
  <c r="R46" i="500" s="1"/>
  <c r="P43" i="500"/>
  <c r="P61" i="500"/>
  <c r="L13" i="480"/>
  <c r="N11" i="500"/>
  <c r="P11" i="500" s="1"/>
  <c r="R64" i="500"/>
  <c r="R63" i="500"/>
  <c r="N69" i="500"/>
  <c r="P69" i="500" s="1"/>
  <c r="N42" i="500"/>
  <c r="P42" i="500" s="1"/>
  <c r="P40" i="500"/>
  <c r="P55" i="500"/>
  <c r="N29" i="500"/>
  <c r="P29" i="500" s="1"/>
  <c r="R23" i="500"/>
  <c r="P23" i="500"/>
  <c r="R40" i="500"/>
  <c r="P63" i="498"/>
  <c r="R63" i="498"/>
  <c r="P29" i="498"/>
  <c r="J13" i="498"/>
  <c r="R12" i="498"/>
  <c r="N11" i="498"/>
  <c r="R37" i="498"/>
  <c r="N37" i="498"/>
  <c r="P37" i="498" s="1"/>
  <c r="P52" i="498"/>
  <c r="N23" i="498"/>
  <c r="P23" i="498" s="1"/>
  <c r="R23" i="498"/>
  <c r="N26" i="498"/>
  <c r="P26" i="498" s="1"/>
  <c r="N30" i="498"/>
  <c r="P30" i="498" s="1"/>
  <c r="R30" i="498"/>
  <c r="J43" i="498"/>
  <c r="R43" i="498" s="1"/>
  <c r="R52" i="498"/>
  <c r="P60" i="498"/>
  <c r="J65" i="498"/>
  <c r="P57" i="498"/>
  <c r="R57" i="498"/>
  <c r="P42" i="498"/>
  <c r="P61" i="498"/>
  <c r="P12" i="498"/>
  <c r="P38" i="498"/>
  <c r="P10" i="498"/>
  <c r="N50" i="496"/>
  <c r="P50" i="496" s="1"/>
  <c r="N34" i="496"/>
  <c r="P34" i="496" s="1"/>
  <c r="R32" i="496"/>
  <c r="P32" i="496"/>
  <c r="N11" i="496"/>
  <c r="P11" i="496" s="1"/>
  <c r="J13" i="496"/>
  <c r="N63" i="496"/>
  <c r="P63" i="496" s="1"/>
  <c r="J79" i="496"/>
  <c r="R64" i="496"/>
  <c r="R46" i="496"/>
  <c r="N45" i="496"/>
  <c r="P45" i="496" s="1"/>
  <c r="N10" i="496"/>
  <c r="J55" i="496"/>
  <c r="R55" i="496" s="1"/>
  <c r="N38" i="496"/>
  <c r="P38" i="496" s="1"/>
  <c r="P51" i="496"/>
  <c r="P46" i="496"/>
  <c r="N67" i="496"/>
  <c r="P67" i="496" s="1"/>
  <c r="N71" i="496"/>
  <c r="P71" i="496" s="1"/>
  <c r="P55" i="494"/>
  <c r="P37" i="494"/>
  <c r="N11" i="494"/>
  <c r="P11" i="494" s="1"/>
  <c r="J13" i="494"/>
  <c r="N10" i="494"/>
  <c r="N12" i="494"/>
  <c r="P12" i="494" s="1"/>
  <c r="J79" i="494"/>
  <c r="P64" i="494"/>
  <c r="R37" i="494"/>
  <c r="R39" i="494"/>
  <c r="N56" i="494"/>
  <c r="P56" i="494" s="1"/>
  <c r="R68" i="494"/>
  <c r="P51" i="494"/>
  <c r="P69" i="494"/>
  <c r="P65" i="494"/>
  <c r="P39" i="494"/>
  <c r="N53" i="494"/>
  <c r="P53" i="494" s="1"/>
  <c r="J57" i="494"/>
  <c r="R57" i="494" s="1"/>
  <c r="N66" i="494"/>
  <c r="P66" i="494" s="1"/>
  <c r="R52" i="464"/>
  <c r="N41" i="464"/>
  <c r="P41" i="464" s="1"/>
  <c r="J83" i="464"/>
  <c r="P56" i="464"/>
  <c r="J61" i="464"/>
  <c r="R61" i="464" s="1"/>
  <c r="N73" i="464"/>
  <c r="P73" i="464" s="1"/>
  <c r="P90" i="460"/>
  <c r="P80" i="460"/>
  <c r="N75" i="460"/>
  <c r="P75" i="460" s="1"/>
  <c r="P58" i="460"/>
  <c r="J67" i="460"/>
  <c r="R67" i="460" s="1"/>
  <c r="J91" i="460"/>
  <c r="R46" i="460"/>
  <c r="N76" i="460"/>
  <c r="P76" i="460" s="1"/>
  <c r="P46" i="460"/>
  <c r="R53" i="460"/>
  <c r="R66" i="460"/>
  <c r="R80" i="460"/>
  <c r="R57" i="460"/>
  <c r="P88" i="460"/>
  <c r="P66" i="460"/>
  <c r="P53" i="460"/>
  <c r="P50" i="460"/>
  <c r="N85" i="460"/>
  <c r="P85" i="460" s="1"/>
  <c r="J14" i="460"/>
  <c r="P57" i="460"/>
  <c r="P87" i="460"/>
  <c r="R87" i="460"/>
  <c r="R90" i="460"/>
  <c r="J90" i="458"/>
  <c r="R74" i="458"/>
  <c r="N89" i="458"/>
  <c r="P89" i="458" s="1"/>
  <c r="R11" i="458"/>
  <c r="J14" i="458"/>
  <c r="P11" i="458"/>
  <c r="N78" i="458"/>
  <c r="P78" i="458" s="1"/>
  <c r="R78" i="458"/>
  <c r="R89" i="458"/>
  <c r="P48" i="458"/>
  <c r="N87" i="458"/>
  <c r="P87" i="458" s="1"/>
  <c r="R87" i="458"/>
  <c r="N86" i="458"/>
  <c r="P86" i="458" s="1"/>
  <c r="N74" i="458"/>
  <c r="P74" i="458" s="1"/>
  <c r="J66" i="458"/>
  <c r="R66" i="458" s="1"/>
  <c r="N82" i="458"/>
  <c r="P82" i="458" s="1"/>
  <c r="R82" i="458"/>
  <c r="N12" i="458"/>
  <c r="P12" i="458" s="1"/>
  <c r="R12" i="458"/>
  <c r="R79" i="458"/>
  <c r="P79" i="458"/>
  <c r="R86" i="458"/>
  <c r="N85" i="458"/>
  <c r="P85" i="458" s="1"/>
  <c r="R85" i="458"/>
  <c r="K21" i="480"/>
  <c r="P45" i="458"/>
  <c r="P76" i="458"/>
  <c r="P13" i="458"/>
  <c r="R73" i="456"/>
  <c r="P73" i="456"/>
  <c r="J79" i="456"/>
  <c r="P54" i="456"/>
  <c r="R53" i="456"/>
  <c r="R41" i="456"/>
  <c r="J13" i="456"/>
  <c r="R13" i="456"/>
  <c r="P64" i="456"/>
  <c r="N35" i="456"/>
  <c r="P35" i="456" s="1"/>
  <c r="R64" i="456"/>
  <c r="R34" i="456"/>
  <c r="R52" i="456"/>
  <c r="R54" i="456"/>
  <c r="P45" i="456"/>
  <c r="P77" i="456"/>
  <c r="J55" i="456"/>
  <c r="R55" i="456" s="1"/>
  <c r="N32" i="456"/>
  <c r="P32" i="456" s="1"/>
  <c r="P41" i="456"/>
  <c r="P34" i="456"/>
  <c r="P74" i="454"/>
  <c r="R73" i="454"/>
  <c r="P73" i="454"/>
  <c r="R50" i="454"/>
  <c r="J81" i="454"/>
  <c r="P42" i="454"/>
  <c r="P67" i="454"/>
  <c r="N57" i="454"/>
  <c r="P57" i="454" s="1"/>
  <c r="N46" i="454"/>
  <c r="P46" i="454" s="1"/>
  <c r="J59" i="454"/>
  <c r="R59" i="454" s="1"/>
  <c r="J14" i="454"/>
  <c r="N11" i="454"/>
  <c r="R74" i="474"/>
  <c r="P56" i="474"/>
  <c r="J58" i="474"/>
  <c r="R58" i="474" s="1"/>
  <c r="N13" i="474"/>
  <c r="P13" i="474" s="1"/>
  <c r="J14" i="474"/>
  <c r="P11" i="474"/>
  <c r="N76" i="474"/>
  <c r="P76" i="474" s="1"/>
  <c r="N67" i="474"/>
  <c r="P67" i="474" s="1"/>
  <c r="N79" i="474"/>
  <c r="P79" i="474" s="1"/>
  <c r="J80" i="474"/>
  <c r="R52" i="474"/>
  <c r="R53" i="474"/>
  <c r="N78" i="474"/>
  <c r="P78" i="474" s="1"/>
  <c r="N71" i="474"/>
  <c r="P71" i="474" s="1"/>
  <c r="P74" i="474"/>
  <c r="P53" i="474"/>
  <c r="P66" i="474"/>
  <c r="R56" i="474"/>
  <c r="P52" i="474"/>
  <c r="R90" i="450"/>
  <c r="R87" i="450"/>
  <c r="P66" i="450"/>
  <c r="J14" i="450"/>
  <c r="R11" i="450"/>
  <c r="P89" i="450"/>
  <c r="J91" i="450"/>
  <c r="P77" i="450"/>
  <c r="R47" i="450"/>
  <c r="R83" i="450"/>
  <c r="N58" i="450"/>
  <c r="P58" i="450" s="1"/>
  <c r="R76" i="450"/>
  <c r="P81" i="450"/>
  <c r="P82" i="450"/>
  <c r="R86" i="450"/>
  <c r="R75" i="450"/>
  <c r="J67" i="450"/>
  <c r="R67" i="450" s="1"/>
  <c r="P76" i="450"/>
  <c r="R66" i="450"/>
  <c r="P47" i="450"/>
  <c r="N61" i="450"/>
  <c r="P61" i="450" s="1"/>
  <c r="R89" i="450"/>
  <c r="P64" i="450"/>
  <c r="P75" i="450"/>
  <c r="P86" i="450"/>
  <c r="N86" i="448"/>
  <c r="P86" i="448" s="1"/>
  <c r="R83" i="448"/>
  <c r="R64" i="448"/>
  <c r="P64" i="448"/>
  <c r="P57" i="448"/>
  <c r="N12" i="448"/>
  <c r="P12" i="448" s="1"/>
  <c r="P73" i="448"/>
  <c r="J90" i="448"/>
  <c r="J66" i="448"/>
  <c r="R66" i="448" s="1"/>
  <c r="N81" i="448"/>
  <c r="P81" i="448" s="1"/>
  <c r="P63" i="448"/>
  <c r="N84" i="448"/>
  <c r="P84" i="448" s="1"/>
  <c r="R57" i="448"/>
  <c r="K23" i="480"/>
  <c r="N88" i="448"/>
  <c r="N52" i="448"/>
  <c r="P52" i="448" s="1"/>
  <c r="P73" i="446"/>
  <c r="N51" i="446"/>
  <c r="P51" i="446" s="1"/>
  <c r="P33" i="446"/>
  <c r="R33" i="446"/>
  <c r="R31" i="446"/>
  <c r="P31" i="446"/>
  <c r="N12" i="446"/>
  <c r="P12" i="446" s="1"/>
  <c r="Z12" i="481"/>
  <c r="K12" i="476"/>
  <c r="R47" i="446"/>
  <c r="I12" i="27"/>
  <c r="P47" i="446"/>
  <c r="J75" i="446"/>
  <c r="J13" i="446"/>
  <c r="N68" i="446"/>
  <c r="P68" i="446" s="1"/>
  <c r="R11" i="446"/>
  <c r="R73" i="446"/>
  <c r="P61" i="446"/>
  <c r="P11" i="446"/>
  <c r="J53" i="446"/>
  <c r="R53" i="446" s="1"/>
  <c r="L12" i="481"/>
  <c r="R61" i="446"/>
  <c r="R51" i="446"/>
  <c r="P76" i="442"/>
  <c r="P74" i="442"/>
  <c r="R67" i="442"/>
  <c r="R45" i="442"/>
  <c r="P31" i="442"/>
  <c r="J13" i="442"/>
  <c r="J54" i="442"/>
  <c r="R54" i="442" s="1"/>
  <c r="P10" i="442"/>
  <c r="J78" i="442"/>
  <c r="N40" i="442"/>
  <c r="P40" i="442" s="1"/>
  <c r="R48" i="442"/>
  <c r="N75" i="442"/>
  <c r="P75" i="442" s="1"/>
  <c r="N11" i="442"/>
  <c r="P70" i="442"/>
  <c r="P73" i="442"/>
  <c r="N71" i="442"/>
  <c r="R76" i="442"/>
  <c r="N69" i="442"/>
  <c r="P69" i="442" s="1"/>
  <c r="P62" i="442"/>
  <c r="P63" i="442"/>
  <c r="N53" i="442"/>
  <c r="P53" i="442" s="1"/>
  <c r="P51" i="442"/>
  <c r="R67" i="440"/>
  <c r="P53" i="440"/>
  <c r="R45" i="440"/>
  <c r="P33" i="440"/>
  <c r="J54" i="440"/>
  <c r="R54" i="440" s="1"/>
  <c r="N31" i="440"/>
  <c r="P31" i="440" s="1"/>
  <c r="N12" i="440"/>
  <c r="P12" i="440" s="1"/>
  <c r="J13" i="440"/>
  <c r="J10" i="480"/>
  <c r="R10" i="440"/>
  <c r="Y10" i="476"/>
  <c r="R51" i="440"/>
  <c r="N66" i="440"/>
  <c r="P66" i="440" s="1"/>
  <c r="P74" i="440"/>
  <c r="R74" i="440"/>
  <c r="N61" i="440"/>
  <c r="P61" i="440" s="1"/>
  <c r="N10" i="440"/>
  <c r="R11" i="440"/>
  <c r="P45" i="440"/>
  <c r="R36" i="440"/>
  <c r="P68" i="440"/>
  <c r="J78" i="440"/>
  <c r="N44" i="440"/>
  <c r="P44" i="440" s="1"/>
  <c r="R53" i="440"/>
  <c r="P73" i="440"/>
  <c r="R33" i="440"/>
  <c r="P11" i="440"/>
  <c r="P36" i="440"/>
  <c r="K10" i="480"/>
  <c r="N72" i="440"/>
  <c r="P72" i="440" s="1"/>
  <c r="N71" i="438"/>
  <c r="P71" i="438" s="1"/>
  <c r="R71" i="438"/>
  <c r="R52" i="438"/>
  <c r="J13" i="438"/>
  <c r="N66" i="438"/>
  <c r="P66" i="438" s="1"/>
  <c r="J54" i="438"/>
  <c r="R54" i="438" s="1"/>
  <c r="R74" i="438"/>
  <c r="P74" i="438"/>
  <c r="N77" i="438"/>
  <c r="P77" i="438" s="1"/>
  <c r="R50" i="438"/>
  <c r="R67" i="438"/>
  <c r="P67" i="438"/>
  <c r="P50" i="438"/>
  <c r="N62" i="438"/>
  <c r="P62" i="438" s="1"/>
  <c r="P52" i="438"/>
  <c r="N75" i="438"/>
  <c r="P75" i="438" s="1"/>
  <c r="P11" i="438"/>
  <c r="R11" i="438"/>
  <c r="J78" i="438"/>
  <c r="R69" i="438"/>
  <c r="N41" i="438"/>
  <c r="P41" i="438" s="1"/>
  <c r="R70" i="432"/>
  <c r="R53" i="432"/>
  <c r="P11" i="432"/>
  <c r="J13" i="432"/>
  <c r="N64" i="432"/>
  <c r="P53" i="432"/>
  <c r="N73" i="432"/>
  <c r="P73" i="432" s="1"/>
  <c r="P52" i="432"/>
  <c r="P41" i="432"/>
  <c r="N10" i="432"/>
  <c r="N44" i="432"/>
  <c r="P44" i="432" s="1"/>
  <c r="R71" i="432"/>
  <c r="N51" i="432"/>
  <c r="P51" i="432" s="1"/>
  <c r="P70" i="432"/>
  <c r="J54" i="432"/>
  <c r="P71" i="432"/>
  <c r="L8" i="480"/>
  <c r="P68" i="432"/>
  <c r="P36" i="432"/>
  <c r="P48" i="436"/>
  <c r="J49" i="436"/>
  <c r="R49" i="436" s="1"/>
  <c r="N11" i="436"/>
  <c r="P11" i="436" s="1"/>
  <c r="N61" i="436"/>
  <c r="P61" i="436" s="1"/>
  <c r="J13" i="436"/>
  <c r="R44" i="436"/>
  <c r="R26" i="436"/>
  <c r="N46" i="436"/>
  <c r="P46" i="436" s="1"/>
  <c r="R12" i="436"/>
  <c r="P26" i="436"/>
  <c r="J71" i="436"/>
  <c r="P35" i="436"/>
  <c r="R58" i="436"/>
  <c r="P12" i="436"/>
  <c r="P44" i="436"/>
  <c r="P47" i="436"/>
  <c r="P58" i="436"/>
  <c r="N64" i="434"/>
  <c r="P64" i="434" s="1"/>
  <c r="P44" i="434"/>
  <c r="P40" i="434"/>
  <c r="J13" i="434"/>
  <c r="J49" i="434"/>
  <c r="R49" i="434" s="1"/>
  <c r="J71" i="434"/>
  <c r="R67" i="434"/>
  <c r="P11" i="434"/>
  <c r="P46" i="434"/>
  <c r="P67" i="434"/>
  <c r="Z16" i="481"/>
  <c r="R44" i="434"/>
  <c r="R58" i="434"/>
  <c r="N66" i="434"/>
  <c r="P66" i="434" s="1"/>
  <c r="K16" i="476"/>
  <c r="Y16" i="476"/>
  <c r="N61" i="434"/>
  <c r="P61" i="434" s="1"/>
  <c r="R32" i="434"/>
  <c r="R39" i="434"/>
  <c r="P66" i="430"/>
  <c r="J70" i="430"/>
  <c r="R12" i="430"/>
  <c r="J13" i="430"/>
  <c r="R42" i="430"/>
  <c r="N25" i="430"/>
  <c r="P25" i="430" s="1"/>
  <c r="N60" i="430"/>
  <c r="P60" i="430" s="1"/>
  <c r="R61" i="430"/>
  <c r="P63" i="430"/>
  <c r="R60" i="430"/>
  <c r="P10" i="430"/>
  <c r="P12" i="430"/>
  <c r="R57" i="430"/>
  <c r="N57" i="430"/>
  <c r="P57" i="430" s="1"/>
  <c r="P30" i="430"/>
  <c r="J48" i="430"/>
  <c r="R48" i="430" s="1"/>
  <c r="P69" i="430"/>
  <c r="P42" i="430"/>
  <c r="N11" i="430"/>
  <c r="N45" i="430"/>
  <c r="P45" i="430" s="1"/>
  <c r="N79" i="428"/>
  <c r="P79" i="428" s="1"/>
  <c r="P78" i="428"/>
  <c r="J80" i="428"/>
  <c r="P76" i="428"/>
  <c r="R55" i="428"/>
  <c r="P54" i="428"/>
  <c r="P33" i="428"/>
  <c r="R68" i="428"/>
  <c r="R53" i="428"/>
  <c r="N10" i="428"/>
  <c r="R42" i="428"/>
  <c r="R47" i="428"/>
  <c r="N77" i="428"/>
  <c r="P77" i="428" s="1"/>
  <c r="P47" i="428"/>
  <c r="N39" i="428"/>
  <c r="P39" i="428" s="1"/>
  <c r="R74" i="428"/>
  <c r="N51" i="428"/>
  <c r="P51" i="428" s="1"/>
  <c r="P55" i="428"/>
  <c r="J56" i="428"/>
  <c r="R56" i="428" s="1"/>
  <c r="P74" i="428"/>
  <c r="R46" i="428"/>
  <c r="N12" i="428"/>
  <c r="P12" i="428" s="1"/>
  <c r="K35" i="480"/>
  <c r="R72" i="428"/>
  <c r="P46" i="428"/>
  <c r="P68" i="428"/>
  <c r="P72" i="428"/>
  <c r="R78" i="428"/>
  <c r="R54" i="428"/>
  <c r="P77" i="426"/>
  <c r="P41" i="426"/>
  <c r="J55" i="426"/>
  <c r="R55" i="426" s="1"/>
  <c r="N11" i="426"/>
  <c r="P11" i="426" s="1"/>
  <c r="J79" i="426"/>
  <c r="N10" i="426"/>
  <c r="P70" i="426"/>
  <c r="P53" i="426"/>
  <c r="P35" i="426"/>
  <c r="R41" i="426"/>
  <c r="P76" i="426"/>
  <c r="R63" i="426"/>
  <c r="J13" i="426"/>
  <c r="P64" i="426"/>
  <c r="R67" i="426"/>
  <c r="P75" i="426"/>
  <c r="P37" i="426"/>
  <c r="P46" i="426"/>
  <c r="R53" i="426"/>
  <c r="N72" i="477"/>
  <c r="P72" i="477" s="1"/>
  <c r="N67" i="477"/>
  <c r="P67" i="477" s="1"/>
  <c r="N11" i="477"/>
  <c r="P11" i="477" s="1"/>
  <c r="N38" i="477"/>
  <c r="P38" i="477" s="1"/>
  <c r="N12" i="477"/>
  <c r="P12" i="477" s="1"/>
  <c r="N49" i="477"/>
  <c r="P49" i="477" s="1"/>
  <c r="R10" i="477"/>
  <c r="N68" i="477"/>
  <c r="P68" i="477" s="1"/>
  <c r="R49" i="371"/>
  <c r="N65" i="371"/>
  <c r="P65" i="371" s="1"/>
  <c r="N47" i="371"/>
  <c r="P47" i="371" s="1"/>
  <c r="R62" i="371"/>
  <c r="R65" i="371"/>
  <c r="J40" i="480"/>
  <c r="L40" i="481"/>
  <c r="Z40" i="481"/>
  <c r="K40" i="476"/>
  <c r="I40" i="27"/>
  <c r="Y40" i="476"/>
  <c r="K85" i="293"/>
  <c r="X8" i="476"/>
  <c r="L28" i="481"/>
  <c r="Y28" i="476"/>
  <c r="Z14" i="481"/>
  <c r="K28" i="476"/>
  <c r="K22" i="476"/>
  <c r="I35" i="27"/>
  <c r="Z35" i="481"/>
  <c r="X21" i="476"/>
  <c r="I28" i="27"/>
  <c r="L22" i="481"/>
  <c r="H8" i="27"/>
  <c r="Y13" i="476"/>
  <c r="I24" i="27"/>
  <c r="Y14" i="476"/>
  <c r="K35" i="476"/>
  <c r="H21" i="27"/>
  <c r="K13" i="476"/>
  <c r="J14" i="480"/>
  <c r="I13" i="27"/>
  <c r="J24" i="480"/>
  <c r="J22" i="480"/>
  <c r="H23" i="27"/>
  <c r="Y24" i="476"/>
  <c r="J23" i="476"/>
  <c r="J35" i="480"/>
  <c r="J21" i="476"/>
  <c r="Y22" i="476"/>
  <c r="K14" i="476"/>
  <c r="X28" i="476"/>
  <c r="J28" i="476"/>
  <c r="H28" i="27"/>
  <c r="R54" i="477"/>
  <c r="R52" i="477"/>
  <c r="R66" i="477"/>
  <c r="N66" i="477"/>
  <c r="P66" i="477" s="1"/>
  <c r="N52" i="477"/>
  <c r="P52" i="477" s="1"/>
  <c r="J13" i="477"/>
  <c r="R56" i="477"/>
  <c r="P56" i="477"/>
  <c r="R78" i="477"/>
  <c r="P78" i="477"/>
  <c r="P45" i="477"/>
  <c r="N57" i="477"/>
  <c r="P57" i="477" s="1"/>
  <c r="R57" i="477"/>
  <c r="P76" i="477"/>
  <c r="R76" i="477"/>
  <c r="R40" i="477"/>
  <c r="N40" i="477"/>
  <c r="P40" i="477" s="1"/>
  <c r="J58" i="477"/>
  <c r="R58" i="477" s="1"/>
  <c r="N41" i="477"/>
  <c r="P41" i="477" s="1"/>
  <c r="P73" i="477"/>
  <c r="R73" i="477"/>
  <c r="N81" i="477"/>
  <c r="P81" i="477" s="1"/>
  <c r="R37" i="477"/>
  <c r="P37" i="477"/>
  <c r="N65" i="477"/>
  <c r="P65" i="477" s="1"/>
  <c r="J82" i="477"/>
  <c r="R65" i="477"/>
  <c r="N75" i="477"/>
  <c r="P75" i="477" s="1"/>
  <c r="R75" i="477"/>
  <c r="R41" i="477"/>
  <c r="R37" i="371"/>
  <c r="P27" i="371"/>
  <c r="N66" i="371"/>
  <c r="P66" i="371" s="1"/>
  <c r="P67" i="371"/>
  <c r="N40" i="371"/>
  <c r="P40" i="371" s="1"/>
  <c r="R67" i="371"/>
  <c r="N73" i="371"/>
  <c r="P73" i="371" s="1"/>
  <c r="N68" i="371"/>
  <c r="P68" i="371" s="1"/>
  <c r="R68" i="371"/>
  <c r="P12" i="371"/>
  <c r="R12" i="371"/>
  <c r="M7" i="481"/>
  <c r="J50" i="371"/>
  <c r="R50" i="371" s="1"/>
  <c r="P37" i="371"/>
  <c r="R71" i="371"/>
  <c r="P71" i="371"/>
  <c r="R70" i="371"/>
  <c r="N70" i="371"/>
  <c r="P70" i="371" s="1"/>
  <c r="N72" i="371"/>
  <c r="P72" i="371" s="1"/>
  <c r="P62" i="371"/>
  <c r="J13" i="371"/>
  <c r="R27" i="371"/>
  <c r="N29" i="371"/>
  <c r="P29" i="371" s="1"/>
  <c r="R33" i="371"/>
  <c r="N33" i="371"/>
  <c r="P33" i="371" s="1"/>
  <c r="R57" i="371"/>
  <c r="J74" i="371"/>
  <c r="N57" i="371"/>
  <c r="N63" i="371"/>
  <c r="P63" i="371" s="1"/>
  <c r="R63" i="371"/>
  <c r="P44" i="371"/>
  <c r="I40" i="480"/>
  <c r="K40" i="481"/>
  <c r="AA40" i="481" s="1"/>
  <c r="L56" i="293"/>
  <c r="N56" i="293" s="1"/>
  <c r="N57" i="293" s="1"/>
  <c r="N17" i="293"/>
  <c r="N63" i="293"/>
  <c r="N72" i="293" s="1"/>
  <c r="L72" i="293"/>
  <c r="L17" i="293"/>
  <c r="J17" i="476" l="1"/>
  <c r="H35" i="27"/>
  <c r="X35" i="476"/>
  <c r="X17" i="476"/>
  <c r="J29" i="476"/>
  <c r="X29" i="476"/>
  <c r="H16" i="27"/>
  <c r="K36" i="476"/>
  <c r="Z36" i="481"/>
  <c r="O61" i="481"/>
  <c r="I27" i="27"/>
  <c r="K27" i="476"/>
  <c r="J27" i="480"/>
  <c r="L27" i="481"/>
  <c r="Z27" i="481"/>
  <c r="J16" i="476"/>
  <c r="X16" i="476"/>
  <c r="J7" i="480"/>
  <c r="Y17" i="476"/>
  <c r="J17" i="480"/>
  <c r="L26" i="481"/>
  <c r="J26" i="480"/>
  <c r="K26" i="476"/>
  <c r="Z26" i="481"/>
  <c r="Y26" i="476"/>
  <c r="Y7" i="476"/>
  <c r="X34" i="476"/>
  <c r="Y25" i="476"/>
  <c r="K7" i="476"/>
  <c r="I7" i="27"/>
  <c r="L7" i="481"/>
  <c r="I17" i="27"/>
  <c r="Z17" i="481"/>
  <c r="H10" i="27"/>
  <c r="K25" i="476"/>
  <c r="I25" i="27"/>
  <c r="L25" i="481"/>
  <c r="K17" i="476"/>
  <c r="Z25" i="481"/>
  <c r="X10" i="476"/>
  <c r="I30" i="27"/>
  <c r="J34" i="476"/>
  <c r="K30" i="476"/>
  <c r="J30" i="480"/>
  <c r="Z30" i="481"/>
  <c r="L30" i="481"/>
  <c r="Y30" i="476"/>
  <c r="I34" i="27"/>
  <c r="K29" i="476"/>
  <c r="J36" i="480"/>
  <c r="L36" i="481"/>
  <c r="K9" i="476"/>
  <c r="J9" i="480"/>
  <c r="I9" i="27"/>
  <c r="L9" i="481"/>
  <c r="Z9" i="481"/>
  <c r="I36" i="27"/>
  <c r="J29" i="480"/>
  <c r="H9" i="27"/>
  <c r="H36" i="27"/>
  <c r="X9" i="476"/>
  <c r="H7" i="27"/>
  <c r="K7" i="27" s="1"/>
  <c r="H25" i="27"/>
  <c r="J7" i="476"/>
  <c r="Z7" i="476" s="1"/>
  <c r="J9" i="476"/>
  <c r="Z29" i="481"/>
  <c r="J13" i="476"/>
  <c r="Y36" i="476"/>
  <c r="J36" i="476"/>
  <c r="Y29" i="476"/>
  <c r="X36" i="476"/>
  <c r="H24" i="27"/>
  <c r="K34" i="476"/>
  <c r="H13" i="27"/>
  <c r="L34" i="481"/>
  <c r="J24" i="476"/>
  <c r="I29" i="27"/>
  <c r="Z34" i="481"/>
  <c r="Y34" i="476"/>
  <c r="J34" i="480"/>
  <c r="X24" i="476"/>
  <c r="J25" i="476"/>
  <c r="R14" i="454"/>
  <c r="N14" i="450"/>
  <c r="P14" i="450"/>
  <c r="R13" i="432"/>
  <c r="R13" i="498"/>
  <c r="N13" i="498"/>
  <c r="N13" i="430"/>
  <c r="N13" i="477"/>
  <c r="R80" i="474"/>
  <c r="R13" i="442"/>
  <c r="R13" i="436"/>
  <c r="N49" i="353"/>
  <c r="N66" i="353" s="1"/>
  <c r="N14" i="448"/>
  <c r="R13" i="446"/>
  <c r="R78" i="432"/>
  <c r="N13" i="432"/>
  <c r="R13" i="428"/>
  <c r="R79" i="496"/>
  <c r="N79" i="494"/>
  <c r="R79" i="494"/>
  <c r="P14" i="464"/>
  <c r="N14" i="464"/>
  <c r="N14" i="454"/>
  <c r="P14" i="448"/>
  <c r="R14" i="448"/>
  <c r="R55" i="438"/>
  <c r="N13" i="434"/>
  <c r="R13" i="434"/>
  <c r="N79" i="426"/>
  <c r="R13" i="500"/>
  <c r="R70" i="500"/>
  <c r="N13" i="500"/>
  <c r="P11" i="498"/>
  <c r="P13" i="498" s="1"/>
  <c r="N65" i="498"/>
  <c r="R13" i="494"/>
  <c r="R58" i="494"/>
  <c r="R83" i="464"/>
  <c r="R14" i="464"/>
  <c r="P83" i="464"/>
  <c r="R91" i="460"/>
  <c r="N14" i="460"/>
  <c r="P10" i="460"/>
  <c r="P14" i="460" s="1"/>
  <c r="R14" i="460"/>
  <c r="R67" i="458"/>
  <c r="R14" i="458"/>
  <c r="N79" i="456"/>
  <c r="P62" i="456"/>
  <c r="P79" i="456" s="1"/>
  <c r="N81" i="454"/>
  <c r="R81" i="454"/>
  <c r="R60" i="454"/>
  <c r="N14" i="474"/>
  <c r="R14" i="450"/>
  <c r="P91" i="450"/>
  <c r="N91" i="450"/>
  <c r="R68" i="450"/>
  <c r="N90" i="448"/>
  <c r="R90" i="448"/>
  <c r="P88" i="448"/>
  <c r="P90" i="448" s="1"/>
  <c r="N75" i="446"/>
  <c r="P13" i="446"/>
  <c r="P62" i="446"/>
  <c r="P75" i="446" s="1"/>
  <c r="R75" i="446"/>
  <c r="N13" i="442"/>
  <c r="P11" i="442"/>
  <c r="P13" i="442" s="1"/>
  <c r="R78" i="442"/>
  <c r="R55" i="442"/>
  <c r="R13" i="440"/>
  <c r="N13" i="440"/>
  <c r="N54" i="440"/>
  <c r="N55" i="440" s="1"/>
  <c r="W10" i="481" s="1"/>
  <c r="R13" i="438"/>
  <c r="P13" i="438"/>
  <c r="N13" i="438"/>
  <c r="N54" i="432"/>
  <c r="N55" i="432" s="1"/>
  <c r="R71" i="436"/>
  <c r="P13" i="436"/>
  <c r="N13" i="436"/>
  <c r="R70" i="430"/>
  <c r="P11" i="430"/>
  <c r="P13" i="430" s="1"/>
  <c r="R13" i="430"/>
  <c r="N80" i="428"/>
  <c r="R80" i="428"/>
  <c r="P79" i="426"/>
  <c r="R79" i="426"/>
  <c r="N13" i="426"/>
  <c r="R13" i="477"/>
  <c r="P13" i="477"/>
  <c r="L49" i="353"/>
  <c r="L66" i="353" s="1"/>
  <c r="N70" i="500"/>
  <c r="P70" i="500"/>
  <c r="R47" i="500"/>
  <c r="N46" i="500"/>
  <c r="N47" i="500" s="1"/>
  <c r="P13" i="500"/>
  <c r="J47" i="500"/>
  <c r="P46" i="500"/>
  <c r="P47" i="500" s="1"/>
  <c r="R65" i="498"/>
  <c r="R44" i="498"/>
  <c r="J44" i="498"/>
  <c r="N43" i="498"/>
  <c r="N44" i="498" s="1"/>
  <c r="P65" i="498"/>
  <c r="P79" i="496"/>
  <c r="R56" i="496"/>
  <c r="P55" i="496"/>
  <c r="P56" i="496" s="1"/>
  <c r="N13" i="496"/>
  <c r="P10" i="496"/>
  <c r="P13" i="496" s="1"/>
  <c r="N79" i="496"/>
  <c r="N55" i="496"/>
  <c r="N56" i="496" s="1"/>
  <c r="J56" i="496"/>
  <c r="J58" i="494"/>
  <c r="J59" i="494" s="1"/>
  <c r="P57" i="494"/>
  <c r="P58" i="494" s="1"/>
  <c r="P79" i="494"/>
  <c r="P10" i="494"/>
  <c r="P13" i="494" s="1"/>
  <c r="N13" i="494"/>
  <c r="N57" i="494"/>
  <c r="N58" i="494" s="1"/>
  <c r="N61" i="464"/>
  <c r="N62" i="464" s="1"/>
  <c r="J62" i="464"/>
  <c r="N83" i="464"/>
  <c r="R62" i="464"/>
  <c r="P61" i="464"/>
  <c r="P62" i="464" s="1"/>
  <c r="R68" i="460"/>
  <c r="J68" i="460"/>
  <c r="J69" i="460" s="1"/>
  <c r="P91" i="460"/>
  <c r="N67" i="460"/>
  <c r="N68" i="460" s="1"/>
  <c r="N91" i="460"/>
  <c r="R90" i="458"/>
  <c r="N90" i="458"/>
  <c r="P90" i="458"/>
  <c r="J67" i="458"/>
  <c r="J68" i="458" s="1"/>
  <c r="N66" i="458"/>
  <c r="N67" i="458" s="1"/>
  <c r="P14" i="458"/>
  <c r="N14" i="458"/>
  <c r="R79" i="456"/>
  <c r="P13" i="456"/>
  <c r="P55" i="456"/>
  <c r="P56" i="456" s="1"/>
  <c r="R56" i="456"/>
  <c r="N13" i="456"/>
  <c r="N55" i="456"/>
  <c r="N56" i="456" s="1"/>
  <c r="J56" i="456"/>
  <c r="J60" i="454"/>
  <c r="J82" i="454" s="1"/>
  <c r="P11" i="454"/>
  <c r="P14" i="454" s="1"/>
  <c r="N59" i="454"/>
  <c r="N60" i="454" s="1"/>
  <c r="P59" i="454"/>
  <c r="P60" i="454" s="1"/>
  <c r="P81" i="454"/>
  <c r="R59" i="474"/>
  <c r="J59" i="474"/>
  <c r="J60" i="474" s="1"/>
  <c r="D25" i="480" s="1"/>
  <c r="P14" i="474"/>
  <c r="N58" i="474"/>
  <c r="N59" i="474" s="1"/>
  <c r="P80" i="474"/>
  <c r="N80" i="474"/>
  <c r="P67" i="450"/>
  <c r="P68" i="450" s="1"/>
  <c r="J68" i="450"/>
  <c r="N67" i="450"/>
  <c r="N68" i="450" s="1"/>
  <c r="R91" i="450"/>
  <c r="R67" i="448"/>
  <c r="P66" i="448"/>
  <c r="P67" i="448" s="1"/>
  <c r="N66" i="448"/>
  <c r="N67" i="448" s="1"/>
  <c r="J67" i="448"/>
  <c r="R54" i="446"/>
  <c r="N53" i="446"/>
  <c r="N54" i="446" s="1"/>
  <c r="W12" i="481" s="1"/>
  <c r="P53" i="446"/>
  <c r="P54" i="446" s="1"/>
  <c r="J54" i="446"/>
  <c r="N13" i="446"/>
  <c r="N78" i="442"/>
  <c r="P71" i="442"/>
  <c r="P78" i="442" s="1"/>
  <c r="P54" i="442"/>
  <c r="P55" i="442" s="1"/>
  <c r="N54" i="442"/>
  <c r="N55" i="442" s="1"/>
  <c r="J55" i="442"/>
  <c r="R78" i="440"/>
  <c r="J55" i="440"/>
  <c r="R55" i="440"/>
  <c r="P10" i="440"/>
  <c r="P13" i="440" s="1"/>
  <c r="N78" i="440"/>
  <c r="P78" i="440"/>
  <c r="R78" i="438"/>
  <c r="J55" i="438"/>
  <c r="J79" i="438" s="1"/>
  <c r="P54" i="438"/>
  <c r="P55" i="438" s="1"/>
  <c r="N54" i="438"/>
  <c r="N55" i="438" s="1"/>
  <c r="N78" i="438"/>
  <c r="P78" i="438"/>
  <c r="P10" i="432"/>
  <c r="P13" i="432" s="1"/>
  <c r="P64" i="432"/>
  <c r="P78" i="432" s="1"/>
  <c r="N78" i="432"/>
  <c r="R54" i="432"/>
  <c r="R55" i="432" s="1"/>
  <c r="J55" i="432"/>
  <c r="N49" i="436"/>
  <c r="N50" i="436" s="1"/>
  <c r="J50" i="436"/>
  <c r="G17" i="480" s="1"/>
  <c r="R50" i="436"/>
  <c r="P49" i="436"/>
  <c r="P50" i="436" s="1"/>
  <c r="N71" i="436"/>
  <c r="P71" i="436"/>
  <c r="P71" i="434"/>
  <c r="R50" i="434"/>
  <c r="J50" i="434"/>
  <c r="P49" i="434"/>
  <c r="P50" i="434" s="1"/>
  <c r="N71" i="434"/>
  <c r="N49" i="434"/>
  <c r="N50" i="434" s="1"/>
  <c r="P13" i="434"/>
  <c r="R71" i="434"/>
  <c r="N70" i="430"/>
  <c r="P70" i="430"/>
  <c r="R49" i="430"/>
  <c r="P48" i="430"/>
  <c r="P49" i="430" s="1"/>
  <c r="N48" i="430"/>
  <c r="N49" i="430" s="1"/>
  <c r="J49" i="430"/>
  <c r="P80" i="428"/>
  <c r="P56" i="428"/>
  <c r="P57" i="428" s="1"/>
  <c r="R57" i="428"/>
  <c r="N56" i="428"/>
  <c r="N57" i="428" s="1"/>
  <c r="J57" i="428"/>
  <c r="N13" i="428"/>
  <c r="P10" i="428"/>
  <c r="P13" i="428" s="1"/>
  <c r="R56" i="426"/>
  <c r="R57" i="426" s="1"/>
  <c r="J56" i="426"/>
  <c r="P55" i="426"/>
  <c r="P56" i="426" s="1"/>
  <c r="N55" i="426"/>
  <c r="N56" i="426" s="1"/>
  <c r="P10" i="426"/>
  <c r="P13" i="426" s="1"/>
  <c r="N58" i="477"/>
  <c r="N59" i="477" s="1"/>
  <c r="W36" i="481" s="1"/>
  <c r="R13" i="371"/>
  <c r="H30" i="27"/>
  <c r="X30" i="476"/>
  <c r="J30" i="476"/>
  <c r="R82" i="477"/>
  <c r="R59" i="477"/>
  <c r="J59" i="477"/>
  <c r="P82" i="477"/>
  <c r="N82" i="477"/>
  <c r="N13" i="371"/>
  <c r="P13" i="371"/>
  <c r="P50" i="371"/>
  <c r="P51" i="371" s="1"/>
  <c r="V7" i="481" s="1"/>
  <c r="P57" i="371"/>
  <c r="P74" i="371" s="1"/>
  <c r="N74" i="371"/>
  <c r="N50" i="371"/>
  <c r="N51" i="371" s="1"/>
  <c r="W7" i="481" s="1"/>
  <c r="J51" i="371"/>
  <c r="R74" i="371"/>
  <c r="R51" i="371"/>
  <c r="N73" i="293"/>
  <c r="N74" i="293" s="1"/>
  <c r="L57" i="293"/>
  <c r="G40" i="480" s="1"/>
  <c r="M40" i="481"/>
  <c r="N59" i="293"/>
  <c r="L40" i="480"/>
  <c r="K40" i="480"/>
  <c r="J72" i="434" l="1"/>
  <c r="F16" i="480" s="1"/>
  <c r="G16" i="480"/>
  <c r="J55" i="446"/>
  <c r="D12" i="480" s="1"/>
  <c r="G12" i="480"/>
  <c r="J56" i="440"/>
  <c r="Q10" i="481" s="1"/>
  <c r="U10" i="481"/>
  <c r="J52" i="371"/>
  <c r="Q7" i="481" s="1"/>
  <c r="U7" i="481"/>
  <c r="J60" i="477"/>
  <c r="Q36" i="481" s="1"/>
  <c r="U36" i="481"/>
  <c r="J80" i="426"/>
  <c r="J82" i="426" s="1"/>
  <c r="C34" i="481" s="1"/>
  <c r="L7" i="476"/>
  <c r="J7" i="27"/>
  <c r="M7" i="476"/>
  <c r="AB7" i="476"/>
  <c r="N7" i="476"/>
  <c r="AA7" i="476"/>
  <c r="R61" i="454"/>
  <c r="N45" i="498"/>
  <c r="S14" i="481" s="1"/>
  <c r="R81" i="474"/>
  <c r="R83" i="474" s="1"/>
  <c r="R80" i="496"/>
  <c r="R82" i="496" s="1"/>
  <c r="R56" i="442"/>
  <c r="R51" i="434"/>
  <c r="N51" i="353"/>
  <c r="N68" i="353" s="1"/>
  <c r="R80" i="494"/>
  <c r="R82" i="494" s="1"/>
  <c r="N61" i="454"/>
  <c r="S26" i="481" s="1"/>
  <c r="G41" i="480"/>
  <c r="R59" i="494"/>
  <c r="R69" i="460"/>
  <c r="R91" i="458"/>
  <c r="R93" i="458" s="1"/>
  <c r="R68" i="458"/>
  <c r="P68" i="448"/>
  <c r="R23" i="481" s="1"/>
  <c r="R56" i="438"/>
  <c r="N56" i="432"/>
  <c r="S8" i="481" s="1"/>
  <c r="R71" i="430"/>
  <c r="R73" i="430" s="1"/>
  <c r="N57" i="426"/>
  <c r="S34" i="481" s="1"/>
  <c r="U40" i="481"/>
  <c r="R71" i="500"/>
  <c r="R73" i="500" s="1"/>
  <c r="R92" i="460"/>
  <c r="R94" i="460" s="1"/>
  <c r="R80" i="456"/>
  <c r="R82" i="456" s="1"/>
  <c r="R82" i="454"/>
  <c r="R84" i="454" s="1"/>
  <c r="R69" i="450"/>
  <c r="R91" i="448"/>
  <c r="R93" i="448" s="1"/>
  <c r="R76" i="446"/>
  <c r="R78" i="446" s="1"/>
  <c r="R79" i="438"/>
  <c r="R81" i="438" s="1"/>
  <c r="R72" i="436"/>
  <c r="R74" i="436" s="1"/>
  <c r="R81" i="428"/>
  <c r="R83" i="428" s="1"/>
  <c r="U41" i="481"/>
  <c r="R48" i="500"/>
  <c r="N48" i="500"/>
  <c r="S13" i="481" s="1"/>
  <c r="R66" i="498"/>
  <c r="R68" i="498" s="1"/>
  <c r="U21" i="481"/>
  <c r="J91" i="458"/>
  <c r="F21" i="480" s="1"/>
  <c r="G21" i="480"/>
  <c r="U26" i="481"/>
  <c r="J61" i="454"/>
  <c r="D26" i="480" s="1"/>
  <c r="G25" i="480"/>
  <c r="U25" i="481"/>
  <c r="J81" i="474"/>
  <c r="G25" i="481" s="1"/>
  <c r="Q25" i="481"/>
  <c r="N60" i="474"/>
  <c r="S25" i="481" s="1"/>
  <c r="R92" i="450"/>
  <c r="R94" i="450" s="1"/>
  <c r="R68" i="448"/>
  <c r="R79" i="442"/>
  <c r="R81" i="442" s="1"/>
  <c r="G10" i="480"/>
  <c r="J79" i="440"/>
  <c r="J81" i="440" s="1"/>
  <c r="R51" i="436"/>
  <c r="U17" i="481"/>
  <c r="J51" i="436"/>
  <c r="D17" i="480" s="1"/>
  <c r="J72" i="436"/>
  <c r="F17" i="480" s="1"/>
  <c r="R72" i="434"/>
  <c r="R74" i="434" s="1"/>
  <c r="U16" i="481"/>
  <c r="R50" i="430"/>
  <c r="R58" i="428"/>
  <c r="G34" i="480"/>
  <c r="J57" i="426"/>
  <c r="D34" i="480" s="1"/>
  <c r="U34" i="481"/>
  <c r="R80" i="426"/>
  <c r="R82" i="426" s="1"/>
  <c r="R60" i="477"/>
  <c r="L51" i="353"/>
  <c r="L68" i="353" s="1"/>
  <c r="G41" i="481"/>
  <c r="F41" i="480"/>
  <c r="L73" i="293"/>
  <c r="L74" i="293" s="1"/>
  <c r="C40" i="481" s="1"/>
  <c r="N71" i="500"/>
  <c r="W13" i="481"/>
  <c r="P48" i="500"/>
  <c r="R13" i="481" s="1"/>
  <c r="P71" i="500"/>
  <c r="H13" i="481" s="1"/>
  <c r="V13" i="481"/>
  <c r="U13" i="481"/>
  <c r="J71" i="500"/>
  <c r="G13" i="480"/>
  <c r="J48" i="500"/>
  <c r="R45" i="498"/>
  <c r="P43" i="498"/>
  <c r="P44" i="498" s="1"/>
  <c r="G14" i="480"/>
  <c r="U14" i="481"/>
  <c r="J66" i="498"/>
  <c r="J45" i="498"/>
  <c r="N66" i="498"/>
  <c r="W14" i="481"/>
  <c r="R57" i="496"/>
  <c r="W30" i="481"/>
  <c r="N80" i="496"/>
  <c r="I30" i="481" s="1"/>
  <c r="P57" i="496"/>
  <c r="R30" i="481" s="1"/>
  <c r="N57" i="496"/>
  <c r="S30" i="481" s="1"/>
  <c r="G30" i="480"/>
  <c r="U30" i="481"/>
  <c r="J80" i="496"/>
  <c r="J57" i="496"/>
  <c r="P80" i="496"/>
  <c r="H30" i="481" s="1"/>
  <c r="V30" i="481"/>
  <c r="J80" i="494"/>
  <c r="F29" i="480" s="1"/>
  <c r="G29" i="480"/>
  <c r="U29" i="481"/>
  <c r="D29" i="480"/>
  <c r="Q29" i="481"/>
  <c r="W29" i="481"/>
  <c r="N80" i="494"/>
  <c r="I29" i="481" s="1"/>
  <c r="P59" i="494"/>
  <c r="R29" i="481" s="1"/>
  <c r="N59" i="494"/>
  <c r="S29" i="481" s="1"/>
  <c r="P80" i="494"/>
  <c r="H29" i="481" s="1"/>
  <c r="V29" i="481"/>
  <c r="P84" i="464"/>
  <c r="V27" i="481"/>
  <c r="P63" i="464"/>
  <c r="R27" i="481" s="1"/>
  <c r="N84" i="464"/>
  <c r="W27" i="481"/>
  <c r="N63" i="464"/>
  <c r="S27" i="481" s="1"/>
  <c r="R84" i="464"/>
  <c r="R86" i="464" s="1"/>
  <c r="R63" i="464"/>
  <c r="U27" i="481"/>
  <c r="G27" i="480"/>
  <c r="J63" i="464"/>
  <c r="J84" i="464"/>
  <c r="U22" i="481"/>
  <c r="G22" i="480"/>
  <c r="J92" i="460"/>
  <c r="F22" i="480" s="1"/>
  <c r="W22" i="481"/>
  <c r="N92" i="460"/>
  <c r="N69" i="460"/>
  <c r="S22" i="481" s="1"/>
  <c r="D22" i="480"/>
  <c r="Q22" i="481"/>
  <c r="P67" i="460"/>
  <c r="P68" i="460" s="1"/>
  <c r="N91" i="458"/>
  <c r="I21" i="481" s="1"/>
  <c r="W21" i="481"/>
  <c r="D21" i="480"/>
  <c r="Q21" i="481"/>
  <c r="P66" i="458"/>
  <c r="P67" i="458" s="1"/>
  <c r="N68" i="458"/>
  <c r="S21" i="481" s="1"/>
  <c r="R57" i="456"/>
  <c r="V28" i="481"/>
  <c r="P80" i="456"/>
  <c r="U28" i="481"/>
  <c r="J80" i="456"/>
  <c r="G28" i="480"/>
  <c r="J57" i="456"/>
  <c r="N80" i="456"/>
  <c r="I28" i="481" s="1"/>
  <c r="W28" i="481"/>
  <c r="P57" i="456"/>
  <c r="R28" i="481" s="1"/>
  <c r="N57" i="456"/>
  <c r="S28" i="481" s="1"/>
  <c r="G26" i="480"/>
  <c r="F26" i="480"/>
  <c r="G26" i="481"/>
  <c r="P82" i="454"/>
  <c r="H26" i="481" s="1"/>
  <c r="V26" i="481"/>
  <c r="W26" i="481"/>
  <c r="N82" i="454"/>
  <c r="J84" i="454"/>
  <c r="P61" i="454"/>
  <c r="R26" i="481" s="1"/>
  <c r="R60" i="474"/>
  <c r="W25" i="481"/>
  <c r="N81" i="474"/>
  <c r="P58" i="474"/>
  <c r="P59" i="474" s="1"/>
  <c r="V24" i="481"/>
  <c r="P92" i="450"/>
  <c r="P69" i="450"/>
  <c r="R24" i="481" s="1"/>
  <c r="N92" i="450"/>
  <c r="W24" i="481"/>
  <c r="N69" i="450"/>
  <c r="S24" i="481" s="1"/>
  <c r="U24" i="481"/>
  <c r="J92" i="450"/>
  <c r="G24" i="480"/>
  <c r="J69" i="450"/>
  <c r="W23" i="481"/>
  <c r="N91" i="448"/>
  <c r="N68" i="448"/>
  <c r="S23" i="481" s="1"/>
  <c r="U23" i="481"/>
  <c r="J91" i="448"/>
  <c r="G23" i="480"/>
  <c r="J68" i="448"/>
  <c r="P91" i="448"/>
  <c r="V23" i="481"/>
  <c r="R55" i="446"/>
  <c r="N76" i="446"/>
  <c r="I12" i="481" s="1"/>
  <c r="Q12" i="481"/>
  <c r="P76" i="446"/>
  <c r="V12" i="481"/>
  <c r="N55" i="446"/>
  <c r="S12" i="481" s="1"/>
  <c r="P55" i="446"/>
  <c r="R12" i="481" s="1"/>
  <c r="J76" i="446"/>
  <c r="F12" i="480" s="1"/>
  <c r="U12" i="481"/>
  <c r="V11" i="481"/>
  <c r="P79" i="442"/>
  <c r="P56" i="442"/>
  <c r="R11" i="481" s="1"/>
  <c r="W11" i="481"/>
  <c r="N79" i="442"/>
  <c r="J79" i="442"/>
  <c r="U11" i="481"/>
  <c r="G11" i="480"/>
  <c r="J56" i="442"/>
  <c r="N56" i="442"/>
  <c r="S11" i="481" s="1"/>
  <c r="R79" i="440"/>
  <c r="R81" i="440" s="1"/>
  <c r="N79" i="440"/>
  <c r="P54" i="440"/>
  <c r="P55" i="440" s="1"/>
  <c r="V10" i="481" s="1"/>
  <c r="R56" i="440"/>
  <c r="N56" i="440"/>
  <c r="S10" i="481" s="1"/>
  <c r="U9" i="481"/>
  <c r="J56" i="438"/>
  <c r="D9" i="480" s="1"/>
  <c r="G9" i="480"/>
  <c r="V9" i="481"/>
  <c r="P79" i="438"/>
  <c r="W9" i="481"/>
  <c r="N79" i="438"/>
  <c r="N56" i="438"/>
  <c r="S9" i="481" s="1"/>
  <c r="P56" i="438"/>
  <c r="R9" i="481" s="1"/>
  <c r="G9" i="481"/>
  <c r="F9" i="480"/>
  <c r="J81" i="438"/>
  <c r="R79" i="432"/>
  <c r="R81" i="432" s="1"/>
  <c r="R56" i="432"/>
  <c r="U8" i="481"/>
  <c r="G8" i="480"/>
  <c r="J79" i="432"/>
  <c r="J56" i="432"/>
  <c r="P54" i="432"/>
  <c r="P55" i="432" s="1"/>
  <c r="N79" i="432"/>
  <c r="W8" i="481"/>
  <c r="P72" i="436"/>
  <c r="V17" i="481"/>
  <c r="P51" i="436"/>
  <c r="W17" i="481"/>
  <c r="N72" i="436"/>
  <c r="N51" i="436"/>
  <c r="S17" i="481" s="1"/>
  <c r="J51" i="434"/>
  <c r="P51" i="434"/>
  <c r="R16" i="481" s="1"/>
  <c r="P72" i="434"/>
  <c r="H16" i="481" s="1"/>
  <c r="V16" i="481"/>
  <c r="N72" i="434"/>
  <c r="W16" i="481"/>
  <c r="N51" i="434"/>
  <c r="S16" i="481" s="1"/>
  <c r="W15" i="481"/>
  <c r="N71" i="430"/>
  <c r="N50" i="430"/>
  <c r="S15" i="481" s="1"/>
  <c r="P71" i="430"/>
  <c r="H15" i="481" s="1"/>
  <c r="V15" i="481"/>
  <c r="U15" i="481"/>
  <c r="J71" i="430"/>
  <c r="G15" i="480"/>
  <c r="J50" i="430"/>
  <c r="P50" i="430"/>
  <c r="R15" i="481" s="1"/>
  <c r="N58" i="428"/>
  <c r="S35" i="481" s="1"/>
  <c r="G35" i="480"/>
  <c r="J81" i="428"/>
  <c r="U35" i="481"/>
  <c r="J58" i="428"/>
  <c r="N81" i="428"/>
  <c r="I35" i="481" s="1"/>
  <c r="W35" i="481"/>
  <c r="P58" i="428"/>
  <c r="R35" i="481" s="1"/>
  <c r="P81" i="428"/>
  <c r="H35" i="481" s="1"/>
  <c r="V35" i="481"/>
  <c r="V34" i="481"/>
  <c r="P80" i="426"/>
  <c r="N80" i="426"/>
  <c r="W34" i="481"/>
  <c r="P57" i="426"/>
  <c r="R34" i="481" s="1"/>
  <c r="G36" i="480"/>
  <c r="R83" i="477"/>
  <c r="R85" i="477" s="1"/>
  <c r="J83" i="477"/>
  <c r="G36" i="481" s="1"/>
  <c r="P58" i="477"/>
  <c r="P59" i="477" s="1"/>
  <c r="V36" i="481" s="1"/>
  <c r="N83" i="477"/>
  <c r="N60" i="477"/>
  <c r="S36" i="481" s="1"/>
  <c r="R75" i="371"/>
  <c r="R77" i="371" s="1"/>
  <c r="N75" i="371"/>
  <c r="N52" i="371"/>
  <c r="S7" i="481" s="1"/>
  <c r="P75" i="371"/>
  <c r="R52" i="371"/>
  <c r="G7" i="480"/>
  <c r="J75" i="371"/>
  <c r="P52" i="371"/>
  <c r="R7" i="481" s="1"/>
  <c r="L59" i="293"/>
  <c r="Q40" i="481" s="1"/>
  <c r="J74" i="434" l="1"/>
  <c r="C16" i="480" s="1"/>
  <c r="G16" i="481"/>
  <c r="Q16" i="481"/>
  <c r="D16" i="480"/>
  <c r="D10" i="480"/>
  <c r="D36" i="480"/>
  <c r="D7" i="480"/>
  <c r="G34" i="481"/>
  <c r="C34" i="480"/>
  <c r="F34" i="480"/>
  <c r="H34" i="481"/>
  <c r="Q34" i="481"/>
  <c r="J94" i="460"/>
  <c r="C22" i="480" s="1"/>
  <c r="J93" i="458"/>
  <c r="C21" i="480" s="1"/>
  <c r="G21" i="481"/>
  <c r="Q26" i="481"/>
  <c r="N78" i="446"/>
  <c r="E12" i="481" s="1"/>
  <c r="Q41" i="481"/>
  <c r="D41" i="480"/>
  <c r="F40" i="480"/>
  <c r="C40" i="480"/>
  <c r="G40" i="481"/>
  <c r="N82" i="496"/>
  <c r="E30" i="481" s="1"/>
  <c r="J82" i="494"/>
  <c r="C29" i="480" s="1"/>
  <c r="G29" i="481"/>
  <c r="G22" i="481"/>
  <c r="N93" i="458"/>
  <c r="E21" i="481" s="1"/>
  <c r="J83" i="474"/>
  <c r="C25" i="480" s="1"/>
  <c r="F25" i="480"/>
  <c r="G10" i="481"/>
  <c r="F10" i="480"/>
  <c r="Q9" i="481"/>
  <c r="J74" i="436"/>
  <c r="C17" i="480" s="1"/>
  <c r="G17" i="481"/>
  <c r="Q17" i="481"/>
  <c r="R17" i="481"/>
  <c r="P73" i="430"/>
  <c r="D15" i="481" s="1"/>
  <c r="P83" i="428"/>
  <c r="D35" i="481" s="1"/>
  <c r="C41" i="481"/>
  <c r="C41" i="480"/>
  <c r="D40" i="480"/>
  <c r="P73" i="500"/>
  <c r="D13" i="481" s="1"/>
  <c r="G13" i="481"/>
  <c r="F13" i="480"/>
  <c r="J73" i="500"/>
  <c r="Q13" i="481"/>
  <c r="D13" i="480"/>
  <c r="I13" i="481"/>
  <c r="N73" i="500"/>
  <c r="E13" i="481" s="1"/>
  <c r="V14" i="481"/>
  <c r="P66" i="498"/>
  <c r="P45" i="498"/>
  <c r="R14" i="481" s="1"/>
  <c r="F14" i="480"/>
  <c r="G14" i="481"/>
  <c r="J68" i="498"/>
  <c r="I14" i="481"/>
  <c r="N68" i="498"/>
  <c r="E14" i="481" s="1"/>
  <c r="Q14" i="481"/>
  <c r="D14" i="480"/>
  <c r="P82" i="496"/>
  <c r="D30" i="481" s="1"/>
  <c r="Q30" i="481"/>
  <c r="D30" i="480"/>
  <c r="F30" i="480"/>
  <c r="G30" i="481"/>
  <c r="J82" i="496"/>
  <c r="N82" i="494"/>
  <c r="E29" i="481" s="1"/>
  <c r="P82" i="494"/>
  <c r="D29" i="481" s="1"/>
  <c r="F27" i="480"/>
  <c r="G27" i="481"/>
  <c r="J86" i="464"/>
  <c r="I27" i="481"/>
  <c r="N86" i="464"/>
  <c r="E27" i="481" s="1"/>
  <c r="D27" i="480"/>
  <c r="Q27" i="481"/>
  <c r="H27" i="481"/>
  <c r="P86" i="464"/>
  <c r="D27" i="481" s="1"/>
  <c r="V22" i="481"/>
  <c r="P92" i="460"/>
  <c r="P69" i="460"/>
  <c r="R22" i="481" s="1"/>
  <c r="I22" i="481"/>
  <c r="N94" i="460"/>
  <c r="E22" i="481" s="1"/>
  <c r="V21" i="481"/>
  <c r="P91" i="458"/>
  <c r="P68" i="458"/>
  <c r="R21" i="481" s="1"/>
  <c r="Q28" i="481"/>
  <c r="D28" i="480"/>
  <c r="G28" i="481"/>
  <c r="F28" i="480"/>
  <c r="J82" i="456"/>
  <c r="N82" i="456"/>
  <c r="E28" i="481" s="1"/>
  <c r="H28" i="481"/>
  <c r="P82" i="456"/>
  <c r="D28" i="481" s="1"/>
  <c r="I26" i="481"/>
  <c r="N84" i="454"/>
  <c r="E26" i="481" s="1"/>
  <c r="P84" i="454"/>
  <c r="D26" i="481" s="1"/>
  <c r="C26" i="481"/>
  <c r="C26" i="480"/>
  <c r="V25" i="481"/>
  <c r="P81" i="474"/>
  <c r="P60" i="474"/>
  <c r="R25" i="481" s="1"/>
  <c r="I25" i="481"/>
  <c r="N83" i="474"/>
  <c r="E25" i="481" s="1"/>
  <c r="I24" i="481"/>
  <c r="N94" i="450"/>
  <c r="E24" i="481" s="1"/>
  <c r="G24" i="481"/>
  <c r="F24" i="480"/>
  <c r="J94" i="450"/>
  <c r="D24" i="480"/>
  <c r="Q24" i="481"/>
  <c r="H24" i="481"/>
  <c r="P94" i="450"/>
  <c r="D24" i="481" s="1"/>
  <c r="H23" i="481"/>
  <c r="P93" i="448"/>
  <c r="D23" i="481" s="1"/>
  <c r="Q23" i="481"/>
  <c r="D23" i="480"/>
  <c r="F23" i="480"/>
  <c r="G23" i="481"/>
  <c r="J93" i="448"/>
  <c r="I23" i="481"/>
  <c r="N93" i="448"/>
  <c r="E23" i="481" s="1"/>
  <c r="H12" i="481"/>
  <c r="P78" i="446"/>
  <c r="D12" i="481" s="1"/>
  <c r="G12" i="481"/>
  <c r="J78" i="446"/>
  <c r="C12" i="480" s="1"/>
  <c r="G11" i="481"/>
  <c r="F11" i="480"/>
  <c r="J81" i="442"/>
  <c r="I11" i="481"/>
  <c r="N81" i="442"/>
  <c r="E11" i="481" s="1"/>
  <c r="H11" i="481"/>
  <c r="P81" i="442"/>
  <c r="D11" i="481" s="1"/>
  <c r="D11" i="480"/>
  <c r="Q11" i="481"/>
  <c r="P79" i="440"/>
  <c r="P56" i="440"/>
  <c r="R10" i="481" s="1"/>
  <c r="C10" i="481"/>
  <c r="C10" i="480"/>
  <c r="I10" i="481"/>
  <c r="N81" i="440"/>
  <c r="E10" i="481" s="1"/>
  <c r="I9" i="481"/>
  <c r="N81" i="438"/>
  <c r="E9" i="481" s="1"/>
  <c r="C9" i="481"/>
  <c r="C9" i="480"/>
  <c r="H9" i="481"/>
  <c r="P81" i="438"/>
  <c r="D9" i="481" s="1"/>
  <c r="V8" i="481"/>
  <c r="P79" i="432"/>
  <c r="P56" i="432"/>
  <c r="R8" i="481" s="1"/>
  <c r="I8" i="481"/>
  <c r="N81" i="432"/>
  <c r="E8" i="481" s="1"/>
  <c r="G8" i="481"/>
  <c r="F8" i="480"/>
  <c r="J81" i="432"/>
  <c r="Q8" i="481"/>
  <c r="D8" i="480"/>
  <c r="I17" i="481"/>
  <c r="N74" i="436"/>
  <c r="E17" i="481" s="1"/>
  <c r="H17" i="481"/>
  <c r="P74" i="436"/>
  <c r="D17" i="481" s="1"/>
  <c r="I16" i="481"/>
  <c r="N74" i="434"/>
  <c r="E16" i="481" s="1"/>
  <c r="C16" i="481"/>
  <c r="P74" i="434"/>
  <c r="D16" i="481" s="1"/>
  <c r="I15" i="481"/>
  <c r="N73" i="430"/>
  <c r="E15" i="481" s="1"/>
  <c r="G15" i="481"/>
  <c r="F15" i="480"/>
  <c r="J73" i="430"/>
  <c r="D15" i="480"/>
  <c r="Q15" i="481"/>
  <c r="Q35" i="481"/>
  <c r="D35" i="480"/>
  <c r="G35" i="481"/>
  <c r="F35" i="480"/>
  <c r="J83" i="428"/>
  <c r="N83" i="428"/>
  <c r="E35" i="481" s="1"/>
  <c r="I34" i="481"/>
  <c r="N82" i="426"/>
  <c r="E34" i="481" s="1"/>
  <c r="P82" i="426"/>
  <c r="D34" i="481" s="1"/>
  <c r="J85" i="477"/>
  <c r="C36" i="480" s="1"/>
  <c r="F36" i="480"/>
  <c r="P83" i="477"/>
  <c r="P60" i="477"/>
  <c r="R36" i="481" s="1"/>
  <c r="I36" i="481"/>
  <c r="N85" i="477"/>
  <c r="E36" i="481" s="1"/>
  <c r="H7" i="481"/>
  <c r="P77" i="371"/>
  <c r="D7" i="481" s="1"/>
  <c r="I7" i="481"/>
  <c r="N77" i="371"/>
  <c r="E7" i="481" s="1"/>
  <c r="G7" i="481"/>
  <c r="F7" i="480"/>
  <c r="J77" i="371"/>
  <c r="H41" i="27" l="1"/>
  <c r="X41" i="476"/>
  <c r="J41" i="476"/>
  <c r="C22" i="481"/>
  <c r="C29" i="481"/>
  <c r="C21" i="481"/>
  <c r="C25" i="481"/>
  <c r="C17" i="481"/>
  <c r="C36" i="481"/>
  <c r="C13" i="480"/>
  <c r="C13" i="481"/>
  <c r="C14" i="480"/>
  <c r="C14" i="481"/>
  <c r="H14" i="481"/>
  <c r="P68" i="498"/>
  <c r="D14" i="481" s="1"/>
  <c r="C30" i="481"/>
  <c r="C30" i="480"/>
  <c r="C27" i="480"/>
  <c r="C27" i="481"/>
  <c r="H22" i="481"/>
  <c r="P94" i="460"/>
  <c r="D22" i="481" s="1"/>
  <c r="H21" i="481"/>
  <c r="P93" i="458"/>
  <c r="D21" i="481" s="1"/>
  <c r="C28" i="480"/>
  <c r="C28" i="481"/>
  <c r="H25" i="481"/>
  <c r="P83" i="474"/>
  <c r="D25" i="481" s="1"/>
  <c r="C24" i="481"/>
  <c r="C24" i="480"/>
  <c r="C23" i="480"/>
  <c r="C23" i="481"/>
  <c r="C12" i="481"/>
  <c r="C11" i="481"/>
  <c r="C11" i="480"/>
  <c r="H10" i="481"/>
  <c r="P81" i="440"/>
  <c r="D10" i="481" s="1"/>
  <c r="H8" i="481"/>
  <c r="P81" i="432"/>
  <c r="D8" i="481" s="1"/>
  <c r="C8" i="480"/>
  <c r="C8" i="481"/>
  <c r="C15" i="480"/>
  <c r="C15" i="481"/>
  <c r="C35" i="481"/>
  <c r="C35" i="480"/>
  <c r="H36" i="481"/>
  <c r="P85" i="477"/>
  <c r="D36" i="481" s="1"/>
  <c r="C7" i="480"/>
  <c r="C7" i="481"/>
  <c r="V17" i="476" l="1"/>
  <c r="AB17" i="476" s="1"/>
  <c r="V30" i="476"/>
  <c r="AB30" i="476" s="1"/>
  <c r="R35" i="476"/>
  <c r="V21" i="476"/>
  <c r="AB21" i="476" s="1"/>
  <c r="V23" i="476" l="1"/>
  <c r="AB23" i="476" s="1"/>
  <c r="R16" i="476"/>
  <c r="H21" i="476"/>
  <c r="N21" i="476" s="1"/>
  <c r="H35" i="476"/>
  <c r="N35" i="476" s="1"/>
  <c r="V8" i="476"/>
  <c r="AB8" i="476" s="1"/>
  <c r="D17" i="476"/>
  <c r="R17" i="476"/>
  <c r="D9" i="476"/>
  <c r="R14" i="476"/>
  <c r="R22" i="476"/>
  <c r="R12" i="476"/>
  <c r="U7" i="476"/>
  <c r="T7" i="476"/>
  <c r="V26" i="476"/>
  <c r="AB26" i="476" s="1"/>
  <c r="D30" i="476"/>
  <c r="R30" i="476"/>
  <c r="R24" i="476"/>
  <c r="V28" i="476"/>
  <c r="AB28" i="476" s="1"/>
  <c r="V34" i="476"/>
  <c r="AB34" i="476" s="1"/>
  <c r="H11" i="476"/>
  <c r="N11" i="476" s="1"/>
  <c r="R7" i="476"/>
  <c r="V35" i="476"/>
  <c r="AB35" i="476" s="1"/>
  <c r="P25" i="476"/>
  <c r="T25" i="476"/>
  <c r="Z25" i="476" s="1"/>
  <c r="F25" i="27"/>
  <c r="K25" i="27" s="1"/>
  <c r="R11" i="476"/>
  <c r="V11" i="476"/>
  <c r="AB11" i="476" s="1"/>
  <c r="R25" i="476"/>
  <c r="R21" i="476"/>
  <c r="V15" i="476"/>
  <c r="AB15" i="476" s="1"/>
  <c r="R15" i="476"/>
  <c r="V10" i="476"/>
  <c r="AB10" i="476" s="1"/>
  <c r="R10" i="476"/>
  <c r="D36" i="476" l="1"/>
  <c r="Q10" i="476"/>
  <c r="T10" i="476"/>
  <c r="Z10" i="476" s="1"/>
  <c r="V36" i="476"/>
  <c r="AB36" i="476" s="1"/>
  <c r="R36" i="476"/>
  <c r="U15" i="476"/>
  <c r="AA15" i="476" s="1"/>
  <c r="E25" i="27"/>
  <c r="J25" i="27" s="1"/>
  <c r="Q36" i="476"/>
  <c r="T11" i="476"/>
  <c r="Z11" i="476" s="1"/>
  <c r="T16" i="476"/>
  <c r="Z16" i="476" s="1"/>
  <c r="Q16" i="476"/>
  <c r="Q9" i="476"/>
  <c r="C12" i="27"/>
  <c r="U28" i="476"/>
  <c r="AA28" i="476" s="1"/>
  <c r="Q35" i="476"/>
  <c r="T15" i="476"/>
  <c r="Z15" i="476" s="1"/>
  <c r="C15" i="27"/>
  <c r="F9" i="27"/>
  <c r="K9" i="27" s="1"/>
  <c r="F28" i="27"/>
  <c r="K28" i="27" s="1"/>
  <c r="C28" i="27"/>
  <c r="C22" i="27"/>
  <c r="T22" i="476"/>
  <c r="Z22" i="476" s="1"/>
  <c r="F22" i="27"/>
  <c r="K22" i="27" s="1"/>
  <c r="Q30" i="476"/>
  <c r="T30" i="476"/>
  <c r="Z30" i="476" s="1"/>
  <c r="C30" i="27"/>
  <c r="U30" i="476"/>
  <c r="AA30" i="476" s="1"/>
  <c r="F30" i="27"/>
  <c r="K30" i="27" s="1"/>
  <c r="T28" i="476"/>
  <c r="Z28" i="476" s="1"/>
  <c r="T23" i="476"/>
  <c r="Z23" i="476" s="1"/>
  <c r="P23" i="476"/>
  <c r="F23" i="27"/>
  <c r="K23" i="27" s="1"/>
  <c r="Q23" i="476"/>
  <c r="U23" i="476"/>
  <c r="AA23" i="476" s="1"/>
  <c r="T12" i="476"/>
  <c r="Z12" i="476" s="1"/>
  <c r="F12" i="27"/>
  <c r="K12" i="27" s="1"/>
  <c r="P11" i="476"/>
  <c r="F11" i="27"/>
  <c r="K11" i="27" s="1"/>
  <c r="U10" i="476"/>
  <c r="AA10" i="476" s="1"/>
  <c r="F10" i="27"/>
  <c r="K10" i="27" s="1"/>
  <c r="P10" i="476"/>
  <c r="C9" i="27"/>
  <c r="T9" i="476"/>
  <c r="Z9" i="476" s="1"/>
  <c r="Q8" i="476"/>
  <c r="F8" i="27"/>
  <c r="K8" i="27" s="1"/>
  <c r="C8" i="27"/>
  <c r="T8" i="476"/>
  <c r="Z8" i="476" s="1"/>
  <c r="U8" i="476"/>
  <c r="AA8" i="476" s="1"/>
  <c r="Q17" i="476"/>
  <c r="U17" i="476"/>
  <c r="AA17" i="476" s="1"/>
  <c r="T17" i="476"/>
  <c r="Z17" i="476" s="1"/>
  <c r="P17" i="476"/>
  <c r="F17" i="27"/>
  <c r="K17" i="27" s="1"/>
  <c r="F16" i="27"/>
  <c r="K16" i="27" s="1"/>
  <c r="P16" i="476"/>
  <c r="F15" i="27"/>
  <c r="K15" i="27" s="1"/>
  <c r="U35" i="476"/>
  <c r="AA35" i="476" s="1"/>
  <c r="T35" i="476"/>
  <c r="Z35" i="476" s="1"/>
  <c r="F35" i="27"/>
  <c r="K35" i="27" s="1"/>
  <c r="C35" i="27"/>
  <c r="C34" i="27"/>
  <c r="T36" i="476"/>
  <c r="Z36" i="476" s="1"/>
  <c r="F36" i="27"/>
  <c r="K36" i="27" s="1"/>
  <c r="C36" i="27"/>
  <c r="T34" i="476"/>
  <c r="Z34" i="476" s="1"/>
  <c r="F34" i="27"/>
  <c r="K34" i="27" s="1"/>
  <c r="H23" i="476"/>
  <c r="N23" i="476" s="1"/>
  <c r="R23" i="476"/>
  <c r="T29" i="476"/>
  <c r="Z29" i="476" s="1"/>
  <c r="D16" i="476"/>
  <c r="C29" i="27"/>
  <c r="U16" i="476"/>
  <c r="AA16" i="476" s="1"/>
  <c r="V16" i="476"/>
  <c r="AB16" i="476" s="1"/>
  <c r="U22" i="476"/>
  <c r="AA22" i="476" s="1"/>
  <c r="Q21" i="476"/>
  <c r="U36" i="476"/>
  <c r="AA36" i="476" s="1"/>
  <c r="U21" i="476"/>
  <c r="AA21" i="476" s="1"/>
  <c r="Q22" i="476"/>
  <c r="F21" i="27"/>
  <c r="K21" i="27" s="1"/>
  <c r="C21" i="27"/>
  <c r="T21" i="476"/>
  <c r="Z21" i="476" s="1"/>
  <c r="R8" i="476"/>
  <c r="F29" i="27"/>
  <c r="K29" i="27" s="1"/>
  <c r="H8" i="476"/>
  <c r="N8" i="476" s="1"/>
  <c r="F26" i="27"/>
  <c r="K26" i="27" s="1"/>
  <c r="P26" i="476"/>
  <c r="T26" i="476"/>
  <c r="Z26" i="476" s="1"/>
  <c r="U26" i="476"/>
  <c r="AA26" i="476" s="1"/>
  <c r="Q26" i="476"/>
  <c r="F14" i="27"/>
  <c r="K14" i="27" s="1"/>
  <c r="C14" i="27"/>
  <c r="T14" i="476"/>
  <c r="Z14" i="476" s="1"/>
  <c r="H17" i="476"/>
  <c r="N17" i="476" s="1"/>
  <c r="T24" i="476"/>
  <c r="Z24" i="476" s="1"/>
  <c r="F24" i="27"/>
  <c r="K24" i="27" s="1"/>
  <c r="P24" i="476"/>
  <c r="V22" i="476"/>
  <c r="AB22" i="476" s="1"/>
  <c r="U11" i="476"/>
  <c r="AA11" i="476" s="1"/>
  <c r="Q11" i="476"/>
  <c r="U24" i="476"/>
  <c r="AA24" i="476" s="1"/>
  <c r="H9" i="476"/>
  <c r="N9" i="476" s="1"/>
  <c r="V9" i="476"/>
  <c r="AB9" i="476" s="1"/>
  <c r="Q24" i="476"/>
  <c r="V12" i="476"/>
  <c r="AB12" i="476" s="1"/>
  <c r="R9" i="476"/>
  <c r="Q14" i="476"/>
  <c r="U14" i="476"/>
  <c r="AA14" i="476" s="1"/>
  <c r="H14" i="476"/>
  <c r="N14" i="476" s="1"/>
  <c r="V14" i="476"/>
  <c r="AB14" i="476" s="1"/>
  <c r="D22" i="476"/>
  <c r="Q12" i="476"/>
  <c r="U12" i="476"/>
  <c r="AA12" i="476" s="1"/>
  <c r="H12" i="476"/>
  <c r="N12" i="476" s="1"/>
  <c r="R26" i="476"/>
  <c r="H26" i="476"/>
  <c r="N26" i="476" s="1"/>
  <c r="Q15" i="476"/>
  <c r="P7" i="476"/>
  <c r="F7" i="27"/>
  <c r="F7" i="476"/>
  <c r="V24" i="476"/>
  <c r="AB24" i="476" s="1"/>
  <c r="D13" i="476"/>
  <c r="P13" i="476"/>
  <c r="F13" i="27"/>
  <c r="K13" i="27" s="1"/>
  <c r="T13" i="476"/>
  <c r="Z13" i="476" s="1"/>
  <c r="H30" i="476"/>
  <c r="N30" i="476" s="1"/>
  <c r="H24" i="476"/>
  <c r="N24" i="476" s="1"/>
  <c r="Q34" i="476"/>
  <c r="U34" i="476"/>
  <c r="AA34" i="476" s="1"/>
  <c r="U13" i="476"/>
  <c r="AA13" i="476" s="1"/>
  <c r="Q13" i="476"/>
  <c r="V13" i="476"/>
  <c r="AB13" i="476" s="1"/>
  <c r="R13" i="476"/>
  <c r="H28" i="476"/>
  <c r="N28" i="476" s="1"/>
  <c r="R28" i="476"/>
  <c r="H34" i="476"/>
  <c r="N34" i="476" s="1"/>
  <c r="R34" i="476"/>
  <c r="Q28" i="476"/>
  <c r="D11" i="476"/>
  <c r="U9" i="476"/>
  <c r="AA9" i="476" s="1"/>
  <c r="Q29" i="476"/>
  <c r="U29" i="476"/>
  <c r="AA29" i="476" s="1"/>
  <c r="Q7" i="476"/>
  <c r="C7" i="476"/>
  <c r="D7" i="476"/>
  <c r="V7" i="476"/>
  <c r="D35" i="476"/>
  <c r="R29" i="476"/>
  <c r="V29" i="476"/>
  <c r="AB29" i="476" s="1"/>
  <c r="D21" i="476"/>
  <c r="B25" i="476"/>
  <c r="C25" i="27"/>
  <c r="F25" i="476"/>
  <c r="L25" i="476" s="1"/>
  <c r="H25" i="476"/>
  <c r="N25" i="476" s="1"/>
  <c r="V25" i="476"/>
  <c r="AB25" i="476" s="1"/>
  <c r="U25" i="476"/>
  <c r="AA25" i="476" s="1"/>
  <c r="Q25" i="476"/>
  <c r="F27" i="27"/>
  <c r="K27" i="27" s="1"/>
  <c r="T27" i="476"/>
  <c r="Z27" i="476" s="1"/>
  <c r="R27" i="476"/>
  <c r="V27" i="476"/>
  <c r="AB27" i="476" s="1"/>
  <c r="D15" i="476"/>
  <c r="H15" i="476"/>
  <c r="N15" i="476" s="1"/>
  <c r="H10" i="476"/>
  <c r="N10" i="476" s="1"/>
  <c r="D10" i="476"/>
  <c r="H36" i="476" l="1"/>
  <c r="N36" i="476" s="1"/>
  <c r="B10" i="476"/>
  <c r="C10" i="476"/>
  <c r="P12" i="476"/>
  <c r="C21" i="476"/>
  <c r="G30" i="476"/>
  <c r="M30" i="476" s="1"/>
  <c r="C34" i="476"/>
  <c r="B12" i="476"/>
  <c r="G34" i="476"/>
  <c r="M34" i="476" s="1"/>
  <c r="C28" i="476"/>
  <c r="F14" i="476"/>
  <c r="L14" i="476" s="1"/>
  <c r="F16" i="476"/>
  <c r="L16" i="476" s="1"/>
  <c r="G26" i="476"/>
  <c r="M26" i="476" s="1"/>
  <c r="B24" i="476"/>
  <c r="F29" i="476"/>
  <c r="L29" i="476" s="1"/>
  <c r="C23" i="27"/>
  <c r="G10" i="476"/>
  <c r="M10" i="476" s="1"/>
  <c r="P15" i="476"/>
  <c r="C30" i="476"/>
  <c r="F34" i="476"/>
  <c r="L34" i="476" s="1"/>
  <c r="P34" i="476"/>
  <c r="P35" i="476"/>
  <c r="B35" i="476"/>
  <c r="F35" i="476"/>
  <c r="L35" i="476" s="1"/>
  <c r="E35" i="27"/>
  <c r="J35" i="27" s="1"/>
  <c r="E15" i="27"/>
  <c r="J15" i="27" s="1"/>
  <c r="F15" i="476"/>
  <c r="L15" i="476" s="1"/>
  <c r="B15" i="27"/>
  <c r="E8" i="27"/>
  <c r="J8" i="27" s="1"/>
  <c r="F10" i="476"/>
  <c r="L10" i="476" s="1"/>
  <c r="C10" i="27"/>
  <c r="B10" i="27"/>
  <c r="E10" i="27"/>
  <c r="J10" i="27" s="1"/>
  <c r="P28" i="476"/>
  <c r="B22" i="27"/>
  <c r="E22" i="27"/>
  <c r="J22" i="27" s="1"/>
  <c r="F22" i="476"/>
  <c r="L22" i="476" s="1"/>
  <c r="P22" i="476"/>
  <c r="F30" i="476"/>
  <c r="L30" i="476" s="1"/>
  <c r="B30" i="27"/>
  <c r="E30" i="27"/>
  <c r="J30" i="27" s="1"/>
  <c r="P30" i="476"/>
  <c r="B28" i="476"/>
  <c r="E28" i="27"/>
  <c r="J28" i="27" s="1"/>
  <c r="F28" i="476"/>
  <c r="L28" i="476" s="1"/>
  <c r="F23" i="476"/>
  <c r="L23" i="476" s="1"/>
  <c r="B23" i="27"/>
  <c r="G23" i="476"/>
  <c r="M23" i="476" s="1"/>
  <c r="E23" i="27"/>
  <c r="J23" i="27" s="1"/>
  <c r="C23" i="476"/>
  <c r="E12" i="27"/>
  <c r="J12" i="27" s="1"/>
  <c r="F12" i="476"/>
  <c r="L12" i="476" s="1"/>
  <c r="C11" i="27"/>
  <c r="E11" i="27"/>
  <c r="J11" i="27" s="1"/>
  <c r="F11" i="476"/>
  <c r="L11" i="476" s="1"/>
  <c r="B11" i="27"/>
  <c r="P9" i="476"/>
  <c r="F9" i="476"/>
  <c r="L9" i="476" s="1"/>
  <c r="E9" i="27"/>
  <c r="J9" i="27" s="1"/>
  <c r="B9" i="476"/>
  <c r="P8" i="476"/>
  <c r="F8" i="476"/>
  <c r="L8" i="476" s="1"/>
  <c r="B8" i="476"/>
  <c r="G8" i="476"/>
  <c r="M8" i="476" s="1"/>
  <c r="C8" i="476"/>
  <c r="F17" i="476"/>
  <c r="L17" i="476" s="1"/>
  <c r="C17" i="27"/>
  <c r="C17" i="476"/>
  <c r="B17" i="27"/>
  <c r="G17" i="476"/>
  <c r="M17" i="476" s="1"/>
  <c r="E17" i="27"/>
  <c r="J17" i="27" s="1"/>
  <c r="C16" i="27"/>
  <c r="B16" i="27"/>
  <c r="E16" i="27"/>
  <c r="J16" i="27" s="1"/>
  <c r="G35" i="476"/>
  <c r="M35" i="476" s="1"/>
  <c r="C35" i="476"/>
  <c r="E34" i="27"/>
  <c r="J34" i="27" s="1"/>
  <c r="F36" i="476"/>
  <c r="L36" i="476" s="1"/>
  <c r="B36" i="476"/>
  <c r="P36" i="476"/>
  <c r="E36" i="27"/>
  <c r="J36" i="27" s="1"/>
  <c r="B34" i="476"/>
  <c r="D23" i="476"/>
  <c r="H16" i="476"/>
  <c r="N16" i="476" s="1"/>
  <c r="B29" i="476"/>
  <c r="P29" i="476"/>
  <c r="G21" i="476"/>
  <c r="M21" i="476" s="1"/>
  <c r="E21" i="27"/>
  <c r="J21" i="27" s="1"/>
  <c r="E29" i="27"/>
  <c r="J29" i="27" s="1"/>
  <c r="G16" i="476"/>
  <c r="M16" i="476" s="1"/>
  <c r="C16" i="476"/>
  <c r="G36" i="476"/>
  <c r="M36" i="476" s="1"/>
  <c r="G22" i="476"/>
  <c r="M22" i="476" s="1"/>
  <c r="C36" i="476"/>
  <c r="C22" i="476"/>
  <c r="F21" i="476"/>
  <c r="L21" i="476" s="1"/>
  <c r="P21" i="476"/>
  <c r="D8" i="476"/>
  <c r="B21" i="27"/>
  <c r="B14" i="27"/>
  <c r="P14" i="476"/>
  <c r="E14" i="27"/>
  <c r="J14" i="27" s="1"/>
  <c r="C26" i="27"/>
  <c r="F26" i="476"/>
  <c r="L26" i="476" s="1"/>
  <c r="B26" i="27"/>
  <c r="E26" i="27"/>
  <c r="J26" i="27" s="1"/>
  <c r="C26" i="476"/>
  <c r="C24" i="27"/>
  <c r="F24" i="476"/>
  <c r="L24" i="476" s="1"/>
  <c r="E24" i="27"/>
  <c r="J24" i="27" s="1"/>
  <c r="G11" i="476"/>
  <c r="M11" i="476" s="1"/>
  <c r="C25" i="476"/>
  <c r="G25" i="476"/>
  <c r="M25" i="476" s="1"/>
  <c r="C11" i="476"/>
  <c r="C24" i="476"/>
  <c r="G24" i="476"/>
  <c r="M24" i="476" s="1"/>
  <c r="C14" i="476"/>
  <c r="D14" i="476"/>
  <c r="G14" i="476"/>
  <c r="M14" i="476" s="1"/>
  <c r="H22" i="476"/>
  <c r="N22" i="476" s="1"/>
  <c r="C12" i="476"/>
  <c r="G12" i="476"/>
  <c r="M12" i="476" s="1"/>
  <c r="D12" i="476"/>
  <c r="G15" i="476"/>
  <c r="M15" i="476" s="1"/>
  <c r="D26" i="476"/>
  <c r="C15" i="476"/>
  <c r="E7" i="27"/>
  <c r="B7" i="476"/>
  <c r="C7" i="27"/>
  <c r="H13" i="476"/>
  <c r="N13" i="476" s="1"/>
  <c r="C13" i="27"/>
  <c r="F13" i="476"/>
  <c r="L13" i="476" s="1"/>
  <c r="B13" i="27"/>
  <c r="E13" i="27"/>
  <c r="J13" i="27" s="1"/>
  <c r="D24" i="476"/>
  <c r="G13" i="476"/>
  <c r="M13" i="476" s="1"/>
  <c r="C13" i="476"/>
  <c r="D28" i="476"/>
  <c r="G28" i="476"/>
  <c r="M28" i="476" s="1"/>
  <c r="D34" i="476"/>
  <c r="C9" i="476"/>
  <c r="G9" i="476"/>
  <c r="M9" i="476" s="1"/>
  <c r="C29" i="476"/>
  <c r="G29" i="476"/>
  <c r="M29" i="476" s="1"/>
  <c r="G7" i="476"/>
  <c r="H7" i="476"/>
  <c r="H29" i="476"/>
  <c r="N29" i="476" s="1"/>
  <c r="D29" i="476"/>
  <c r="B25" i="27"/>
  <c r="D25" i="476"/>
  <c r="U27" i="476"/>
  <c r="AA27" i="476" s="1"/>
  <c r="Q27" i="476"/>
  <c r="E27" i="27"/>
  <c r="J27" i="27" s="1"/>
  <c r="F27" i="476"/>
  <c r="L27" i="476" s="1"/>
  <c r="D27" i="476"/>
  <c r="H27" i="476"/>
  <c r="N27" i="476" s="1"/>
  <c r="P27" i="476"/>
  <c r="C27" i="27"/>
  <c r="B12" i="27" l="1"/>
  <c r="B24" i="27"/>
  <c r="B35" i="27"/>
  <c r="B15" i="476"/>
  <c r="B16" i="476"/>
  <c r="B8" i="27"/>
  <c r="B22" i="476"/>
  <c r="B30" i="476"/>
  <c r="B28" i="27"/>
  <c r="B23" i="476"/>
  <c r="B11" i="476"/>
  <c r="B9" i="27"/>
  <c r="B17" i="476"/>
  <c r="B36" i="27"/>
  <c r="B34" i="27"/>
  <c r="B29" i="27"/>
  <c r="B21" i="476"/>
  <c r="B14" i="476"/>
  <c r="B26" i="476"/>
  <c r="T41" i="476"/>
  <c r="Z41" i="476" s="1"/>
  <c r="F41" i="27"/>
  <c r="K41" i="27" s="1"/>
  <c r="B7" i="27"/>
  <c r="B13" i="476"/>
  <c r="B27" i="476"/>
  <c r="B27" i="27"/>
  <c r="C27" i="476"/>
  <c r="G27" i="476"/>
  <c r="M27" i="476" s="1"/>
  <c r="P41" i="476" l="1"/>
  <c r="C41" i="27"/>
  <c r="E41" i="27"/>
  <c r="J41" i="27" s="1"/>
  <c r="F41" i="476"/>
  <c r="L41" i="476" s="1"/>
  <c r="B41" i="27" l="1"/>
  <c r="B41" i="476"/>
  <c r="K87" i="293" l="1"/>
  <c r="X40" i="476" l="1"/>
  <c r="H40" i="27"/>
  <c r="J40" i="476"/>
  <c r="P40" i="476" l="1"/>
  <c r="F40" i="27"/>
  <c r="K40" i="27" s="1"/>
  <c r="T40" i="476"/>
  <c r="Z40" i="476" s="1"/>
  <c r="F40" i="476"/>
  <c r="L40" i="476" s="1"/>
  <c r="E40" i="27"/>
  <c r="J40" i="27" s="1"/>
  <c r="C40" i="27" l="1"/>
  <c r="B40" i="27"/>
  <c r="B40" i="4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4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4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4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4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4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3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3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6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6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7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7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8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8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8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9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9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9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5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5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5" authorId="0" shapeId="0" xr:uid="{00000000-0006-0000-27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6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6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6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7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7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7" authorId="0" shapeId="0" xr:uid="{00000000-0006-0000-2B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5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1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1" authorId="0" shapeId="0" xr:uid="{00000000-0006-0000-2D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1" authorId="0" shapeId="0" xr:uid="{00000000-0006-0000-2D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7" authorId="0" shapeId="0" xr:uid="{00000000-0006-0000-2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7" authorId="0" shapeId="0" xr:uid="{00000000-0006-0000-2F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7" authorId="0" shapeId="0" xr:uid="{00000000-0006-0000-2F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5" authorId="0" shapeId="0" xr:uid="{00000000-0006-0000-3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5" authorId="0" shapeId="0" xr:uid="{00000000-0006-0000-31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5" authorId="0" shapeId="0" xr:uid="{00000000-0006-0000-31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3" authorId="0" shapeId="0" xr:uid="{00000000-0006-0000-3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3" authorId="0" shapeId="0" xr:uid="{00000000-0006-0000-33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3" authorId="0" shapeId="0" xr:uid="{00000000-0006-0000-33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6" authorId="0" shapeId="0" xr:uid="{00000000-0006-0000-35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6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6" authorId="0" shapeId="0" xr:uid="{00000000-0006-0000-35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56" authorId="0" shapeId="0" xr:uid="{00000000-0006-0000-3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48" authorId="0" shapeId="0" xr:uid="{00000000-0006-0000-3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48" authorId="0" shapeId="0" xr:uid="{00000000-0006-0000-3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50" authorId="0" shapeId="0" xr:uid="{00000000-0006-0000-3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52" authorId="0" shapeId="0" xr:uid="{00000000-0006-0000-3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6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6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53" authorId="0" shapeId="0" xr:uid="{00000000-0006-0000-4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51" authorId="0" shapeId="0" xr:uid="{00000000-0006-0000-4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A3" authorId="0" shapeId="0" xr:uid="{00000000-0006-0000-4500-000001000000}">
      <text>
        <r>
          <rPr>
            <b/>
            <sz val="9"/>
            <color indexed="81"/>
            <rFont val="Tahoma"/>
            <family val="2"/>
          </rPr>
          <t>Type in the name of your livestock enterprise.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4500-000002000000}">
      <text>
        <r>
          <rPr>
            <b/>
            <sz val="9"/>
            <color indexed="81"/>
            <rFont val="Tahoma"/>
            <family val="2"/>
          </rPr>
          <t>Enter the number of breeding females if the enterprise is a herd or flock.  Enter the number of head purchased or held for grazing or feeding if the enterprise is a grazing or feeding activity.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4500-000003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4500-000004000000}">
      <text>
        <r>
          <rPr>
            <b/>
            <sz val="9"/>
            <color indexed="81"/>
            <rFont val="Tahoma"/>
            <family val="2"/>
          </rPr>
          <t>Number of males sold from the herd or flock.</t>
        </r>
      </text>
    </comment>
    <comment ref="D9" authorId="0" shapeId="0" xr:uid="{00000000-0006-0000-4500-000005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9" authorId="0" shapeId="0" xr:uid="{00000000-0006-0000-4500-000006000000}">
      <text>
        <r>
          <rPr>
            <b/>
            <sz val="9"/>
            <color indexed="81"/>
            <rFont val="Tahoma"/>
            <family val="2"/>
          </rPr>
          <t>If Head not CWT, type in Head.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4500-000007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4500-000008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4500-000009000000}">
      <text>
        <r>
          <rPr>
            <b/>
            <sz val="9"/>
            <color indexed="81"/>
            <rFont val="Tahoma"/>
            <family val="2"/>
          </rPr>
          <t>Number of females sold from herd or flock.</t>
        </r>
      </text>
    </comment>
    <comment ref="D10" authorId="0" shapeId="0" xr:uid="{00000000-0006-0000-4500-00000A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0" authorId="0" shapeId="0" xr:uid="{00000000-0006-0000-4500-00000B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0" authorId="0" shapeId="0" xr:uid="{00000000-0006-0000-4500-00000C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4500-00000D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4500-00000E000000}">
      <text>
        <r>
          <rPr>
            <b/>
            <sz val="9"/>
            <color indexed="81"/>
            <rFont val="Tahoma"/>
            <family val="2"/>
          </rPr>
          <t>Number of cull breeding females sold from herd or flock.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4500-00000F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1" authorId="0" shapeId="0" xr:uid="{00000000-0006-0000-4500-000010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1" authorId="0" shapeId="0" xr:uid="{00000000-0006-0000-4500-000011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4500-000012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4500-000013000000}">
      <text>
        <r>
          <rPr>
            <b/>
            <sz val="9"/>
            <color indexed="81"/>
            <rFont val="Tahoma"/>
            <family val="2"/>
          </rPr>
          <t>Number of cull breeding males sold from herd or flock.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4500-000014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2" authorId="0" shapeId="0" xr:uid="{00000000-0006-0000-4500-000015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2" authorId="0" shapeId="0" xr:uid="{00000000-0006-0000-4500-000016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4500-000017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4500-000018000000}">
      <text>
        <r>
          <rPr>
            <b/>
            <sz val="9"/>
            <color indexed="81"/>
            <rFont val="Tahoma"/>
            <family val="2"/>
          </rPr>
          <t>Number of head sold after grazing or feeding.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4500-000019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3" authorId="0" shapeId="0" xr:uid="{00000000-0006-0000-4500-00001A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3" authorId="0" shapeId="0" xr:uid="{00000000-0006-0000-4500-00001B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4500-00001C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4500-00001D000000}">
      <text>
        <r>
          <rPr>
            <b/>
            <sz val="9"/>
            <color indexed="81"/>
            <rFont val="Tahoma"/>
            <family val="2"/>
          </rPr>
          <t>Number of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4500-00001E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4" authorId="0" shapeId="0" xr:uid="{00000000-0006-0000-4500-00001F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4" authorId="0" shapeId="0" xr:uid="{00000000-0006-0000-4500-000020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00000000-0006-0000-4500-000021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4500-000022000000}">
      <text>
        <r>
          <rPr>
            <b/>
            <sz val="9"/>
            <color indexed="81"/>
            <rFont val="Tahoma"/>
            <family val="2"/>
          </rPr>
          <t>Number of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4500-000023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5" authorId="0" shapeId="0" xr:uid="{00000000-0006-0000-4500-000024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5" authorId="0" shapeId="0" xr:uid="{00000000-0006-0000-4500-00002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4500-000026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4500-000027000000}">
      <text>
        <r>
          <rPr>
            <b/>
            <sz val="9"/>
            <color indexed="81"/>
            <rFont val="Tahoma"/>
            <family val="2"/>
          </rPr>
          <t>Number of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00000000-0006-0000-4500-000028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6" authorId="0" shapeId="0" xr:uid="{00000000-0006-0000-4500-000029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6" authorId="0" shapeId="0" xr:uid="{00000000-0006-0000-4500-00002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0000000-0006-0000-4500-00002B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23" authorId="0" shapeId="0" xr:uid="{00000000-0006-0000-4500-00002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4500-00002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4500-00002E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4500-00002F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00000000-0006-0000-4500-000030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00000000-0006-0000-4500-000031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4500-000032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00000000-0006-0000-4500-000033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0000000-0006-0000-4500-000034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4500-000035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4500-000036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4500-000037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00000000-0006-0000-4500-000038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 xr:uid="{00000000-0006-0000-4500-000039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4500-00003A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4500-00003B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4500-00003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4500-00003D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4500-00003E000000}">
      <text>
        <r>
          <rPr>
            <b/>
            <sz val="9"/>
            <color indexed="81"/>
            <rFont val="Tahoma"/>
            <family val="2"/>
          </rPr>
          <t>Number of Bales</t>
        </r>
      </text>
    </comment>
    <comment ref="E30" authorId="0" shapeId="0" xr:uid="{00000000-0006-0000-4500-00003F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0" authorId="0" shapeId="0" xr:uid="{00000000-0006-0000-4500-000040000000}">
      <text>
        <r>
          <rPr>
            <b/>
            <sz val="9"/>
            <color indexed="81"/>
            <rFont val="Tahoma"/>
            <family val="2"/>
          </rPr>
          <t>Price per Bale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 xr:uid="{00000000-0006-0000-4500-000041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00000000-0006-0000-4500-000042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1" authorId="0" shapeId="0" xr:uid="{00000000-0006-0000-4500-000043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4500-000044000000}">
      <text>
        <r>
          <rPr>
            <b/>
            <sz val="9"/>
            <color indexed="81"/>
            <rFont val="Tahoma"/>
            <family val="2"/>
          </rPr>
          <t xml:space="preserve">Number of CWT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00000000-0006-0000-4500-00004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2" authorId="0" shapeId="0" xr:uid="{00000000-0006-0000-4500-000046000000}">
      <text>
        <r>
          <rPr>
            <b/>
            <sz val="9"/>
            <color indexed="81"/>
            <rFont val="Tahoma"/>
            <family val="2"/>
          </rPr>
          <t>Price per CWT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00000000-0006-0000-4500-000047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3" authorId="0" shapeId="0" xr:uid="{00000000-0006-0000-4500-00004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4500-00004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3" authorId="0" shapeId="0" xr:uid="{00000000-0006-0000-4500-00004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4500-00004B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4" authorId="0" shapeId="0" xr:uid="{00000000-0006-0000-4500-00004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00000000-0006-0000-4500-00004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4" authorId="0" shapeId="0" xr:uid="{00000000-0006-0000-4500-00004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4500-00004F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5" authorId="0" shapeId="0" xr:uid="{00000000-0006-0000-4500-00005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0" shapeId="0" xr:uid="{00000000-0006-0000-4500-00005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5" authorId="0" shapeId="0" xr:uid="{00000000-0006-0000-4500-00005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00000000-0006-0000-4500-000053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6" authorId="0" shapeId="0" xr:uid="{00000000-0006-0000-4500-000054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00000000-0006-0000-4500-00005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6" authorId="0" shapeId="0" xr:uid="{00000000-0006-0000-4500-000056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 xr:uid="{00000000-0006-0000-4500-000057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7" authorId="0" shapeId="0" xr:uid="{00000000-0006-0000-4500-00005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4500-00005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7" authorId="0" shapeId="0" xr:uid="{00000000-0006-0000-4500-00005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4500-00005B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00000000-0006-0000-4500-00005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00000000-0006-0000-4500-00005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9" authorId="0" shapeId="0" xr:uid="{00000000-0006-0000-4500-00005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4500-00005F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4500-00006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 xr:uid="{00000000-0006-0000-4500-00006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0" authorId="0" shapeId="0" xr:uid="{00000000-0006-0000-4500-00006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4500-000063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 xr:uid="{00000000-0006-0000-4500-000064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00000000-0006-0000-4500-00006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1" authorId="0" shapeId="0" xr:uid="{00000000-0006-0000-4500-000066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4500-000067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4500-00006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 xr:uid="{00000000-0006-0000-4500-00006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2" authorId="0" shapeId="0" xr:uid="{00000000-0006-0000-4500-00006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4500-00006B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4500-00006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00000000-0006-0000-4500-00006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3" authorId="0" shapeId="0" xr:uid="{00000000-0006-0000-4500-00006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4500-00006F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 xr:uid="{00000000-0006-0000-4500-00007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 xr:uid="{00000000-0006-0000-4500-00007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4" authorId="0" shapeId="0" xr:uid="{00000000-0006-0000-4500-00007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00000000-0006-0000-4500-000073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0" shapeId="0" xr:uid="{00000000-0006-0000-4500-000074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 shapeId="0" xr:uid="{00000000-0006-0000-4500-00007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5" authorId="0" shapeId="0" xr:uid="{00000000-0006-0000-4500-000076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 xr:uid="{00000000-0006-0000-4500-000077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 xr:uid="{00000000-0006-0000-4500-00007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 xr:uid="{00000000-0006-0000-4500-00007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6" authorId="0" shapeId="0" xr:uid="{00000000-0006-0000-4500-00007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00000000-0006-0000-4500-00007B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00000000-0006-0000-4500-00007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 shapeId="0" xr:uid="{00000000-0006-0000-4500-00007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7" authorId="0" shapeId="0" xr:uid="{00000000-0006-0000-4500-00007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0000000-0006-0000-4500-00007F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 xr:uid="{00000000-0006-0000-4500-00008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 shapeId="0" xr:uid="{00000000-0006-0000-4500-00008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8" authorId="0" shapeId="0" xr:uid="{00000000-0006-0000-4500-00008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0" shapeId="0" xr:uid="{00000000-0006-0000-4500-000083000000}">
      <text>
        <r>
          <rPr>
            <b/>
            <sz val="9"/>
            <color indexed="81"/>
            <rFont val="Tahoma"/>
            <family val="2"/>
          </rPr>
          <t>Cost per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 xr:uid="{00000000-0006-0000-4500-000084000000}">
      <text>
        <r>
          <rPr>
            <b/>
            <sz val="9"/>
            <color indexed="81"/>
            <rFont val="Tahoma"/>
            <family val="2"/>
          </rPr>
          <t>Number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2" authorId="0" shapeId="0" xr:uid="{00000000-0006-0000-4500-000085000000}">
      <text>
        <r>
          <rPr>
            <b/>
            <sz val="9"/>
            <color indexed="81"/>
            <rFont val="Tahoma"/>
            <family val="2"/>
          </rPr>
          <t>Price per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00000000-0006-0000-4500-000086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4" authorId="0" shapeId="0" xr:uid="{00000000-0006-0000-4500-000087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" authorId="0" shapeId="0" xr:uid="{00000000-0006-0000-4500-000088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" authorId="0" shapeId="0" xr:uid="{00000000-0006-0000-4500-00008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00000000-0006-0000-4500-00008A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5" authorId="0" shapeId="0" xr:uid="{00000000-0006-0000-4500-00008B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 xr:uid="{00000000-0006-0000-4500-00008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 shapeId="0" xr:uid="{00000000-0006-0000-4500-00008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 xr:uid="{00000000-0006-0000-4500-00008E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6" authorId="0" shapeId="0" xr:uid="{00000000-0006-0000-4500-00008F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 shapeId="0" xr:uid="{00000000-0006-0000-4500-000090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0" shapeId="0" xr:uid="{00000000-0006-0000-4500-00009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00000000-0006-0000-4500-000092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7" authorId="0" shapeId="0" xr:uid="{00000000-0006-0000-4500-000093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 shapeId="0" xr:uid="{00000000-0006-0000-4500-000094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 xr:uid="{00000000-0006-0000-4500-00009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 xr:uid="{00000000-0006-0000-4500-000096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8" authorId="0" shapeId="0" xr:uid="{00000000-0006-0000-4500-000097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8" authorId="0" shapeId="0" xr:uid="{00000000-0006-0000-4500-00009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58" authorId="0" shapeId="0" xr:uid="{00000000-0006-0000-4500-00009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00000000-0006-0000-4500-00009A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9" authorId="0" shapeId="0" xr:uid="{00000000-0006-0000-4500-00009B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 shapeId="0" xr:uid="{00000000-0006-0000-4500-00009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 xr:uid="{00000000-0006-0000-4500-00009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4500-00009E000000}">
      <text>
        <r>
          <rPr>
            <b/>
            <sz val="9"/>
            <color indexed="81"/>
            <rFont val="Tahoma"/>
            <family val="2"/>
          </rPr>
          <t>Interest Rate to Borrow Operating Funds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 xr:uid="{00000000-0006-0000-4500-00009F000000}">
      <text>
        <r>
          <rPr>
            <b/>
            <sz val="9"/>
            <color indexed="81"/>
            <rFont val="Tahoma"/>
            <family val="2"/>
          </rPr>
          <t>Calculated from the total of the expenses listed above borrowed for 6 months at the interest rate entered to the left.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1" authorId="0" shapeId="0" xr:uid="{00000000-0006-0000-4500-0000A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1" authorId="0" shapeId="0" xr:uid="{00000000-0006-0000-4500-0000A1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0" shapeId="0" xr:uid="{00000000-0006-0000-4500-0000A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2" authorId="0" shapeId="0" xr:uid="{00000000-0006-0000-4500-0000A3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0" shapeId="0" xr:uid="{00000000-0006-0000-4500-0000A4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2" authorId="0" shapeId="0" xr:uid="{00000000-0006-0000-4500-0000A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00000000-0006-0000-4500-0000A6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3" authorId="0" shapeId="0" xr:uid="{00000000-0006-0000-4500-0000A7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3" authorId="0" shapeId="0" xr:uid="{00000000-0006-0000-4500-0000A8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 xr:uid="{00000000-0006-0000-4500-0000A9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4" authorId="0" shapeId="0" xr:uid="{00000000-0006-0000-4500-0000AA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4" authorId="0" shapeId="0" xr:uid="{00000000-0006-0000-4500-0000AB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0" shapeId="0" xr:uid="{00000000-0006-0000-4500-0000AC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5" authorId="0" shapeId="0" xr:uid="{00000000-0006-0000-4500-0000AD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0" shapeId="0" xr:uid="{00000000-0006-0000-4500-0000A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4500-0000AF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6" authorId="0" shapeId="0" xr:uid="{00000000-0006-0000-4500-0000B0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6" authorId="0" shapeId="0" xr:uid="{00000000-0006-0000-4500-0000B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" authorId="0" shapeId="0" xr:uid="{00000000-0006-0000-4500-0000B2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7" authorId="0" shapeId="0" xr:uid="{00000000-0006-0000-4500-0000B3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7" authorId="0" shapeId="0" xr:uid="{00000000-0006-0000-4500-0000B4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 shapeId="0" xr:uid="{00000000-0006-0000-4500-0000B5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78" authorId="0" shapeId="0" xr:uid="{00000000-0006-0000-4500-0000B6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8" authorId="0" shapeId="0" xr:uid="{00000000-0006-0000-4500-0000B7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8" authorId="0" shapeId="0" xr:uid="{00000000-0006-0000-4500-0000B8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 shapeId="0" xr:uid="{00000000-0006-0000-4500-0000B9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79" authorId="0" shapeId="0" xr:uid="{00000000-0006-0000-4500-0000BA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9" authorId="0" shapeId="0" xr:uid="{00000000-0006-0000-4500-0000BB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9" authorId="0" shapeId="0" xr:uid="{00000000-0006-0000-4500-0000BC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 shapeId="0" xr:uid="{00000000-0006-0000-4500-0000BD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80" authorId="0" shapeId="0" xr:uid="{00000000-0006-0000-4500-0000BE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80" authorId="0" shapeId="0" xr:uid="{00000000-0006-0000-4500-0000BF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0" authorId="0" shapeId="0" xr:uid="{00000000-0006-0000-4500-0000C0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0" shapeId="0" xr:uid="{00000000-0006-0000-4500-0000C1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81" authorId="0" shapeId="0" xr:uid="{00000000-0006-0000-4500-0000C2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1" authorId="0" shapeId="0" xr:uid="{00000000-0006-0000-4500-0000C3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1" authorId="0" shapeId="0" xr:uid="{00000000-0006-0000-4500-0000C4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0" shapeId="0" xr:uid="{00000000-0006-0000-4500-0000C5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82" authorId="0" shapeId="0" xr:uid="{00000000-0006-0000-4500-0000C6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2" authorId="0" shapeId="0" xr:uid="{00000000-0006-0000-4500-0000C7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2" authorId="0" shapeId="0" xr:uid="{00000000-0006-0000-4500-0000C8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 xr:uid="{00000000-0006-0000-4500-0000C9000000}">
      <text>
        <r>
          <rPr>
            <b/>
            <sz val="9"/>
            <color indexed="81"/>
            <rFont val="Tahoma"/>
            <family val="2"/>
          </rPr>
          <t>Enter your weaning rate, animals weaned and sold or held as breeding replacements divided by breeding females in the herd or flock.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D5" authorId="0" shapeId="0" xr:uid="{00000000-0006-0000-4600-000001000000}">
      <text>
        <r>
          <rPr>
            <b/>
            <sz val="9"/>
            <color indexed="81"/>
            <rFont val="Tahoma"/>
            <family val="2"/>
          </rPr>
          <t>Enter the number of acres used to grow this crop.  If necessary, enter a number less than 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4600-000002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4600-00000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" authorId="0" shapeId="0" xr:uid="{00000000-0006-0000-4600-00000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" authorId="0" shapeId="0" xr:uid="{00000000-0006-0000-4600-00000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4600-000006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4600-00000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" authorId="0" shapeId="0" xr:uid="{00000000-0006-0000-4600-00000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" authorId="0" shapeId="0" xr:uid="{00000000-0006-0000-4600-00000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4600-00000A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4600-00000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" authorId="0" shapeId="0" xr:uid="{00000000-0006-0000-4600-00000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" authorId="0" shapeId="0" xr:uid="{00000000-0006-0000-4600-00000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4600-00000E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4600-00000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2" authorId="0" shapeId="0" xr:uid="{00000000-0006-0000-4600-00001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2" authorId="0" shapeId="0" xr:uid="{00000000-0006-0000-4600-00001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4600-000012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4600-00001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3" authorId="0" shapeId="0" xr:uid="{00000000-0006-0000-4600-00001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3" authorId="0" shapeId="0" xr:uid="{00000000-0006-0000-4600-00001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4600-000016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4600-00001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4" authorId="0" shapeId="0" xr:uid="{00000000-0006-0000-4600-00001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4" authorId="0" shapeId="0" xr:uid="{00000000-0006-0000-4600-00001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00000000-0006-0000-4600-00001A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4600-00001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5" authorId="0" shapeId="0" xr:uid="{00000000-0006-0000-4600-00001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5" authorId="0" shapeId="0" xr:uid="{00000000-0006-0000-4600-00001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4600-00001E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4600-00001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6" authorId="0" shapeId="0" xr:uid="{00000000-0006-0000-4600-00002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6" authorId="0" shapeId="0" xr:uid="{00000000-0006-0000-4600-00002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4600-000022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00000000-0006-0000-4600-00002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4" authorId="0" shapeId="0" xr:uid="{00000000-0006-0000-4600-00002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4" authorId="0" shapeId="0" xr:uid="{00000000-0006-0000-4600-00002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00000000-0006-0000-4600-000026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4600-00002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5" authorId="0" shapeId="0" xr:uid="{00000000-0006-0000-4600-00002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5" authorId="0" shapeId="0" xr:uid="{00000000-0006-0000-4600-00002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00000000-0006-0000-4600-00002A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4600-00002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6" authorId="0" shapeId="0" xr:uid="{00000000-0006-0000-4600-00002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6" authorId="0" shapeId="0" xr:uid="{00000000-0006-0000-4600-00002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00000000-0006-0000-4600-00002E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4600-00002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7" authorId="0" shapeId="0" xr:uid="{00000000-0006-0000-4600-00003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7" authorId="0" shapeId="0" xr:uid="{00000000-0006-0000-4600-00003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00000000-0006-0000-4600-000032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4600-00003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8" authorId="0" shapeId="0" xr:uid="{00000000-0006-0000-4600-00003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8" authorId="0" shapeId="0" xr:uid="{00000000-0006-0000-4600-00003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4600-000036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 xr:uid="{00000000-0006-0000-4600-00003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9" authorId="0" shapeId="0" xr:uid="{00000000-0006-0000-4600-00003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9" authorId="0" shapeId="0" xr:uid="{00000000-0006-0000-4600-00003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4600-00003A000000}">
      <text>
        <r>
          <rPr>
            <b/>
            <sz val="9"/>
            <color indexed="81"/>
            <rFont val="Tahoma"/>
            <family val="2"/>
          </rPr>
          <t>Enter name of machinery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4600-00003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1" authorId="0" shapeId="0" xr:uid="{00000000-0006-0000-4600-00003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1" authorId="0" shapeId="0" xr:uid="{00000000-0006-0000-4600-00003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00000000-0006-0000-4600-00003E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00000000-0006-0000-4600-00003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2" authorId="0" shapeId="0" xr:uid="{00000000-0006-0000-4600-00004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2" authorId="0" shapeId="0" xr:uid="{00000000-0006-0000-4600-00004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0000000-0006-0000-4600-000042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00000000-0006-0000-4600-00004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3" authorId="0" shapeId="0" xr:uid="{00000000-0006-0000-4600-00004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3" authorId="0" shapeId="0" xr:uid="{00000000-0006-0000-4600-00004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 xr:uid="{00000000-0006-0000-4600-000046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4600-00004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4" authorId="0" shapeId="0" xr:uid="{00000000-0006-0000-4600-00004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4" authorId="0" shapeId="0" xr:uid="{00000000-0006-0000-4600-00004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00000000-0006-0000-4600-00004A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4600-00004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5" authorId="0" shapeId="0" xr:uid="{00000000-0006-0000-4600-00004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5" authorId="0" shapeId="0" xr:uid="{00000000-0006-0000-4600-00004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00000000-0006-0000-4600-00004E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00000000-0006-0000-4600-00004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6" authorId="0" shapeId="0" xr:uid="{00000000-0006-0000-4600-00005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6" authorId="0" shapeId="0" xr:uid="{00000000-0006-0000-4600-00005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00000000-0006-0000-4600-000052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4600-00005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8" authorId="0" shapeId="0" xr:uid="{00000000-0006-0000-4600-00005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8" authorId="0" shapeId="0" xr:uid="{00000000-0006-0000-4600-00005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00000000-0006-0000-4600-000056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4600-00005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9" authorId="0" shapeId="0" xr:uid="{00000000-0006-0000-4600-00005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9" authorId="0" shapeId="0" xr:uid="{00000000-0006-0000-4600-00005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00000000-0006-0000-4600-00005A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4600-00005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0" authorId="0" shapeId="0" xr:uid="{00000000-0006-0000-4600-00005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0" authorId="0" shapeId="0" xr:uid="{00000000-0006-0000-4600-00005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0000000-0006-0000-4600-00005E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4600-00005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1" authorId="0" shapeId="0" xr:uid="{00000000-0006-0000-4600-00006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1" authorId="0" shapeId="0" xr:uid="{00000000-0006-0000-4600-00006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4600-000062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4600-00006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2" authorId="0" shapeId="0" xr:uid="{00000000-0006-0000-4600-00006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2" authorId="0" shapeId="0" xr:uid="{00000000-0006-0000-4600-00006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4600-000066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4600-00006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3" authorId="0" shapeId="0" xr:uid="{00000000-0006-0000-4600-00006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3" authorId="0" shapeId="0" xr:uid="{00000000-0006-0000-4600-00006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 xr:uid="{00000000-0006-0000-4600-00006A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00000000-0006-0000-4600-00006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5" authorId="0" shapeId="0" xr:uid="{00000000-0006-0000-4600-00006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5" authorId="0" shapeId="0" xr:uid="{00000000-0006-0000-4600-00006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 xr:uid="{00000000-0006-0000-4600-00006E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 xr:uid="{00000000-0006-0000-4600-00006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6" authorId="0" shapeId="0" xr:uid="{00000000-0006-0000-4600-00007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6" authorId="0" shapeId="0" xr:uid="{00000000-0006-0000-4600-00007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 xr:uid="{00000000-0006-0000-4600-000072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00000000-0006-0000-4600-00007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7" authorId="0" shapeId="0" xr:uid="{00000000-0006-0000-4600-00007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7" authorId="0" shapeId="0" xr:uid="{00000000-0006-0000-4600-00007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00000000-0006-0000-4600-000076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0000000-0006-0000-4600-00007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8" authorId="0" shapeId="0" xr:uid="{00000000-0006-0000-4600-00007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8" authorId="0" shapeId="0" xr:uid="{00000000-0006-0000-4600-00007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 xr:uid="{00000000-0006-0000-4600-00007A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 xr:uid="{00000000-0006-0000-4600-00007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9" authorId="0" shapeId="0" xr:uid="{00000000-0006-0000-4600-00007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9" authorId="0" shapeId="0" xr:uid="{00000000-0006-0000-4600-00007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 xr:uid="{00000000-0006-0000-4600-00007E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 xr:uid="{00000000-0006-0000-4600-00007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0" authorId="0" shapeId="0" xr:uid="{00000000-0006-0000-4600-00008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0" authorId="0" shapeId="0" xr:uid="{00000000-0006-0000-4600-00008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 shapeId="0" xr:uid="{00000000-0006-0000-4600-000082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 xr:uid="{00000000-0006-0000-4600-00008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2" authorId="0" shapeId="0" xr:uid="{00000000-0006-0000-4600-00008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2" authorId="0" shapeId="0" xr:uid="{00000000-0006-0000-4600-00008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00000000-0006-0000-4600-000086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 xr:uid="{00000000-0006-0000-4600-00008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3" authorId="0" shapeId="0" xr:uid="{00000000-0006-0000-4600-00008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3" authorId="0" shapeId="0" xr:uid="{00000000-0006-0000-4600-00008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00000000-0006-0000-4600-00008A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00000000-0006-0000-4600-00008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4" authorId="0" shapeId="0" xr:uid="{00000000-0006-0000-4600-00008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4" authorId="0" shapeId="0" xr:uid="{00000000-0006-0000-4600-00008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00000000-0006-0000-4600-00008E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00000000-0006-0000-4600-00008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5" authorId="0" shapeId="0" xr:uid="{00000000-0006-0000-4600-00009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5" authorId="0" shapeId="0" xr:uid="{00000000-0006-0000-4600-00009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 xr:uid="{00000000-0006-0000-4600-000092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 shapeId="0" xr:uid="{00000000-0006-0000-4600-00009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6" authorId="0" shapeId="0" xr:uid="{00000000-0006-0000-4600-00009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6" authorId="0" shapeId="0" xr:uid="{00000000-0006-0000-4600-00009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00000000-0006-0000-4600-000096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00000000-0006-0000-4600-00009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7" authorId="0" shapeId="0" xr:uid="{00000000-0006-0000-4600-00009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7" authorId="0" shapeId="0" xr:uid="{00000000-0006-0000-4600-00009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 xr:uid="{00000000-0006-0000-4600-00009A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 xr:uid="{00000000-0006-0000-4600-00009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8" authorId="0" shapeId="0" xr:uid="{00000000-0006-0000-4600-00009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8" authorId="0" shapeId="0" xr:uid="{00000000-0006-0000-4600-00009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00000000-0006-0000-4600-00009E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4600-00009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9" authorId="0" shapeId="0" xr:uid="{00000000-0006-0000-4600-0000A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9" authorId="0" shapeId="0" xr:uid="{00000000-0006-0000-4600-0000A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00000000-0006-0000-4600-0000A2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4600-0000A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1" authorId="0" shapeId="0" xr:uid="{00000000-0006-0000-4600-0000A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1" authorId="0" shapeId="0" xr:uid="{00000000-0006-0000-4600-0000A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 shapeId="0" xr:uid="{00000000-0006-0000-4600-0000A6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 xr:uid="{00000000-0006-0000-4600-0000A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2" authorId="0" shapeId="0" xr:uid="{00000000-0006-0000-4600-0000A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2" authorId="0" shapeId="0" xr:uid="{00000000-0006-0000-4600-0000A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 shapeId="0" xr:uid="{00000000-0006-0000-4600-0000AA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4600-0000A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3" authorId="0" shapeId="0" xr:uid="{00000000-0006-0000-4600-0000A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3" authorId="0" shapeId="0" xr:uid="{00000000-0006-0000-4600-0000A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 shapeId="0" xr:uid="{00000000-0006-0000-4600-0000AE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 xr:uid="{00000000-0006-0000-4600-0000A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4" authorId="0" shapeId="0" xr:uid="{00000000-0006-0000-4600-0000B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4" authorId="0" shapeId="0" xr:uid="{00000000-0006-0000-4600-0000B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 xr:uid="{00000000-0006-0000-4600-0000B2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 xr:uid="{00000000-0006-0000-4600-0000B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5" authorId="0" shapeId="0" xr:uid="{00000000-0006-0000-4600-0000B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5" authorId="0" shapeId="0" xr:uid="{00000000-0006-0000-4600-0000B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0" shapeId="0" xr:uid="{00000000-0006-0000-4600-0000B6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 shapeId="0" xr:uid="{00000000-0006-0000-4600-0000B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6" authorId="0" shapeId="0" xr:uid="{00000000-0006-0000-4600-0000B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6" authorId="0" shapeId="0" xr:uid="{00000000-0006-0000-4600-0000B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 xr:uid="{00000000-0006-0000-4600-0000BA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 xr:uid="{00000000-0006-0000-4600-0000B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8" authorId="0" shapeId="0" xr:uid="{00000000-0006-0000-4600-0000B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8" authorId="0" shapeId="0" xr:uid="{00000000-0006-0000-4600-0000B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0" shapeId="0" xr:uid="{00000000-0006-0000-4600-0000BE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9" authorId="0" shapeId="0" xr:uid="{00000000-0006-0000-4600-0000B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9" authorId="0" shapeId="0" xr:uid="{00000000-0006-0000-4600-0000C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9" authorId="0" shapeId="0" xr:uid="{00000000-0006-0000-4600-0000C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0" shapeId="0" xr:uid="{00000000-0006-0000-4600-0000C2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 shapeId="0" xr:uid="{00000000-0006-0000-4600-0000C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0" authorId="0" shapeId="0" xr:uid="{00000000-0006-0000-4600-0000C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0" authorId="0" shapeId="0" xr:uid="{00000000-0006-0000-4600-0000C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 shapeId="0" xr:uid="{00000000-0006-0000-4600-0000C6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1" authorId="0" shapeId="0" xr:uid="{00000000-0006-0000-4600-0000C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1" authorId="0" shapeId="0" xr:uid="{00000000-0006-0000-4600-0000C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1" authorId="0" shapeId="0" xr:uid="{00000000-0006-0000-4600-0000C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 xr:uid="{00000000-0006-0000-4600-0000CA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 xr:uid="{00000000-0006-0000-4600-0000C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2" authorId="0" shapeId="0" xr:uid="{00000000-0006-0000-4600-0000C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2" authorId="0" shapeId="0" xr:uid="{00000000-0006-0000-4600-0000C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 xr:uid="{00000000-0006-0000-4600-0000CE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 shapeId="0" xr:uid="{00000000-0006-0000-4600-0000C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3" authorId="0" shapeId="0" xr:uid="{00000000-0006-0000-4600-0000D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3" authorId="0" shapeId="0" xr:uid="{00000000-0006-0000-4600-0000D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 xr:uid="{00000000-0006-0000-4600-0000D2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0" shapeId="0" xr:uid="{00000000-0006-0000-4600-0000D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5" authorId="0" shapeId="0" xr:uid="{00000000-0006-0000-4600-0000D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5" authorId="0" shapeId="0" xr:uid="{00000000-0006-0000-4600-0000D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0" shapeId="0" xr:uid="{00000000-0006-0000-4600-0000D6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00000000-0006-0000-4600-0000D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6" authorId="0" shapeId="0" xr:uid="{00000000-0006-0000-4600-0000D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6" authorId="0" shapeId="0" xr:uid="{00000000-0006-0000-4600-0000D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7" authorId="0" shapeId="0" xr:uid="{00000000-0006-0000-4600-0000DA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 shapeId="0" xr:uid="{00000000-0006-0000-4600-0000D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7" authorId="0" shapeId="0" xr:uid="{00000000-0006-0000-4600-0000D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7" authorId="0" shapeId="0" xr:uid="{00000000-0006-0000-4600-0000D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 shapeId="0" xr:uid="{00000000-0006-0000-4600-0000DE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" authorId="0" shapeId="0" xr:uid="{00000000-0006-0000-4600-0000D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8" authorId="0" shapeId="0" xr:uid="{00000000-0006-0000-4600-0000E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8" authorId="0" shapeId="0" xr:uid="{00000000-0006-0000-4600-0000E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 shapeId="0" xr:uid="{00000000-0006-0000-4600-0000E2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 shapeId="0" xr:uid="{00000000-0006-0000-4600-0000E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9" authorId="0" shapeId="0" xr:uid="{00000000-0006-0000-4600-0000E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9" authorId="0" shapeId="0" xr:uid="{00000000-0006-0000-4600-0000E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 shapeId="0" xr:uid="{00000000-0006-0000-4600-0000E6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00000000-0006-0000-4600-0000E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0" authorId="0" shapeId="0" xr:uid="{00000000-0006-0000-4600-0000E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0" authorId="0" shapeId="0" xr:uid="{00000000-0006-0000-4600-0000E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0" shapeId="0" xr:uid="{00000000-0006-0000-4600-0000EA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4600-0000E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2" authorId="0" shapeId="0" xr:uid="{00000000-0006-0000-4600-0000E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2" authorId="0" shapeId="0" xr:uid="{00000000-0006-0000-4600-0000E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 shapeId="0" xr:uid="{00000000-0006-0000-4600-0000EE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 shapeId="0" xr:uid="{00000000-0006-0000-4600-0000E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3" authorId="0" shapeId="0" xr:uid="{00000000-0006-0000-4600-0000F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3" authorId="0" shapeId="0" xr:uid="{00000000-0006-0000-4600-0000F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 shapeId="0" xr:uid="{00000000-0006-0000-4600-0000F2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4" authorId="0" shapeId="0" xr:uid="{00000000-0006-0000-4600-0000F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4" authorId="0" shapeId="0" xr:uid="{00000000-0006-0000-4600-0000F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4" authorId="0" shapeId="0" xr:uid="{00000000-0006-0000-4600-0000F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0" shapeId="0" xr:uid="{00000000-0006-0000-4600-0000F6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 xr:uid="{00000000-0006-0000-4600-0000F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5" authorId="0" shapeId="0" xr:uid="{00000000-0006-0000-4600-0000F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5" authorId="0" shapeId="0" xr:uid="{00000000-0006-0000-4600-0000F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 xr:uid="{00000000-0006-0000-4600-0000FA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0" shapeId="0" xr:uid="{00000000-0006-0000-4600-0000F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6" authorId="0" shapeId="0" xr:uid="{00000000-0006-0000-4600-0000F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6" authorId="0" shapeId="0" xr:uid="{00000000-0006-0000-4600-0000F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 shapeId="0" xr:uid="{00000000-0006-0000-4600-0000FE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 shapeId="0" xr:uid="{00000000-0006-0000-4600-0000F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7" authorId="0" shapeId="0" xr:uid="{00000000-0006-0000-4600-00000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7" authorId="0" shapeId="0" xr:uid="{00000000-0006-0000-4600-00000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 shapeId="0" xr:uid="{00000000-0006-0000-4600-000002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9" authorId="0" shapeId="0" xr:uid="{00000000-0006-0000-4600-00000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9" authorId="0" shapeId="0" xr:uid="{00000000-0006-0000-4600-00000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9" authorId="0" shapeId="0" xr:uid="{00000000-0006-0000-4600-00000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 shapeId="0" xr:uid="{00000000-0006-0000-4600-000006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0" authorId="0" shapeId="0" xr:uid="{00000000-0006-0000-4600-00000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0" authorId="0" shapeId="0" xr:uid="{00000000-0006-0000-4600-00000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0" authorId="0" shapeId="0" xr:uid="{00000000-0006-0000-4600-00000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 shapeId="0" xr:uid="{00000000-0006-0000-4600-00000A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 shapeId="0" xr:uid="{00000000-0006-0000-4600-00000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1" authorId="0" shapeId="0" xr:uid="{00000000-0006-0000-4600-00000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1" authorId="0" shapeId="0" xr:uid="{00000000-0006-0000-4600-00000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0" shapeId="0" xr:uid="{00000000-0006-0000-4600-00000E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2" authorId="0" shapeId="0" xr:uid="{00000000-0006-0000-4600-00000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2" authorId="0" shapeId="0" xr:uid="{00000000-0006-0000-4600-00001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2" authorId="0" shapeId="0" xr:uid="{00000000-0006-0000-4600-00001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0" shapeId="0" xr:uid="{00000000-0006-0000-4600-000012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 xr:uid="{00000000-0006-0000-4600-00001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3" authorId="0" shapeId="0" xr:uid="{00000000-0006-0000-4600-00001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3" authorId="0" shapeId="0" xr:uid="{00000000-0006-0000-4600-00001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0" shapeId="0" xr:uid="{00000000-0006-0000-4600-000016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4600-00001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4" authorId="0" shapeId="0" xr:uid="{00000000-0006-0000-4600-00001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4" authorId="0" shapeId="0" xr:uid="{00000000-0006-0000-4600-00001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0" shapeId="0" xr:uid="{00000000-0006-0000-4600-00001A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6" authorId="0" shapeId="0" xr:uid="{00000000-0006-0000-4600-00001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6" authorId="0" shapeId="0" xr:uid="{00000000-0006-0000-4600-00001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6" authorId="0" shapeId="0" xr:uid="{00000000-0006-0000-4600-00001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 xr:uid="{00000000-0006-0000-4600-00001E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7" authorId="0" shapeId="0" xr:uid="{00000000-0006-0000-4600-00001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7" authorId="0" shapeId="0" xr:uid="{00000000-0006-0000-4600-00002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7" authorId="0" shapeId="0" xr:uid="{00000000-0006-0000-4600-00002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 shapeId="0" xr:uid="{00000000-0006-0000-4600-000022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 xr:uid="{00000000-0006-0000-4600-00002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8" authorId="0" shapeId="0" xr:uid="{00000000-0006-0000-4600-00002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8" authorId="0" shapeId="0" xr:uid="{00000000-0006-0000-4600-00002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" authorId="0" shapeId="0" xr:uid="{00000000-0006-0000-4600-000026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 xr:uid="{00000000-0006-0000-4600-00002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9" authorId="0" shapeId="0" xr:uid="{00000000-0006-0000-4600-00002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9" authorId="0" shapeId="0" xr:uid="{00000000-0006-0000-4600-00002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0" authorId="0" shapeId="0" xr:uid="{00000000-0006-0000-4600-00002A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0" authorId="0" shapeId="0" xr:uid="{00000000-0006-0000-4600-00002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0" authorId="0" shapeId="0" xr:uid="{00000000-0006-0000-4600-00002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0" authorId="0" shapeId="0" xr:uid="{00000000-0006-0000-4600-00002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 shapeId="0" xr:uid="{00000000-0006-0000-4600-00002E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1" authorId="0" shapeId="0" xr:uid="{00000000-0006-0000-4600-00002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1" authorId="0" shapeId="0" xr:uid="{00000000-0006-0000-4600-00003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1" authorId="0" shapeId="0" xr:uid="{00000000-0006-0000-4600-00003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 xr:uid="{00000000-0006-0000-4600-000032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2" authorId="0" shapeId="0" xr:uid="{00000000-0006-0000-4600-00003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2" authorId="0" shapeId="0" xr:uid="{00000000-0006-0000-4600-00003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2" authorId="0" shapeId="0" xr:uid="{00000000-0006-0000-4600-00003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 shapeId="0" xr:uid="{00000000-0006-0000-4600-000036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" authorId="0" shapeId="0" xr:uid="{00000000-0006-0000-4600-00003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3" authorId="0" shapeId="0" xr:uid="{00000000-0006-0000-4600-00003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3" authorId="0" shapeId="0" xr:uid="{00000000-0006-0000-4600-00003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0" shapeId="0" xr:uid="{00000000-0006-0000-4600-00003A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4" authorId="0" shapeId="0" xr:uid="{00000000-0006-0000-4600-00003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4" authorId="0" shapeId="0" xr:uid="{00000000-0006-0000-4600-00003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4" authorId="0" shapeId="0" xr:uid="{00000000-0006-0000-4600-00003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 xr:uid="{00000000-0006-0000-4600-00003E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 xr:uid="{00000000-0006-0000-4600-00003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6" authorId="0" shapeId="0" xr:uid="{00000000-0006-0000-4600-00004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6" authorId="0" shapeId="0" xr:uid="{00000000-0006-0000-4600-00004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 shapeId="0" xr:uid="{00000000-0006-0000-4600-000042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7" authorId="0" shapeId="0" xr:uid="{00000000-0006-0000-4600-00004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7" authorId="0" shapeId="0" xr:uid="{00000000-0006-0000-4600-00004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7" authorId="0" shapeId="0" xr:uid="{00000000-0006-0000-4600-00004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8" authorId="0" shapeId="0" xr:uid="{00000000-0006-0000-4600-000046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8" authorId="0" shapeId="0" xr:uid="{00000000-0006-0000-4600-00004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8" authorId="0" shapeId="0" xr:uid="{00000000-0006-0000-4600-00004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8" authorId="0" shapeId="0" xr:uid="{00000000-0006-0000-4600-00004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9" authorId="0" shapeId="0" xr:uid="{00000000-0006-0000-4600-00004A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9" authorId="0" shapeId="0" xr:uid="{00000000-0006-0000-4600-00004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9" authorId="0" shapeId="0" xr:uid="{00000000-0006-0000-4600-00004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9" authorId="0" shapeId="0" xr:uid="{00000000-0006-0000-4600-00004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0" authorId="0" shapeId="0" xr:uid="{00000000-0006-0000-4600-00004E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0" authorId="0" shapeId="0" xr:uid="{00000000-0006-0000-4600-00004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0" authorId="0" shapeId="0" xr:uid="{00000000-0006-0000-4600-00005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0" authorId="0" shapeId="0" xr:uid="{00000000-0006-0000-4600-00005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0" shapeId="0" xr:uid="{00000000-0006-0000-4600-000052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1" authorId="0" shapeId="0" xr:uid="{00000000-0006-0000-4600-00005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1" authorId="0" shapeId="0" xr:uid="{00000000-0006-0000-4600-00005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1" authorId="0" shapeId="0" xr:uid="{00000000-0006-0000-4600-00005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2" authorId="0" shapeId="0" xr:uid="{00000000-0006-0000-4600-000056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0" shapeId="0" xr:uid="{00000000-0006-0000-4600-00005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2" authorId="0" shapeId="0" xr:uid="{00000000-0006-0000-4600-00005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2" authorId="0" shapeId="0" xr:uid="{00000000-0006-0000-4600-00005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3" authorId="0" shapeId="0" xr:uid="{00000000-0006-0000-4600-00005A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3" authorId="0" shapeId="0" xr:uid="{00000000-0006-0000-4600-00005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3" authorId="0" shapeId="0" xr:uid="{00000000-0006-0000-4600-00005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3" authorId="0" shapeId="0" xr:uid="{00000000-0006-0000-4600-00005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4" authorId="0" shapeId="0" xr:uid="{00000000-0006-0000-4600-00005E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4" authorId="0" shapeId="0" xr:uid="{00000000-0006-0000-4600-00005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4" authorId="0" shapeId="0" xr:uid="{00000000-0006-0000-4600-00006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4" authorId="0" shapeId="0" xr:uid="{00000000-0006-0000-4600-00006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6" authorId="0" shapeId="0" xr:uid="{00000000-0006-0000-4600-000062010000}">
      <text>
        <r>
          <rPr>
            <b/>
            <sz val="9"/>
            <color indexed="81"/>
            <rFont val="Tahoma"/>
            <family val="2"/>
          </rPr>
          <t>Interest Rate to Borrow Operating Funds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6" authorId="0" shapeId="0" xr:uid="{00000000-0006-0000-4600-000063010000}">
      <text>
        <r>
          <rPr>
            <b/>
            <sz val="9"/>
            <color indexed="81"/>
            <rFont val="Tahoma"/>
            <family val="2"/>
          </rPr>
          <t>Calculated from the total of the expenses listed above borrowed for 6 months at the interest rate entered to the left.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6" authorId="0" shapeId="0" xr:uid="{00000000-0006-0000-4600-000064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 xr:uid="{00000000-0006-0000-4600-000065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6" authorId="0" shapeId="0" xr:uid="{00000000-0006-0000-4600-000066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7" authorId="0" shapeId="0" xr:uid="{00000000-0006-0000-4600-000067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7" authorId="0" shapeId="0" xr:uid="{00000000-0006-0000-4600-000068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7" authorId="0" shapeId="0" xr:uid="{00000000-0006-0000-4600-00006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8" authorId="0" shapeId="0" xr:uid="{00000000-0006-0000-4600-00006A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28" authorId="0" shapeId="0" xr:uid="{00000000-0006-0000-4600-00006B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8" authorId="0" shapeId="0" xr:uid="{00000000-0006-0000-4600-00006C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9" authorId="0" shapeId="0" xr:uid="{00000000-0006-0000-4600-00006D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29" authorId="0" shapeId="0" xr:uid="{00000000-0006-0000-4600-00006E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9" authorId="0" shapeId="0" xr:uid="{00000000-0006-0000-4600-00006F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0" authorId="0" shapeId="0" xr:uid="{00000000-0006-0000-4600-000070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0" authorId="0" shapeId="0" xr:uid="{00000000-0006-0000-4600-000071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0" authorId="0" shapeId="0" xr:uid="{00000000-0006-0000-4600-000072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" authorId="0" shapeId="0" xr:uid="{00000000-0006-0000-4600-000073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1" authorId="0" shapeId="0" xr:uid="{00000000-0006-0000-4600-000074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1" authorId="0" shapeId="0" xr:uid="{00000000-0006-0000-4600-00007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2" authorId="0" shapeId="0" xr:uid="{00000000-0006-0000-4600-000076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2" authorId="0" shapeId="0" xr:uid="{00000000-0006-0000-4600-000077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2" authorId="0" shapeId="0" xr:uid="{00000000-0006-0000-4600-000078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3" authorId="0" shapeId="0" xr:uid="{00000000-0006-0000-4600-000079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3" authorId="0" shapeId="0" xr:uid="{00000000-0006-0000-4600-00007A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3" authorId="0" shapeId="0" xr:uid="{00000000-0006-0000-4600-00007B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3" authorId="0" shapeId="0" xr:uid="{00000000-0006-0000-4600-00007C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4" authorId="0" shapeId="0" xr:uid="{00000000-0006-0000-4600-00007D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4" authorId="0" shapeId="0" xr:uid="{00000000-0006-0000-4600-00007E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4" authorId="0" shapeId="0" xr:uid="{00000000-0006-0000-4600-00007F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4600-000080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5" authorId="0" shapeId="0" xr:uid="{00000000-0006-0000-4600-000081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5" authorId="0" shapeId="0" xr:uid="{00000000-0006-0000-4600-000082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5" authorId="0" shapeId="0" xr:uid="{00000000-0006-0000-4600-000083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5" authorId="0" shapeId="0" xr:uid="{00000000-0006-0000-4600-000084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6" authorId="0" shapeId="0" xr:uid="{00000000-0006-0000-4600-000085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6" authorId="0" shapeId="0" xr:uid="{00000000-0006-0000-4600-000086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00000000-0006-0000-4600-000087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4600-000088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7" authorId="0" shapeId="0" xr:uid="{00000000-0006-0000-4600-000089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7" authorId="0" shapeId="0" xr:uid="{00000000-0006-0000-4600-00008A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7" authorId="0" shapeId="0" xr:uid="{00000000-0006-0000-4600-00008B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7" authorId="0" shapeId="0" xr:uid="{00000000-0006-0000-4600-00008C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8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8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9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9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9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9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9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9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0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0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0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4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4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4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4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4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4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sharedStrings.xml><?xml version="1.0" encoding="utf-8"?>
<sst xmlns="http://schemas.openxmlformats.org/spreadsheetml/2006/main" count="6017" uniqueCount="537">
  <si>
    <t>Fertilizer</t>
  </si>
  <si>
    <t>Seed</t>
  </si>
  <si>
    <t>Quantity</t>
  </si>
  <si>
    <t>Price</t>
  </si>
  <si>
    <t>Implements</t>
  </si>
  <si>
    <t>Total Direct Expenses</t>
  </si>
  <si>
    <t>Returns Above Total Specified Expenses</t>
  </si>
  <si>
    <t>CWT</t>
  </si>
  <si>
    <t>Tenant</t>
  </si>
  <si>
    <t>Landlord</t>
  </si>
  <si>
    <t>Share</t>
  </si>
  <si>
    <t>Total</t>
  </si>
  <si>
    <t>Labor</t>
  </si>
  <si>
    <t>Comparative Returns</t>
  </si>
  <si>
    <t>Contact Us</t>
  </si>
  <si>
    <t>Extension Ag Economics</t>
  </si>
  <si>
    <t>Master Marketer</t>
  </si>
  <si>
    <t>Budgets</t>
  </si>
  <si>
    <r>
      <t xml:space="preserve">Projections for Planning Purposes Only -- </t>
    </r>
    <r>
      <rPr>
        <b/>
        <i/>
        <sz val="10"/>
        <color indexed="10"/>
        <rFont val="Arial"/>
        <family val="2"/>
      </rPr>
      <t>Not to be Used without Updating</t>
    </r>
  </si>
  <si>
    <t>Enterprise</t>
  </si>
  <si>
    <t>Head</t>
  </si>
  <si>
    <t>Units</t>
  </si>
  <si>
    <t>$/Unit</t>
  </si>
  <si>
    <t>Other Revenue</t>
  </si>
  <si>
    <t>Total Revenue</t>
  </si>
  <si>
    <t>VARIABLE COSTS</t>
  </si>
  <si>
    <t>Production Costs</t>
  </si>
  <si>
    <t>Miscellaneous</t>
  </si>
  <si>
    <t>Diesel</t>
  </si>
  <si>
    <t>Gasoline</t>
  </si>
  <si>
    <t>Percent</t>
  </si>
  <si>
    <t>Hours</t>
  </si>
  <si>
    <t>Interest on Credit Line</t>
  </si>
  <si>
    <t>Total Variable Costs</t>
  </si>
  <si>
    <t>Planned Returns Above Variable Costs:</t>
  </si>
  <si>
    <t>Breakeven Price to Cover Variable Costs</t>
  </si>
  <si>
    <t>FIXED COSTS</t>
  </si>
  <si>
    <t>Total Fixed Costs</t>
  </si>
  <si>
    <t xml:space="preserve">    Breakeven Price to Cover Total Costs</t>
  </si>
  <si>
    <t>Days</t>
  </si>
  <si>
    <t>Pasture</t>
  </si>
  <si>
    <t>Pounds</t>
  </si>
  <si>
    <t>Acre</t>
  </si>
  <si>
    <t>Fuel</t>
  </si>
  <si>
    <t>Hour</t>
  </si>
  <si>
    <t>Irrigation</t>
  </si>
  <si>
    <t>Irrigation Equipment</t>
  </si>
  <si>
    <t>Repairs &amp; Maintenance</t>
  </si>
  <si>
    <t>Insecticide</t>
  </si>
  <si>
    <t>Herbicide</t>
  </si>
  <si>
    <t>Custom</t>
  </si>
  <si>
    <t>Diesel Fuel</t>
  </si>
  <si>
    <t>Total Specified Costs</t>
  </si>
  <si>
    <t>Returns Above Specifiied Costs</t>
  </si>
  <si>
    <t>Hay</t>
  </si>
  <si>
    <t>Supplement</t>
  </si>
  <si>
    <t>Livestock</t>
  </si>
  <si>
    <t>Cwt,lb,etc</t>
  </si>
  <si>
    <t>Fungicides</t>
  </si>
  <si>
    <t>Insecticides</t>
  </si>
  <si>
    <t>Growth Regulators</t>
  </si>
  <si>
    <t>Estimated Costs and Returns per Acre</t>
  </si>
  <si>
    <t>Number of Acres of Crop</t>
  </si>
  <si>
    <t>Planned Returns Above Variable Costs</t>
  </si>
  <si>
    <t>Operating Interest</t>
  </si>
  <si>
    <t>Other Fixed Expense</t>
  </si>
  <si>
    <t>Bales</t>
  </si>
  <si>
    <t>Salt Minerals</t>
  </si>
  <si>
    <t>Cwt</t>
  </si>
  <si>
    <t>Other Feed</t>
  </si>
  <si>
    <t>Crop Enterprise</t>
  </si>
  <si>
    <t>Number of Head of Livestock</t>
  </si>
  <si>
    <t>Other Variable Expense</t>
  </si>
  <si>
    <t>REVENUE</t>
  </si>
  <si>
    <t>Your</t>
  </si>
  <si>
    <t>Crop Acres</t>
  </si>
  <si>
    <t>Your Acres</t>
  </si>
  <si>
    <t>Head,$,etc</t>
  </si>
  <si>
    <t>Grazing</t>
  </si>
  <si>
    <t>Gallon</t>
  </si>
  <si>
    <t>Cotton Harvest</t>
  </si>
  <si>
    <t>Yield</t>
  </si>
  <si>
    <t>Total Costs</t>
  </si>
  <si>
    <t>Pound</t>
  </si>
  <si>
    <t>Bushel</t>
  </si>
  <si>
    <t>Planned Returns to Management, Risk, and Profit:</t>
  </si>
  <si>
    <t>Acres</t>
  </si>
  <si>
    <t>Insurance</t>
  </si>
  <si>
    <t>dollars</t>
  </si>
  <si>
    <t>Equipment Investment</t>
  </si>
  <si>
    <t>Depreciation - Livestock</t>
  </si>
  <si>
    <t>Depreciation - Equipment</t>
  </si>
  <si>
    <t xml:space="preserve">Repairs </t>
  </si>
  <si>
    <t>Lube (As a % of fuel)</t>
  </si>
  <si>
    <t>Vet. Medicine</t>
  </si>
  <si>
    <t>Cull Bull</t>
  </si>
  <si>
    <t>Cull Cow</t>
  </si>
  <si>
    <t>Breeding Females</t>
  </si>
  <si>
    <t>Utilities</t>
  </si>
  <si>
    <t>Costs</t>
  </si>
  <si>
    <t>Dollars</t>
  </si>
  <si>
    <t>Per Head</t>
  </si>
  <si>
    <t>Trucking</t>
  </si>
  <si>
    <t>Other Chemicals</t>
  </si>
  <si>
    <t>Pickup/General Use Equipment</t>
  </si>
  <si>
    <t>Tractors/Self-Propelled</t>
  </si>
  <si>
    <t>Machinery Depreciation</t>
  </si>
  <si>
    <t>Other Labor</t>
  </si>
  <si>
    <t>Machinery Labor</t>
  </si>
  <si>
    <t>Feed</t>
  </si>
  <si>
    <t>Month</t>
  </si>
  <si>
    <t>Marketing Expense</t>
  </si>
  <si>
    <t>Your Weaning Percent</t>
  </si>
  <si>
    <t>Sensitivity Analysis for Example</t>
  </si>
  <si>
    <t>Example Weaning Percent</t>
  </si>
  <si>
    <t>Example Breakeven Prices</t>
  </si>
  <si>
    <t>Example</t>
  </si>
  <si>
    <t>Your Head</t>
  </si>
  <si>
    <t>Pay Weight</t>
  </si>
  <si>
    <t>Stocker</t>
  </si>
  <si>
    <t>Health</t>
  </si>
  <si>
    <t>Gain Contract</t>
  </si>
  <si>
    <t>Marketing</t>
  </si>
  <si>
    <t>Depreciation</t>
  </si>
  <si>
    <t>ADG (Lbs/day)</t>
  </si>
  <si>
    <t>Sales Price/Cwt of $Total</t>
  </si>
  <si>
    <t>Weight</t>
  </si>
  <si>
    <t>Grazing by Month</t>
  </si>
  <si>
    <t>Acre Lease</t>
  </si>
  <si>
    <t>On Weight Per Month</t>
  </si>
  <si>
    <t>Your Sale Shrink</t>
  </si>
  <si>
    <t>Your Average Daily Gain</t>
  </si>
  <si>
    <t>Pounds per Day</t>
  </si>
  <si>
    <t>Texas Crop and Livestock Budgets</t>
  </si>
  <si>
    <t>Cotton Lint</t>
  </si>
  <si>
    <t>Ton</t>
  </si>
  <si>
    <t>Irrigation Labor</t>
  </si>
  <si>
    <t>Allocated Establishment Cost</t>
  </si>
  <si>
    <t>None</t>
  </si>
  <si>
    <t>Pasture Cost</t>
  </si>
  <si>
    <t>Information presented is prepared solely as a general guide and not intended to recognize or predict the costs and returns from any one operation.  Brand names are mentioned only as examples and imply no endorsement.</t>
  </si>
  <si>
    <t>AcreInch</t>
  </si>
  <si>
    <t>Bag</t>
  </si>
  <si>
    <t>FORAGE CROPS</t>
  </si>
  <si>
    <t>LIVESTOCK</t>
  </si>
  <si>
    <t>Forage Crops</t>
  </si>
  <si>
    <t>Energy Cost</t>
  </si>
  <si>
    <t>Animal Units (AU)</t>
  </si>
  <si>
    <t>AU</t>
  </si>
  <si>
    <t>Number of Head</t>
  </si>
  <si>
    <r>
      <t xml:space="preserve">Projections for Planning Purposes Only -- </t>
    </r>
    <r>
      <rPr>
        <b/>
        <i/>
        <sz val="10"/>
        <color rgb="FFFF0000"/>
        <rFont val="Arial"/>
        <family val="2"/>
      </rPr>
      <t>Not to be Used without Updating</t>
    </r>
  </si>
  <si>
    <t>Water Cost</t>
  </si>
  <si>
    <t>Management Fee, Owner/Operator Labor</t>
  </si>
  <si>
    <t>Returns Above Specified Costs</t>
  </si>
  <si>
    <t>Calf</t>
  </si>
  <si>
    <t>Animal Unit</t>
  </si>
  <si>
    <t>Salaried Labor</t>
  </si>
  <si>
    <t>Variable</t>
  </si>
  <si>
    <t>or Amount</t>
  </si>
  <si>
    <t>Property Taxes</t>
  </si>
  <si>
    <t>Whole Farm Insurance</t>
  </si>
  <si>
    <t>Cash</t>
  </si>
  <si>
    <t>Comparative Returns - Cash Rent</t>
  </si>
  <si>
    <t>Comparative Returns - Share Rent</t>
  </si>
  <si>
    <t>Variable Costs to the right of Total Costs</t>
  </si>
  <si>
    <t>Returns Above Variable Specified Expenses</t>
  </si>
  <si>
    <t>Variable Direct Expenses</t>
  </si>
  <si>
    <t>Your Returns - Cash Rent</t>
  </si>
  <si>
    <t>Your Returns - Share Rent</t>
  </si>
  <si>
    <t>Variable Costs</t>
  </si>
  <si>
    <t>To Cover</t>
  </si>
  <si>
    <t>Example Average Breakeven Price to Cover Total Cost</t>
  </si>
  <si>
    <t>Your Average Breakeven Price to Cover Total Cost</t>
  </si>
  <si>
    <t>Wheat</t>
  </si>
  <si>
    <t>Heifer</t>
  </si>
  <si>
    <t>Steer</t>
  </si>
  <si>
    <t xml:space="preserve">Quantity </t>
  </si>
  <si>
    <t>Acres, AUs,  or Head</t>
  </si>
  <si>
    <t>Estimated Costs and Returns per Animal or Breeding Female</t>
  </si>
  <si>
    <r>
      <t xml:space="preserve">Enter Your Values in the cells highlighed in </t>
    </r>
    <r>
      <rPr>
        <b/>
        <sz val="10"/>
        <color theme="5" tint="-0.249977111117893"/>
        <rFont val="Univers"/>
        <family val="2"/>
      </rPr>
      <t>MAROON</t>
    </r>
    <r>
      <rPr>
        <b/>
        <sz val="10"/>
        <rFont val="Univers"/>
        <family val="2"/>
      </rPr>
      <t>.</t>
    </r>
  </si>
  <si>
    <t>Males Sold</t>
  </si>
  <si>
    <t>Females Sold</t>
  </si>
  <si>
    <t>Cull Breeding Females</t>
  </si>
  <si>
    <t>Cull Breeding Males</t>
  </si>
  <si>
    <t>Stocker or Feed Animal</t>
  </si>
  <si>
    <t>Animal Purchase Price, if applicable</t>
  </si>
  <si>
    <t>Pasture 1</t>
  </si>
  <si>
    <t>Pasture 2</t>
  </si>
  <si>
    <t>Pasture 3</t>
  </si>
  <si>
    <t>Pasture 4</t>
  </si>
  <si>
    <t>Vet/Medicine 1</t>
  </si>
  <si>
    <t>Visit,dose,cc's, etc.</t>
  </si>
  <si>
    <t>Vet/Medicine 2</t>
  </si>
  <si>
    <t>Vet/Medicine 3</t>
  </si>
  <si>
    <t>Vet/Medicine 4</t>
  </si>
  <si>
    <t>Vet/Medicine 5</t>
  </si>
  <si>
    <t>Vet/Medicine 6</t>
  </si>
  <si>
    <t>Vet/Medicine 7</t>
  </si>
  <si>
    <t>Vet/Medicine 8</t>
  </si>
  <si>
    <t>Vet/Medicine 9</t>
  </si>
  <si>
    <t>Vet/Medicine 10</t>
  </si>
  <si>
    <t>Management Fee</t>
  </si>
  <si>
    <t>Owner/Operator Labor</t>
  </si>
  <si>
    <t>Breakeven Price to Cover Total Costs</t>
  </si>
  <si>
    <t>Sensitivity Analysis for Your Breeding Herd or Flock Values</t>
  </si>
  <si>
    <t>Your Male Price</t>
  </si>
  <si>
    <t>Your Female Price</t>
  </si>
  <si>
    <t>Your Weighted Average Price ($/cwt)</t>
  </si>
  <si>
    <t>Average Daily Gain    (Pounds/day)</t>
  </si>
  <si>
    <t>Net Pay Weight with Shrink   (Pounds)</t>
  </si>
  <si>
    <t>Primary Product</t>
  </si>
  <si>
    <t>Secondary Product</t>
  </si>
  <si>
    <t>Custom Field and Harvest Operations</t>
  </si>
  <si>
    <t>Custom Field Operation 1</t>
  </si>
  <si>
    <t>Custom Field Operation 2</t>
  </si>
  <si>
    <t>Custom Field Operation 3</t>
  </si>
  <si>
    <t>Custom Field Operation 4</t>
  </si>
  <si>
    <t>Custom Field Operation 5</t>
  </si>
  <si>
    <t>Custom Field Operation 6</t>
  </si>
  <si>
    <t>Machinery Expenses</t>
  </si>
  <si>
    <t>Lube</t>
  </si>
  <si>
    <t>Repairs</t>
  </si>
  <si>
    <t>Other Machinery Expense 1</t>
  </si>
  <si>
    <t>Other Machinery Expense 2</t>
  </si>
  <si>
    <t>Labor 1</t>
  </si>
  <si>
    <t>Labor 2</t>
  </si>
  <si>
    <t>Labor 3</t>
  </si>
  <si>
    <t>Labor 4</t>
  </si>
  <si>
    <t>Labor 5</t>
  </si>
  <si>
    <t>Seed or Transplants</t>
  </si>
  <si>
    <t>Seed Treatment</t>
  </si>
  <si>
    <t>Seed Fee</t>
  </si>
  <si>
    <t>Transplants</t>
  </si>
  <si>
    <t>Thousand</t>
  </si>
  <si>
    <t>Mulch</t>
  </si>
  <si>
    <t>Foot</t>
  </si>
  <si>
    <t>Other Seed or Transplant</t>
  </si>
  <si>
    <t>Fertilizer and Lime</t>
  </si>
  <si>
    <t>Fertlizer 1</t>
  </si>
  <si>
    <t>Fertlizer 2</t>
  </si>
  <si>
    <t>Fertlizer 3</t>
  </si>
  <si>
    <t>Fertlizer 4</t>
  </si>
  <si>
    <t>Fertlizer 5</t>
  </si>
  <si>
    <t>Lime</t>
  </si>
  <si>
    <t>Other Soil Amendment 1</t>
  </si>
  <si>
    <t>Other Soil Amendment 2</t>
  </si>
  <si>
    <t>Herbicides</t>
  </si>
  <si>
    <t>Herbicide 1</t>
  </si>
  <si>
    <t>Lb,Oz,Acre</t>
  </si>
  <si>
    <t>Herbicide 2</t>
  </si>
  <si>
    <t>Herbicide 3</t>
  </si>
  <si>
    <t>Herbicide 4</t>
  </si>
  <si>
    <t>Herbicide 5</t>
  </si>
  <si>
    <t>Herbicide 6</t>
  </si>
  <si>
    <t>Insecticide 1</t>
  </si>
  <si>
    <t>Insecticide 2</t>
  </si>
  <si>
    <t>Insecticide 3</t>
  </si>
  <si>
    <t>Insecticide 4</t>
  </si>
  <si>
    <t>Insecticide 5</t>
  </si>
  <si>
    <t>Insecticide 6</t>
  </si>
  <si>
    <t>Fungicide 1</t>
  </si>
  <si>
    <t>Fungicide 2</t>
  </si>
  <si>
    <t>Fungicide 3</t>
  </si>
  <si>
    <t>Fungicide 4</t>
  </si>
  <si>
    <t>Fungicide 5</t>
  </si>
  <si>
    <t>Fungicide 6</t>
  </si>
  <si>
    <t>Growth Regulator 1</t>
  </si>
  <si>
    <t>Growth Regulator 2</t>
  </si>
  <si>
    <t>Growth Regulator 3</t>
  </si>
  <si>
    <t>Growth Regulator 4</t>
  </si>
  <si>
    <t>Growth Regulator 5</t>
  </si>
  <si>
    <t>Growth Regulator 6</t>
  </si>
  <si>
    <t>Fumigant</t>
  </si>
  <si>
    <t>Other Chemical 1</t>
  </si>
  <si>
    <t>Other Chemical 2</t>
  </si>
  <si>
    <t>Other Chemical 3</t>
  </si>
  <si>
    <t>Other Chemical 4</t>
  </si>
  <si>
    <t>Other Chemical 5</t>
  </si>
  <si>
    <t>Well Expense</t>
  </si>
  <si>
    <t>Pump Fuel</t>
  </si>
  <si>
    <t>Mcf,kWh,Gallon</t>
  </si>
  <si>
    <t>Pump Expense</t>
  </si>
  <si>
    <t>Irrigation Equipment Expense</t>
  </si>
  <si>
    <t>Drip Tape</t>
  </si>
  <si>
    <t>Foot,Acre</t>
  </si>
  <si>
    <t>AcIn,Gallon</t>
  </si>
  <si>
    <t>Other Irrigation Expense 1</t>
  </si>
  <si>
    <t>Other Irrigation Expense 2</t>
  </si>
  <si>
    <t>Miscellaneous Expenses</t>
  </si>
  <si>
    <t>Crop Insurance</t>
  </si>
  <si>
    <t>Other Variable Expense 1</t>
  </si>
  <si>
    <t>Enter Unit</t>
  </si>
  <si>
    <t>Other Variable Expense 2</t>
  </si>
  <si>
    <t>Other Variable Expense 3</t>
  </si>
  <si>
    <t>Other Variable Expense 4</t>
  </si>
  <si>
    <t>Other Variable Expense 5</t>
  </si>
  <si>
    <t>Other Variable Expense 6</t>
  </si>
  <si>
    <t>Other Variable Expense 7</t>
  </si>
  <si>
    <t>Other Variable Expense 8</t>
  </si>
  <si>
    <t>Land Rent or Expense</t>
  </si>
  <si>
    <t>Acre,$,etc</t>
  </si>
  <si>
    <t>Breakeven Prices for Your Crop</t>
  </si>
  <si>
    <t>Other Budgets</t>
  </si>
  <si>
    <t>n/a</t>
  </si>
  <si>
    <t>Grain Sorghum</t>
  </si>
  <si>
    <t>Stocker Purchase</t>
  </si>
  <si>
    <t>Stocker Delivery</t>
  </si>
  <si>
    <t>OTHER BUDGETS</t>
  </si>
  <si>
    <t>Your Gross Sales per Head</t>
  </si>
  <si>
    <t>Pounds Produced per Head</t>
  </si>
  <si>
    <t>Livestock Budget</t>
  </si>
  <si>
    <t>Pint</t>
  </si>
  <si>
    <t>Purchase Breeding Female</t>
  </si>
  <si>
    <t>Purchase Breeding Male</t>
  </si>
  <si>
    <t>Purchase Older Repalcement Female</t>
  </si>
  <si>
    <t>Purchase Younger Repalcement Female</t>
  </si>
  <si>
    <t>Example Breakeven Sensitivity Analysis</t>
  </si>
  <si>
    <t>Net Pay Weight with Shrink</t>
  </si>
  <si>
    <t>Breakeven Purchase Price ($/CWT)</t>
  </si>
  <si>
    <t>Breakeven Sales Price ($/CWT)</t>
  </si>
  <si>
    <t>Your Stocker or Feeder Breakeven Sensitivity Analysis</t>
  </si>
  <si>
    <t>Fuel, Lube, Repair</t>
  </si>
  <si>
    <t>$</t>
  </si>
  <si>
    <t>Price To Cover</t>
  </si>
  <si>
    <t>Breakeven Yield to Cover Total Costs at Price Entered</t>
  </si>
  <si>
    <t>Breakeven Yield to Cover Variavle Costs at Price Entered</t>
  </si>
  <si>
    <t>Resources</t>
  </si>
  <si>
    <t>Basis Data</t>
  </si>
  <si>
    <t>Custom Rate Survey</t>
  </si>
  <si>
    <t>Decision Aids (includes Machinery Cost Estimator)</t>
  </si>
  <si>
    <t>Department of Agricultural Economics</t>
  </si>
  <si>
    <t>Clickable Logos</t>
  </si>
  <si>
    <t>A Program of the Texas A&amp;M AgriLife Extension Service</t>
  </si>
  <si>
    <t>Agricultural Economics Department, The Texas A&amp;M University System</t>
  </si>
  <si>
    <t>Developed by Texas A&amp;M AgriLife Extension Service Economists and Other Specialists</t>
  </si>
  <si>
    <t>Menu Page</t>
  </si>
  <si>
    <t>Pecan Cleaning</t>
  </si>
  <si>
    <t>Alfalfa Hay - 3X4</t>
  </si>
  <si>
    <t>AUM Grazing Lease</t>
  </si>
  <si>
    <t>AUM</t>
  </si>
  <si>
    <t>Cotton Seed</t>
  </si>
  <si>
    <t>Pecans</t>
  </si>
  <si>
    <t>Red Chiles</t>
  </si>
  <si>
    <t>Sorghum Hay</t>
  </si>
  <si>
    <t>Spring Onions</t>
  </si>
  <si>
    <t>Switchgrass</t>
  </si>
  <si>
    <t>Adult Mohair</t>
  </si>
  <si>
    <t>Angora Kid</t>
  </si>
  <si>
    <t>Cull Angora Doe</t>
  </si>
  <si>
    <t>Cull Buck Goat</t>
  </si>
  <si>
    <t>Cull Ewes</t>
  </si>
  <si>
    <t>Cull Nanny</t>
  </si>
  <si>
    <t>Cull Ram</t>
  </si>
  <si>
    <t>Lambs</t>
  </si>
  <si>
    <t>Meat Goat Kid</t>
  </si>
  <si>
    <t>Wool - Clean</t>
  </si>
  <si>
    <t>0-60-0</t>
  </si>
  <si>
    <t>10-10 Loose Mineral</t>
  </si>
  <si>
    <t>12-12 Loose Mineral</t>
  </si>
  <si>
    <t>2,4-D Amine 4</t>
  </si>
  <si>
    <t>Ounce</t>
  </si>
  <si>
    <t>20% Protein Cube</t>
  </si>
  <si>
    <t>7way Clostr+Overeat</t>
  </si>
  <si>
    <t>Dose</t>
  </si>
  <si>
    <t>Aim</t>
  </si>
  <si>
    <t>Alfalfa Seed Innoculated RR</t>
  </si>
  <si>
    <t>Atrazine</t>
  </si>
  <si>
    <t>Quart</t>
  </si>
  <si>
    <t>Bag, Tie</t>
  </si>
  <si>
    <t>Bale</t>
  </si>
  <si>
    <t>Boll Weevil Eradication Program</t>
  </si>
  <si>
    <t>BRD-PI3-BRSV ML</t>
  </si>
  <si>
    <t>Bull Exam</t>
  </si>
  <si>
    <t>pound</t>
  </si>
  <si>
    <t>Caparol 4L Ounce</t>
  </si>
  <si>
    <t>Clostridials S&amp;G</t>
  </si>
  <si>
    <t>Confirm 2F</t>
  </si>
  <si>
    <t>Cottonseed - S&amp;G</t>
  </si>
  <si>
    <t>Crop Oil Concentrate</t>
  </si>
  <si>
    <t>Custom Apply Fertilizer</t>
  </si>
  <si>
    <t>Custom Shearing</t>
  </si>
  <si>
    <t>Custom Spray</t>
  </si>
  <si>
    <t>Def 6 (Tribufos)</t>
  </si>
  <si>
    <t>Deworm S&amp;G-Ivomec</t>
  </si>
  <si>
    <t>Dewormer-Albendazole</t>
  </si>
  <si>
    <t>Dewormer-Avrmec Pour</t>
  </si>
  <si>
    <t>Direx 4L</t>
  </si>
  <si>
    <t>Electricity - Pecan Cleaning</t>
  </si>
  <si>
    <t>kWh</t>
  </si>
  <si>
    <t>Ethephon 6</t>
  </si>
  <si>
    <t>Ethephon 6 Pint</t>
  </si>
  <si>
    <t>Fertilizer 0-0-22 Kmag</t>
  </si>
  <si>
    <t>Fertilizer 10-34-0</t>
  </si>
  <si>
    <t>Fertilizer 11-52-0</t>
  </si>
  <si>
    <t>Fertilizer 18-46-0</t>
  </si>
  <si>
    <t>Firestorm (3lb Paraquat)</t>
  </si>
  <si>
    <t>Fly Control</t>
  </si>
  <si>
    <t>Gin and Haul</t>
  </si>
  <si>
    <t>Gin, Bag, Tie</t>
  </si>
  <si>
    <t>Glyphosate</t>
  </si>
  <si>
    <t>Glyphosate Ounce Generic</t>
  </si>
  <si>
    <t>Grain Sorghum Seed - Treated</t>
  </si>
  <si>
    <t>Gramoxone Inteon (2 lb paraquat)</t>
  </si>
  <si>
    <t>Hand Labor</t>
  </si>
  <si>
    <t>Hand Labor TP</t>
  </si>
  <si>
    <t>Harvest, Pack, Market Onions</t>
  </si>
  <si>
    <t>Haul Grain</t>
  </si>
  <si>
    <t>Haul Wheat</t>
  </si>
  <si>
    <t>Haygrazer Seed</t>
  </si>
  <si>
    <t>Hedging</t>
  </si>
  <si>
    <t>Husky</t>
  </si>
  <si>
    <t>Implants-C</t>
  </si>
  <si>
    <t>Intrepid</t>
  </si>
  <si>
    <t>IRR Cotton RP 70% ent, SE, Glasscock Co,</t>
  </si>
  <si>
    <t>IRR Cotton RP, 70% Ent, SE, Pecos Co.</t>
  </si>
  <si>
    <t>IRR Wheat RP, 65%, Ent, Pecos Co.</t>
  </si>
  <si>
    <t>Lannate LV</t>
  </si>
  <si>
    <t>Lice control - S&amp;G</t>
  </si>
  <si>
    <t>MCPA</t>
  </si>
  <si>
    <t>Mepiquat Chloride-PGR</t>
  </si>
  <si>
    <t>MSM (Ally)</t>
  </si>
  <si>
    <t>Mustang Max</t>
  </si>
  <si>
    <t>N-32</t>
  </si>
  <si>
    <t>N-32 in Water</t>
  </si>
  <si>
    <t>NI Cotton 70%, ent, SE Classcock co</t>
  </si>
  <si>
    <t>NI Wheat RP 65% ent, Glasscock co</t>
  </si>
  <si>
    <t>Nitrogen - Dry (Urea 45-0-0)</t>
  </si>
  <si>
    <t>Onion Seed</t>
  </si>
  <si>
    <t>Parasite Monitoring</t>
  </si>
  <si>
    <t>Phosphoric Acid</t>
  </si>
  <si>
    <t>Pilot (Lorsban 4E)</t>
  </si>
  <si>
    <t>Potash 0-0-60</t>
  </si>
  <si>
    <t>Predator Control</t>
  </si>
  <si>
    <t>Prep</t>
  </si>
  <si>
    <t>Pursuit</t>
  </si>
  <si>
    <t xml:space="preserve">Quadris </t>
  </si>
  <si>
    <t>Red Chile Seed Treated</t>
  </si>
  <si>
    <t>Seed Cotton - B2XF</t>
  </si>
  <si>
    <t xml:space="preserve">Sodium Chlorate 5L </t>
  </si>
  <si>
    <t>Soil Test</t>
  </si>
  <si>
    <t>Each</t>
  </si>
  <si>
    <t>Soil Test-Dryland</t>
  </si>
  <si>
    <t>Soil Test-Irrigated</t>
  </si>
  <si>
    <t>Switchgrass Seed</t>
  </si>
  <si>
    <t>Tech Fee Erad Zn El Paso</t>
  </si>
  <si>
    <t>Trifluralin</t>
  </si>
  <si>
    <t>Trifluralin Pint</t>
  </si>
  <si>
    <t>Urea, Solid (46% N)</t>
  </si>
  <si>
    <t>Warrior Z</t>
  </si>
  <si>
    <t>Wheat Fungicide</t>
  </si>
  <si>
    <t>Wheat Seed</t>
  </si>
  <si>
    <t>Zinc, Chelated 10%</t>
  </si>
  <si>
    <t xml:space="preserve">Lease value - Drip                                      </t>
  </si>
  <si>
    <t xml:space="preserve">Trans Pecos Irrigated Land                  </t>
  </si>
  <si>
    <t xml:space="preserve">West Texas Dryland                                 </t>
  </si>
  <si>
    <t xml:space="preserve">       Far West Extension District - 6       </t>
  </si>
  <si>
    <t xml:space="preserve">  Developed by Bill Thompson, Assistant Professor and Extension Economist, Texas A&amp;M AgriLife Extension Service, 325-653-4576.</t>
  </si>
  <si>
    <t>Alfalfa Establishment, Center Pivot Irrigated</t>
  </si>
  <si>
    <t>Trans Pecos Flood Irrigated Pecans, Years 10-20</t>
  </si>
  <si>
    <t>Mcf</t>
  </si>
  <si>
    <t>Red Chile Peppers, Dell City, Center Pivot Irrigated</t>
  </si>
  <si>
    <t>Spring Onions, Furrow Irrigated</t>
  </si>
  <si>
    <t>Alamo Switchgrass Establishment, Pivot Irrigated</t>
  </si>
  <si>
    <t>Alamo Switchgrass, Full Season, Pivot Irrigated, Grazed</t>
  </si>
  <si>
    <t>Alamo Switchgrass, Full Season, Pivot Irrigated, Baled</t>
  </si>
  <si>
    <t>Alfalfa, Full Season, Baled - 7.5 Ton Goal, Center Pivot Irrigated</t>
  </si>
  <si>
    <t>Alfalfa, Full Season, Baled - 7.5 Ton Goal, Flood Irrigated</t>
  </si>
  <si>
    <t>Alfalfa, Full Season, Baled - 7.5 Ton Goal, Center Pivot Irrigated, Dell City</t>
  </si>
  <si>
    <t>Alfalfa, Full Season, Baled - 7.5 Ton Goal, Flood Irrigated, Dell City</t>
  </si>
  <si>
    <t>Alfalfa, Full Season, Baled - 7.5 Ton Goal, Flood Irrigated, El Paso Irrigation District</t>
  </si>
  <si>
    <t>St. Lawrence Reduced Tillage Cotton, Drip Irrigated, 40 Inch Rows</t>
  </si>
  <si>
    <t>Glyphosate Ounce Generic 4lb</t>
  </si>
  <si>
    <t>Nitrogen - Dry (Urea 46-0-0)</t>
  </si>
  <si>
    <t>St. Lawrence Dryland Cotton, BIIFlex, 40 Inch Rows</t>
  </si>
  <si>
    <t>St. Lawrence Early Planted Grain Sorghum, Drip Irrigated, 40 Inch Rows</t>
  </si>
  <si>
    <t>IRR. G.S. RP 65%, ent, Glasscock co.</t>
  </si>
  <si>
    <t>Trans Pecos Cotton, Furrow Irrigated, 40 Inch Rows</t>
  </si>
  <si>
    <t>Trans Pecos Cotton, Center Pivot Irrigated, 40 Inch Rows</t>
  </si>
  <si>
    <t>El Paso County Cotton, Canal Delivered Furrow Irrigated, 40 Inch Rows</t>
  </si>
  <si>
    <t>Wheat, Dryland</t>
  </si>
  <si>
    <t>Wheat, Center Pivot Irrigated, Trans Pecos</t>
  </si>
  <si>
    <t>Sorghum-Sudangrass for Hay, Dryland, 3 Ton Yield</t>
  </si>
  <si>
    <t>Sorghum-Sudangrass for Hay, Center Pivot Irrigated, 5 Ton Yield</t>
  </si>
  <si>
    <t>Cow-Calf Enterprise</t>
  </si>
  <si>
    <t>Lepto 5-Vibro</t>
  </si>
  <si>
    <t>Pregency Check</t>
  </si>
  <si>
    <t>Stocker Steers - Summer Growth, 0.6 AU per Head</t>
  </si>
  <si>
    <t>Stocker Steers - Winter Growth, 0.45 AU per Head</t>
  </si>
  <si>
    <t>Trans Pecos Meat Goats, 6 Head per AU</t>
  </si>
  <si>
    <t>Kid</t>
  </si>
  <si>
    <t>Trans Pecos Angora Goats, 7 Head per AU</t>
  </si>
  <si>
    <t>Trans Pecos Wool Sheep, 5 Head per AU</t>
  </si>
  <si>
    <t>Lamb</t>
  </si>
  <si>
    <t>Trans Pecos Hair Sheep, 5 Head per AU</t>
  </si>
  <si>
    <t>Field Crops</t>
  </si>
  <si>
    <t>Horticultural Crops</t>
  </si>
  <si>
    <t>FIELD CROPS</t>
  </si>
  <si>
    <t>HORTICULTURAL CROPS</t>
  </si>
  <si>
    <t>Cotton Seed BIIRRF - Irrigated</t>
  </si>
  <si>
    <t>Cotton Seed BIIRRF - Dryland</t>
  </si>
  <si>
    <t>Cutout</t>
  </si>
  <si>
    <t/>
  </si>
  <si>
    <t>St. Lawrence Auxin Technology Cotton, Drip Irrigated, 40 Inch Rows</t>
  </si>
  <si>
    <t>Seed Cotton - B2 Auxin Tech, Dryland</t>
  </si>
  <si>
    <t>Auxin based herbicide</t>
  </si>
  <si>
    <t>St. Lawrence Dryland Auxin Technology Cotton, 40 Inch Rows</t>
  </si>
  <si>
    <t>Enter  Your Values in the cells highlighed in MAROON.</t>
  </si>
  <si>
    <t>(50 acres)</t>
  </si>
  <si>
    <t>2024 Estimated Costs and Returns per Acre</t>
  </si>
  <si>
    <t>Enter your name for this budget in the cell above.</t>
  </si>
  <si>
    <t>(122 acres)</t>
  </si>
  <si>
    <t>(40.6 acres)</t>
  </si>
  <si>
    <t>Your Cows</t>
  </si>
  <si>
    <t>Average Calf Breakeven Price to Cover Variable Costs</t>
  </si>
  <si>
    <t>Average Calf Breakeven Price to Cover Total Costs</t>
  </si>
  <si>
    <t>2024 Estimated Costs and Returns per Animal Unit</t>
  </si>
  <si>
    <t>Example Gross Sales per Animal Unit</t>
  </si>
  <si>
    <t>Pounds Produced per Animal Unit</t>
  </si>
  <si>
    <t>Example Breakeven Calf Pay Weight to Cover Total Cost</t>
  </si>
  <si>
    <t>2024 Estimated Costs and Returns per Animal</t>
  </si>
  <si>
    <t>Purchase Weight (Lbs/Hd): 500</t>
  </si>
  <si>
    <t>Sales Price/Cwt  290.00</t>
  </si>
  <si>
    <t>Purchase Price/Cwt  295.00</t>
  </si>
  <si>
    <t>Purchase Weight (Lbs/Hd): 450</t>
  </si>
  <si>
    <t>Sales Price/Cwt  285.00</t>
  </si>
  <si>
    <t>Purchase Price/Cwt  310.00</t>
  </si>
  <si>
    <t>Your Nannies</t>
  </si>
  <si>
    <t>Average Kid Breakeven Price to Cover Variable Costs</t>
  </si>
  <si>
    <t>Average Kid Breakeven Price to Cover Total Costs</t>
  </si>
  <si>
    <t>Example Breakeven Kid Pay Weight to Cover Total Cost</t>
  </si>
  <si>
    <t>Your Ewes</t>
  </si>
  <si>
    <t>Average Lamb Breakeven Price to Cover Variable Costs</t>
  </si>
  <si>
    <t>Average Lamb Breakeven Price to Cover Total Costs</t>
  </si>
  <si>
    <t>Example Breakeven Lamb Pay Weight to Cover Total Cost</t>
  </si>
  <si>
    <t>Links</t>
  </si>
  <si>
    <t>Links last checked 1/25/2024</t>
  </si>
  <si>
    <t xml:space="preserve">  Developed by Extension Economists, Texas A&amp;M AgriLife Extension Service, budgets@tamu.edu.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</si>
</sst>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00"/>
    <numFmt numFmtId="167" formatCode="0.0%"/>
    <numFmt numFmtId="168" formatCode="#,##0.0_);\(#,##0.0\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39"/>
      <name val="Univers"/>
      <family val="2"/>
    </font>
    <font>
      <sz val="10"/>
      <color indexed="39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8"/>
      <name val="Arial"/>
      <family val="2"/>
    </font>
    <font>
      <sz val="10"/>
      <color rgb="FFC00000"/>
      <name val="Arial"/>
      <family val="2"/>
    </font>
    <font>
      <sz val="10"/>
      <color theme="0"/>
      <name val="Univers"/>
      <family val="2"/>
    </font>
    <font>
      <b/>
      <i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0"/>
      <name val="Cambria"/>
      <family val="1"/>
    </font>
    <font>
      <b/>
      <sz val="10"/>
      <color theme="5" tint="-0.249977111117893"/>
      <name val="Univers"/>
      <family val="2"/>
    </font>
    <font>
      <b/>
      <sz val="12"/>
      <color rgb="FFC00000"/>
      <name val="Arial"/>
      <family val="2"/>
    </font>
    <font>
      <sz val="14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Univers"/>
      <family val="2"/>
    </font>
    <font>
      <sz val="10"/>
      <color rgb="FFC00000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186">
    <xf numFmtId="0" fontId="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6" fillId="0" borderId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3" fillId="0" borderId="0"/>
    <xf numFmtId="0" fontId="18" fillId="0" borderId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2" fontId="0" fillId="0" borderId="0" xfId="0" applyNumberFormat="1" applyAlignment="1">
      <alignment horizontal="right"/>
    </xf>
    <xf numFmtId="7" fontId="0" fillId="0" borderId="0" xfId="1" applyNumberFormat="1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168" fontId="0" fillId="0" borderId="0" xfId="1" applyNumberFormat="1" applyFont="1" applyBorder="1"/>
    <xf numFmtId="0" fontId="0" fillId="0" borderId="0" xfId="0" applyAlignment="1">
      <alignment horizontal="right"/>
    </xf>
    <xf numFmtId="0" fontId="26" fillId="0" borderId="0" xfId="0" applyFont="1"/>
    <xf numFmtId="8" fontId="0" fillId="0" borderId="0" xfId="0" applyNumberFormat="1"/>
    <xf numFmtId="0" fontId="22" fillId="0" borderId="0" xfId="5" applyAlignment="1" applyProtection="1"/>
    <xf numFmtId="0" fontId="24" fillId="0" borderId="0" xfId="0" applyFont="1" applyAlignment="1">
      <alignment horizontal="center" vertical="center"/>
    </xf>
    <xf numFmtId="0" fontId="31" fillId="0" borderId="0" xfId="6" applyFont="1" applyProtection="1">
      <protection locked="0"/>
    </xf>
    <xf numFmtId="0" fontId="20" fillId="0" borderId="0" xfId="0" applyFont="1"/>
    <xf numFmtId="2" fontId="20" fillId="0" borderId="0" xfId="0" applyNumberFormat="1" applyFont="1" applyAlignment="1">
      <alignment horizontal="right"/>
    </xf>
    <xf numFmtId="164" fontId="21" fillId="0" borderId="0" xfId="1" applyNumberFormat="1" applyFont="1" applyBorder="1"/>
    <xf numFmtId="8" fontId="21" fillId="0" borderId="0" xfId="0" applyNumberFormat="1" applyFont="1"/>
    <xf numFmtId="0" fontId="27" fillId="0" borderId="0" xfId="0" applyFont="1" applyAlignment="1">
      <alignment horizontal="center"/>
    </xf>
    <xf numFmtId="0" fontId="20" fillId="0" borderId="0" xfId="6"/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1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20" fillId="0" borderId="0" xfId="6" applyAlignment="1">
      <alignment horizontal="center"/>
    </xf>
    <xf numFmtId="0" fontId="30" fillId="0" borderId="1" xfId="6" applyFont="1" applyBorder="1"/>
    <xf numFmtId="0" fontId="30" fillId="0" borderId="1" xfId="6" applyFont="1" applyBorder="1" applyAlignment="1">
      <alignment horizontal="center"/>
    </xf>
    <xf numFmtId="0" fontId="30" fillId="0" borderId="0" xfId="6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20" fillId="0" borderId="0" xfId="6" applyNumberFormat="1" applyAlignment="1">
      <alignment horizontal="center"/>
    </xf>
    <xf numFmtId="0" fontId="20" fillId="0" borderId="0" xfId="0" applyFont="1" applyAlignment="1">
      <alignment horizontal="right"/>
    </xf>
    <xf numFmtId="164" fontId="20" fillId="0" borderId="0" xfId="6" applyNumberFormat="1"/>
    <xf numFmtId="8" fontId="20" fillId="0" borderId="0" xfId="6" applyNumberFormat="1"/>
    <xf numFmtId="0" fontId="20" fillId="0" borderId="0" xfId="6" applyAlignment="1">
      <alignment horizontal="left"/>
    </xf>
    <xf numFmtId="166" fontId="30" fillId="0" borderId="0" xfId="6" applyNumberFormat="1" applyFont="1"/>
    <xf numFmtId="2" fontId="30" fillId="0" borderId="0" xfId="6" applyNumberFormat="1" applyFont="1"/>
    <xf numFmtId="8" fontId="30" fillId="0" borderId="0" xfId="6" applyNumberFormat="1" applyFont="1"/>
    <xf numFmtId="8" fontId="30" fillId="0" borderId="14" xfId="6" applyNumberFormat="1" applyFont="1" applyBorder="1"/>
    <xf numFmtId="165" fontId="30" fillId="0" borderId="0" xfId="6" applyNumberFormat="1" applyFont="1"/>
    <xf numFmtId="167" fontId="30" fillId="0" borderId="0" xfId="6" applyNumberFormat="1" applyFont="1"/>
    <xf numFmtId="10" fontId="30" fillId="0" borderId="0" xfId="6" applyNumberFormat="1" applyFont="1"/>
    <xf numFmtId="8" fontId="30" fillId="0" borderId="0" xfId="6" applyNumberFormat="1" applyFont="1" applyAlignment="1">
      <alignment horizontal="center"/>
    </xf>
    <xf numFmtId="164" fontId="30" fillId="0" borderId="0" xfId="6" applyNumberFormat="1" applyFont="1"/>
    <xf numFmtId="8" fontId="30" fillId="0" borderId="2" xfId="6" applyNumberFormat="1" applyFont="1" applyBorder="1"/>
    <xf numFmtId="8" fontId="30" fillId="0" borderId="24" xfId="6" applyNumberFormat="1" applyFont="1" applyBorder="1"/>
    <xf numFmtId="0" fontId="30" fillId="0" borderId="3" xfId="6" applyFont="1" applyBorder="1"/>
    <xf numFmtId="8" fontId="30" fillId="0" borderId="3" xfId="6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3" fontId="20" fillId="0" borderId="0" xfId="6" applyNumberFormat="1" applyAlignment="1">
      <alignment horizontal="center"/>
    </xf>
    <xf numFmtId="4" fontId="30" fillId="0" borderId="0" xfId="6" applyNumberFormat="1" applyFont="1"/>
    <xf numFmtId="0" fontId="20" fillId="0" borderId="0" xfId="6" applyAlignment="1">
      <alignment wrapText="1"/>
    </xf>
    <xf numFmtId="0" fontId="20" fillId="0" borderId="8" xfId="6" applyBorder="1" applyAlignment="1">
      <alignment wrapText="1"/>
    </xf>
    <xf numFmtId="0" fontId="20" fillId="0" borderId="18" xfId="6" applyBorder="1" applyAlignment="1">
      <alignment wrapText="1"/>
    </xf>
    <xf numFmtId="0" fontId="38" fillId="0" borderId="7" xfId="6" applyFont="1" applyBorder="1" applyAlignment="1">
      <alignment horizontal="center" wrapText="1"/>
    </xf>
    <xf numFmtId="0" fontId="38" fillId="0" borderId="27" xfId="6" applyFont="1" applyBorder="1" applyAlignment="1">
      <alignment horizontal="center" wrapText="1"/>
    </xf>
    <xf numFmtId="0" fontId="38" fillId="0" borderId="9" xfId="6" applyFont="1" applyBorder="1" applyAlignment="1">
      <alignment horizontal="center" wrapText="1"/>
    </xf>
    <xf numFmtId="0" fontId="38" fillId="0" borderId="26" xfId="6" applyFont="1" applyBorder="1" applyAlignment="1">
      <alignment horizontal="center" wrapText="1"/>
    </xf>
    <xf numFmtId="0" fontId="38" fillId="0" borderId="19" xfId="6" applyFont="1" applyBorder="1" applyAlignment="1">
      <alignment horizontal="center" wrapText="1"/>
    </xf>
    <xf numFmtId="0" fontId="38" fillId="0" borderId="28" xfId="6" applyFont="1" applyBorder="1" applyAlignment="1">
      <alignment horizontal="center" wrapText="1"/>
    </xf>
    <xf numFmtId="0" fontId="38" fillId="0" borderId="22" xfId="6" applyFont="1" applyBorder="1" applyAlignment="1">
      <alignment horizontal="center" wrapText="1"/>
    </xf>
    <xf numFmtId="2" fontId="20" fillId="0" borderId="12" xfId="6" applyNumberFormat="1" applyBorder="1" applyAlignment="1">
      <alignment horizontal="center"/>
    </xf>
    <xf numFmtId="1" fontId="20" fillId="0" borderId="7" xfId="6" applyNumberFormat="1" applyBorder="1" applyAlignment="1">
      <alignment horizontal="center"/>
    </xf>
    <xf numFmtId="164" fontId="20" fillId="0" borderId="7" xfId="1" applyNumberFormat="1" applyFont="1" applyBorder="1" applyAlignment="1" applyProtection="1">
      <alignment horizontal="center"/>
    </xf>
    <xf numFmtId="164" fontId="20" fillId="0" borderId="18" xfId="1" applyNumberFormat="1" applyFont="1" applyBorder="1" applyAlignment="1" applyProtection="1">
      <alignment horizontal="center"/>
    </xf>
    <xf numFmtId="164" fontId="20" fillId="0" borderId="10" xfId="1" applyNumberFormat="1" applyFont="1" applyBorder="1" applyAlignment="1" applyProtection="1">
      <alignment horizontal="center"/>
    </xf>
    <xf numFmtId="2" fontId="20" fillId="0" borderId="21" xfId="6" applyNumberFormat="1" applyBorder="1" applyAlignment="1">
      <alignment horizontal="center"/>
    </xf>
    <xf numFmtId="164" fontId="20" fillId="0" borderId="27" xfId="1" applyNumberFormat="1" applyFont="1" applyBorder="1" applyAlignment="1" applyProtection="1">
      <alignment horizontal="center"/>
    </xf>
    <xf numFmtId="164" fontId="20" fillId="0" borderId="9" xfId="1" applyNumberFormat="1" applyFont="1" applyBorder="1" applyAlignment="1" applyProtection="1">
      <alignment horizontal="center"/>
    </xf>
    <xf numFmtId="2" fontId="20" fillId="5" borderId="21" xfId="6" applyNumberFormat="1" applyFill="1" applyBorder="1" applyAlignment="1">
      <alignment horizontal="center"/>
    </xf>
    <xf numFmtId="1" fontId="20" fillId="5" borderId="7" xfId="6" applyNumberFormat="1" applyFill="1" applyBorder="1" applyAlignment="1">
      <alignment horizontal="center"/>
    </xf>
    <xf numFmtId="164" fontId="20" fillId="5" borderId="7" xfId="1" applyNumberFormat="1" applyFont="1" applyFill="1" applyBorder="1" applyAlignment="1" applyProtection="1">
      <alignment horizontal="center"/>
    </xf>
    <xf numFmtId="164" fontId="20" fillId="5" borderId="27" xfId="1" applyNumberFormat="1" applyFont="1" applyFill="1" applyBorder="1" applyAlignment="1" applyProtection="1">
      <alignment horizontal="center"/>
    </xf>
    <xf numFmtId="164" fontId="20" fillId="5" borderId="9" xfId="1" applyNumberFormat="1" applyFont="1" applyFill="1" applyBorder="1" applyAlignment="1" applyProtection="1">
      <alignment horizontal="center"/>
    </xf>
    <xf numFmtId="2" fontId="20" fillId="0" borderId="26" xfId="6" applyNumberFormat="1" applyBorder="1" applyAlignment="1">
      <alignment horizontal="center"/>
    </xf>
    <xf numFmtId="1" fontId="20" fillId="0" borderId="19" xfId="6" applyNumberFormat="1" applyBorder="1" applyAlignment="1">
      <alignment horizontal="center"/>
    </xf>
    <xf numFmtId="164" fontId="20" fillId="0" borderId="19" xfId="1" applyNumberFormat="1" applyFont="1" applyBorder="1" applyAlignment="1" applyProtection="1">
      <alignment horizontal="center"/>
    </xf>
    <xf numFmtId="164" fontId="20" fillId="0" borderId="28" xfId="1" applyNumberFormat="1" applyFont="1" applyBorder="1" applyAlignment="1" applyProtection="1">
      <alignment horizontal="center"/>
    </xf>
    <xf numFmtId="164" fontId="20" fillId="0" borderId="22" xfId="1" applyNumberFormat="1" applyFont="1" applyBorder="1" applyAlignment="1" applyProtection="1">
      <alignment horizontal="center"/>
    </xf>
    <xf numFmtId="2" fontId="20" fillId="0" borderId="0" xfId="6" applyNumberFormat="1" applyAlignment="1">
      <alignment horizontal="center"/>
    </xf>
    <xf numFmtId="1" fontId="20" fillId="0" borderId="0" xfId="6" applyNumberFormat="1" applyAlignment="1">
      <alignment horizontal="center"/>
    </xf>
    <xf numFmtId="164" fontId="20" fillId="0" borderId="0" xfId="1" applyNumberFormat="1" applyFont="1" applyBorder="1" applyAlignment="1" applyProtection="1">
      <alignment horizontal="center"/>
    </xf>
    <xf numFmtId="164" fontId="20" fillId="0" borderId="0" xfId="1" applyNumberFormat="1" applyFont="1" applyBorder="1" applyAlignment="1" applyProtection="1">
      <alignment horizontal="left"/>
    </xf>
    <xf numFmtId="164" fontId="0" fillId="0" borderId="0" xfId="0" applyNumberFormat="1" applyAlignment="1">
      <alignment horizontal="center"/>
    </xf>
    <xf numFmtId="0" fontId="20" fillId="0" borderId="0" xfId="6" applyAlignment="1">
      <alignment horizontal="centerContinuous"/>
    </xf>
    <xf numFmtId="0" fontId="30" fillId="0" borderId="0" xfId="6" applyFont="1" applyAlignment="1">
      <alignment horizontal="left"/>
    </xf>
    <xf numFmtId="9" fontId="23" fillId="0" borderId="0" xfId="8" applyFont="1" applyBorder="1" applyProtection="1"/>
    <xf numFmtId="8" fontId="30" fillId="0" borderId="3" xfId="6" applyNumberFormat="1" applyFont="1" applyBorder="1"/>
    <xf numFmtId="0" fontId="0" fillId="2" borderId="0" xfId="0" applyFill="1"/>
    <xf numFmtId="0" fontId="0" fillId="4" borderId="0" xfId="0" applyFill="1"/>
    <xf numFmtId="9" fontId="23" fillId="4" borderId="0" xfId="8" applyFont="1" applyFill="1" applyBorder="1" applyAlignment="1" applyProtection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9" fontId="23" fillId="0" borderId="0" xfId="8" applyFont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6" applyAlignment="1" applyProtection="1">
      <alignment horizontal="center"/>
      <protection locked="0"/>
    </xf>
    <xf numFmtId="1" fontId="0" fillId="0" borderId="0" xfId="0" applyNumberFormat="1"/>
    <xf numFmtId="9" fontId="0" fillId="0" borderId="0" xfId="0" applyNumberFormat="1"/>
    <xf numFmtId="0" fontId="22" fillId="0" borderId="0" xfId="5" applyAlignment="1" applyProtection="1">
      <alignment horizontal="center"/>
    </xf>
    <xf numFmtId="0" fontId="22" fillId="0" borderId="0" xfId="5" quotePrefix="1" applyAlignment="1" applyProtection="1">
      <alignment horizontal="center"/>
    </xf>
    <xf numFmtId="0" fontId="39" fillId="0" borderId="0" xfId="0" applyFont="1"/>
    <xf numFmtId="0" fontId="29" fillId="0" borderId="0" xfId="6" applyFont="1" applyAlignment="1">
      <alignment horizontal="center"/>
    </xf>
    <xf numFmtId="1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8" fontId="0" fillId="2" borderId="0" xfId="0" applyNumberFormat="1" applyFill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0" fillId="0" borderId="0" xfId="6" applyFont="1" applyAlignment="1">
      <alignment horizontal="center"/>
    </xf>
    <xf numFmtId="0" fontId="40" fillId="0" borderId="0" xfId="6" applyFont="1"/>
    <xf numFmtId="164" fontId="21" fillId="0" borderId="0" xfId="1" applyNumberFormat="1" applyFont="1" applyFill="1" applyBorder="1"/>
    <xf numFmtId="7" fontId="0" fillId="0" borderId="0" xfId="1" applyNumberFormat="1" applyFont="1" applyFill="1" applyBorder="1"/>
    <xf numFmtId="168" fontId="0" fillId="0" borderId="0" xfId="1" applyNumberFormat="1" applyFont="1" applyFill="1" applyBorder="1"/>
    <xf numFmtId="3" fontId="30" fillId="0" borderId="0" xfId="6" applyNumberFormat="1" applyFont="1"/>
    <xf numFmtId="3" fontId="43" fillId="0" borderId="0" xfId="6" applyNumberFormat="1" applyFont="1" applyAlignment="1">
      <alignment horizontal="center"/>
    </xf>
    <xf numFmtId="8" fontId="30" fillId="0" borderId="23" xfId="6" applyNumberFormat="1" applyFont="1" applyBorder="1"/>
    <xf numFmtId="0" fontId="20" fillId="0" borderId="0" xfId="0" applyFont="1" applyAlignment="1">
      <alignment horizontal="left"/>
    </xf>
    <xf numFmtId="0" fontId="29" fillId="0" borderId="0" xfId="6" applyFont="1" applyAlignment="1">
      <alignment horizontal="left"/>
    </xf>
    <xf numFmtId="49" fontId="20" fillId="0" borderId="0" xfId="0" applyNumberFormat="1" applyFont="1"/>
    <xf numFmtId="49" fontId="0" fillId="0" borderId="0" xfId="0" applyNumberFormat="1"/>
    <xf numFmtId="0" fontId="20" fillId="0" borderId="11" xfId="0" applyFont="1" applyBorder="1" applyAlignment="1">
      <alignment horizontal="center"/>
    </xf>
    <xf numFmtId="49" fontId="21" fillId="0" borderId="0" xfId="0" applyNumberFormat="1" applyFont="1"/>
    <xf numFmtId="0" fontId="20" fillId="0" borderId="0" xfId="0" applyFont="1" applyAlignment="1">
      <alignment horizontal="right" wrapText="1"/>
    </xf>
    <xf numFmtId="0" fontId="31" fillId="0" borderId="0" xfId="6" applyFont="1" applyAlignment="1" applyProtection="1">
      <alignment horizontal="center"/>
      <protection locked="0"/>
    </xf>
    <xf numFmtId="0" fontId="29" fillId="0" borderId="0" xfId="6" applyFont="1" applyAlignment="1" applyProtection="1">
      <alignment horizontal="center"/>
      <protection locked="0"/>
    </xf>
    <xf numFmtId="0" fontId="29" fillId="0" borderId="0" xfId="6" applyFont="1" applyAlignment="1" applyProtection="1">
      <alignment horizontal="left"/>
      <protection locked="0"/>
    </xf>
    <xf numFmtId="0" fontId="39" fillId="6" borderId="1" xfId="6" applyFont="1" applyFill="1" applyBorder="1" applyAlignment="1" applyProtection="1">
      <alignment horizontal="center"/>
      <protection locked="0"/>
    </xf>
    <xf numFmtId="164" fontId="39" fillId="6" borderId="1" xfId="6" applyNumberFormat="1" applyFont="1" applyFill="1" applyBorder="1" applyAlignment="1" applyProtection="1">
      <alignment horizontal="center"/>
      <protection locked="0"/>
    </xf>
    <xf numFmtId="0" fontId="39" fillId="0" borderId="1" xfId="6" applyFont="1" applyBorder="1" applyAlignment="1" applyProtection="1">
      <alignment horizontal="center"/>
      <protection locked="0"/>
    </xf>
    <xf numFmtId="164" fontId="39" fillId="0" borderId="1" xfId="6" applyNumberFormat="1" applyFont="1" applyBorder="1" applyAlignment="1" applyProtection="1">
      <alignment horizontal="center"/>
      <protection locked="0"/>
    </xf>
    <xf numFmtId="0" fontId="39" fillId="6" borderId="0" xfId="6" applyFont="1" applyFill="1" applyAlignment="1" applyProtection="1">
      <alignment horizontal="center"/>
      <protection locked="0"/>
    </xf>
    <xf numFmtId="10" fontId="39" fillId="6" borderId="1" xfId="6" applyNumberFormat="1" applyFont="1" applyFill="1" applyBorder="1" applyAlignment="1" applyProtection="1">
      <alignment horizontal="center"/>
      <protection locked="0"/>
    </xf>
    <xf numFmtId="9" fontId="39" fillId="3" borderId="0" xfId="6" applyNumberFormat="1" applyFont="1" applyFill="1" applyAlignment="1">
      <alignment horizontal="center"/>
    </xf>
    <xf numFmtId="8" fontId="39" fillId="3" borderId="0" xfId="6" applyNumberFormat="1" applyFont="1" applyFill="1" applyAlignment="1">
      <alignment horizontal="center"/>
    </xf>
    <xf numFmtId="1" fontId="39" fillId="3" borderId="0" xfId="6" applyNumberFormat="1" applyFont="1" applyFill="1" applyAlignment="1">
      <alignment horizontal="center"/>
    </xf>
    <xf numFmtId="9" fontId="39" fillId="0" borderId="0" xfId="6" applyNumberFormat="1" applyFont="1" applyAlignment="1">
      <alignment horizontal="center"/>
    </xf>
    <xf numFmtId="8" fontId="39" fillId="0" borderId="0" xfId="6" applyNumberFormat="1" applyFont="1" applyAlignment="1">
      <alignment horizontal="center"/>
    </xf>
    <xf numFmtId="1" fontId="39" fillId="0" borderId="0" xfId="6" applyNumberFormat="1" applyFont="1" applyAlignment="1">
      <alignment horizontal="center"/>
    </xf>
    <xf numFmtId="9" fontId="39" fillId="6" borderId="0" xfId="6" applyNumberFormat="1" applyFont="1" applyFill="1" applyAlignment="1" applyProtection="1">
      <alignment horizontal="center"/>
      <protection locked="0"/>
    </xf>
    <xf numFmtId="0" fontId="43" fillId="0" borderId="0" xfId="6" applyFont="1"/>
    <xf numFmtId="2" fontId="20" fillId="0" borderId="32" xfId="6" applyNumberFormat="1" applyBorder="1" applyAlignment="1">
      <alignment horizontal="left"/>
    </xf>
    <xf numFmtId="2" fontId="32" fillId="6" borderId="0" xfId="6" applyNumberFormat="1" applyFont="1" applyFill="1" applyProtection="1">
      <protection locked="0"/>
    </xf>
    <xf numFmtId="164" fontId="20" fillId="0" borderId="33" xfId="1" applyNumberFormat="1" applyFont="1" applyBorder="1" applyAlignment="1" applyProtection="1">
      <alignment horizontal="center"/>
    </xf>
    <xf numFmtId="2" fontId="20" fillId="0" borderId="11" xfId="6" applyNumberFormat="1" applyBorder="1" applyAlignment="1">
      <alignment horizontal="left"/>
    </xf>
    <xf numFmtId="3" fontId="32" fillId="6" borderId="0" xfId="6" applyNumberFormat="1" applyFont="1" applyFill="1" applyProtection="1">
      <protection locked="0"/>
    </xf>
    <xf numFmtId="164" fontId="20" fillId="0" borderId="25" xfId="1" applyNumberFormat="1" applyFont="1" applyBorder="1" applyAlignment="1" applyProtection="1">
      <alignment horizontal="center"/>
    </xf>
    <xf numFmtId="2" fontId="20" fillId="0" borderId="34" xfId="6" applyNumberFormat="1" applyBorder="1" applyAlignment="1">
      <alignment horizontal="left"/>
    </xf>
    <xf numFmtId="10" fontId="32" fillId="6" borderId="0" xfId="6" applyNumberFormat="1" applyFont="1" applyFill="1" applyProtection="1">
      <protection locked="0"/>
    </xf>
    <xf numFmtId="164" fontId="20" fillId="0" borderId="35" xfId="1" applyNumberFormat="1" applyFont="1" applyBorder="1" applyAlignment="1" applyProtection="1">
      <alignment horizontal="center"/>
    </xf>
    <xf numFmtId="0" fontId="48" fillId="0" borderId="7" xfId="6" applyFont="1" applyBorder="1" applyAlignment="1">
      <alignment horizontal="center" wrapText="1"/>
    </xf>
    <xf numFmtId="0" fontId="49" fillId="0" borderId="27" xfId="6" applyFont="1" applyBorder="1" applyAlignment="1">
      <alignment horizontal="center" wrapText="1"/>
    </xf>
    <xf numFmtId="0" fontId="48" fillId="0" borderId="9" xfId="6" applyFont="1" applyBorder="1" applyAlignment="1">
      <alignment horizontal="center" wrapText="1"/>
    </xf>
    <xf numFmtId="0" fontId="49" fillId="0" borderId="28" xfId="6" applyFont="1" applyBorder="1" applyAlignment="1">
      <alignment horizontal="center" wrapText="1"/>
    </xf>
    <xf numFmtId="2" fontId="39" fillId="0" borderId="12" xfId="6" applyNumberFormat="1" applyFont="1" applyBorder="1" applyAlignment="1">
      <alignment horizontal="center"/>
    </xf>
    <xf numFmtId="1" fontId="39" fillId="0" borderId="7" xfId="6" applyNumberFormat="1" applyFont="1" applyBorder="1" applyAlignment="1">
      <alignment horizontal="center"/>
    </xf>
    <xf numFmtId="164" fontId="39" fillId="0" borderId="7" xfId="1" applyNumberFormat="1" applyFont="1" applyBorder="1" applyAlignment="1" applyProtection="1">
      <alignment horizontal="center"/>
    </xf>
    <xf numFmtId="164" fontId="39" fillId="0" borderId="18" xfId="1" applyNumberFormat="1" applyFont="1" applyBorder="1" applyAlignment="1" applyProtection="1">
      <alignment horizontal="center"/>
    </xf>
    <xf numFmtId="164" fontId="39" fillId="0" borderId="10" xfId="1" applyNumberFormat="1" applyFont="1" applyBorder="1" applyAlignment="1" applyProtection="1">
      <alignment horizontal="center"/>
    </xf>
    <xf numFmtId="2" fontId="39" fillId="0" borderId="21" xfId="6" applyNumberFormat="1" applyFont="1" applyBorder="1" applyAlignment="1">
      <alignment horizontal="center"/>
    </xf>
    <xf numFmtId="164" fontId="39" fillId="0" borderId="27" xfId="1" applyNumberFormat="1" applyFont="1" applyBorder="1" applyAlignment="1" applyProtection="1">
      <alignment horizontal="center"/>
    </xf>
    <xf numFmtId="164" fontId="39" fillId="0" borderId="9" xfId="1" applyNumberFormat="1" applyFont="1" applyBorder="1" applyAlignment="1" applyProtection="1">
      <alignment horizontal="center"/>
    </xf>
    <xf numFmtId="2" fontId="39" fillId="5" borderId="21" xfId="6" applyNumberFormat="1" applyFont="1" applyFill="1" applyBorder="1" applyAlignment="1">
      <alignment horizontal="center"/>
    </xf>
    <xf numFmtId="1" fontId="39" fillId="5" borderId="7" xfId="6" applyNumberFormat="1" applyFont="1" applyFill="1" applyBorder="1" applyAlignment="1">
      <alignment horizontal="center"/>
    </xf>
    <xf numFmtId="164" fontId="39" fillId="5" borderId="7" xfId="1" applyNumberFormat="1" applyFont="1" applyFill="1" applyBorder="1" applyAlignment="1" applyProtection="1">
      <alignment horizontal="center"/>
    </xf>
    <xf numFmtId="164" fontId="39" fillId="5" borderId="27" xfId="1" applyNumberFormat="1" applyFont="1" applyFill="1" applyBorder="1" applyAlignment="1" applyProtection="1">
      <alignment horizontal="center"/>
    </xf>
    <xf numFmtId="164" fontId="39" fillId="5" borderId="9" xfId="1" applyNumberFormat="1" applyFont="1" applyFill="1" applyBorder="1" applyAlignment="1" applyProtection="1">
      <alignment horizontal="center"/>
    </xf>
    <xf numFmtId="2" fontId="39" fillId="0" borderId="26" xfId="6" applyNumberFormat="1" applyFont="1" applyBorder="1" applyAlignment="1">
      <alignment horizontal="center"/>
    </xf>
    <xf numFmtId="1" fontId="39" fillId="0" borderId="19" xfId="6" applyNumberFormat="1" applyFont="1" applyBorder="1" applyAlignment="1">
      <alignment horizontal="center"/>
    </xf>
    <xf numFmtId="164" fontId="39" fillId="0" borderId="19" xfId="1" applyNumberFormat="1" applyFont="1" applyBorder="1" applyAlignment="1" applyProtection="1">
      <alignment horizontal="center"/>
    </xf>
    <xf numFmtId="164" fontId="39" fillId="0" borderId="28" xfId="1" applyNumberFormat="1" applyFont="1" applyBorder="1" applyAlignment="1" applyProtection="1">
      <alignment horizontal="center"/>
    </xf>
    <xf numFmtId="164" fontId="39" fillId="0" borderId="22" xfId="1" applyNumberFormat="1" applyFont="1" applyBorder="1" applyAlignment="1" applyProtection="1">
      <alignment horizontal="center"/>
    </xf>
    <xf numFmtId="2" fontId="39" fillId="6" borderId="1" xfId="6" applyNumberFormat="1" applyFont="1" applyFill="1" applyBorder="1" applyAlignment="1" applyProtection="1">
      <alignment horizontal="center"/>
      <protection locked="0"/>
    </xf>
    <xf numFmtId="0" fontId="39" fillId="0" borderId="0" xfId="6" applyFont="1" applyAlignment="1">
      <alignment horizontal="center"/>
    </xf>
    <xf numFmtId="9" fontId="39" fillId="3" borderId="0" xfId="8" applyFont="1" applyFill="1" applyBorder="1" applyAlignment="1" applyProtection="1">
      <alignment horizontal="center"/>
    </xf>
    <xf numFmtId="2" fontId="39" fillId="3" borderId="0" xfId="6" applyNumberFormat="1" applyFont="1" applyFill="1" applyAlignment="1">
      <alignment horizontal="center"/>
    </xf>
    <xf numFmtId="164" fontId="39" fillId="3" borderId="0" xfId="6" applyNumberFormat="1" applyFont="1" applyFill="1" applyAlignment="1">
      <alignment horizontal="center"/>
    </xf>
    <xf numFmtId="9" fontId="39" fillId="0" borderId="0" xfId="8" applyFont="1" applyBorder="1" applyAlignment="1" applyProtection="1">
      <alignment horizontal="center"/>
    </xf>
    <xf numFmtId="2" fontId="39" fillId="0" borderId="0" xfId="6" applyNumberFormat="1" applyFont="1" applyAlignment="1">
      <alignment horizontal="center"/>
    </xf>
    <xf numFmtId="164" fontId="39" fillId="0" borderId="0" xfId="6" applyNumberFormat="1" applyFont="1" applyAlignment="1">
      <alignment horizontal="center"/>
    </xf>
    <xf numFmtId="2" fontId="21" fillId="0" borderId="0" xfId="0" applyNumberFormat="1" applyFont="1"/>
    <xf numFmtId="49" fontId="30" fillId="0" borderId="0" xfId="6" applyNumberFormat="1" applyFont="1"/>
    <xf numFmtId="0" fontId="42" fillId="0" borderId="19" xfId="6" applyFont="1" applyBorder="1" applyAlignment="1">
      <alignment horizontal="center" wrapText="1"/>
    </xf>
    <xf numFmtId="0" fontId="42" fillId="0" borderId="22" xfId="6" applyFont="1" applyBorder="1" applyAlignment="1">
      <alignment horizontal="center" wrapText="1"/>
    </xf>
    <xf numFmtId="0" fontId="42" fillId="0" borderId="0" xfId="6" applyFont="1" applyAlignment="1">
      <alignment horizontal="center" wrapText="1"/>
    </xf>
    <xf numFmtId="0" fontId="42" fillId="0" borderId="0" xfId="6" applyFont="1" applyAlignment="1">
      <alignment horizontal="center"/>
    </xf>
    <xf numFmtId="0" fontId="50" fillId="0" borderId="1" xfId="6" applyFont="1" applyBorder="1" applyAlignment="1">
      <alignment horizontal="center"/>
    </xf>
    <xf numFmtId="164" fontId="42" fillId="0" borderId="0" xfId="6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50" fillId="0" borderId="0" xfId="6" applyFont="1" applyAlignment="1">
      <alignment horizontal="center"/>
    </xf>
    <xf numFmtId="8" fontId="51" fillId="0" borderId="0" xfId="6" applyNumberFormat="1" applyFont="1"/>
    <xf numFmtId="0" fontId="51" fillId="0" borderId="1" xfId="6" applyFont="1" applyBorder="1" applyAlignment="1">
      <alignment horizontal="center"/>
    </xf>
    <xf numFmtId="0" fontId="51" fillId="0" borderId="0" xfId="6" applyFont="1"/>
    <xf numFmtId="164" fontId="39" fillId="0" borderId="0" xfId="6" applyNumberFormat="1" applyFont="1" applyAlignment="1" applyProtection="1">
      <alignment horizontal="center"/>
      <protection locked="0"/>
    </xf>
    <xf numFmtId="0" fontId="39" fillId="0" borderId="0" xfId="6" applyFont="1" applyProtection="1">
      <protection locked="0"/>
    </xf>
    <xf numFmtId="0" fontId="51" fillId="0" borderId="0" xfId="6" applyFont="1" applyAlignment="1">
      <alignment horizontal="center"/>
    </xf>
    <xf numFmtId="0" fontId="51" fillId="0" borderId="3" xfId="6" applyFont="1" applyBorder="1"/>
    <xf numFmtId="164" fontId="39" fillId="0" borderId="1" xfId="6" applyNumberFormat="1" applyFont="1" applyBorder="1" applyAlignment="1">
      <alignment horizontal="center"/>
    </xf>
    <xf numFmtId="164" fontId="39" fillId="0" borderId="15" xfId="6" applyNumberFormat="1" applyFont="1" applyBorder="1" applyAlignment="1">
      <alignment horizontal="center"/>
    </xf>
    <xf numFmtId="164" fontId="39" fillId="0" borderId="23" xfId="6" applyNumberFormat="1" applyFont="1" applyBorder="1" applyAlignment="1">
      <alignment horizontal="center"/>
    </xf>
    <xf numFmtId="164" fontId="39" fillId="0" borderId="24" xfId="6" applyNumberFormat="1" applyFont="1" applyBorder="1" applyAlignment="1">
      <alignment horizontal="center"/>
    </xf>
    <xf numFmtId="164" fontId="51" fillId="0" borderId="0" xfId="6" applyNumberFormat="1" applyFont="1" applyAlignment="1">
      <alignment horizontal="center"/>
    </xf>
    <xf numFmtId="164" fontId="51" fillId="0" borderId="3" xfId="6" applyNumberFormat="1" applyFont="1" applyBorder="1" applyAlignment="1">
      <alignment horizontal="center"/>
    </xf>
    <xf numFmtId="164" fontId="51" fillId="0" borderId="1" xfId="6" applyNumberFormat="1" applyFont="1" applyBorder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8" fontId="51" fillId="0" borderId="0" xfId="6" applyNumberFormat="1" applyFont="1" applyAlignment="1">
      <alignment horizontal="center"/>
    </xf>
    <xf numFmtId="0" fontId="39" fillId="0" borderId="0" xfId="6" applyFont="1"/>
    <xf numFmtId="8" fontId="51" fillId="0" borderId="3" xfId="6" applyNumberFormat="1" applyFont="1" applyBorder="1" applyAlignment="1">
      <alignment horizontal="center"/>
    </xf>
    <xf numFmtId="0" fontId="20" fillId="6" borderId="1" xfId="6" applyFill="1" applyBorder="1" applyAlignment="1" applyProtection="1">
      <alignment horizontal="center"/>
      <protection locked="0"/>
    </xf>
    <xf numFmtId="9" fontId="39" fillId="6" borderId="1" xfId="6" applyNumberFormat="1" applyFont="1" applyFill="1" applyBorder="1" applyAlignment="1" applyProtection="1">
      <alignment horizontal="center"/>
      <protection locked="0"/>
    </xf>
    <xf numFmtId="10" fontId="39" fillId="6" borderId="1" xfId="6" applyNumberFormat="1" applyFont="1" applyFill="1" applyBorder="1" applyProtection="1">
      <protection locked="0"/>
    </xf>
    <xf numFmtId="0" fontId="42" fillId="0" borderId="0" xfId="6" quotePrefix="1" applyFont="1" applyAlignment="1">
      <alignment horizontal="center"/>
    </xf>
    <xf numFmtId="164" fontId="39" fillId="0" borderId="2" xfId="6" applyNumberFormat="1" applyFont="1" applyBorder="1" applyAlignment="1">
      <alignment horizontal="center"/>
    </xf>
    <xf numFmtId="0" fontId="25" fillId="0" borderId="0" xfId="5" applyFont="1" applyAlignment="1" applyProtection="1">
      <alignment horizontal="left"/>
    </xf>
    <xf numFmtId="0" fontId="38" fillId="0" borderId="0" xfId="0" applyFont="1" applyAlignment="1">
      <alignment horizontal="center"/>
    </xf>
    <xf numFmtId="0" fontId="25" fillId="0" borderId="0" xfId="5" applyFont="1" applyAlignment="1" applyProtection="1"/>
    <xf numFmtId="0" fontId="27" fillId="0" borderId="0" xfId="6" applyFont="1" applyAlignment="1">
      <alignment horizontal="center" vertical="top" wrapText="1"/>
    </xf>
    <xf numFmtId="0" fontId="27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29" fillId="6" borderId="0" xfId="6" applyFont="1" applyFill="1" applyAlignment="1" applyProtection="1">
      <alignment horizontal="center"/>
      <protection locked="0"/>
    </xf>
    <xf numFmtId="9" fontId="44" fillId="0" borderId="0" xfId="8" applyFont="1" applyBorder="1" applyProtection="1"/>
    <xf numFmtId="164" fontId="39" fillId="6" borderId="16" xfId="6" applyNumberFormat="1" applyFont="1" applyFill="1" applyBorder="1" applyAlignment="1" applyProtection="1">
      <alignment horizontal="center"/>
      <protection locked="0"/>
    </xf>
    <xf numFmtId="0" fontId="39" fillId="6" borderId="16" xfId="6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5" fillId="0" borderId="0" xfId="5" applyFont="1" applyAlignment="1" applyProtection="1">
      <alignment horizontal="left" wrapText="1"/>
    </xf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5" fillId="0" borderId="0" xfId="5" applyFont="1" applyAlignment="1" applyProtection="1">
      <alignment horizontal="left"/>
    </xf>
    <xf numFmtId="0" fontId="2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7" fillId="0" borderId="0" xfId="6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7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29" fillId="6" borderId="0" xfId="6" applyFont="1" applyFill="1" applyAlignment="1" applyProtection="1">
      <alignment horizontal="center"/>
      <protection locked="0"/>
    </xf>
    <xf numFmtId="0" fontId="29" fillId="0" borderId="0" xfId="6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8" fontId="0" fillId="2" borderId="0" xfId="0" applyNumberFormat="1" applyFill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1" fontId="0" fillId="0" borderId="0" xfId="0" applyNumberFormat="1"/>
    <xf numFmtId="8" fontId="0" fillId="0" borderId="0" xfId="0" applyNumberFormat="1" applyAlignment="1">
      <alignment horizontal="center"/>
    </xf>
    <xf numFmtId="0" fontId="37" fillId="0" borderId="29" xfId="6" applyFont="1" applyBorder="1" applyAlignment="1">
      <alignment horizontal="center"/>
    </xf>
    <xf numFmtId="0" fontId="37" fillId="0" borderId="13" xfId="6" applyFont="1" applyBorder="1" applyAlignment="1">
      <alignment horizontal="center"/>
    </xf>
    <xf numFmtId="0" fontId="37" fillId="0" borderId="6" xfId="6" applyFont="1" applyBorder="1" applyAlignment="1">
      <alignment horizontal="center"/>
    </xf>
    <xf numFmtId="0" fontId="20" fillId="0" borderId="30" xfId="6" applyBorder="1" applyAlignment="1">
      <alignment horizontal="center" wrapText="1"/>
    </xf>
    <xf numFmtId="0" fontId="20" fillId="0" borderId="12" xfId="6" applyBorder="1" applyAlignment="1">
      <alignment horizontal="center" wrapText="1"/>
    </xf>
    <xf numFmtId="0" fontId="38" fillId="0" borderId="4" xfId="6" applyFont="1" applyBorder="1" applyAlignment="1">
      <alignment horizontal="center" wrapText="1"/>
    </xf>
    <xf numFmtId="0" fontId="38" fillId="0" borderId="15" xfId="6" applyFont="1" applyBorder="1" applyAlignment="1">
      <alignment horizontal="center" wrapText="1"/>
    </xf>
    <xf numFmtId="0" fontId="38" fillId="0" borderId="31" xfId="6" applyFont="1" applyBorder="1" applyAlignment="1">
      <alignment horizontal="center" wrapText="1"/>
    </xf>
    <xf numFmtId="1" fontId="39" fillId="3" borderId="0" xfId="6" applyNumberFormat="1" applyFont="1" applyFill="1" applyAlignment="1">
      <alignment horizontal="center"/>
    </xf>
    <xf numFmtId="0" fontId="20" fillId="0" borderId="0" xfId="6" applyAlignment="1">
      <alignment horizontal="center"/>
    </xf>
    <xf numFmtId="8" fontId="39" fillId="3" borderId="0" xfId="6" applyNumberFormat="1" applyFont="1" applyFill="1" applyAlignment="1">
      <alignment horizontal="center"/>
    </xf>
    <xf numFmtId="0" fontId="20" fillId="0" borderId="0" xfId="6"/>
    <xf numFmtId="0" fontId="47" fillId="0" borderId="29" xfId="6" applyFont="1" applyBorder="1" applyAlignment="1">
      <alignment horizontal="center"/>
    </xf>
    <xf numFmtId="0" fontId="47" fillId="0" borderId="13" xfId="6" applyFont="1" applyBorder="1" applyAlignment="1">
      <alignment horizontal="center"/>
    </xf>
    <xf numFmtId="0" fontId="47" fillId="0" borderId="6" xfId="6" applyFont="1" applyBorder="1" applyAlignment="1">
      <alignment horizontal="center"/>
    </xf>
    <xf numFmtId="0" fontId="42" fillId="0" borderId="30" xfId="6" applyFont="1" applyBorder="1" applyAlignment="1">
      <alignment horizontal="center" wrapText="1"/>
    </xf>
    <xf numFmtId="0" fontId="21" fillId="0" borderId="36" xfId="6" applyFont="1" applyBorder="1" applyAlignment="1">
      <alignment horizontal="center" wrapText="1"/>
    </xf>
    <xf numFmtId="0" fontId="21" fillId="0" borderId="37" xfId="6" applyFont="1" applyBorder="1" applyAlignment="1">
      <alignment horizontal="center" wrapText="1"/>
    </xf>
    <xf numFmtId="0" fontId="42" fillId="0" borderId="5" xfId="6" applyFont="1" applyBorder="1" applyAlignment="1">
      <alignment horizontal="center" wrapText="1"/>
    </xf>
    <xf numFmtId="0" fontId="21" fillId="0" borderId="17" xfId="6" applyFont="1" applyBorder="1" applyAlignment="1">
      <alignment horizontal="center" wrapText="1"/>
    </xf>
    <xf numFmtId="0" fontId="21" fillId="0" borderId="20" xfId="6" applyFont="1" applyBorder="1" applyAlignment="1">
      <alignment horizontal="center" wrapText="1"/>
    </xf>
    <xf numFmtId="0" fontId="39" fillId="0" borderId="5" xfId="6" applyFont="1" applyBorder="1" applyAlignment="1">
      <alignment wrapText="1"/>
    </xf>
    <xf numFmtId="0" fontId="20" fillId="0" borderId="17" xfId="6" applyBorder="1" applyAlignment="1">
      <alignment wrapText="1"/>
    </xf>
    <xf numFmtId="0" fontId="20" fillId="0" borderId="20" xfId="6" applyBorder="1" applyAlignment="1">
      <alignment wrapText="1"/>
    </xf>
    <xf numFmtId="0" fontId="42" fillId="0" borderId="4" xfId="6" applyFont="1" applyBorder="1" applyAlignment="1">
      <alignment horizontal="center" wrapText="1"/>
    </xf>
    <xf numFmtId="0" fontId="42" fillId="0" borderId="15" xfId="6" applyFont="1" applyBorder="1" applyAlignment="1">
      <alignment horizontal="center" wrapText="1"/>
    </xf>
    <xf numFmtId="0" fontId="42" fillId="0" borderId="31" xfId="6" applyFont="1" applyBorder="1" applyAlignment="1">
      <alignment horizontal="center" wrapText="1"/>
    </xf>
    <xf numFmtId="1" fontId="39" fillId="0" borderId="0" xfId="6" applyNumberFormat="1" applyFont="1" applyAlignment="1">
      <alignment horizontal="center"/>
    </xf>
    <xf numFmtId="8" fontId="39" fillId="0" borderId="0" xfId="6" applyNumberFormat="1" applyFont="1" applyAlignment="1">
      <alignment horizontal="center"/>
    </xf>
    <xf numFmtId="0" fontId="46" fillId="3" borderId="0" xfId="6" applyFont="1" applyFill="1" applyAlignment="1">
      <alignment horizontal="center"/>
    </xf>
    <xf numFmtId="0" fontId="42" fillId="0" borderId="0" xfId="6" applyFont="1" applyAlignment="1">
      <alignment horizontal="center" wrapText="1"/>
    </xf>
    <xf numFmtId="0" fontId="21" fillId="0" borderId="0" xfId="6" applyFont="1" applyAlignment="1">
      <alignment horizontal="center" wrapText="1"/>
    </xf>
    <xf numFmtId="0" fontId="21" fillId="0" borderId="0" xfId="6" applyFont="1"/>
    <xf numFmtId="0" fontId="21" fillId="0" borderId="0" xfId="0" applyFont="1" applyAlignment="1">
      <alignment horizontal="center"/>
    </xf>
  </cellXfs>
  <cellStyles count="6186">
    <cellStyle name="Currency" xfId="1" builtinId="4"/>
    <cellStyle name="Currency [0] 2" xfId="110" xr:uid="{00000000-0005-0000-0000-000001000000}"/>
    <cellStyle name="Currency [0] 2 2" xfId="220" xr:uid="{00000000-0005-0000-0000-000002000000}"/>
    <cellStyle name="Currency [0] 2 2 2" xfId="440" xr:uid="{00000000-0005-0000-0000-000003000000}"/>
    <cellStyle name="Currency [0] 2 2 2 2" xfId="881" xr:uid="{00000000-0005-0000-0000-000004000000}"/>
    <cellStyle name="Currency [0] 2 2 2 2 2" xfId="3529" xr:uid="{00000000-0005-0000-0000-000005000000}"/>
    <cellStyle name="Currency [0] 2 2 2 2 2 2" xfId="4422" xr:uid="{00000000-0005-0000-0000-000006000000}"/>
    <cellStyle name="Currency [0] 2 2 2 2 3" xfId="2647" xr:uid="{00000000-0005-0000-0000-000007000000}"/>
    <cellStyle name="Currency [0] 2 2 2 2 3 2" xfId="4423" xr:uid="{00000000-0005-0000-0000-000008000000}"/>
    <cellStyle name="Currency [0] 2 2 2 2 4" xfId="4411" xr:uid="{00000000-0005-0000-0000-000009000000}"/>
    <cellStyle name="Currency [0] 2 2 2 2 5" xfId="1764" xr:uid="{00000000-0005-0000-0000-00000A000000}"/>
    <cellStyle name="Currency [0] 2 2 2 3" xfId="3088" xr:uid="{00000000-0005-0000-0000-00000B000000}"/>
    <cellStyle name="Currency [0] 2 2 2 3 2" xfId="4424" xr:uid="{00000000-0005-0000-0000-00000C000000}"/>
    <cellStyle name="Currency [0] 2 2 2 4" xfId="2206" xr:uid="{00000000-0005-0000-0000-00000D000000}"/>
    <cellStyle name="Currency [0] 2 2 2 4 2" xfId="4425" xr:uid="{00000000-0005-0000-0000-00000E000000}"/>
    <cellStyle name="Currency [0] 2 2 2 5" xfId="3970" xr:uid="{00000000-0005-0000-0000-00000F000000}"/>
    <cellStyle name="Currency [0] 2 2 2 6" xfId="1323" xr:uid="{00000000-0005-0000-0000-000010000000}"/>
    <cellStyle name="Currency [0] 2 2 3" xfId="661" xr:uid="{00000000-0005-0000-0000-000011000000}"/>
    <cellStyle name="Currency [0] 2 2 3 2" xfId="3309" xr:uid="{00000000-0005-0000-0000-000012000000}"/>
    <cellStyle name="Currency [0] 2 2 3 2 2" xfId="4426" xr:uid="{00000000-0005-0000-0000-000013000000}"/>
    <cellStyle name="Currency [0] 2 2 3 3" xfId="2427" xr:uid="{00000000-0005-0000-0000-000014000000}"/>
    <cellStyle name="Currency [0] 2 2 3 3 2" xfId="4427" xr:uid="{00000000-0005-0000-0000-000015000000}"/>
    <cellStyle name="Currency [0] 2 2 3 4" xfId="4191" xr:uid="{00000000-0005-0000-0000-000016000000}"/>
    <cellStyle name="Currency [0] 2 2 3 5" xfId="1544" xr:uid="{00000000-0005-0000-0000-000017000000}"/>
    <cellStyle name="Currency [0] 2 2 4" xfId="2868" xr:uid="{00000000-0005-0000-0000-000018000000}"/>
    <cellStyle name="Currency [0] 2 2 4 2" xfId="4428" xr:uid="{00000000-0005-0000-0000-000019000000}"/>
    <cellStyle name="Currency [0] 2 2 5" xfId="1986" xr:uid="{00000000-0005-0000-0000-00001A000000}"/>
    <cellStyle name="Currency [0] 2 2 5 2" xfId="4429" xr:uid="{00000000-0005-0000-0000-00001B000000}"/>
    <cellStyle name="Currency [0] 2 2 6" xfId="3750" xr:uid="{00000000-0005-0000-0000-00001C000000}"/>
    <cellStyle name="Currency [0] 2 2 7" xfId="1103" xr:uid="{00000000-0005-0000-0000-00001D000000}"/>
    <cellStyle name="Currency [0] 2 3" xfId="330" xr:uid="{00000000-0005-0000-0000-00001E000000}"/>
    <cellStyle name="Currency [0] 2 3 2" xfId="771" xr:uid="{00000000-0005-0000-0000-00001F000000}"/>
    <cellStyle name="Currency [0] 2 3 2 2" xfId="3419" xr:uid="{00000000-0005-0000-0000-000020000000}"/>
    <cellStyle name="Currency [0] 2 3 2 2 2" xfId="4430" xr:uid="{00000000-0005-0000-0000-000021000000}"/>
    <cellStyle name="Currency [0] 2 3 2 3" xfId="2537" xr:uid="{00000000-0005-0000-0000-000022000000}"/>
    <cellStyle name="Currency [0] 2 3 2 3 2" xfId="4431" xr:uid="{00000000-0005-0000-0000-000023000000}"/>
    <cellStyle name="Currency [0] 2 3 2 4" xfId="4301" xr:uid="{00000000-0005-0000-0000-000024000000}"/>
    <cellStyle name="Currency [0] 2 3 2 5" xfId="1654" xr:uid="{00000000-0005-0000-0000-000025000000}"/>
    <cellStyle name="Currency [0] 2 3 3" xfId="2978" xr:uid="{00000000-0005-0000-0000-000026000000}"/>
    <cellStyle name="Currency [0] 2 3 3 2" xfId="4432" xr:uid="{00000000-0005-0000-0000-000027000000}"/>
    <cellStyle name="Currency [0] 2 3 4" xfId="2096" xr:uid="{00000000-0005-0000-0000-000028000000}"/>
    <cellStyle name="Currency [0] 2 3 4 2" xfId="4433" xr:uid="{00000000-0005-0000-0000-000029000000}"/>
    <cellStyle name="Currency [0] 2 3 5" xfId="3860" xr:uid="{00000000-0005-0000-0000-00002A000000}"/>
    <cellStyle name="Currency [0] 2 3 6" xfId="1213" xr:uid="{00000000-0005-0000-0000-00002B000000}"/>
    <cellStyle name="Currency [0] 2 4" xfId="551" xr:uid="{00000000-0005-0000-0000-00002C000000}"/>
    <cellStyle name="Currency [0] 2 4 2" xfId="3199" xr:uid="{00000000-0005-0000-0000-00002D000000}"/>
    <cellStyle name="Currency [0] 2 4 2 2" xfId="4434" xr:uid="{00000000-0005-0000-0000-00002E000000}"/>
    <cellStyle name="Currency [0] 2 4 3" xfId="2317" xr:uid="{00000000-0005-0000-0000-00002F000000}"/>
    <cellStyle name="Currency [0] 2 4 3 2" xfId="4435" xr:uid="{00000000-0005-0000-0000-000030000000}"/>
    <cellStyle name="Currency [0] 2 4 4" xfId="4081" xr:uid="{00000000-0005-0000-0000-000031000000}"/>
    <cellStyle name="Currency [0] 2 4 5" xfId="1434" xr:uid="{00000000-0005-0000-0000-000032000000}"/>
    <cellStyle name="Currency [0] 2 5" xfId="2758" xr:uid="{00000000-0005-0000-0000-000033000000}"/>
    <cellStyle name="Currency [0] 2 5 2" xfId="4436" xr:uid="{00000000-0005-0000-0000-000034000000}"/>
    <cellStyle name="Currency [0] 2 6" xfId="1876" xr:uid="{00000000-0005-0000-0000-000035000000}"/>
    <cellStyle name="Currency [0] 2 6 2" xfId="4437" xr:uid="{00000000-0005-0000-0000-000036000000}"/>
    <cellStyle name="Currency [0] 2 7" xfId="3640" xr:uid="{00000000-0005-0000-0000-000037000000}"/>
    <cellStyle name="Currency [0] 2 8" xfId="993" xr:uid="{00000000-0005-0000-0000-000038000000}"/>
    <cellStyle name="Currency [0] 3" xfId="111" xr:uid="{00000000-0005-0000-0000-000039000000}"/>
    <cellStyle name="Currency [0] 3 2" xfId="221" xr:uid="{00000000-0005-0000-0000-00003A000000}"/>
    <cellStyle name="Currency [0] 3 2 2" xfId="441" xr:uid="{00000000-0005-0000-0000-00003B000000}"/>
    <cellStyle name="Currency [0] 3 2 2 2" xfId="882" xr:uid="{00000000-0005-0000-0000-00003C000000}"/>
    <cellStyle name="Currency [0] 3 2 2 2 2" xfId="3530" xr:uid="{00000000-0005-0000-0000-00003D000000}"/>
    <cellStyle name="Currency [0] 3 2 2 2 2 2" xfId="4438" xr:uid="{00000000-0005-0000-0000-00003E000000}"/>
    <cellStyle name="Currency [0] 3 2 2 2 3" xfId="2648" xr:uid="{00000000-0005-0000-0000-00003F000000}"/>
    <cellStyle name="Currency [0] 3 2 2 2 3 2" xfId="4439" xr:uid="{00000000-0005-0000-0000-000040000000}"/>
    <cellStyle name="Currency [0] 3 2 2 2 4" xfId="4412" xr:uid="{00000000-0005-0000-0000-000041000000}"/>
    <cellStyle name="Currency [0] 3 2 2 2 5" xfId="1765" xr:uid="{00000000-0005-0000-0000-000042000000}"/>
    <cellStyle name="Currency [0] 3 2 2 3" xfId="3089" xr:uid="{00000000-0005-0000-0000-000043000000}"/>
    <cellStyle name="Currency [0] 3 2 2 3 2" xfId="4440" xr:uid="{00000000-0005-0000-0000-000044000000}"/>
    <cellStyle name="Currency [0] 3 2 2 4" xfId="2207" xr:uid="{00000000-0005-0000-0000-000045000000}"/>
    <cellStyle name="Currency [0] 3 2 2 4 2" xfId="4441" xr:uid="{00000000-0005-0000-0000-000046000000}"/>
    <cellStyle name="Currency [0] 3 2 2 5" xfId="3971" xr:uid="{00000000-0005-0000-0000-000047000000}"/>
    <cellStyle name="Currency [0] 3 2 2 6" xfId="1324" xr:uid="{00000000-0005-0000-0000-000048000000}"/>
    <cellStyle name="Currency [0] 3 2 3" xfId="662" xr:uid="{00000000-0005-0000-0000-000049000000}"/>
    <cellStyle name="Currency [0] 3 2 3 2" xfId="3310" xr:uid="{00000000-0005-0000-0000-00004A000000}"/>
    <cellStyle name="Currency [0] 3 2 3 2 2" xfId="4442" xr:uid="{00000000-0005-0000-0000-00004B000000}"/>
    <cellStyle name="Currency [0] 3 2 3 3" xfId="2428" xr:uid="{00000000-0005-0000-0000-00004C000000}"/>
    <cellStyle name="Currency [0] 3 2 3 3 2" xfId="4443" xr:uid="{00000000-0005-0000-0000-00004D000000}"/>
    <cellStyle name="Currency [0] 3 2 3 4" xfId="4192" xr:uid="{00000000-0005-0000-0000-00004E000000}"/>
    <cellStyle name="Currency [0] 3 2 3 5" xfId="1545" xr:uid="{00000000-0005-0000-0000-00004F000000}"/>
    <cellStyle name="Currency [0] 3 2 4" xfId="2869" xr:uid="{00000000-0005-0000-0000-000050000000}"/>
    <cellStyle name="Currency [0] 3 2 4 2" xfId="4444" xr:uid="{00000000-0005-0000-0000-000051000000}"/>
    <cellStyle name="Currency [0] 3 2 5" xfId="1987" xr:uid="{00000000-0005-0000-0000-000052000000}"/>
    <cellStyle name="Currency [0] 3 2 5 2" xfId="4445" xr:uid="{00000000-0005-0000-0000-000053000000}"/>
    <cellStyle name="Currency [0] 3 2 6" xfId="3751" xr:uid="{00000000-0005-0000-0000-000054000000}"/>
    <cellStyle name="Currency [0] 3 2 7" xfId="1104" xr:uid="{00000000-0005-0000-0000-000055000000}"/>
    <cellStyle name="Currency [0] 3 3" xfId="331" xr:uid="{00000000-0005-0000-0000-000056000000}"/>
    <cellStyle name="Currency [0] 3 3 2" xfId="772" xr:uid="{00000000-0005-0000-0000-000057000000}"/>
    <cellStyle name="Currency [0] 3 3 2 2" xfId="3420" xr:uid="{00000000-0005-0000-0000-000058000000}"/>
    <cellStyle name="Currency [0] 3 3 2 2 2" xfId="4446" xr:uid="{00000000-0005-0000-0000-000059000000}"/>
    <cellStyle name="Currency [0] 3 3 2 3" xfId="2538" xr:uid="{00000000-0005-0000-0000-00005A000000}"/>
    <cellStyle name="Currency [0] 3 3 2 3 2" xfId="4447" xr:uid="{00000000-0005-0000-0000-00005B000000}"/>
    <cellStyle name="Currency [0] 3 3 2 4" xfId="4302" xr:uid="{00000000-0005-0000-0000-00005C000000}"/>
    <cellStyle name="Currency [0] 3 3 2 5" xfId="1655" xr:uid="{00000000-0005-0000-0000-00005D000000}"/>
    <cellStyle name="Currency [0] 3 3 3" xfId="2979" xr:uid="{00000000-0005-0000-0000-00005E000000}"/>
    <cellStyle name="Currency [0] 3 3 3 2" xfId="4448" xr:uid="{00000000-0005-0000-0000-00005F000000}"/>
    <cellStyle name="Currency [0] 3 3 4" xfId="2097" xr:uid="{00000000-0005-0000-0000-000060000000}"/>
    <cellStyle name="Currency [0] 3 3 4 2" xfId="4449" xr:uid="{00000000-0005-0000-0000-000061000000}"/>
    <cellStyle name="Currency [0] 3 3 5" xfId="3861" xr:uid="{00000000-0005-0000-0000-000062000000}"/>
    <cellStyle name="Currency [0] 3 3 6" xfId="1214" xr:uid="{00000000-0005-0000-0000-000063000000}"/>
    <cellStyle name="Currency [0] 3 4" xfId="552" xr:uid="{00000000-0005-0000-0000-000064000000}"/>
    <cellStyle name="Currency [0] 3 4 2" xfId="3200" xr:uid="{00000000-0005-0000-0000-000065000000}"/>
    <cellStyle name="Currency [0] 3 4 2 2" xfId="4450" xr:uid="{00000000-0005-0000-0000-000066000000}"/>
    <cellStyle name="Currency [0] 3 4 3" xfId="2318" xr:uid="{00000000-0005-0000-0000-000067000000}"/>
    <cellStyle name="Currency [0] 3 4 3 2" xfId="4451" xr:uid="{00000000-0005-0000-0000-000068000000}"/>
    <cellStyle name="Currency [0] 3 4 4" xfId="4082" xr:uid="{00000000-0005-0000-0000-000069000000}"/>
    <cellStyle name="Currency [0] 3 4 5" xfId="1435" xr:uid="{00000000-0005-0000-0000-00006A000000}"/>
    <cellStyle name="Currency [0] 3 5" xfId="2759" xr:uid="{00000000-0005-0000-0000-00006B000000}"/>
    <cellStyle name="Currency [0] 3 5 2" xfId="4452" xr:uid="{00000000-0005-0000-0000-00006C000000}"/>
    <cellStyle name="Currency [0] 3 6" xfId="1877" xr:uid="{00000000-0005-0000-0000-00006D000000}"/>
    <cellStyle name="Currency [0] 3 6 2" xfId="4453" xr:uid="{00000000-0005-0000-0000-00006E000000}"/>
    <cellStyle name="Currency [0] 3 7" xfId="3641" xr:uid="{00000000-0005-0000-0000-00006F000000}"/>
    <cellStyle name="Currency [0] 3 8" xfId="994" xr:uid="{00000000-0005-0000-0000-000070000000}"/>
    <cellStyle name="Currency [0] 4" xfId="112" xr:uid="{00000000-0005-0000-0000-000071000000}"/>
    <cellStyle name="Currency [0] 4 2" xfId="222" xr:uid="{00000000-0005-0000-0000-000072000000}"/>
    <cellStyle name="Currency [0] 4 2 2" xfId="442" xr:uid="{00000000-0005-0000-0000-000073000000}"/>
    <cellStyle name="Currency [0] 4 2 2 2" xfId="883" xr:uid="{00000000-0005-0000-0000-000074000000}"/>
    <cellStyle name="Currency [0] 4 2 2 2 2" xfId="3531" xr:uid="{00000000-0005-0000-0000-000075000000}"/>
    <cellStyle name="Currency [0] 4 2 2 2 2 2" xfId="4454" xr:uid="{00000000-0005-0000-0000-000076000000}"/>
    <cellStyle name="Currency [0] 4 2 2 2 3" xfId="2649" xr:uid="{00000000-0005-0000-0000-000077000000}"/>
    <cellStyle name="Currency [0] 4 2 2 2 3 2" xfId="4455" xr:uid="{00000000-0005-0000-0000-000078000000}"/>
    <cellStyle name="Currency [0] 4 2 2 2 4" xfId="4413" xr:uid="{00000000-0005-0000-0000-000079000000}"/>
    <cellStyle name="Currency [0] 4 2 2 2 5" xfId="1766" xr:uid="{00000000-0005-0000-0000-00007A000000}"/>
    <cellStyle name="Currency [0] 4 2 2 3" xfId="3090" xr:uid="{00000000-0005-0000-0000-00007B000000}"/>
    <cellStyle name="Currency [0] 4 2 2 3 2" xfId="4456" xr:uid="{00000000-0005-0000-0000-00007C000000}"/>
    <cellStyle name="Currency [0] 4 2 2 4" xfId="2208" xr:uid="{00000000-0005-0000-0000-00007D000000}"/>
    <cellStyle name="Currency [0] 4 2 2 4 2" xfId="4457" xr:uid="{00000000-0005-0000-0000-00007E000000}"/>
    <cellStyle name="Currency [0] 4 2 2 5" xfId="3972" xr:uid="{00000000-0005-0000-0000-00007F000000}"/>
    <cellStyle name="Currency [0] 4 2 2 6" xfId="1325" xr:uid="{00000000-0005-0000-0000-000080000000}"/>
    <cellStyle name="Currency [0] 4 2 3" xfId="663" xr:uid="{00000000-0005-0000-0000-000081000000}"/>
    <cellStyle name="Currency [0] 4 2 3 2" xfId="3311" xr:uid="{00000000-0005-0000-0000-000082000000}"/>
    <cellStyle name="Currency [0] 4 2 3 2 2" xfId="4458" xr:uid="{00000000-0005-0000-0000-000083000000}"/>
    <cellStyle name="Currency [0] 4 2 3 3" xfId="2429" xr:uid="{00000000-0005-0000-0000-000084000000}"/>
    <cellStyle name="Currency [0] 4 2 3 3 2" xfId="4459" xr:uid="{00000000-0005-0000-0000-000085000000}"/>
    <cellStyle name="Currency [0] 4 2 3 4" xfId="4193" xr:uid="{00000000-0005-0000-0000-000086000000}"/>
    <cellStyle name="Currency [0] 4 2 3 5" xfId="1546" xr:uid="{00000000-0005-0000-0000-000087000000}"/>
    <cellStyle name="Currency [0] 4 2 4" xfId="2870" xr:uid="{00000000-0005-0000-0000-000088000000}"/>
    <cellStyle name="Currency [0] 4 2 4 2" xfId="4460" xr:uid="{00000000-0005-0000-0000-000089000000}"/>
    <cellStyle name="Currency [0] 4 2 5" xfId="1988" xr:uid="{00000000-0005-0000-0000-00008A000000}"/>
    <cellStyle name="Currency [0] 4 2 5 2" xfId="4461" xr:uid="{00000000-0005-0000-0000-00008B000000}"/>
    <cellStyle name="Currency [0] 4 2 6" xfId="3752" xr:uid="{00000000-0005-0000-0000-00008C000000}"/>
    <cellStyle name="Currency [0] 4 2 7" xfId="1105" xr:uid="{00000000-0005-0000-0000-00008D000000}"/>
    <cellStyle name="Currency [0] 4 3" xfId="332" xr:uid="{00000000-0005-0000-0000-00008E000000}"/>
    <cellStyle name="Currency [0] 4 3 2" xfId="773" xr:uid="{00000000-0005-0000-0000-00008F000000}"/>
    <cellStyle name="Currency [0] 4 3 2 2" xfId="3421" xr:uid="{00000000-0005-0000-0000-000090000000}"/>
    <cellStyle name="Currency [0] 4 3 2 2 2" xfId="4462" xr:uid="{00000000-0005-0000-0000-000091000000}"/>
    <cellStyle name="Currency [0] 4 3 2 3" xfId="2539" xr:uid="{00000000-0005-0000-0000-000092000000}"/>
    <cellStyle name="Currency [0] 4 3 2 3 2" xfId="4463" xr:uid="{00000000-0005-0000-0000-000093000000}"/>
    <cellStyle name="Currency [0] 4 3 2 4" xfId="4303" xr:uid="{00000000-0005-0000-0000-000094000000}"/>
    <cellStyle name="Currency [0] 4 3 2 5" xfId="1656" xr:uid="{00000000-0005-0000-0000-000095000000}"/>
    <cellStyle name="Currency [0] 4 3 3" xfId="2980" xr:uid="{00000000-0005-0000-0000-000096000000}"/>
    <cellStyle name="Currency [0] 4 3 3 2" xfId="4464" xr:uid="{00000000-0005-0000-0000-000097000000}"/>
    <cellStyle name="Currency [0] 4 3 4" xfId="2098" xr:uid="{00000000-0005-0000-0000-000098000000}"/>
    <cellStyle name="Currency [0] 4 3 4 2" xfId="4465" xr:uid="{00000000-0005-0000-0000-000099000000}"/>
    <cellStyle name="Currency [0] 4 3 5" xfId="3862" xr:uid="{00000000-0005-0000-0000-00009A000000}"/>
    <cellStyle name="Currency [0] 4 3 6" xfId="1215" xr:uid="{00000000-0005-0000-0000-00009B000000}"/>
    <cellStyle name="Currency [0] 4 4" xfId="553" xr:uid="{00000000-0005-0000-0000-00009C000000}"/>
    <cellStyle name="Currency [0] 4 4 2" xfId="3201" xr:uid="{00000000-0005-0000-0000-00009D000000}"/>
    <cellStyle name="Currency [0] 4 4 2 2" xfId="4466" xr:uid="{00000000-0005-0000-0000-00009E000000}"/>
    <cellStyle name="Currency [0] 4 4 3" xfId="2319" xr:uid="{00000000-0005-0000-0000-00009F000000}"/>
    <cellStyle name="Currency [0] 4 4 3 2" xfId="4467" xr:uid="{00000000-0005-0000-0000-0000A0000000}"/>
    <cellStyle name="Currency [0] 4 4 4" xfId="4083" xr:uid="{00000000-0005-0000-0000-0000A1000000}"/>
    <cellStyle name="Currency [0] 4 4 5" xfId="1436" xr:uid="{00000000-0005-0000-0000-0000A2000000}"/>
    <cellStyle name="Currency [0] 4 5" xfId="2760" xr:uid="{00000000-0005-0000-0000-0000A3000000}"/>
    <cellStyle name="Currency [0] 4 5 2" xfId="4468" xr:uid="{00000000-0005-0000-0000-0000A4000000}"/>
    <cellStyle name="Currency [0] 4 6" xfId="1878" xr:uid="{00000000-0005-0000-0000-0000A5000000}"/>
    <cellStyle name="Currency [0] 4 6 2" xfId="4469" xr:uid="{00000000-0005-0000-0000-0000A6000000}"/>
    <cellStyle name="Currency [0] 4 7" xfId="3642" xr:uid="{00000000-0005-0000-0000-0000A7000000}"/>
    <cellStyle name="Currency [0] 4 8" xfId="995" xr:uid="{00000000-0005-0000-0000-0000A8000000}"/>
    <cellStyle name="Currency 2" xfId="2" xr:uid="{00000000-0005-0000-0000-0000A9000000}"/>
    <cellStyle name="Currency 3" xfId="3" xr:uid="{00000000-0005-0000-0000-0000AA000000}"/>
    <cellStyle name="Currency 3 2" xfId="4" xr:uid="{00000000-0005-0000-0000-0000AB000000}"/>
    <cellStyle name="Currency 3 2 10" xfId="59" xr:uid="{00000000-0005-0000-0000-0000AC000000}"/>
    <cellStyle name="Currency 3 2 10 2" xfId="169" xr:uid="{00000000-0005-0000-0000-0000AD000000}"/>
    <cellStyle name="Currency 3 2 10 2 2" xfId="389" xr:uid="{00000000-0005-0000-0000-0000AE000000}"/>
    <cellStyle name="Currency 3 2 10 2 2 2" xfId="830" xr:uid="{00000000-0005-0000-0000-0000AF000000}"/>
    <cellStyle name="Currency 3 2 10 2 2 2 2" xfId="3478" xr:uid="{00000000-0005-0000-0000-0000B0000000}"/>
    <cellStyle name="Currency 3 2 10 2 2 2 2 2" xfId="4470" xr:uid="{00000000-0005-0000-0000-0000B1000000}"/>
    <cellStyle name="Currency 3 2 10 2 2 2 3" xfId="2596" xr:uid="{00000000-0005-0000-0000-0000B2000000}"/>
    <cellStyle name="Currency 3 2 10 2 2 2 3 2" xfId="4471" xr:uid="{00000000-0005-0000-0000-0000B3000000}"/>
    <cellStyle name="Currency 3 2 10 2 2 2 4" xfId="4360" xr:uid="{00000000-0005-0000-0000-0000B4000000}"/>
    <cellStyle name="Currency 3 2 10 2 2 2 5" xfId="1713" xr:uid="{00000000-0005-0000-0000-0000B5000000}"/>
    <cellStyle name="Currency 3 2 10 2 2 3" xfId="3037" xr:uid="{00000000-0005-0000-0000-0000B6000000}"/>
    <cellStyle name="Currency 3 2 10 2 2 3 2" xfId="4472" xr:uid="{00000000-0005-0000-0000-0000B7000000}"/>
    <cellStyle name="Currency 3 2 10 2 2 4" xfId="2155" xr:uid="{00000000-0005-0000-0000-0000B8000000}"/>
    <cellStyle name="Currency 3 2 10 2 2 4 2" xfId="4473" xr:uid="{00000000-0005-0000-0000-0000B9000000}"/>
    <cellStyle name="Currency 3 2 10 2 2 5" xfId="3919" xr:uid="{00000000-0005-0000-0000-0000BA000000}"/>
    <cellStyle name="Currency 3 2 10 2 2 6" xfId="1272" xr:uid="{00000000-0005-0000-0000-0000BB000000}"/>
    <cellStyle name="Currency 3 2 10 2 3" xfId="610" xr:uid="{00000000-0005-0000-0000-0000BC000000}"/>
    <cellStyle name="Currency 3 2 10 2 3 2" xfId="3258" xr:uid="{00000000-0005-0000-0000-0000BD000000}"/>
    <cellStyle name="Currency 3 2 10 2 3 2 2" xfId="4474" xr:uid="{00000000-0005-0000-0000-0000BE000000}"/>
    <cellStyle name="Currency 3 2 10 2 3 3" xfId="2376" xr:uid="{00000000-0005-0000-0000-0000BF000000}"/>
    <cellStyle name="Currency 3 2 10 2 3 3 2" xfId="4475" xr:uid="{00000000-0005-0000-0000-0000C0000000}"/>
    <cellStyle name="Currency 3 2 10 2 3 4" xfId="4140" xr:uid="{00000000-0005-0000-0000-0000C1000000}"/>
    <cellStyle name="Currency 3 2 10 2 3 5" xfId="1493" xr:uid="{00000000-0005-0000-0000-0000C2000000}"/>
    <cellStyle name="Currency 3 2 10 2 4" xfId="2817" xr:uid="{00000000-0005-0000-0000-0000C3000000}"/>
    <cellStyle name="Currency 3 2 10 2 4 2" xfId="4476" xr:uid="{00000000-0005-0000-0000-0000C4000000}"/>
    <cellStyle name="Currency 3 2 10 2 5" xfId="1935" xr:uid="{00000000-0005-0000-0000-0000C5000000}"/>
    <cellStyle name="Currency 3 2 10 2 5 2" xfId="4477" xr:uid="{00000000-0005-0000-0000-0000C6000000}"/>
    <cellStyle name="Currency 3 2 10 2 6" xfId="3699" xr:uid="{00000000-0005-0000-0000-0000C7000000}"/>
    <cellStyle name="Currency 3 2 10 2 7" xfId="1052" xr:uid="{00000000-0005-0000-0000-0000C8000000}"/>
    <cellStyle name="Currency 3 2 10 3" xfId="279" xr:uid="{00000000-0005-0000-0000-0000C9000000}"/>
    <cellStyle name="Currency 3 2 10 3 2" xfId="720" xr:uid="{00000000-0005-0000-0000-0000CA000000}"/>
    <cellStyle name="Currency 3 2 10 3 2 2" xfId="3368" xr:uid="{00000000-0005-0000-0000-0000CB000000}"/>
    <cellStyle name="Currency 3 2 10 3 2 2 2" xfId="4478" xr:uid="{00000000-0005-0000-0000-0000CC000000}"/>
    <cellStyle name="Currency 3 2 10 3 2 3" xfId="2486" xr:uid="{00000000-0005-0000-0000-0000CD000000}"/>
    <cellStyle name="Currency 3 2 10 3 2 3 2" xfId="4479" xr:uid="{00000000-0005-0000-0000-0000CE000000}"/>
    <cellStyle name="Currency 3 2 10 3 2 4" xfId="4250" xr:uid="{00000000-0005-0000-0000-0000CF000000}"/>
    <cellStyle name="Currency 3 2 10 3 2 5" xfId="1603" xr:uid="{00000000-0005-0000-0000-0000D0000000}"/>
    <cellStyle name="Currency 3 2 10 3 3" xfId="2927" xr:uid="{00000000-0005-0000-0000-0000D1000000}"/>
    <cellStyle name="Currency 3 2 10 3 3 2" xfId="4480" xr:uid="{00000000-0005-0000-0000-0000D2000000}"/>
    <cellStyle name="Currency 3 2 10 3 4" xfId="2045" xr:uid="{00000000-0005-0000-0000-0000D3000000}"/>
    <cellStyle name="Currency 3 2 10 3 4 2" xfId="4481" xr:uid="{00000000-0005-0000-0000-0000D4000000}"/>
    <cellStyle name="Currency 3 2 10 3 5" xfId="3809" xr:uid="{00000000-0005-0000-0000-0000D5000000}"/>
    <cellStyle name="Currency 3 2 10 3 6" xfId="1162" xr:uid="{00000000-0005-0000-0000-0000D6000000}"/>
    <cellStyle name="Currency 3 2 10 4" xfId="500" xr:uid="{00000000-0005-0000-0000-0000D7000000}"/>
    <cellStyle name="Currency 3 2 10 4 2" xfId="3148" xr:uid="{00000000-0005-0000-0000-0000D8000000}"/>
    <cellStyle name="Currency 3 2 10 4 2 2" xfId="4482" xr:uid="{00000000-0005-0000-0000-0000D9000000}"/>
    <cellStyle name="Currency 3 2 10 4 3" xfId="2266" xr:uid="{00000000-0005-0000-0000-0000DA000000}"/>
    <cellStyle name="Currency 3 2 10 4 3 2" xfId="4483" xr:uid="{00000000-0005-0000-0000-0000DB000000}"/>
    <cellStyle name="Currency 3 2 10 4 4" xfId="4030" xr:uid="{00000000-0005-0000-0000-0000DC000000}"/>
    <cellStyle name="Currency 3 2 10 4 5" xfId="1383" xr:uid="{00000000-0005-0000-0000-0000DD000000}"/>
    <cellStyle name="Currency 3 2 10 5" xfId="2707" xr:uid="{00000000-0005-0000-0000-0000DE000000}"/>
    <cellStyle name="Currency 3 2 10 5 2" xfId="4484" xr:uid="{00000000-0005-0000-0000-0000DF000000}"/>
    <cellStyle name="Currency 3 2 10 6" xfId="1825" xr:uid="{00000000-0005-0000-0000-0000E0000000}"/>
    <cellStyle name="Currency 3 2 10 6 2" xfId="4485" xr:uid="{00000000-0005-0000-0000-0000E1000000}"/>
    <cellStyle name="Currency 3 2 10 7" xfId="3589" xr:uid="{00000000-0005-0000-0000-0000E2000000}"/>
    <cellStyle name="Currency 3 2 10 8" xfId="942" xr:uid="{00000000-0005-0000-0000-0000E3000000}"/>
    <cellStyle name="Currency 3 2 11" xfId="75" xr:uid="{00000000-0005-0000-0000-0000E4000000}"/>
    <cellStyle name="Currency 3 2 11 2" xfId="185" xr:uid="{00000000-0005-0000-0000-0000E5000000}"/>
    <cellStyle name="Currency 3 2 11 2 2" xfId="405" xr:uid="{00000000-0005-0000-0000-0000E6000000}"/>
    <cellStyle name="Currency 3 2 11 2 2 2" xfId="846" xr:uid="{00000000-0005-0000-0000-0000E7000000}"/>
    <cellStyle name="Currency 3 2 11 2 2 2 2" xfId="3494" xr:uid="{00000000-0005-0000-0000-0000E8000000}"/>
    <cellStyle name="Currency 3 2 11 2 2 2 2 2" xfId="4486" xr:uid="{00000000-0005-0000-0000-0000E9000000}"/>
    <cellStyle name="Currency 3 2 11 2 2 2 3" xfId="2612" xr:uid="{00000000-0005-0000-0000-0000EA000000}"/>
    <cellStyle name="Currency 3 2 11 2 2 2 3 2" xfId="4487" xr:uid="{00000000-0005-0000-0000-0000EB000000}"/>
    <cellStyle name="Currency 3 2 11 2 2 2 4" xfId="4376" xr:uid="{00000000-0005-0000-0000-0000EC000000}"/>
    <cellStyle name="Currency 3 2 11 2 2 2 5" xfId="1729" xr:uid="{00000000-0005-0000-0000-0000ED000000}"/>
    <cellStyle name="Currency 3 2 11 2 2 3" xfId="3053" xr:uid="{00000000-0005-0000-0000-0000EE000000}"/>
    <cellStyle name="Currency 3 2 11 2 2 3 2" xfId="4488" xr:uid="{00000000-0005-0000-0000-0000EF000000}"/>
    <cellStyle name="Currency 3 2 11 2 2 4" xfId="2171" xr:uid="{00000000-0005-0000-0000-0000F0000000}"/>
    <cellStyle name="Currency 3 2 11 2 2 4 2" xfId="4489" xr:uid="{00000000-0005-0000-0000-0000F1000000}"/>
    <cellStyle name="Currency 3 2 11 2 2 5" xfId="3935" xr:uid="{00000000-0005-0000-0000-0000F2000000}"/>
    <cellStyle name="Currency 3 2 11 2 2 6" xfId="1288" xr:uid="{00000000-0005-0000-0000-0000F3000000}"/>
    <cellStyle name="Currency 3 2 11 2 3" xfId="626" xr:uid="{00000000-0005-0000-0000-0000F4000000}"/>
    <cellStyle name="Currency 3 2 11 2 3 2" xfId="3274" xr:uid="{00000000-0005-0000-0000-0000F5000000}"/>
    <cellStyle name="Currency 3 2 11 2 3 2 2" xfId="4490" xr:uid="{00000000-0005-0000-0000-0000F6000000}"/>
    <cellStyle name="Currency 3 2 11 2 3 3" xfId="2392" xr:uid="{00000000-0005-0000-0000-0000F7000000}"/>
    <cellStyle name="Currency 3 2 11 2 3 3 2" xfId="4491" xr:uid="{00000000-0005-0000-0000-0000F8000000}"/>
    <cellStyle name="Currency 3 2 11 2 3 4" xfId="4156" xr:uid="{00000000-0005-0000-0000-0000F9000000}"/>
    <cellStyle name="Currency 3 2 11 2 3 5" xfId="1509" xr:uid="{00000000-0005-0000-0000-0000FA000000}"/>
    <cellStyle name="Currency 3 2 11 2 4" xfId="2833" xr:uid="{00000000-0005-0000-0000-0000FB000000}"/>
    <cellStyle name="Currency 3 2 11 2 4 2" xfId="4492" xr:uid="{00000000-0005-0000-0000-0000FC000000}"/>
    <cellStyle name="Currency 3 2 11 2 5" xfId="1951" xr:uid="{00000000-0005-0000-0000-0000FD000000}"/>
    <cellStyle name="Currency 3 2 11 2 5 2" xfId="4493" xr:uid="{00000000-0005-0000-0000-0000FE000000}"/>
    <cellStyle name="Currency 3 2 11 2 6" xfId="3715" xr:uid="{00000000-0005-0000-0000-0000FF000000}"/>
    <cellStyle name="Currency 3 2 11 2 7" xfId="1068" xr:uid="{00000000-0005-0000-0000-000000010000}"/>
    <cellStyle name="Currency 3 2 11 3" xfId="295" xr:uid="{00000000-0005-0000-0000-000001010000}"/>
    <cellStyle name="Currency 3 2 11 3 2" xfId="736" xr:uid="{00000000-0005-0000-0000-000002010000}"/>
    <cellStyle name="Currency 3 2 11 3 2 2" xfId="3384" xr:uid="{00000000-0005-0000-0000-000003010000}"/>
    <cellStyle name="Currency 3 2 11 3 2 2 2" xfId="4494" xr:uid="{00000000-0005-0000-0000-000004010000}"/>
    <cellStyle name="Currency 3 2 11 3 2 3" xfId="2502" xr:uid="{00000000-0005-0000-0000-000005010000}"/>
    <cellStyle name="Currency 3 2 11 3 2 3 2" xfId="4495" xr:uid="{00000000-0005-0000-0000-000006010000}"/>
    <cellStyle name="Currency 3 2 11 3 2 4" xfId="4266" xr:uid="{00000000-0005-0000-0000-000007010000}"/>
    <cellStyle name="Currency 3 2 11 3 2 5" xfId="1619" xr:uid="{00000000-0005-0000-0000-000008010000}"/>
    <cellStyle name="Currency 3 2 11 3 3" xfId="2943" xr:uid="{00000000-0005-0000-0000-000009010000}"/>
    <cellStyle name="Currency 3 2 11 3 3 2" xfId="4496" xr:uid="{00000000-0005-0000-0000-00000A010000}"/>
    <cellStyle name="Currency 3 2 11 3 4" xfId="2061" xr:uid="{00000000-0005-0000-0000-00000B010000}"/>
    <cellStyle name="Currency 3 2 11 3 4 2" xfId="4497" xr:uid="{00000000-0005-0000-0000-00000C010000}"/>
    <cellStyle name="Currency 3 2 11 3 5" xfId="3825" xr:uid="{00000000-0005-0000-0000-00000D010000}"/>
    <cellStyle name="Currency 3 2 11 3 6" xfId="1178" xr:uid="{00000000-0005-0000-0000-00000E010000}"/>
    <cellStyle name="Currency 3 2 11 4" xfId="516" xr:uid="{00000000-0005-0000-0000-00000F010000}"/>
    <cellStyle name="Currency 3 2 11 4 2" xfId="3164" xr:uid="{00000000-0005-0000-0000-000010010000}"/>
    <cellStyle name="Currency 3 2 11 4 2 2" xfId="4498" xr:uid="{00000000-0005-0000-0000-000011010000}"/>
    <cellStyle name="Currency 3 2 11 4 3" xfId="2282" xr:uid="{00000000-0005-0000-0000-000012010000}"/>
    <cellStyle name="Currency 3 2 11 4 3 2" xfId="4499" xr:uid="{00000000-0005-0000-0000-000013010000}"/>
    <cellStyle name="Currency 3 2 11 4 4" xfId="4046" xr:uid="{00000000-0005-0000-0000-000014010000}"/>
    <cellStyle name="Currency 3 2 11 4 5" xfId="1399" xr:uid="{00000000-0005-0000-0000-000015010000}"/>
    <cellStyle name="Currency 3 2 11 5" xfId="2723" xr:uid="{00000000-0005-0000-0000-000016010000}"/>
    <cellStyle name="Currency 3 2 11 5 2" xfId="4500" xr:uid="{00000000-0005-0000-0000-000017010000}"/>
    <cellStyle name="Currency 3 2 11 6" xfId="1841" xr:uid="{00000000-0005-0000-0000-000018010000}"/>
    <cellStyle name="Currency 3 2 11 6 2" xfId="4501" xr:uid="{00000000-0005-0000-0000-000019010000}"/>
    <cellStyle name="Currency 3 2 11 7" xfId="3605" xr:uid="{00000000-0005-0000-0000-00001A010000}"/>
    <cellStyle name="Currency 3 2 11 8" xfId="958" xr:uid="{00000000-0005-0000-0000-00001B010000}"/>
    <cellStyle name="Currency 3 2 12" xfId="119" xr:uid="{00000000-0005-0000-0000-00001C010000}"/>
    <cellStyle name="Currency 3 2 12 2" xfId="339" xr:uid="{00000000-0005-0000-0000-00001D010000}"/>
    <cellStyle name="Currency 3 2 12 2 2" xfId="780" xr:uid="{00000000-0005-0000-0000-00001E010000}"/>
    <cellStyle name="Currency 3 2 12 2 2 2" xfId="3428" xr:uid="{00000000-0005-0000-0000-00001F010000}"/>
    <cellStyle name="Currency 3 2 12 2 2 2 2" xfId="4502" xr:uid="{00000000-0005-0000-0000-000020010000}"/>
    <cellStyle name="Currency 3 2 12 2 2 3" xfId="2546" xr:uid="{00000000-0005-0000-0000-000021010000}"/>
    <cellStyle name="Currency 3 2 12 2 2 3 2" xfId="4503" xr:uid="{00000000-0005-0000-0000-000022010000}"/>
    <cellStyle name="Currency 3 2 12 2 2 4" xfId="4310" xr:uid="{00000000-0005-0000-0000-000023010000}"/>
    <cellStyle name="Currency 3 2 12 2 2 5" xfId="1663" xr:uid="{00000000-0005-0000-0000-000024010000}"/>
    <cellStyle name="Currency 3 2 12 2 3" xfId="2987" xr:uid="{00000000-0005-0000-0000-000025010000}"/>
    <cellStyle name="Currency 3 2 12 2 3 2" xfId="4504" xr:uid="{00000000-0005-0000-0000-000026010000}"/>
    <cellStyle name="Currency 3 2 12 2 4" xfId="2105" xr:uid="{00000000-0005-0000-0000-000027010000}"/>
    <cellStyle name="Currency 3 2 12 2 4 2" xfId="4505" xr:uid="{00000000-0005-0000-0000-000028010000}"/>
    <cellStyle name="Currency 3 2 12 2 5" xfId="3869" xr:uid="{00000000-0005-0000-0000-000029010000}"/>
    <cellStyle name="Currency 3 2 12 2 6" xfId="1222" xr:uid="{00000000-0005-0000-0000-00002A010000}"/>
    <cellStyle name="Currency 3 2 12 3" xfId="560" xr:uid="{00000000-0005-0000-0000-00002B010000}"/>
    <cellStyle name="Currency 3 2 12 3 2" xfId="3208" xr:uid="{00000000-0005-0000-0000-00002C010000}"/>
    <cellStyle name="Currency 3 2 12 3 2 2" xfId="4506" xr:uid="{00000000-0005-0000-0000-00002D010000}"/>
    <cellStyle name="Currency 3 2 12 3 3" xfId="2326" xr:uid="{00000000-0005-0000-0000-00002E010000}"/>
    <cellStyle name="Currency 3 2 12 3 3 2" xfId="4507" xr:uid="{00000000-0005-0000-0000-00002F010000}"/>
    <cellStyle name="Currency 3 2 12 3 4" xfId="4090" xr:uid="{00000000-0005-0000-0000-000030010000}"/>
    <cellStyle name="Currency 3 2 12 3 5" xfId="1443" xr:uid="{00000000-0005-0000-0000-000031010000}"/>
    <cellStyle name="Currency 3 2 12 4" xfId="2767" xr:uid="{00000000-0005-0000-0000-000032010000}"/>
    <cellStyle name="Currency 3 2 12 4 2" xfId="4508" xr:uid="{00000000-0005-0000-0000-000033010000}"/>
    <cellStyle name="Currency 3 2 12 5" xfId="1885" xr:uid="{00000000-0005-0000-0000-000034010000}"/>
    <cellStyle name="Currency 3 2 12 5 2" xfId="4509" xr:uid="{00000000-0005-0000-0000-000035010000}"/>
    <cellStyle name="Currency 3 2 12 6" xfId="3649" xr:uid="{00000000-0005-0000-0000-000036010000}"/>
    <cellStyle name="Currency 3 2 12 7" xfId="1002" xr:uid="{00000000-0005-0000-0000-000037010000}"/>
    <cellStyle name="Currency 3 2 13" xfId="229" xr:uid="{00000000-0005-0000-0000-000038010000}"/>
    <cellStyle name="Currency 3 2 13 2" xfId="670" xr:uid="{00000000-0005-0000-0000-000039010000}"/>
    <cellStyle name="Currency 3 2 13 2 2" xfId="3318" xr:uid="{00000000-0005-0000-0000-00003A010000}"/>
    <cellStyle name="Currency 3 2 13 2 2 2" xfId="4510" xr:uid="{00000000-0005-0000-0000-00003B010000}"/>
    <cellStyle name="Currency 3 2 13 2 3" xfId="2436" xr:uid="{00000000-0005-0000-0000-00003C010000}"/>
    <cellStyle name="Currency 3 2 13 2 3 2" xfId="4511" xr:uid="{00000000-0005-0000-0000-00003D010000}"/>
    <cellStyle name="Currency 3 2 13 2 4" xfId="4200" xr:uid="{00000000-0005-0000-0000-00003E010000}"/>
    <cellStyle name="Currency 3 2 13 2 5" xfId="1553" xr:uid="{00000000-0005-0000-0000-00003F010000}"/>
    <cellStyle name="Currency 3 2 13 3" xfId="2877" xr:uid="{00000000-0005-0000-0000-000040010000}"/>
    <cellStyle name="Currency 3 2 13 3 2" xfId="4512" xr:uid="{00000000-0005-0000-0000-000041010000}"/>
    <cellStyle name="Currency 3 2 13 4" xfId="1995" xr:uid="{00000000-0005-0000-0000-000042010000}"/>
    <cellStyle name="Currency 3 2 13 4 2" xfId="4513" xr:uid="{00000000-0005-0000-0000-000043010000}"/>
    <cellStyle name="Currency 3 2 13 5" xfId="3759" xr:uid="{00000000-0005-0000-0000-000044010000}"/>
    <cellStyle name="Currency 3 2 13 6" xfId="1112" xr:uid="{00000000-0005-0000-0000-000045010000}"/>
    <cellStyle name="Currency 3 2 14" xfId="450" xr:uid="{00000000-0005-0000-0000-000046010000}"/>
    <cellStyle name="Currency 3 2 14 2" xfId="3098" xr:uid="{00000000-0005-0000-0000-000047010000}"/>
    <cellStyle name="Currency 3 2 14 2 2" xfId="4514" xr:uid="{00000000-0005-0000-0000-000048010000}"/>
    <cellStyle name="Currency 3 2 14 3" xfId="2216" xr:uid="{00000000-0005-0000-0000-000049010000}"/>
    <cellStyle name="Currency 3 2 14 3 2" xfId="4515" xr:uid="{00000000-0005-0000-0000-00004A010000}"/>
    <cellStyle name="Currency 3 2 14 4" xfId="3980" xr:uid="{00000000-0005-0000-0000-00004B010000}"/>
    <cellStyle name="Currency 3 2 14 5" xfId="1333" xr:uid="{00000000-0005-0000-0000-00004C010000}"/>
    <cellStyle name="Currency 3 2 15" xfId="2657" xr:uid="{00000000-0005-0000-0000-00004D010000}"/>
    <cellStyle name="Currency 3 2 15 2" xfId="4516" xr:uid="{00000000-0005-0000-0000-00004E010000}"/>
    <cellStyle name="Currency 3 2 16" xfId="1775" xr:uid="{00000000-0005-0000-0000-00004F010000}"/>
    <cellStyle name="Currency 3 2 16 2" xfId="4517" xr:uid="{00000000-0005-0000-0000-000050010000}"/>
    <cellStyle name="Currency 3 2 17" xfId="3539" xr:uid="{00000000-0005-0000-0000-000051010000}"/>
    <cellStyle name="Currency 3 2 18" xfId="892" xr:uid="{00000000-0005-0000-0000-000052010000}"/>
    <cellStyle name="Currency 3 2 2" xfId="11" xr:uid="{00000000-0005-0000-0000-000053010000}"/>
    <cellStyle name="Currency 3 2 2 10" xfId="453" xr:uid="{00000000-0005-0000-0000-000054010000}"/>
    <cellStyle name="Currency 3 2 2 10 2" xfId="3101" xr:uid="{00000000-0005-0000-0000-000055010000}"/>
    <cellStyle name="Currency 3 2 2 10 2 2" xfId="4518" xr:uid="{00000000-0005-0000-0000-000056010000}"/>
    <cellStyle name="Currency 3 2 2 10 3" xfId="2219" xr:uid="{00000000-0005-0000-0000-000057010000}"/>
    <cellStyle name="Currency 3 2 2 10 3 2" xfId="4519" xr:uid="{00000000-0005-0000-0000-000058010000}"/>
    <cellStyle name="Currency 3 2 2 10 4" xfId="3983" xr:uid="{00000000-0005-0000-0000-000059010000}"/>
    <cellStyle name="Currency 3 2 2 10 5" xfId="1336" xr:uid="{00000000-0005-0000-0000-00005A010000}"/>
    <cellStyle name="Currency 3 2 2 11" xfId="2660" xr:uid="{00000000-0005-0000-0000-00005B010000}"/>
    <cellStyle name="Currency 3 2 2 11 2" xfId="4520" xr:uid="{00000000-0005-0000-0000-00005C010000}"/>
    <cellStyle name="Currency 3 2 2 12" xfId="1778" xr:uid="{00000000-0005-0000-0000-00005D010000}"/>
    <cellStyle name="Currency 3 2 2 12 2" xfId="4521" xr:uid="{00000000-0005-0000-0000-00005E010000}"/>
    <cellStyle name="Currency 3 2 2 13" xfId="3542" xr:uid="{00000000-0005-0000-0000-00005F010000}"/>
    <cellStyle name="Currency 3 2 2 14" xfId="895" xr:uid="{00000000-0005-0000-0000-000060010000}"/>
    <cellStyle name="Currency 3 2 2 2" xfId="28" xr:uid="{00000000-0005-0000-0000-000061010000}"/>
    <cellStyle name="Currency 3 2 2 2 2" xfId="94" xr:uid="{00000000-0005-0000-0000-000062010000}"/>
    <cellStyle name="Currency 3 2 2 2 2 2" xfId="204" xr:uid="{00000000-0005-0000-0000-000063010000}"/>
    <cellStyle name="Currency 3 2 2 2 2 2 2" xfId="424" xr:uid="{00000000-0005-0000-0000-000064010000}"/>
    <cellStyle name="Currency 3 2 2 2 2 2 2 2" xfId="865" xr:uid="{00000000-0005-0000-0000-000065010000}"/>
    <cellStyle name="Currency 3 2 2 2 2 2 2 2 2" xfId="3513" xr:uid="{00000000-0005-0000-0000-000066010000}"/>
    <cellStyle name="Currency 3 2 2 2 2 2 2 2 2 2" xfId="4522" xr:uid="{00000000-0005-0000-0000-000067010000}"/>
    <cellStyle name="Currency 3 2 2 2 2 2 2 2 3" xfId="2631" xr:uid="{00000000-0005-0000-0000-000068010000}"/>
    <cellStyle name="Currency 3 2 2 2 2 2 2 2 3 2" xfId="4523" xr:uid="{00000000-0005-0000-0000-000069010000}"/>
    <cellStyle name="Currency 3 2 2 2 2 2 2 2 4" xfId="4395" xr:uid="{00000000-0005-0000-0000-00006A010000}"/>
    <cellStyle name="Currency 3 2 2 2 2 2 2 2 5" xfId="1748" xr:uid="{00000000-0005-0000-0000-00006B010000}"/>
    <cellStyle name="Currency 3 2 2 2 2 2 2 3" xfId="3072" xr:uid="{00000000-0005-0000-0000-00006C010000}"/>
    <cellStyle name="Currency 3 2 2 2 2 2 2 3 2" xfId="4524" xr:uid="{00000000-0005-0000-0000-00006D010000}"/>
    <cellStyle name="Currency 3 2 2 2 2 2 2 4" xfId="2190" xr:uid="{00000000-0005-0000-0000-00006E010000}"/>
    <cellStyle name="Currency 3 2 2 2 2 2 2 4 2" xfId="4525" xr:uid="{00000000-0005-0000-0000-00006F010000}"/>
    <cellStyle name="Currency 3 2 2 2 2 2 2 5" xfId="3954" xr:uid="{00000000-0005-0000-0000-000070010000}"/>
    <cellStyle name="Currency 3 2 2 2 2 2 2 6" xfId="1307" xr:uid="{00000000-0005-0000-0000-000071010000}"/>
    <cellStyle name="Currency 3 2 2 2 2 2 3" xfId="645" xr:uid="{00000000-0005-0000-0000-000072010000}"/>
    <cellStyle name="Currency 3 2 2 2 2 2 3 2" xfId="3293" xr:uid="{00000000-0005-0000-0000-000073010000}"/>
    <cellStyle name="Currency 3 2 2 2 2 2 3 2 2" xfId="4526" xr:uid="{00000000-0005-0000-0000-000074010000}"/>
    <cellStyle name="Currency 3 2 2 2 2 2 3 3" xfId="2411" xr:uid="{00000000-0005-0000-0000-000075010000}"/>
    <cellStyle name="Currency 3 2 2 2 2 2 3 3 2" xfId="4527" xr:uid="{00000000-0005-0000-0000-000076010000}"/>
    <cellStyle name="Currency 3 2 2 2 2 2 3 4" xfId="4175" xr:uid="{00000000-0005-0000-0000-000077010000}"/>
    <cellStyle name="Currency 3 2 2 2 2 2 3 5" xfId="1528" xr:uid="{00000000-0005-0000-0000-000078010000}"/>
    <cellStyle name="Currency 3 2 2 2 2 2 4" xfId="2852" xr:uid="{00000000-0005-0000-0000-000079010000}"/>
    <cellStyle name="Currency 3 2 2 2 2 2 4 2" xfId="4528" xr:uid="{00000000-0005-0000-0000-00007A010000}"/>
    <cellStyle name="Currency 3 2 2 2 2 2 5" xfId="1970" xr:uid="{00000000-0005-0000-0000-00007B010000}"/>
    <cellStyle name="Currency 3 2 2 2 2 2 5 2" xfId="4529" xr:uid="{00000000-0005-0000-0000-00007C010000}"/>
    <cellStyle name="Currency 3 2 2 2 2 2 6" xfId="3734" xr:uid="{00000000-0005-0000-0000-00007D010000}"/>
    <cellStyle name="Currency 3 2 2 2 2 2 7" xfId="1087" xr:uid="{00000000-0005-0000-0000-00007E010000}"/>
    <cellStyle name="Currency 3 2 2 2 2 3" xfId="314" xr:uid="{00000000-0005-0000-0000-00007F010000}"/>
    <cellStyle name="Currency 3 2 2 2 2 3 2" xfId="755" xr:uid="{00000000-0005-0000-0000-000080010000}"/>
    <cellStyle name="Currency 3 2 2 2 2 3 2 2" xfId="3403" xr:uid="{00000000-0005-0000-0000-000081010000}"/>
    <cellStyle name="Currency 3 2 2 2 2 3 2 2 2" xfId="4530" xr:uid="{00000000-0005-0000-0000-000082010000}"/>
    <cellStyle name="Currency 3 2 2 2 2 3 2 3" xfId="2521" xr:uid="{00000000-0005-0000-0000-000083010000}"/>
    <cellStyle name="Currency 3 2 2 2 2 3 2 3 2" xfId="4531" xr:uid="{00000000-0005-0000-0000-000084010000}"/>
    <cellStyle name="Currency 3 2 2 2 2 3 2 4" xfId="4285" xr:uid="{00000000-0005-0000-0000-000085010000}"/>
    <cellStyle name="Currency 3 2 2 2 2 3 2 5" xfId="1638" xr:uid="{00000000-0005-0000-0000-000086010000}"/>
    <cellStyle name="Currency 3 2 2 2 2 3 3" xfId="2962" xr:uid="{00000000-0005-0000-0000-000087010000}"/>
    <cellStyle name="Currency 3 2 2 2 2 3 3 2" xfId="4532" xr:uid="{00000000-0005-0000-0000-000088010000}"/>
    <cellStyle name="Currency 3 2 2 2 2 3 4" xfId="2080" xr:uid="{00000000-0005-0000-0000-000089010000}"/>
    <cellStyle name="Currency 3 2 2 2 2 3 4 2" xfId="4533" xr:uid="{00000000-0005-0000-0000-00008A010000}"/>
    <cellStyle name="Currency 3 2 2 2 2 3 5" xfId="3844" xr:uid="{00000000-0005-0000-0000-00008B010000}"/>
    <cellStyle name="Currency 3 2 2 2 2 3 6" xfId="1197" xr:uid="{00000000-0005-0000-0000-00008C010000}"/>
    <cellStyle name="Currency 3 2 2 2 2 4" xfId="535" xr:uid="{00000000-0005-0000-0000-00008D010000}"/>
    <cellStyle name="Currency 3 2 2 2 2 4 2" xfId="3183" xr:uid="{00000000-0005-0000-0000-00008E010000}"/>
    <cellStyle name="Currency 3 2 2 2 2 4 2 2" xfId="4534" xr:uid="{00000000-0005-0000-0000-00008F010000}"/>
    <cellStyle name="Currency 3 2 2 2 2 4 3" xfId="2301" xr:uid="{00000000-0005-0000-0000-000090010000}"/>
    <cellStyle name="Currency 3 2 2 2 2 4 3 2" xfId="4535" xr:uid="{00000000-0005-0000-0000-000091010000}"/>
    <cellStyle name="Currency 3 2 2 2 2 4 4" xfId="4065" xr:uid="{00000000-0005-0000-0000-000092010000}"/>
    <cellStyle name="Currency 3 2 2 2 2 4 5" xfId="1418" xr:uid="{00000000-0005-0000-0000-000093010000}"/>
    <cellStyle name="Currency 3 2 2 2 2 5" xfId="2742" xr:uid="{00000000-0005-0000-0000-000094010000}"/>
    <cellStyle name="Currency 3 2 2 2 2 5 2" xfId="4536" xr:uid="{00000000-0005-0000-0000-000095010000}"/>
    <cellStyle name="Currency 3 2 2 2 2 6" xfId="1860" xr:uid="{00000000-0005-0000-0000-000096010000}"/>
    <cellStyle name="Currency 3 2 2 2 2 6 2" xfId="4537" xr:uid="{00000000-0005-0000-0000-000097010000}"/>
    <cellStyle name="Currency 3 2 2 2 2 7" xfId="3624" xr:uid="{00000000-0005-0000-0000-000098010000}"/>
    <cellStyle name="Currency 3 2 2 2 2 8" xfId="977" xr:uid="{00000000-0005-0000-0000-000099010000}"/>
    <cellStyle name="Currency 3 2 2 2 3" xfId="138" xr:uid="{00000000-0005-0000-0000-00009A010000}"/>
    <cellStyle name="Currency 3 2 2 2 3 2" xfId="358" xr:uid="{00000000-0005-0000-0000-00009B010000}"/>
    <cellStyle name="Currency 3 2 2 2 3 2 2" xfId="799" xr:uid="{00000000-0005-0000-0000-00009C010000}"/>
    <cellStyle name="Currency 3 2 2 2 3 2 2 2" xfId="3447" xr:uid="{00000000-0005-0000-0000-00009D010000}"/>
    <cellStyle name="Currency 3 2 2 2 3 2 2 2 2" xfId="4538" xr:uid="{00000000-0005-0000-0000-00009E010000}"/>
    <cellStyle name="Currency 3 2 2 2 3 2 2 3" xfId="2565" xr:uid="{00000000-0005-0000-0000-00009F010000}"/>
    <cellStyle name="Currency 3 2 2 2 3 2 2 3 2" xfId="4539" xr:uid="{00000000-0005-0000-0000-0000A0010000}"/>
    <cellStyle name="Currency 3 2 2 2 3 2 2 4" xfId="4329" xr:uid="{00000000-0005-0000-0000-0000A1010000}"/>
    <cellStyle name="Currency 3 2 2 2 3 2 2 5" xfId="1682" xr:uid="{00000000-0005-0000-0000-0000A2010000}"/>
    <cellStyle name="Currency 3 2 2 2 3 2 3" xfId="3006" xr:uid="{00000000-0005-0000-0000-0000A3010000}"/>
    <cellStyle name="Currency 3 2 2 2 3 2 3 2" xfId="4540" xr:uid="{00000000-0005-0000-0000-0000A4010000}"/>
    <cellStyle name="Currency 3 2 2 2 3 2 4" xfId="2124" xr:uid="{00000000-0005-0000-0000-0000A5010000}"/>
    <cellStyle name="Currency 3 2 2 2 3 2 4 2" xfId="4541" xr:uid="{00000000-0005-0000-0000-0000A6010000}"/>
    <cellStyle name="Currency 3 2 2 2 3 2 5" xfId="3888" xr:uid="{00000000-0005-0000-0000-0000A7010000}"/>
    <cellStyle name="Currency 3 2 2 2 3 2 6" xfId="1241" xr:uid="{00000000-0005-0000-0000-0000A8010000}"/>
    <cellStyle name="Currency 3 2 2 2 3 3" xfId="579" xr:uid="{00000000-0005-0000-0000-0000A9010000}"/>
    <cellStyle name="Currency 3 2 2 2 3 3 2" xfId="3227" xr:uid="{00000000-0005-0000-0000-0000AA010000}"/>
    <cellStyle name="Currency 3 2 2 2 3 3 2 2" xfId="4542" xr:uid="{00000000-0005-0000-0000-0000AB010000}"/>
    <cellStyle name="Currency 3 2 2 2 3 3 3" xfId="2345" xr:uid="{00000000-0005-0000-0000-0000AC010000}"/>
    <cellStyle name="Currency 3 2 2 2 3 3 3 2" xfId="4543" xr:uid="{00000000-0005-0000-0000-0000AD010000}"/>
    <cellStyle name="Currency 3 2 2 2 3 3 4" xfId="4109" xr:uid="{00000000-0005-0000-0000-0000AE010000}"/>
    <cellStyle name="Currency 3 2 2 2 3 3 5" xfId="1462" xr:uid="{00000000-0005-0000-0000-0000AF010000}"/>
    <cellStyle name="Currency 3 2 2 2 3 4" xfId="2786" xr:uid="{00000000-0005-0000-0000-0000B0010000}"/>
    <cellStyle name="Currency 3 2 2 2 3 4 2" xfId="4544" xr:uid="{00000000-0005-0000-0000-0000B1010000}"/>
    <cellStyle name="Currency 3 2 2 2 3 5" xfId="1904" xr:uid="{00000000-0005-0000-0000-0000B2010000}"/>
    <cellStyle name="Currency 3 2 2 2 3 5 2" xfId="4545" xr:uid="{00000000-0005-0000-0000-0000B3010000}"/>
    <cellStyle name="Currency 3 2 2 2 3 6" xfId="3668" xr:uid="{00000000-0005-0000-0000-0000B4010000}"/>
    <cellStyle name="Currency 3 2 2 2 3 7" xfId="1021" xr:uid="{00000000-0005-0000-0000-0000B5010000}"/>
    <cellStyle name="Currency 3 2 2 2 4" xfId="248" xr:uid="{00000000-0005-0000-0000-0000B6010000}"/>
    <cellStyle name="Currency 3 2 2 2 4 2" xfId="689" xr:uid="{00000000-0005-0000-0000-0000B7010000}"/>
    <cellStyle name="Currency 3 2 2 2 4 2 2" xfId="3337" xr:uid="{00000000-0005-0000-0000-0000B8010000}"/>
    <cellStyle name="Currency 3 2 2 2 4 2 2 2" xfId="4546" xr:uid="{00000000-0005-0000-0000-0000B9010000}"/>
    <cellStyle name="Currency 3 2 2 2 4 2 3" xfId="2455" xr:uid="{00000000-0005-0000-0000-0000BA010000}"/>
    <cellStyle name="Currency 3 2 2 2 4 2 3 2" xfId="4547" xr:uid="{00000000-0005-0000-0000-0000BB010000}"/>
    <cellStyle name="Currency 3 2 2 2 4 2 4" xfId="4219" xr:uid="{00000000-0005-0000-0000-0000BC010000}"/>
    <cellStyle name="Currency 3 2 2 2 4 2 5" xfId="1572" xr:uid="{00000000-0005-0000-0000-0000BD010000}"/>
    <cellStyle name="Currency 3 2 2 2 4 3" xfId="2896" xr:uid="{00000000-0005-0000-0000-0000BE010000}"/>
    <cellStyle name="Currency 3 2 2 2 4 3 2" xfId="4548" xr:uid="{00000000-0005-0000-0000-0000BF010000}"/>
    <cellStyle name="Currency 3 2 2 2 4 4" xfId="2014" xr:uid="{00000000-0005-0000-0000-0000C0010000}"/>
    <cellStyle name="Currency 3 2 2 2 4 4 2" xfId="4549" xr:uid="{00000000-0005-0000-0000-0000C1010000}"/>
    <cellStyle name="Currency 3 2 2 2 4 5" xfId="3778" xr:uid="{00000000-0005-0000-0000-0000C2010000}"/>
    <cellStyle name="Currency 3 2 2 2 4 6" xfId="1131" xr:uid="{00000000-0005-0000-0000-0000C3010000}"/>
    <cellStyle name="Currency 3 2 2 2 5" xfId="469" xr:uid="{00000000-0005-0000-0000-0000C4010000}"/>
    <cellStyle name="Currency 3 2 2 2 5 2" xfId="3117" xr:uid="{00000000-0005-0000-0000-0000C5010000}"/>
    <cellStyle name="Currency 3 2 2 2 5 2 2" xfId="4550" xr:uid="{00000000-0005-0000-0000-0000C6010000}"/>
    <cellStyle name="Currency 3 2 2 2 5 3" xfId="2235" xr:uid="{00000000-0005-0000-0000-0000C7010000}"/>
    <cellStyle name="Currency 3 2 2 2 5 3 2" xfId="4551" xr:uid="{00000000-0005-0000-0000-0000C8010000}"/>
    <cellStyle name="Currency 3 2 2 2 5 4" xfId="3999" xr:uid="{00000000-0005-0000-0000-0000C9010000}"/>
    <cellStyle name="Currency 3 2 2 2 5 5" xfId="1352" xr:uid="{00000000-0005-0000-0000-0000CA010000}"/>
    <cellStyle name="Currency 3 2 2 2 6" xfId="2676" xr:uid="{00000000-0005-0000-0000-0000CB010000}"/>
    <cellStyle name="Currency 3 2 2 2 6 2" xfId="4552" xr:uid="{00000000-0005-0000-0000-0000CC010000}"/>
    <cellStyle name="Currency 3 2 2 2 7" xfId="1794" xr:uid="{00000000-0005-0000-0000-0000CD010000}"/>
    <cellStyle name="Currency 3 2 2 2 7 2" xfId="4553" xr:uid="{00000000-0005-0000-0000-0000CE010000}"/>
    <cellStyle name="Currency 3 2 2 2 8" xfId="3558" xr:uid="{00000000-0005-0000-0000-0000CF010000}"/>
    <cellStyle name="Currency 3 2 2 2 9" xfId="911" xr:uid="{00000000-0005-0000-0000-0000D0010000}"/>
    <cellStyle name="Currency 3 2 2 3" xfId="34" xr:uid="{00000000-0005-0000-0000-0000D1010000}"/>
    <cellStyle name="Currency 3 2 2 3 2" xfId="100" xr:uid="{00000000-0005-0000-0000-0000D2010000}"/>
    <cellStyle name="Currency 3 2 2 3 2 2" xfId="210" xr:uid="{00000000-0005-0000-0000-0000D3010000}"/>
    <cellStyle name="Currency 3 2 2 3 2 2 2" xfId="430" xr:uid="{00000000-0005-0000-0000-0000D4010000}"/>
    <cellStyle name="Currency 3 2 2 3 2 2 2 2" xfId="871" xr:uid="{00000000-0005-0000-0000-0000D5010000}"/>
    <cellStyle name="Currency 3 2 2 3 2 2 2 2 2" xfId="3519" xr:uid="{00000000-0005-0000-0000-0000D6010000}"/>
    <cellStyle name="Currency 3 2 2 3 2 2 2 2 2 2" xfId="4554" xr:uid="{00000000-0005-0000-0000-0000D7010000}"/>
    <cellStyle name="Currency 3 2 2 3 2 2 2 2 3" xfId="2637" xr:uid="{00000000-0005-0000-0000-0000D8010000}"/>
    <cellStyle name="Currency 3 2 2 3 2 2 2 2 3 2" xfId="4555" xr:uid="{00000000-0005-0000-0000-0000D9010000}"/>
    <cellStyle name="Currency 3 2 2 3 2 2 2 2 4" xfId="4401" xr:uid="{00000000-0005-0000-0000-0000DA010000}"/>
    <cellStyle name="Currency 3 2 2 3 2 2 2 2 5" xfId="1754" xr:uid="{00000000-0005-0000-0000-0000DB010000}"/>
    <cellStyle name="Currency 3 2 2 3 2 2 2 3" xfId="3078" xr:uid="{00000000-0005-0000-0000-0000DC010000}"/>
    <cellStyle name="Currency 3 2 2 3 2 2 2 3 2" xfId="4556" xr:uid="{00000000-0005-0000-0000-0000DD010000}"/>
    <cellStyle name="Currency 3 2 2 3 2 2 2 4" xfId="2196" xr:uid="{00000000-0005-0000-0000-0000DE010000}"/>
    <cellStyle name="Currency 3 2 2 3 2 2 2 4 2" xfId="4557" xr:uid="{00000000-0005-0000-0000-0000DF010000}"/>
    <cellStyle name="Currency 3 2 2 3 2 2 2 5" xfId="3960" xr:uid="{00000000-0005-0000-0000-0000E0010000}"/>
    <cellStyle name="Currency 3 2 2 3 2 2 2 6" xfId="1313" xr:uid="{00000000-0005-0000-0000-0000E1010000}"/>
    <cellStyle name="Currency 3 2 2 3 2 2 3" xfId="651" xr:uid="{00000000-0005-0000-0000-0000E2010000}"/>
    <cellStyle name="Currency 3 2 2 3 2 2 3 2" xfId="3299" xr:uid="{00000000-0005-0000-0000-0000E3010000}"/>
    <cellStyle name="Currency 3 2 2 3 2 2 3 2 2" xfId="4558" xr:uid="{00000000-0005-0000-0000-0000E4010000}"/>
    <cellStyle name="Currency 3 2 2 3 2 2 3 3" xfId="2417" xr:uid="{00000000-0005-0000-0000-0000E5010000}"/>
    <cellStyle name="Currency 3 2 2 3 2 2 3 3 2" xfId="4559" xr:uid="{00000000-0005-0000-0000-0000E6010000}"/>
    <cellStyle name="Currency 3 2 2 3 2 2 3 4" xfId="4181" xr:uid="{00000000-0005-0000-0000-0000E7010000}"/>
    <cellStyle name="Currency 3 2 2 3 2 2 3 5" xfId="1534" xr:uid="{00000000-0005-0000-0000-0000E8010000}"/>
    <cellStyle name="Currency 3 2 2 3 2 2 4" xfId="2858" xr:uid="{00000000-0005-0000-0000-0000E9010000}"/>
    <cellStyle name="Currency 3 2 2 3 2 2 4 2" xfId="4560" xr:uid="{00000000-0005-0000-0000-0000EA010000}"/>
    <cellStyle name="Currency 3 2 2 3 2 2 5" xfId="1976" xr:uid="{00000000-0005-0000-0000-0000EB010000}"/>
    <cellStyle name="Currency 3 2 2 3 2 2 5 2" xfId="4561" xr:uid="{00000000-0005-0000-0000-0000EC010000}"/>
    <cellStyle name="Currency 3 2 2 3 2 2 6" xfId="3740" xr:uid="{00000000-0005-0000-0000-0000ED010000}"/>
    <cellStyle name="Currency 3 2 2 3 2 2 7" xfId="1093" xr:uid="{00000000-0005-0000-0000-0000EE010000}"/>
    <cellStyle name="Currency 3 2 2 3 2 3" xfId="320" xr:uid="{00000000-0005-0000-0000-0000EF010000}"/>
    <cellStyle name="Currency 3 2 2 3 2 3 2" xfId="761" xr:uid="{00000000-0005-0000-0000-0000F0010000}"/>
    <cellStyle name="Currency 3 2 2 3 2 3 2 2" xfId="3409" xr:uid="{00000000-0005-0000-0000-0000F1010000}"/>
    <cellStyle name="Currency 3 2 2 3 2 3 2 2 2" xfId="4562" xr:uid="{00000000-0005-0000-0000-0000F2010000}"/>
    <cellStyle name="Currency 3 2 2 3 2 3 2 3" xfId="2527" xr:uid="{00000000-0005-0000-0000-0000F3010000}"/>
    <cellStyle name="Currency 3 2 2 3 2 3 2 3 2" xfId="4563" xr:uid="{00000000-0005-0000-0000-0000F4010000}"/>
    <cellStyle name="Currency 3 2 2 3 2 3 2 4" xfId="4291" xr:uid="{00000000-0005-0000-0000-0000F5010000}"/>
    <cellStyle name="Currency 3 2 2 3 2 3 2 5" xfId="1644" xr:uid="{00000000-0005-0000-0000-0000F6010000}"/>
    <cellStyle name="Currency 3 2 2 3 2 3 3" xfId="2968" xr:uid="{00000000-0005-0000-0000-0000F7010000}"/>
    <cellStyle name="Currency 3 2 2 3 2 3 3 2" xfId="4564" xr:uid="{00000000-0005-0000-0000-0000F8010000}"/>
    <cellStyle name="Currency 3 2 2 3 2 3 4" xfId="2086" xr:uid="{00000000-0005-0000-0000-0000F9010000}"/>
    <cellStyle name="Currency 3 2 2 3 2 3 4 2" xfId="4565" xr:uid="{00000000-0005-0000-0000-0000FA010000}"/>
    <cellStyle name="Currency 3 2 2 3 2 3 5" xfId="3850" xr:uid="{00000000-0005-0000-0000-0000FB010000}"/>
    <cellStyle name="Currency 3 2 2 3 2 3 6" xfId="1203" xr:uid="{00000000-0005-0000-0000-0000FC010000}"/>
    <cellStyle name="Currency 3 2 2 3 2 4" xfId="541" xr:uid="{00000000-0005-0000-0000-0000FD010000}"/>
    <cellStyle name="Currency 3 2 2 3 2 4 2" xfId="3189" xr:uid="{00000000-0005-0000-0000-0000FE010000}"/>
    <cellStyle name="Currency 3 2 2 3 2 4 2 2" xfId="4566" xr:uid="{00000000-0005-0000-0000-0000FF010000}"/>
    <cellStyle name="Currency 3 2 2 3 2 4 3" xfId="2307" xr:uid="{00000000-0005-0000-0000-000000020000}"/>
    <cellStyle name="Currency 3 2 2 3 2 4 3 2" xfId="4567" xr:uid="{00000000-0005-0000-0000-000001020000}"/>
    <cellStyle name="Currency 3 2 2 3 2 4 4" xfId="4071" xr:uid="{00000000-0005-0000-0000-000002020000}"/>
    <cellStyle name="Currency 3 2 2 3 2 4 5" xfId="1424" xr:uid="{00000000-0005-0000-0000-000003020000}"/>
    <cellStyle name="Currency 3 2 2 3 2 5" xfId="2748" xr:uid="{00000000-0005-0000-0000-000004020000}"/>
    <cellStyle name="Currency 3 2 2 3 2 5 2" xfId="4568" xr:uid="{00000000-0005-0000-0000-000005020000}"/>
    <cellStyle name="Currency 3 2 2 3 2 6" xfId="1866" xr:uid="{00000000-0005-0000-0000-000006020000}"/>
    <cellStyle name="Currency 3 2 2 3 2 6 2" xfId="4569" xr:uid="{00000000-0005-0000-0000-000007020000}"/>
    <cellStyle name="Currency 3 2 2 3 2 7" xfId="3630" xr:uid="{00000000-0005-0000-0000-000008020000}"/>
    <cellStyle name="Currency 3 2 2 3 2 8" xfId="983" xr:uid="{00000000-0005-0000-0000-000009020000}"/>
    <cellStyle name="Currency 3 2 2 3 3" xfId="144" xr:uid="{00000000-0005-0000-0000-00000A020000}"/>
    <cellStyle name="Currency 3 2 2 3 3 2" xfId="364" xr:uid="{00000000-0005-0000-0000-00000B020000}"/>
    <cellStyle name="Currency 3 2 2 3 3 2 2" xfId="805" xr:uid="{00000000-0005-0000-0000-00000C020000}"/>
    <cellStyle name="Currency 3 2 2 3 3 2 2 2" xfId="3453" xr:uid="{00000000-0005-0000-0000-00000D020000}"/>
    <cellStyle name="Currency 3 2 2 3 3 2 2 2 2" xfId="4570" xr:uid="{00000000-0005-0000-0000-00000E020000}"/>
    <cellStyle name="Currency 3 2 2 3 3 2 2 3" xfId="2571" xr:uid="{00000000-0005-0000-0000-00000F020000}"/>
    <cellStyle name="Currency 3 2 2 3 3 2 2 3 2" xfId="4571" xr:uid="{00000000-0005-0000-0000-000010020000}"/>
    <cellStyle name="Currency 3 2 2 3 3 2 2 4" xfId="4335" xr:uid="{00000000-0005-0000-0000-000011020000}"/>
    <cellStyle name="Currency 3 2 2 3 3 2 2 5" xfId="1688" xr:uid="{00000000-0005-0000-0000-000012020000}"/>
    <cellStyle name="Currency 3 2 2 3 3 2 3" xfId="3012" xr:uid="{00000000-0005-0000-0000-000013020000}"/>
    <cellStyle name="Currency 3 2 2 3 3 2 3 2" xfId="4572" xr:uid="{00000000-0005-0000-0000-000014020000}"/>
    <cellStyle name="Currency 3 2 2 3 3 2 4" xfId="2130" xr:uid="{00000000-0005-0000-0000-000015020000}"/>
    <cellStyle name="Currency 3 2 2 3 3 2 4 2" xfId="4573" xr:uid="{00000000-0005-0000-0000-000016020000}"/>
    <cellStyle name="Currency 3 2 2 3 3 2 5" xfId="3894" xr:uid="{00000000-0005-0000-0000-000017020000}"/>
    <cellStyle name="Currency 3 2 2 3 3 2 6" xfId="1247" xr:uid="{00000000-0005-0000-0000-000018020000}"/>
    <cellStyle name="Currency 3 2 2 3 3 3" xfId="585" xr:uid="{00000000-0005-0000-0000-000019020000}"/>
    <cellStyle name="Currency 3 2 2 3 3 3 2" xfId="3233" xr:uid="{00000000-0005-0000-0000-00001A020000}"/>
    <cellStyle name="Currency 3 2 2 3 3 3 2 2" xfId="4574" xr:uid="{00000000-0005-0000-0000-00001B020000}"/>
    <cellStyle name="Currency 3 2 2 3 3 3 3" xfId="2351" xr:uid="{00000000-0005-0000-0000-00001C020000}"/>
    <cellStyle name="Currency 3 2 2 3 3 3 3 2" xfId="4575" xr:uid="{00000000-0005-0000-0000-00001D020000}"/>
    <cellStyle name="Currency 3 2 2 3 3 3 4" xfId="4115" xr:uid="{00000000-0005-0000-0000-00001E020000}"/>
    <cellStyle name="Currency 3 2 2 3 3 3 5" xfId="1468" xr:uid="{00000000-0005-0000-0000-00001F020000}"/>
    <cellStyle name="Currency 3 2 2 3 3 4" xfId="2792" xr:uid="{00000000-0005-0000-0000-000020020000}"/>
    <cellStyle name="Currency 3 2 2 3 3 4 2" xfId="4576" xr:uid="{00000000-0005-0000-0000-000021020000}"/>
    <cellStyle name="Currency 3 2 2 3 3 5" xfId="1910" xr:uid="{00000000-0005-0000-0000-000022020000}"/>
    <cellStyle name="Currency 3 2 2 3 3 5 2" xfId="4577" xr:uid="{00000000-0005-0000-0000-000023020000}"/>
    <cellStyle name="Currency 3 2 2 3 3 6" xfId="3674" xr:uid="{00000000-0005-0000-0000-000024020000}"/>
    <cellStyle name="Currency 3 2 2 3 3 7" xfId="1027" xr:uid="{00000000-0005-0000-0000-000025020000}"/>
    <cellStyle name="Currency 3 2 2 3 4" xfId="254" xr:uid="{00000000-0005-0000-0000-000026020000}"/>
    <cellStyle name="Currency 3 2 2 3 4 2" xfId="695" xr:uid="{00000000-0005-0000-0000-000027020000}"/>
    <cellStyle name="Currency 3 2 2 3 4 2 2" xfId="3343" xr:uid="{00000000-0005-0000-0000-000028020000}"/>
    <cellStyle name="Currency 3 2 2 3 4 2 2 2" xfId="4578" xr:uid="{00000000-0005-0000-0000-000029020000}"/>
    <cellStyle name="Currency 3 2 2 3 4 2 3" xfId="2461" xr:uid="{00000000-0005-0000-0000-00002A020000}"/>
    <cellStyle name="Currency 3 2 2 3 4 2 3 2" xfId="4579" xr:uid="{00000000-0005-0000-0000-00002B020000}"/>
    <cellStyle name="Currency 3 2 2 3 4 2 4" xfId="4225" xr:uid="{00000000-0005-0000-0000-00002C020000}"/>
    <cellStyle name="Currency 3 2 2 3 4 2 5" xfId="1578" xr:uid="{00000000-0005-0000-0000-00002D020000}"/>
    <cellStyle name="Currency 3 2 2 3 4 3" xfId="2902" xr:uid="{00000000-0005-0000-0000-00002E020000}"/>
    <cellStyle name="Currency 3 2 2 3 4 3 2" xfId="4580" xr:uid="{00000000-0005-0000-0000-00002F020000}"/>
    <cellStyle name="Currency 3 2 2 3 4 4" xfId="2020" xr:uid="{00000000-0005-0000-0000-000030020000}"/>
    <cellStyle name="Currency 3 2 2 3 4 4 2" xfId="4581" xr:uid="{00000000-0005-0000-0000-000031020000}"/>
    <cellStyle name="Currency 3 2 2 3 4 5" xfId="3784" xr:uid="{00000000-0005-0000-0000-000032020000}"/>
    <cellStyle name="Currency 3 2 2 3 4 6" xfId="1137" xr:uid="{00000000-0005-0000-0000-000033020000}"/>
    <cellStyle name="Currency 3 2 2 3 5" xfId="475" xr:uid="{00000000-0005-0000-0000-000034020000}"/>
    <cellStyle name="Currency 3 2 2 3 5 2" xfId="3123" xr:uid="{00000000-0005-0000-0000-000035020000}"/>
    <cellStyle name="Currency 3 2 2 3 5 2 2" xfId="4582" xr:uid="{00000000-0005-0000-0000-000036020000}"/>
    <cellStyle name="Currency 3 2 2 3 5 3" xfId="2241" xr:uid="{00000000-0005-0000-0000-000037020000}"/>
    <cellStyle name="Currency 3 2 2 3 5 3 2" xfId="4583" xr:uid="{00000000-0005-0000-0000-000038020000}"/>
    <cellStyle name="Currency 3 2 2 3 5 4" xfId="4005" xr:uid="{00000000-0005-0000-0000-000039020000}"/>
    <cellStyle name="Currency 3 2 2 3 5 5" xfId="1358" xr:uid="{00000000-0005-0000-0000-00003A020000}"/>
    <cellStyle name="Currency 3 2 2 3 6" xfId="2682" xr:uid="{00000000-0005-0000-0000-00003B020000}"/>
    <cellStyle name="Currency 3 2 2 3 6 2" xfId="4584" xr:uid="{00000000-0005-0000-0000-00003C020000}"/>
    <cellStyle name="Currency 3 2 2 3 7" xfId="1800" xr:uid="{00000000-0005-0000-0000-00003D020000}"/>
    <cellStyle name="Currency 3 2 2 3 7 2" xfId="4585" xr:uid="{00000000-0005-0000-0000-00003E020000}"/>
    <cellStyle name="Currency 3 2 2 3 8" xfId="3564" xr:uid="{00000000-0005-0000-0000-00003F020000}"/>
    <cellStyle name="Currency 3 2 2 3 9" xfId="917" xr:uid="{00000000-0005-0000-0000-000040020000}"/>
    <cellStyle name="Currency 3 2 2 4" xfId="40" xr:uid="{00000000-0005-0000-0000-000041020000}"/>
    <cellStyle name="Currency 3 2 2 4 2" xfId="106" xr:uid="{00000000-0005-0000-0000-000042020000}"/>
    <cellStyle name="Currency 3 2 2 4 2 2" xfId="216" xr:uid="{00000000-0005-0000-0000-000043020000}"/>
    <cellStyle name="Currency 3 2 2 4 2 2 2" xfId="436" xr:uid="{00000000-0005-0000-0000-000044020000}"/>
    <cellStyle name="Currency 3 2 2 4 2 2 2 2" xfId="877" xr:uid="{00000000-0005-0000-0000-000045020000}"/>
    <cellStyle name="Currency 3 2 2 4 2 2 2 2 2" xfId="3525" xr:uid="{00000000-0005-0000-0000-000046020000}"/>
    <cellStyle name="Currency 3 2 2 4 2 2 2 2 2 2" xfId="4586" xr:uid="{00000000-0005-0000-0000-000047020000}"/>
    <cellStyle name="Currency 3 2 2 4 2 2 2 2 3" xfId="2643" xr:uid="{00000000-0005-0000-0000-000048020000}"/>
    <cellStyle name="Currency 3 2 2 4 2 2 2 2 3 2" xfId="4587" xr:uid="{00000000-0005-0000-0000-000049020000}"/>
    <cellStyle name="Currency 3 2 2 4 2 2 2 2 4" xfId="4407" xr:uid="{00000000-0005-0000-0000-00004A020000}"/>
    <cellStyle name="Currency 3 2 2 4 2 2 2 2 5" xfId="1760" xr:uid="{00000000-0005-0000-0000-00004B020000}"/>
    <cellStyle name="Currency 3 2 2 4 2 2 2 3" xfId="3084" xr:uid="{00000000-0005-0000-0000-00004C020000}"/>
    <cellStyle name="Currency 3 2 2 4 2 2 2 3 2" xfId="4588" xr:uid="{00000000-0005-0000-0000-00004D020000}"/>
    <cellStyle name="Currency 3 2 2 4 2 2 2 4" xfId="2202" xr:uid="{00000000-0005-0000-0000-00004E020000}"/>
    <cellStyle name="Currency 3 2 2 4 2 2 2 4 2" xfId="4589" xr:uid="{00000000-0005-0000-0000-00004F020000}"/>
    <cellStyle name="Currency 3 2 2 4 2 2 2 5" xfId="3966" xr:uid="{00000000-0005-0000-0000-000050020000}"/>
    <cellStyle name="Currency 3 2 2 4 2 2 2 6" xfId="1319" xr:uid="{00000000-0005-0000-0000-000051020000}"/>
    <cellStyle name="Currency 3 2 2 4 2 2 3" xfId="657" xr:uid="{00000000-0005-0000-0000-000052020000}"/>
    <cellStyle name="Currency 3 2 2 4 2 2 3 2" xfId="3305" xr:uid="{00000000-0005-0000-0000-000053020000}"/>
    <cellStyle name="Currency 3 2 2 4 2 2 3 2 2" xfId="4590" xr:uid="{00000000-0005-0000-0000-000054020000}"/>
    <cellStyle name="Currency 3 2 2 4 2 2 3 3" xfId="2423" xr:uid="{00000000-0005-0000-0000-000055020000}"/>
    <cellStyle name="Currency 3 2 2 4 2 2 3 3 2" xfId="4591" xr:uid="{00000000-0005-0000-0000-000056020000}"/>
    <cellStyle name="Currency 3 2 2 4 2 2 3 4" xfId="4187" xr:uid="{00000000-0005-0000-0000-000057020000}"/>
    <cellStyle name="Currency 3 2 2 4 2 2 3 5" xfId="1540" xr:uid="{00000000-0005-0000-0000-000058020000}"/>
    <cellStyle name="Currency 3 2 2 4 2 2 4" xfId="2864" xr:uid="{00000000-0005-0000-0000-000059020000}"/>
    <cellStyle name="Currency 3 2 2 4 2 2 4 2" xfId="4592" xr:uid="{00000000-0005-0000-0000-00005A020000}"/>
    <cellStyle name="Currency 3 2 2 4 2 2 5" xfId="1982" xr:uid="{00000000-0005-0000-0000-00005B020000}"/>
    <cellStyle name="Currency 3 2 2 4 2 2 5 2" xfId="4593" xr:uid="{00000000-0005-0000-0000-00005C020000}"/>
    <cellStyle name="Currency 3 2 2 4 2 2 6" xfId="3746" xr:uid="{00000000-0005-0000-0000-00005D020000}"/>
    <cellStyle name="Currency 3 2 2 4 2 2 7" xfId="1099" xr:uid="{00000000-0005-0000-0000-00005E020000}"/>
    <cellStyle name="Currency 3 2 2 4 2 3" xfId="326" xr:uid="{00000000-0005-0000-0000-00005F020000}"/>
    <cellStyle name="Currency 3 2 2 4 2 3 2" xfId="767" xr:uid="{00000000-0005-0000-0000-000060020000}"/>
    <cellStyle name="Currency 3 2 2 4 2 3 2 2" xfId="3415" xr:uid="{00000000-0005-0000-0000-000061020000}"/>
    <cellStyle name="Currency 3 2 2 4 2 3 2 2 2" xfId="4594" xr:uid="{00000000-0005-0000-0000-000062020000}"/>
    <cellStyle name="Currency 3 2 2 4 2 3 2 3" xfId="2533" xr:uid="{00000000-0005-0000-0000-000063020000}"/>
    <cellStyle name="Currency 3 2 2 4 2 3 2 3 2" xfId="4595" xr:uid="{00000000-0005-0000-0000-000064020000}"/>
    <cellStyle name="Currency 3 2 2 4 2 3 2 4" xfId="4297" xr:uid="{00000000-0005-0000-0000-000065020000}"/>
    <cellStyle name="Currency 3 2 2 4 2 3 2 5" xfId="1650" xr:uid="{00000000-0005-0000-0000-000066020000}"/>
    <cellStyle name="Currency 3 2 2 4 2 3 3" xfId="2974" xr:uid="{00000000-0005-0000-0000-000067020000}"/>
    <cellStyle name="Currency 3 2 2 4 2 3 3 2" xfId="4596" xr:uid="{00000000-0005-0000-0000-000068020000}"/>
    <cellStyle name="Currency 3 2 2 4 2 3 4" xfId="2092" xr:uid="{00000000-0005-0000-0000-000069020000}"/>
    <cellStyle name="Currency 3 2 2 4 2 3 4 2" xfId="4597" xr:uid="{00000000-0005-0000-0000-00006A020000}"/>
    <cellStyle name="Currency 3 2 2 4 2 3 5" xfId="3856" xr:uid="{00000000-0005-0000-0000-00006B020000}"/>
    <cellStyle name="Currency 3 2 2 4 2 3 6" xfId="1209" xr:uid="{00000000-0005-0000-0000-00006C020000}"/>
    <cellStyle name="Currency 3 2 2 4 2 4" xfId="547" xr:uid="{00000000-0005-0000-0000-00006D020000}"/>
    <cellStyle name="Currency 3 2 2 4 2 4 2" xfId="3195" xr:uid="{00000000-0005-0000-0000-00006E020000}"/>
    <cellStyle name="Currency 3 2 2 4 2 4 2 2" xfId="4598" xr:uid="{00000000-0005-0000-0000-00006F020000}"/>
    <cellStyle name="Currency 3 2 2 4 2 4 3" xfId="2313" xr:uid="{00000000-0005-0000-0000-000070020000}"/>
    <cellStyle name="Currency 3 2 2 4 2 4 3 2" xfId="4599" xr:uid="{00000000-0005-0000-0000-000071020000}"/>
    <cellStyle name="Currency 3 2 2 4 2 4 4" xfId="4077" xr:uid="{00000000-0005-0000-0000-000072020000}"/>
    <cellStyle name="Currency 3 2 2 4 2 4 5" xfId="1430" xr:uid="{00000000-0005-0000-0000-000073020000}"/>
    <cellStyle name="Currency 3 2 2 4 2 5" xfId="2754" xr:uid="{00000000-0005-0000-0000-000074020000}"/>
    <cellStyle name="Currency 3 2 2 4 2 5 2" xfId="4600" xr:uid="{00000000-0005-0000-0000-000075020000}"/>
    <cellStyle name="Currency 3 2 2 4 2 6" xfId="1872" xr:uid="{00000000-0005-0000-0000-000076020000}"/>
    <cellStyle name="Currency 3 2 2 4 2 6 2" xfId="4601" xr:uid="{00000000-0005-0000-0000-000077020000}"/>
    <cellStyle name="Currency 3 2 2 4 2 7" xfId="3636" xr:uid="{00000000-0005-0000-0000-000078020000}"/>
    <cellStyle name="Currency 3 2 2 4 2 8" xfId="989" xr:uid="{00000000-0005-0000-0000-000079020000}"/>
    <cellStyle name="Currency 3 2 2 4 3" xfId="150" xr:uid="{00000000-0005-0000-0000-00007A020000}"/>
    <cellStyle name="Currency 3 2 2 4 3 2" xfId="370" xr:uid="{00000000-0005-0000-0000-00007B020000}"/>
    <cellStyle name="Currency 3 2 2 4 3 2 2" xfId="811" xr:uid="{00000000-0005-0000-0000-00007C020000}"/>
    <cellStyle name="Currency 3 2 2 4 3 2 2 2" xfId="3459" xr:uid="{00000000-0005-0000-0000-00007D020000}"/>
    <cellStyle name="Currency 3 2 2 4 3 2 2 2 2" xfId="4602" xr:uid="{00000000-0005-0000-0000-00007E020000}"/>
    <cellStyle name="Currency 3 2 2 4 3 2 2 3" xfId="2577" xr:uid="{00000000-0005-0000-0000-00007F020000}"/>
    <cellStyle name="Currency 3 2 2 4 3 2 2 3 2" xfId="4603" xr:uid="{00000000-0005-0000-0000-000080020000}"/>
    <cellStyle name="Currency 3 2 2 4 3 2 2 4" xfId="4341" xr:uid="{00000000-0005-0000-0000-000081020000}"/>
    <cellStyle name="Currency 3 2 2 4 3 2 2 5" xfId="1694" xr:uid="{00000000-0005-0000-0000-000082020000}"/>
    <cellStyle name="Currency 3 2 2 4 3 2 3" xfId="3018" xr:uid="{00000000-0005-0000-0000-000083020000}"/>
    <cellStyle name="Currency 3 2 2 4 3 2 3 2" xfId="4604" xr:uid="{00000000-0005-0000-0000-000084020000}"/>
    <cellStyle name="Currency 3 2 2 4 3 2 4" xfId="2136" xr:uid="{00000000-0005-0000-0000-000085020000}"/>
    <cellStyle name="Currency 3 2 2 4 3 2 4 2" xfId="4605" xr:uid="{00000000-0005-0000-0000-000086020000}"/>
    <cellStyle name="Currency 3 2 2 4 3 2 5" xfId="3900" xr:uid="{00000000-0005-0000-0000-000087020000}"/>
    <cellStyle name="Currency 3 2 2 4 3 2 6" xfId="1253" xr:uid="{00000000-0005-0000-0000-000088020000}"/>
    <cellStyle name="Currency 3 2 2 4 3 3" xfId="591" xr:uid="{00000000-0005-0000-0000-000089020000}"/>
    <cellStyle name="Currency 3 2 2 4 3 3 2" xfId="3239" xr:uid="{00000000-0005-0000-0000-00008A020000}"/>
    <cellStyle name="Currency 3 2 2 4 3 3 2 2" xfId="4606" xr:uid="{00000000-0005-0000-0000-00008B020000}"/>
    <cellStyle name="Currency 3 2 2 4 3 3 3" xfId="2357" xr:uid="{00000000-0005-0000-0000-00008C020000}"/>
    <cellStyle name="Currency 3 2 2 4 3 3 3 2" xfId="4607" xr:uid="{00000000-0005-0000-0000-00008D020000}"/>
    <cellStyle name="Currency 3 2 2 4 3 3 4" xfId="4121" xr:uid="{00000000-0005-0000-0000-00008E020000}"/>
    <cellStyle name="Currency 3 2 2 4 3 3 5" xfId="1474" xr:uid="{00000000-0005-0000-0000-00008F020000}"/>
    <cellStyle name="Currency 3 2 2 4 3 4" xfId="2798" xr:uid="{00000000-0005-0000-0000-000090020000}"/>
    <cellStyle name="Currency 3 2 2 4 3 4 2" xfId="4608" xr:uid="{00000000-0005-0000-0000-000091020000}"/>
    <cellStyle name="Currency 3 2 2 4 3 5" xfId="1916" xr:uid="{00000000-0005-0000-0000-000092020000}"/>
    <cellStyle name="Currency 3 2 2 4 3 5 2" xfId="4609" xr:uid="{00000000-0005-0000-0000-000093020000}"/>
    <cellStyle name="Currency 3 2 2 4 3 6" xfId="3680" xr:uid="{00000000-0005-0000-0000-000094020000}"/>
    <cellStyle name="Currency 3 2 2 4 3 7" xfId="1033" xr:uid="{00000000-0005-0000-0000-000095020000}"/>
    <cellStyle name="Currency 3 2 2 4 4" xfId="260" xr:uid="{00000000-0005-0000-0000-000096020000}"/>
    <cellStyle name="Currency 3 2 2 4 4 2" xfId="701" xr:uid="{00000000-0005-0000-0000-000097020000}"/>
    <cellStyle name="Currency 3 2 2 4 4 2 2" xfId="3349" xr:uid="{00000000-0005-0000-0000-000098020000}"/>
    <cellStyle name="Currency 3 2 2 4 4 2 2 2" xfId="4610" xr:uid="{00000000-0005-0000-0000-000099020000}"/>
    <cellStyle name="Currency 3 2 2 4 4 2 3" xfId="2467" xr:uid="{00000000-0005-0000-0000-00009A020000}"/>
    <cellStyle name="Currency 3 2 2 4 4 2 3 2" xfId="4611" xr:uid="{00000000-0005-0000-0000-00009B020000}"/>
    <cellStyle name="Currency 3 2 2 4 4 2 4" xfId="4231" xr:uid="{00000000-0005-0000-0000-00009C020000}"/>
    <cellStyle name="Currency 3 2 2 4 4 2 5" xfId="1584" xr:uid="{00000000-0005-0000-0000-00009D020000}"/>
    <cellStyle name="Currency 3 2 2 4 4 3" xfId="2908" xr:uid="{00000000-0005-0000-0000-00009E020000}"/>
    <cellStyle name="Currency 3 2 2 4 4 3 2" xfId="4612" xr:uid="{00000000-0005-0000-0000-00009F020000}"/>
    <cellStyle name="Currency 3 2 2 4 4 4" xfId="2026" xr:uid="{00000000-0005-0000-0000-0000A0020000}"/>
    <cellStyle name="Currency 3 2 2 4 4 4 2" xfId="4613" xr:uid="{00000000-0005-0000-0000-0000A1020000}"/>
    <cellStyle name="Currency 3 2 2 4 4 5" xfId="3790" xr:uid="{00000000-0005-0000-0000-0000A2020000}"/>
    <cellStyle name="Currency 3 2 2 4 4 6" xfId="1143" xr:uid="{00000000-0005-0000-0000-0000A3020000}"/>
    <cellStyle name="Currency 3 2 2 4 5" xfId="481" xr:uid="{00000000-0005-0000-0000-0000A4020000}"/>
    <cellStyle name="Currency 3 2 2 4 5 2" xfId="3129" xr:uid="{00000000-0005-0000-0000-0000A5020000}"/>
    <cellStyle name="Currency 3 2 2 4 5 2 2" xfId="4614" xr:uid="{00000000-0005-0000-0000-0000A6020000}"/>
    <cellStyle name="Currency 3 2 2 4 5 3" xfId="2247" xr:uid="{00000000-0005-0000-0000-0000A7020000}"/>
    <cellStyle name="Currency 3 2 2 4 5 3 2" xfId="4615" xr:uid="{00000000-0005-0000-0000-0000A8020000}"/>
    <cellStyle name="Currency 3 2 2 4 5 4" xfId="4011" xr:uid="{00000000-0005-0000-0000-0000A9020000}"/>
    <cellStyle name="Currency 3 2 2 4 5 5" xfId="1364" xr:uid="{00000000-0005-0000-0000-0000AA020000}"/>
    <cellStyle name="Currency 3 2 2 4 6" xfId="2688" xr:uid="{00000000-0005-0000-0000-0000AB020000}"/>
    <cellStyle name="Currency 3 2 2 4 6 2" xfId="4616" xr:uid="{00000000-0005-0000-0000-0000AC020000}"/>
    <cellStyle name="Currency 3 2 2 4 7" xfId="1806" xr:uid="{00000000-0005-0000-0000-0000AD020000}"/>
    <cellStyle name="Currency 3 2 2 4 7 2" xfId="4617" xr:uid="{00000000-0005-0000-0000-0000AE020000}"/>
    <cellStyle name="Currency 3 2 2 4 8" xfId="3570" xr:uid="{00000000-0005-0000-0000-0000AF020000}"/>
    <cellStyle name="Currency 3 2 2 4 9" xfId="923" xr:uid="{00000000-0005-0000-0000-0000B0020000}"/>
    <cellStyle name="Currency 3 2 2 5" xfId="46" xr:uid="{00000000-0005-0000-0000-0000B1020000}"/>
    <cellStyle name="Currency 3 2 2 5 2" xfId="156" xr:uid="{00000000-0005-0000-0000-0000B2020000}"/>
    <cellStyle name="Currency 3 2 2 5 2 2" xfId="376" xr:uid="{00000000-0005-0000-0000-0000B3020000}"/>
    <cellStyle name="Currency 3 2 2 5 2 2 2" xfId="817" xr:uid="{00000000-0005-0000-0000-0000B4020000}"/>
    <cellStyle name="Currency 3 2 2 5 2 2 2 2" xfId="3465" xr:uid="{00000000-0005-0000-0000-0000B5020000}"/>
    <cellStyle name="Currency 3 2 2 5 2 2 2 2 2" xfId="4618" xr:uid="{00000000-0005-0000-0000-0000B6020000}"/>
    <cellStyle name="Currency 3 2 2 5 2 2 2 3" xfId="2583" xr:uid="{00000000-0005-0000-0000-0000B7020000}"/>
    <cellStyle name="Currency 3 2 2 5 2 2 2 3 2" xfId="4619" xr:uid="{00000000-0005-0000-0000-0000B8020000}"/>
    <cellStyle name="Currency 3 2 2 5 2 2 2 4" xfId="4347" xr:uid="{00000000-0005-0000-0000-0000B9020000}"/>
    <cellStyle name="Currency 3 2 2 5 2 2 2 5" xfId="1700" xr:uid="{00000000-0005-0000-0000-0000BA020000}"/>
    <cellStyle name="Currency 3 2 2 5 2 2 3" xfId="3024" xr:uid="{00000000-0005-0000-0000-0000BB020000}"/>
    <cellStyle name="Currency 3 2 2 5 2 2 3 2" xfId="4620" xr:uid="{00000000-0005-0000-0000-0000BC020000}"/>
    <cellStyle name="Currency 3 2 2 5 2 2 4" xfId="2142" xr:uid="{00000000-0005-0000-0000-0000BD020000}"/>
    <cellStyle name="Currency 3 2 2 5 2 2 4 2" xfId="4621" xr:uid="{00000000-0005-0000-0000-0000BE020000}"/>
    <cellStyle name="Currency 3 2 2 5 2 2 5" xfId="3906" xr:uid="{00000000-0005-0000-0000-0000BF020000}"/>
    <cellStyle name="Currency 3 2 2 5 2 2 6" xfId="1259" xr:uid="{00000000-0005-0000-0000-0000C0020000}"/>
    <cellStyle name="Currency 3 2 2 5 2 3" xfId="597" xr:uid="{00000000-0005-0000-0000-0000C1020000}"/>
    <cellStyle name="Currency 3 2 2 5 2 3 2" xfId="3245" xr:uid="{00000000-0005-0000-0000-0000C2020000}"/>
    <cellStyle name="Currency 3 2 2 5 2 3 2 2" xfId="4622" xr:uid="{00000000-0005-0000-0000-0000C3020000}"/>
    <cellStyle name="Currency 3 2 2 5 2 3 3" xfId="2363" xr:uid="{00000000-0005-0000-0000-0000C4020000}"/>
    <cellStyle name="Currency 3 2 2 5 2 3 3 2" xfId="4623" xr:uid="{00000000-0005-0000-0000-0000C5020000}"/>
    <cellStyle name="Currency 3 2 2 5 2 3 4" xfId="4127" xr:uid="{00000000-0005-0000-0000-0000C6020000}"/>
    <cellStyle name="Currency 3 2 2 5 2 3 5" xfId="1480" xr:uid="{00000000-0005-0000-0000-0000C7020000}"/>
    <cellStyle name="Currency 3 2 2 5 2 4" xfId="2804" xr:uid="{00000000-0005-0000-0000-0000C8020000}"/>
    <cellStyle name="Currency 3 2 2 5 2 4 2" xfId="4624" xr:uid="{00000000-0005-0000-0000-0000C9020000}"/>
    <cellStyle name="Currency 3 2 2 5 2 5" xfId="1922" xr:uid="{00000000-0005-0000-0000-0000CA020000}"/>
    <cellStyle name="Currency 3 2 2 5 2 5 2" xfId="4625" xr:uid="{00000000-0005-0000-0000-0000CB020000}"/>
    <cellStyle name="Currency 3 2 2 5 2 6" xfId="3686" xr:uid="{00000000-0005-0000-0000-0000CC020000}"/>
    <cellStyle name="Currency 3 2 2 5 2 7" xfId="1039" xr:uid="{00000000-0005-0000-0000-0000CD020000}"/>
    <cellStyle name="Currency 3 2 2 5 3" xfId="266" xr:uid="{00000000-0005-0000-0000-0000CE020000}"/>
    <cellStyle name="Currency 3 2 2 5 3 2" xfId="707" xr:uid="{00000000-0005-0000-0000-0000CF020000}"/>
    <cellStyle name="Currency 3 2 2 5 3 2 2" xfId="3355" xr:uid="{00000000-0005-0000-0000-0000D0020000}"/>
    <cellStyle name="Currency 3 2 2 5 3 2 2 2" xfId="4626" xr:uid="{00000000-0005-0000-0000-0000D1020000}"/>
    <cellStyle name="Currency 3 2 2 5 3 2 3" xfId="2473" xr:uid="{00000000-0005-0000-0000-0000D2020000}"/>
    <cellStyle name="Currency 3 2 2 5 3 2 3 2" xfId="4627" xr:uid="{00000000-0005-0000-0000-0000D3020000}"/>
    <cellStyle name="Currency 3 2 2 5 3 2 4" xfId="4237" xr:uid="{00000000-0005-0000-0000-0000D4020000}"/>
    <cellStyle name="Currency 3 2 2 5 3 2 5" xfId="1590" xr:uid="{00000000-0005-0000-0000-0000D5020000}"/>
    <cellStyle name="Currency 3 2 2 5 3 3" xfId="2914" xr:uid="{00000000-0005-0000-0000-0000D6020000}"/>
    <cellStyle name="Currency 3 2 2 5 3 3 2" xfId="4628" xr:uid="{00000000-0005-0000-0000-0000D7020000}"/>
    <cellStyle name="Currency 3 2 2 5 3 4" xfId="2032" xr:uid="{00000000-0005-0000-0000-0000D8020000}"/>
    <cellStyle name="Currency 3 2 2 5 3 4 2" xfId="4629" xr:uid="{00000000-0005-0000-0000-0000D9020000}"/>
    <cellStyle name="Currency 3 2 2 5 3 5" xfId="3796" xr:uid="{00000000-0005-0000-0000-0000DA020000}"/>
    <cellStyle name="Currency 3 2 2 5 3 6" xfId="1149" xr:uid="{00000000-0005-0000-0000-0000DB020000}"/>
    <cellStyle name="Currency 3 2 2 5 4" xfId="487" xr:uid="{00000000-0005-0000-0000-0000DC020000}"/>
    <cellStyle name="Currency 3 2 2 5 4 2" xfId="3135" xr:uid="{00000000-0005-0000-0000-0000DD020000}"/>
    <cellStyle name="Currency 3 2 2 5 4 2 2" xfId="4630" xr:uid="{00000000-0005-0000-0000-0000DE020000}"/>
    <cellStyle name="Currency 3 2 2 5 4 3" xfId="2253" xr:uid="{00000000-0005-0000-0000-0000DF020000}"/>
    <cellStyle name="Currency 3 2 2 5 4 3 2" xfId="4631" xr:uid="{00000000-0005-0000-0000-0000E0020000}"/>
    <cellStyle name="Currency 3 2 2 5 4 4" xfId="4017" xr:uid="{00000000-0005-0000-0000-0000E1020000}"/>
    <cellStyle name="Currency 3 2 2 5 4 5" xfId="1370" xr:uid="{00000000-0005-0000-0000-0000E2020000}"/>
    <cellStyle name="Currency 3 2 2 5 5" xfId="2694" xr:uid="{00000000-0005-0000-0000-0000E3020000}"/>
    <cellStyle name="Currency 3 2 2 5 5 2" xfId="4632" xr:uid="{00000000-0005-0000-0000-0000E4020000}"/>
    <cellStyle name="Currency 3 2 2 5 6" xfId="1812" xr:uid="{00000000-0005-0000-0000-0000E5020000}"/>
    <cellStyle name="Currency 3 2 2 5 6 2" xfId="4633" xr:uid="{00000000-0005-0000-0000-0000E6020000}"/>
    <cellStyle name="Currency 3 2 2 5 7" xfId="3576" xr:uid="{00000000-0005-0000-0000-0000E7020000}"/>
    <cellStyle name="Currency 3 2 2 5 8" xfId="929" xr:uid="{00000000-0005-0000-0000-0000E8020000}"/>
    <cellStyle name="Currency 3 2 2 6" xfId="62" xr:uid="{00000000-0005-0000-0000-0000E9020000}"/>
    <cellStyle name="Currency 3 2 2 6 2" xfId="172" xr:uid="{00000000-0005-0000-0000-0000EA020000}"/>
    <cellStyle name="Currency 3 2 2 6 2 2" xfId="392" xr:uid="{00000000-0005-0000-0000-0000EB020000}"/>
    <cellStyle name="Currency 3 2 2 6 2 2 2" xfId="833" xr:uid="{00000000-0005-0000-0000-0000EC020000}"/>
    <cellStyle name="Currency 3 2 2 6 2 2 2 2" xfId="3481" xr:uid="{00000000-0005-0000-0000-0000ED020000}"/>
    <cellStyle name="Currency 3 2 2 6 2 2 2 2 2" xfId="4634" xr:uid="{00000000-0005-0000-0000-0000EE020000}"/>
    <cellStyle name="Currency 3 2 2 6 2 2 2 3" xfId="2599" xr:uid="{00000000-0005-0000-0000-0000EF020000}"/>
    <cellStyle name="Currency 3 2 2 6 2 2 2 3 2" xfId="4635" xr:uid="{00000000-0005-0000-0000-0000F0020000}"/>
    <cellStyle name="Currency 3 2 2 6 2 2 2 4" xfId="4363" xr:uid="{00000000-0005-0000-0000-0000F1020000}"/>
    <cellStyle name="Currency 3 2 2 6 2 2 2 5" xfId="1716" xr:uid="{00000000-0005-0000-0000-0000F2020000}"/>
    <cellStyle name="Currency 3 2 2 6 2 2 3" xfId="3040" xr:uid="{00000000-0005-0000-0000-0000F3020000}"/>
    <cellStyle name="Currency 3 2 2 6 2 2 3 2" xfId="4636" xr:uid="{00000000-0005-0000-0000-0000F4020000}"/>
    <cellStyle name="Currency 3 2 2 6 2 2 4" xfId="2158" xr:uid="{00000000-0005-0000-0000-0000F5020000}"/>
    <cellStyle name="Currency 3 2 2 6 2 2 4 2" xfId="4637" xr:uid="{00000000-0005-0000-0000-0000F6020000}"/>
    <cellStyle name="Currency 3 2 2 6 2 2 5" xfId="3922" xr:uid="{00000000-0005-0000-0000-0000F7020000}"/>
    <cellStyle name="Currency 3 2 2 6 2 2 6" xfId="1275" xr:uid="{00000000-0005-0000-0000-0000F8020000}"/>
    <cellStyle name="Currency 3 2 2 6 2 3" xfId="613" xr:uid="{00000000-0005-0000-0000-0000F9020000}"/>
    <cellStyle name="Currency 3 2 2 6 2 3 2" xfId="3261" xr:uid="{00000000-0005-0000-0000-0000FA020000}"/>
    <cellStyle name="Currency 3 2 2 6 2 3 2 2" xfId="4638" xr:uid="{00000000-0005-0000-0000-0000FB020000}"/>
    <cellStyle name="Currency 3 2 2 6 2 3 3" xfId="2379" xr:uid="{00000000-0005-0000-0000-0000FC020000}"/>
    <cellStyle name="Currency 3 2 2 6 2 3 3 2" xfId="4639" xr:uid="{00000000-0005-0000-0000-0000FD020000}"/>
    <cellStyle name="Currency 3 2 2 6 2 3 4" xfId="4143" xr:uid="{00000000-0005-0000-0000-0000FE020000}"/>
    <cellStyle name="Currency 3 2 2 6 2 3 5" xfId="1496" xr:uid="{00000000-0005-0000-0000-0000FF020000}"/>
    <cellStyle name="Currency 3 2 2 6 2 4" xfId="2820" xr:uid="{00000000-0005-0000-0000-000000030000}"/>
    <cellStyle name="Currency 3 2 2 6 2 4 2" xfId="4640" xr:uid="{00000000-0005-0000-0000-000001030000}"/>
    <cellStyle name="Currency 3 2 2 6 2 5" xfId="1938" xr:uid="{00000000-0005-0000-0000-000002030000}"/>
    <cellStyle name="Currency 3 2 2 6 2 5 2" xfId="4641" xr:uid="{00000000-0005-0000-0000-000003030000}"/>
    <cellStyle name="Currency 3 2 2 6 2 6" xfId="3702" xr:uid="{00000000-0005-0000-0000-000004030000}"/>
    <cellStyle name="Currency 3 2 2 6 2 7" xfId="1055" xr:uid="{00000000-0005-0000-0000-000005030000}"/>
    <cellStyle name="Currency 3 2 2 6 3" xfId="282" xr:uid="{00000000-0005-0000-0000-000006030000}"/>
    <cellStyle name="Currency 3 2 2 6 3 2" xfId="723" xr:uid="{00000000-0005-0000-0000-000007030000}"/>
    <cellStyle name="Currency 3 2 2 6 3 2 2" xfId="3371" xr:uid="{00000000-0005-0000-0000-000008030000}"/>
    <cellStyle name="Currency 3 2 2 6 3 2 2 2" xfId="4642" xr:uid="{00000000-0005-0000-0000-000009030000}"/>
    <cellStyle name="Currency 3 2 2 6 3 2 3" xfId="2489" xr:uid="{00000000-0005-0000-0000-00000A030000}"/>
    <cellStyle name="Currency 3 2 2 6 3 2 3 2" xfId="4643" xr:uid="{00000000-0005-0000-0000-00000B030000}"/>
    <cellStyle name="Currency 3 2 2 6 3 2 4" xfId="4253" xr:uid="{00000000-0005-0000-0000-00000C030000}"/>
    <cellStyle name="Currency 3 2 2 6 3 2 5" xfId="1606" xr:uid="{00000000-0005-0000-0000-00000D030000}"/>
    <cellStyle name="Currency 3 2 2 6 3 3" xfId="2930" xr:uid="{00000000-0005-0000-0000-00000E030000}"/>
    <cellStyle name="Currency 3 2 2 6 3 3 2" xfId="4644" xr:uid="{00000000-0005-0000-0000-00000F030000}"/>
    <cellStyle name="Currency 3 2 2 6 3 4" xfId="2048" xr:uid="{00000000-0005-0000-0000-000010030000}"/>
    <cellStyle name="Currency 3 2 2 6 3 4 2" xfId="4645" xr:uid="{00000000-0005-0000-0000-000011030000}"/>
    <cellStyle name="Currency 3 2 2 6 3 5" xfId="3812" xr:uid="{00000000-0005-0000-0000-000012030000}"/>
    <cellStyle name="Currency 3 2 2 6 3 6" xfId="1165" xr:uid="{00000000-0005-0000-0000-000013030000}"/>
    <cellStyle name="Currency 3 2 2 6 4" xfId="503" xr:uid="{00000000-0005-0000-0000-000014030000}"/>
    <cellStyle name="Currency 3 2 2 6 4 2" xfId="3151" xr:uid="{00000000-0005-0000-0000-000015030000}"/>
    <cellStyle name="Currency 3 2 2 6 4 2 2" xfId="4646" xr:uid="{00000000-0005-0000-0000-000016030000}"/>
    <cellStyle name="Currency 3 2 2 6 4 3" xfId="2269" xr:uid="{00000000-0005-0000-0000-000017030000}"/>
    <cellStyle name="Currency 3 2 2 6 4 3 2" xfId="4647" xr:uid="{00000000-0005-0000-0000-000018030000}"/>
    <cellStyle name="Currency 3 2 2 6 4 4" xfId="4033" xr:uid="{00000000-0005-0000-0000-000019030000}"/>
    <cellStyle name="Currency 3 2 2 6 4 5" xfId="1386" xr:uid="{00000000-0005-0000-0000-00001A030000}"/>
    <cellStyle name="Currency 3 2 2 6 5" xfId="2710" xr:uid="{00000000-0005-0000-0000-00001B030000}"/>
    <cellStyle name="Currency 3 2 2 6 5 2" xfId="4648" xr:uid="{00000000-0005-0000-0000-00001C030000}"/>
    <cellStyle name="Currency 3 2 2 6 6" xfId="1828" xr:uid="{00000000-0005-0000-0000-00001D030000}"/>
    <cellStyle name="Currency 3 2 2 6 6 2" xfId="4649" xr:uid="{00000000-0005-0000-0000-00001E030000}"/>
    <cellStyle name="Currency 3 2 2 6 7" xfId="3592" xr:uid="{00000000-0005-0000-0000-00001F030000}"/>
    <cellStyle name="Currency 3 2 2 6 8" xfId="945" xr:uid="{00000000-0005-0000-0000-000020030000}"/>
    <cellStyle name="Currency 3 2 2 7" xfId="78" xr:uid="{00000000-0005-0000-0000-000021030000}"/>
    <cellStyle name="Currency 3 2 2 7 2" xfId="188" xr:uid="{00000000-0005-0000-0000-000022030000}"/>
    <cellStyle name="Currency 3 2 2 7 2 2" xfId="408" xr:uid="{00000000-0005-0000-0000-000023030000}"/>
    <cellStyle name="Currency 3 2 2 7 2 2 2" xfId="849" xr:uid="{00000000-0005-0000-0000-000024030000}"/>
    <cellStyle name="Currency 3 2 2 7 2 2 2 2" xfId="3497" xr:uid="{00000000-0005-0000-0000-000025030000}"/>
    <cellStyle name="Currency 3 2 2 7 2 2 2 2 2" xfId="4650" xr:uid="{00000000-0005-0000-0000-000026030000}"/>
    <cellStyle name="Currency 3 2 2 7 2 2 2 3" xfId="2615" xr:uid="{00000000-0005-0000-0000-000027030000}"/>
    <cellStyle name="Currency 3 2 2 7 2 2 2 3 2" xfId="4651" xr:uid="{00000000-0005-0000-0000-000028030000}"/>
    <cellStyle name="Currency 3 2 2 7 2 2 2 4" xfId="4379" xr:uid="{00000000-0005-0000-0000-000029030000}"/>
    <cellStyle name="Currency 3 2 2 7 2 2 2 5" xfId="1732" xr:uid="{00000000-0005-0000-0000-00002A030000}"/>
    <cellStyle name="Currency 3 2 2 7 2 2 3" xfId="3056" xr:uid="{00000000-0005-0000-0000-00002B030000}"/>
    <cellStyle name="Currency 3 2 2 7 2 2 3 2" xfId="4652" xr:uid="{00000000-0005-0000-0000-00002C030000}"/>
    <cellStyle name="Currency 3 2 2 7 2 2 4" xfId="2174" xr:uid="{00000000-0005-0000-0000-00002D030000}"/>
    <cellStyle name="Currency 3 2 2 7 2 2 4 2" xfId="4653" xr:uid="{00000000-0005-0000-0000-00002E030000}"/>
    <cellStyle name="Currency 3 2 2 7 2 2 5" xfId="3938" xr:uid="{00000000-0005-0000-0000-00002F030000}"/>
    <cellStyle name="Currency 3 2 2 7 2 2 6" xfId="1291" xr:uid="{00000000-0005-0000-0000-000030030000}"/>
    <cellStyle name="Currency 3 2 2 7 2 3" xfId="629" xr:uid="{00000000-0005-0000-0000-000031030000}"/>
    <cellStyle name="Currency 3 2 2 7 2 3 2" xfId="3277" xr:uid="{00000000-0005-0000-0000-000032030000}"/>
    <cellStyle name="Currency 3 2 2 7 2 3 2 2" xfId="4654" xr:uid="{00000000-0005-0000-0000-000033030000}"/>
    <cellStyle name="Currency 3 2 2 7 2 3 3" xfId="2395" xr:uid="{00000000-0005-0000-0000-000034030000}"/>
    <cellStyle name="Currency 3 2 2 7 2 3 3 2" xfId="4655" xr:uid="{00000000-0005-0000-0000-000035030000}"/>
    <cellStyle name="Currency 3 2 2 7 2 3 4" xfId="4159" xr:uid="{00000000-0005-0000-0000-000036030000}"/>
    <cellStyle name="Currency 3 2 2 7 2 3 5" xfId="1512" xr:uid="{00000000-0005-0000-0000-000037030000}"/>
    <cellStyle name="Currency 3 2 2 7 2 4" xfId="2836" xr:uid="{00000000-0005-0000-0000-000038030000}"/>
    <cellStyle name="Currency 3 2 2 7 2 4 2" xfId="4656" xr:uid="{00000000-0005-0000-0000-000039030000}"/>
    <cellStyle name="Currency 3 2 2 7 2 5" xfId="1954" xr:uid="{00000000-0005-0000-0000-00003A030000}"/>
    <cellStyle name="Currency 3 2 2 7 2 5 2" xfId="4657" xr:uid="{00000000-0005-0000-0000-00003B030000}"/>
    <cellStyle name="Currency 3 2 2 7 2 6" xfId="3718" xr:uid="{00000000-0005-0000-0000-00003C030000}"/>
    <cellStyle name="Currency 3 2 2 7 2 7" xfId="1071" xr:uid="{00000000-0005-0000-0000-00003D030000}"/>
    <cellStyle name="Currency 3 2 2 7 3" xfId="298" xr:uid="{00000000-0005-0000-0000-00003E030000}"/>
    <cellStyle name="Currency 3 2 2 7 3 2" xfId="739" xr:uid="{00000000-0005-0000-0000-00003F030000}"/>
    <cellStyle name="Currency 3 2 2 7 3 2 2" xfId="3387" xr:uid="{00000000-0005-0000-0000-000040030000}"/>
    <cellStyle name="Currency 3 2 2 7 3 2 2 2" xfId="4658" xr:uid="{00000000-0005-0000-0000-000041030000}"/>
    <cellStyle name="Currency 3 2 2 7 3 2 3" xfId="2505" xr:uid="{00000000-0005-0000-0000-000042030000}"/>
    <cellStyle name="Currency 3 2 2 7 3 2 3 2" xfId="4659" xr:uid="{00000000-0005-0000-0000-000043030000}"/>
    <cellStyle name="Currency 3 2 2 7 3 2 4" xfId="4269" xr:uid="{00000000-0005-0000-0000-000044030000}"/>
    <cellStyle name="Currency 3 2 2 7 3 2 5" xfId="1622" xr:uid="{00000000-0005-0000-0000-000045030000}"/>
    <cellStyle name="Currency 3 2 2 7 3 3" xfId="2946" xr:uid="{00000000-0005-0000-0000-000046030000}"/>
    <cellStyle name="Currency 3 2 2 7 3 3 2" xfId="4660" xr:uid="{00000000-0005-0000-0000-000047030000}"/>
    <cellStyle name="Currency 3 2 2 7 3 4" xfId="2064" xr:uid="{00000000-0005-0000-0000-000048030000}"/>
    <cellStyle name="Currency 3 2 2 7 3 4 2" xfId="4661" xr:uid="{00000000-0005-0000-0000-000049030000}"/>
    <cellStyle name="Currency 3 2 2 7 3 5" xfId="3828" xr:uid="{00000000-0005-0000-0000-00004A030000}"/>
    <cellStyle name="Currency 3 2 2 7 3 6" xfId="1181" xr:uid="{00000000-0005-0000-0000-00004B030000}"/>
    <cellStyle name="Currency 3 2 2 7 4" xfId="519" xr:uid="{00000000-0005-0000-0000-00004C030000}"/>
    <cellStyle name="Currency 3 2 2 7 4 2" xfId="3167" xr:uid="{00000000-0005-0000-0000-00004D030000}"/>
    <cellStyle name="Currency 3 2 2 7 4 2 2" xfId="4662" xr:uid="{00000000-0005-0000-0000-00004E030000}"/>
    <cellStyle name="Currency 3 2 2 7 4 3" xfId="2285" xr:uid="{00000000-0005-0000-0000-00004F030000}"/>
    <cellStyle name="Currency 3 2 2 7 4 3 2" xfId="4663" xr:uid="{00000000-0005-0000-0000-000050030000}"/>
    <cellStyle name="Currency 3 2 2 7 4 4" xfId="4049" xr:uid="{00000000-0005-0000-0000-000051030000}"/>
    <cellStyle name="Currency 3 2 2 7 4 5" xfId="1402" xr:uid="{00000000-0005-0000-0000-000052030000}"/>
    <cellStyle name="Currency 3 2 2 7 5" xfId="2726" xr:uid="{00000000-0005-0000-0000-000053030000}"/>
    <cellStyle name="Currency 3 2 2 7 5 2" xfId="4664" xr:uid="{00000000-0005-0000-0000-000054030000}"/>
    <cellStyle name="Currency 3 2 2 7 6" xfId="1844" xr:uid="{00000000-0005-0000-0000-000055030000}"/>
    <cellStyle name="Currency 3 2 2 7 6 2" xfId="4665" xr:uid="{00000000-0005-0000-0000-000056030000}"/>
    <cellStyle name="Currency 3 2 2 7 7" xfId="3608" xr:uid="{00000000-0005-0000-0000-000057030000}"/>
    <cellStyle name="Currency 3 2 2 7 8" xfId="961" xr:uid="{00000000-0005-0000-0000-000058030000}"/>
    <cellStyle name="Currency 3 2 2 8" xfId="122" xr:uid="{00000000-0005-0000-0000-000059030000}"/>
    <cellStyle name="Currency 3 2 2 8 2" xfId="342" xr:uid="{00000000-0005-0000-0000-00005A030000}"/>
    <cellStyle name="Currency 3 2 2 8 2 2" xfId="783" xr:uid="{00000000-0005-0000-0000-00005B030000}"/>
    <cellStyle name="Currency 3 2 2 8 2 2 2" xfId="3431" xr:uid="{00000000-0005-0000-0000-00005C030000}"/>
    <cellStyle name="Currency 3 2 2 8 2 2 2 2" xfId="4666" xr:uid="{00000000-0005-0000-0000-00005D030000}"/>
    <cellStyle name="Currency 3 2 2 8 2 2 3" xfId="2549" xr:uid="{00000000-0005-0000-0000-00005E030000}"/>
    <cellStyle name="Currency 3 2 2 8 2 2 3 2" xfId="4667" xr:uid="{00000000-0005-0000-0000-00005F030000}"/>
    <cellStyle name="Currency 3 2 2 8 2 2 4" xfId="4313" xr:uid="{00000000-0005-0000-0000-000060030000}"/>
    <cellStyle name="Currency 3 2 2 8 2 2 5" xfId="1666" xr:uid="{00000000-0005-0000-0000-000061030000}"/>
    <cellStyle name="Currency 3 2 2 8 2 3" xfId="2990" xr:uid="{00000000-0005-0000-0000-000062030000}"/>
    <cellStyle name="Currency 3 2 2 8 2 3 2" xfId="4668" xr:uid="{00000000-0005-0000-0000-000063030000}"/>
    <cellStyle name="Currency 3 2 2 8 2 4" xfId="2108" xr:uid="{00000000-0005-0000-0000-000064030000}"/>
    <cellStyle name="Currency 3 2 2 8 2 4 2" xfId="4669" xr:uid="{00000000-0005-0000-0000-000065030000}"/>
    <cellStyle name="Currency 3 2 2 8 2 5" xfId="3872" xr:uid="{00000000-0005-0000-0000-000066030000}"/>
    <cellStyle name="Currency 3 2 2 8 2 6" xfId="1225" xr:uid="{00000000-0005-0000-0000-000067030000}"/>
    <cellStyle name="Currency 3 2 2 8 3" xfId="563" xr:uid="{00000000-0005-0000-0000-000068030000}"/>
    <cellStyle name="Currency 3 2 2 8 3 2" xfId="3211" xr:uid="{00000000-0005-0000-0000-000069030000}"/>
    <cellStyle name="Currency 3 2 2 8 3 2 2" xfId="4670" xr:uid="{00000000-0005-0000-0000-00006A030000}"/>
    <cellStyle name="Currency 3 2 2 8 3 3" xfId="2329" xr:uid="{00000000-0005-0000-0000-00006B030000}"/>
    <cellStyle name="Currency 3 2 2 8 3 3 2" xfId="4671" xr:uid="{00000000-0005-0000-0000-00006C030000}"/>
    <cellStyle name="Currency 3 2 2 8 3 4" xfId="4093" xr:uid="{00000000-0005-0000-0000-00006D030000}"/>
    <cellStyle name="Currency 3 2 2 8 3 5" xfId="1446" xr:uid="{00000000-0005-0000-0000-00006E030000}"/>
    <cellStyle name="Currency 3 2 2 8 4" xfId="2770" xr:uid="{00000000-0005-0000-0000-00006F030000}"/>
    <cellStyle name="Currency 3 2 2 8 4 2" xfId="4672" xr:uid="{00000000-0005-0000-0000-000070030000}"/>
    <cellStyle name="Currency 3 2 2 8 5" xfId="1888" xr:uid="{00000000-0005-0000-0000-000071030000}"/>
    <cellStyle name="Currency 3 2 2 8 5 2" xfId="4673" xr:uid="{00000000-0005-0000-0000-000072030000}"/>
    <cellStyle name="Currency 3 2 2 8 6" xfId="3652" xr:uid="{00000000-0005-0000-0000-000073030000}"/>
    <cellStyle name="Currency 3 2 2 8 7" xfId="1005" xr:uid="{00000000-0005-0000-0000-000074030000}"/>
    <cellStyle name="Currency 3 2 2 9" xfId="232" xr:uid="{00000000-0005-0000-0000-000075030000}"/>
    <cellStyle name="Currency 3 2 2 9 2" xfId="673" xr:uid="{00000000-0005-0000-0000-000076030000}"/>
    <cellStyle name="Currency 3 2 2 9 2 2" xfId="3321" xr:uid="{00000000-0005-0000-0000-000077030000}"/>
    <cellStyle name="Currency 3 2 2 9 2 2 2" xfId="4674" xr:uid="{00000000-0005-0000-0000-000078030000}"/>
    <cellStyle name="Currency 3 2 2 9 2 3" xfId="2439" xr:uid="{00000000-0005-0000-0000-000079030000}"/>
    <cellStyle name="Currency 3 2 2 9 2 3 2" xfId="4675" xr:uid="{00000000-0005-0000-0000-00007A030000}"/>
    <cellStyle name="Currency 3 2 2 9 2 4" xfId="4203" xr:uid="{00000000-0005-0000-0000-00007B030000}"/>
    <cellStyle name="Currency 3 2 2 9 2 5" xfId="1556" xr:uid="{00000000-0005-0000-0000-00007C030000}"/>
    <cellStyle name="Currency 3 2 2 9 3" xfId="2880" xr:uid="{00000000-0005-0000-0000-00007D030000}"/>
    <cellStyle name="Currency 3 2 2 9 3 2" xfId="4676" xr:uid="{00000000-0005-0000-0000-00007E030000}"/>
    <cellStyle name="Currency 3 2 2 9 4" xfId="1998" xr:uid="{00000000-0005-0000-0000-00007F030000}"/>
    <cellStyle name="Currency 3 2 2 9 4 2" xfId="4677" xr:uid="{00000000-0005-0000-0000-000080030000}"/>
    <cellStyle name="Currency 3 2 2 9 5" xfId="3762" xr:uid="{00000000-0005-0000-0000-000081030000}"/>
    <cellStyle name="Currency 3 2 2 9 6" xfId="1115" xr:uid="{00000000-0005-0000-0000-000082030000}"/>
    <cellStyle name="Currency 3 2 3" xfId="16" xr:uid="{00000000-0005-0000-0000-000083030000}"/>
    <cellStyle name="Currency 3 2 3 10" xfId="3546" xr:uid="{00000000-0005-0000-0000-000084030000}"/>
    <cellStyle name="Currency 3 2 3 11" xfId="899" xr:uid="{00000000-0005-0000-0000-000085030000}"/>
    <cellStyle name="Currency 3 2 3 2" xfId="50" xr:uid="{00000000-0005-0000-0000-000086030000}"/>
    <cellStyle name="Currency 3 2 3 2 2" xfId="160" xr:uid="{00000000-0005-0000-0000-000087030000}"/>
    <cellStyle name="Currency 3 2 3 2 2 2" xfId="380" xr:uid="{00000000-0005-0000-0000-000088030000}"/>
    <cellStyle name="Currency 3 2 3 2 2 2 2" xfId="821" xr:uid="{00000000-0005-0000-0000-000089030000}"/>
    <cellStyle name="Currency 3 2 3 2 2 2 2 2" xfId="3469" xr:uid="{00000000-0005-0000-0000-00008A030000}"/>
    <cellStyle name="Currency 3 2 3 2 2 2 2 2 2" xfId="4678" xr:uid="{00000000-0005-0000-0000-00008B030000}"/>
    <cellStyle name="Currency 3 2 3 2 2 2 2 3" xfId="2587" xr:uid="{00000000-0005-0000-0000-00008C030000}"/>
    <cellStyle name="Currency 3 2 3 2 2 2 2 3 2" xfId="4679" xr:uid="{00000000-0005-0000-0000-00008D030000}"/>
    <cellStyle name="Currency 3 2 3 2 2 2 2 4" xfId="4351" xr:uid="{00000000-0005-0000-0000-00008E030000}"/>
    <cellStyle name="Currency 3 2 3 2 2 2 2 5" xfId="1704" xr:uid="{00000000-0005-0000-0000-00008F030000}"/>
    <cellStyle name="Currency 3 2 3 2 2 2 3" xfId="3028" xr:uid="{00000000-0005-0000-0000-000090030000}"/>
    <cellStyle name="Currency 3 2 3 2 2 2 3 2" xfId="4680" xr:uid="{00000000-0005-0000-0000-000091030000}"/>
    <cellStyle name="Currency 3 2 3 2 2 2 4" xfId="2146" xr:uid="{00000000-0005-0000-0000-000092030000}"/>
    <cellStyle name="Currency 3 2 3 2 2 2 4 2" xfId="4681" xr:uid="{00000000-0005-0000-0000-000093030000}"/>
    <cellStyle name="Currency 3 2 3 2 2 2 5" xfId="3910" xr:uid="{00000000-0005-0000-0000-000094030000}"/>
    <cellStyle name="Currency 3 2 3 2 2 2 6" xfId="1263" xr:uid="{00000000-0005-0000-0000-000095030000}"/>
    <cellStyle name="Currency 3 2 3 2 2 3" xfId="601" xr:uid="{00000000-0005-0000-0000-000096030000}"/>
    <cellStyle name="Currency 3 2 3 2 2 3 2" xfId="3249" xr:uid="{00000000-0005-0000-0000-000097030000}"/>
    <cellStyle name="Currency 3 2 3 2 2 3 2 2" xfId="4682" xr:uid="{00000000-0005-0000-0000-000098030000}"/>
    <cellStyle name="Currency 3 2 3 2 2 3 3" xfId="2367" xr:uid="{00000000-0005-0000-0000-000099030000}"/>
    <cellStyle name="Currency 3 2 3 2 2 3 3 2" xfId="4683" xr:uid="{00000000-0005-0000-0000-00009A030000}"/>
    <cellStyle name="Currency 3 2 3 2 2 3 4" xfId="4131" xr:uid="{00000000-0005-0000-0000-00009B030000}"/>
    <cellStyle name="Currency 3 2 3 2 2 3 5" xfId="1484" xr:uid="{00000000-0005-0000-0000-00009C030000}"/>
    <cellStyle name="Currency 3 2 3 2 2 4" xfId="2808" xr:uid="{00000000-0005-0000-0000-00009D030000}"/>
    <cellStyle name="Currency 3 2 3 2 2 4 2" xfId="4684" xr:uid="{00000000-0005-0000-0000-00009E030000}"/>
    <cellStyle name="Currency 3 2 3 2 2 5" xfId="1926" xr:uid="{00000000-0005-0000-0000-00009F030000}"/>
    <cellStyle name="Currency 3 2 3 2 2 5 2" xfId="4685" xr:uid="{00000000-0005-0000-0000-0000A0030000}"/>
    <cellStyle name="Currency 3 2 3 2 2 6" xfId="3690" xr:uid="{00000000-0005-0000-0000-0000A1030000}"/>
    <cellStyle name="Currency 3 2 3 2 2 7" xfId="1043" xr:uid="{00000000-0005-0000-0000-0000A2030000}"/>
    <cellStyle name="Currency 3 2 3 2 3" xfId="270" xr:uid="{00000000-0005-0000-0000-0000A3030000}"/>
    <cellStyle name="Currency 3 2 3 2 3 2" xfId="711" xr:uid="{00000000-0005-0000-0000-0000A4030000}"/>
    <cellStyle name="Currency 3 2 3 2 3 2 2" xfId="3359" xr:uid="{00000000-0005-0000-0000-0000A5030000}"/>
    <cellStyle name="Currency 3 2 3 2 3 2 2 2" xfId="4686" xr:uid="{00000000-0005-0000-0000-0000A6030000}"/>
    <cellStyle name="Currency 3 2 3 2 3 2 3" xfId="2477" xr:uid="{00000000-0005-0000-0000-0000A7030000}"/>
    <cellStyle name="Currency 3 2 3 2 3 2 3 2" xfId="4687" xr:uid="{00000000-0005-0000-0000-0000A8030000}"/>
    <cellStyle name="Currency 3 2 3 2 3 2 4" xfId="4241" xr:uid="{00000000-0005-0000-0000-0000A9030000}"/>
    <cellStyle name="Currency 3 2 3 2 3 2 5" xfId="1594" xr:uid="{00000000-0005-0000-0000-0000AA030000}"/>
    <cellStyle name="Currency 3 2 3 2 3 3" xfId="2918" xr:uid="{00000000-0005-0000-0000-0000AB030000}"/>
    <cellStyle name="Currency 3 2 3 2 3 3 2" xfId="4688" xr:uid="{00000000-0005-0000-0000-0000AC030000}"/>
    <cellStyle name="Currency 3 2 3 2 3 4" xfId="2036" xr:uid="{00000000-0005-0000-0000-0000AD030000}"/>
    <cellStyle name="Currency 3 2 3 2 3 4 2" xfId="4689" xr:uid="{00000000-0005-0000-0000-0000AE030000}"/>
    <cellStyle name="Currency 3 2 3 2 3 5" xfId="3800" xr:uid="{00000000-0005-0000-0000-0000AF030000}"/>
    <cellStyle name="Currency 3 2 3 2 3 6" xfId="1153" xr:uid="{00000000-0005-0000-0000-0000B0030000}"/>
    <cellStyle name="Currency 3 2 3 2 4" xfId="491" xr:uid="{00000000-0005-0000-0000-0000B1030000}"/>
    <cellStyle name="Currency 3 2 3 2 4 2" xfId="3139" xr:uid="{00000000-0005-0000-0000-0000B2030000}"/>
    <cellStyle name="Currency 3 2 3 2 4 2 2" xfId="4690" xr:uid="{00000000-0005-0000-0000-0000B3030000}"/>
    <cellStyle name="Currency 3 2 3 2 4 3" xfId="2257" xr:uid="{00000000-0005-0000-0000-0000B4030000}"/>
    <cellStyle name="Currency 3 2 3 2 4 3 2" xfId="4691" xr:uid="{00000000-0005-0000-0000-0000B5030000}"/>
    <cellStyle name="Currency 3 2 3 2 4 4" xfId="4021" xr:uid="{00000000-0005-0000-0000-0000B6030000}"/>
    <cellStyle name="Currency 3 2 3 2 4 5" xfId="1374" xr:uid="{00000000-0005-0000-0000-0000B7030000}"/>
    <cellStyle name="Currency 3 2 3 2 5" xfId="2698" xr:uid="{00000000-0005-0000-0000-0000B8030000}"/>
    <cellStyle name="Currency 3 2 3 2 5 2" xfId="4692" xr:uid="{00000000-0005-0000-0000-0000B9030000}"/>
    <cellStyle name="Currency 3 2 3 2 6" xfId="1816" xr:uid="{00000000-0005-0000-0000-0000BA030000}"/>
    <cellStyle name="Currency 3 2 3 2 6 2" xfId="4693" xr:uid="{00000000-0005-0000-0000-0000BB030000}"/>
    <cellStyle name="Currency 3 2 3 2 7" xfId="3580" xr:uid="{00000000-0005-0000-0000-0000BC030000}"/>
    <cellStyle name="Currency 3 2 3 2 8" xfId="933" xr:uid="{00000000-0005-0000-0000-0000BD030000}"/>
    <cellStyle name="Currency 3 2 3 3" xfId="66" xr:uid="{00000000-0005-0000-0000-0000BE030000}"/>
    <cellStyle name="Currency 3 2 3 3 2" xfId="176" xr:uid="{00000000-0005-0000-0000-0000BF030000}"/>
    <cellStyle name="Currency 3 2 3 3 2 2" xfId="396" xr:uid="{00000000-0005-0000-0000-0000C0030000}"/>
    <cellStyle name="Currency 3 2 3 3 2 2 2" xfId="837" xr:uid="{00000000-0005-0000-0000-0000C1030000}"/>
    <cellStyle name="Currency 3 2 3 3 2 2 2 2" xfId="3485" xr:uid="{00000000-0005-0000-0000-0000C2030000}"/>
    <cellStyle name="Currency 3 2 3 3 2 2 2 2 2" xfId="4694" xr:uid="{00000000-0005-0000-0000-0000C3030000}"/>
    <cellStyle name="Currency 3 2 3 3 2 2 2 3" xfId="2603" xr:uid="{00000000-0005-0000-0000-0000C4030000}"/>
    <cellStyle name="Currency 3 2 3 3 2 2 2 3 2" xfId="4695" xr:uid="{00000000-0005-0000-0000-0000C5030000}"/>
    <cellStyle name="Currency 3 2 3 3 2 2 2 4" xfId="4367" xr:uid="{00000000-0005-0000-0000-0000C6030000}"/>
    <cellStyle name="Currency 3 2 3 3 2 2 2 5" xfId="1720" xr:uid="{00000000-0005-0000-0000-0000C7030000}"/>
    <cellStyle name="Currency 3 2 3 3 2 2 3" xfId="3044" xr:uid="{00000000-0005-0000-0000-0000C8030000}"/>
    <cellStyle name="Currency 3 2 3 3 2 2 3 2" xfId="4696" xr:uid="{00000000-0005-0000-0000-0000C9030000}"/>
    <cellStyle name="Currency 3 2 3 3 2 2 4" xfId="2162" xr:uid="{00000000-0005-0000-0000-0000CA030000}"/>
    <cellStyle name="Currency 3 2 3 3 2 2 4 2" xfId="4697" xr:uid="{00000000-0005-0000-0000-0000CB030000}"/>
    <cellStyle name="Currency 3 2 3 3 2 2 5" xfId="3926" xr:uid="{00000000-0005-0000-0000-0000CC030000}"/>
    <cellStyle name="Currency 3 2 3 3 2 2 6" xfId="1279" xr:uid="{00000000-0005-0000-0000-0000CD030000}"/>
    <cellStyle name="Currency 3 2 3 3 2 3" xfId="617" xr:uid="{00000000-0005-0000-0000-0000CE030000}"/>
    <cellStyle name="Currency 3 2 3 3 2 3 2" xfId="3265" xr:uid="{00000000-0005-0000-0000-0000CF030000}"/>
    <cellStyle name="Currency 3 2 3 3 2 3 2 2" xfId="4698" xr:uid="{00000000-0005-0000-0000-0000D0030000}"/>
    <cellStyle name="Currency 3 2 3 3 2 3 3" xfId="2383" xr:uid="{00000000-0005-0000-0000-0000D1030000}"/>
    <cellStyle name="Currency 3 2 3 3 2 3 3 2" xfId="4699" xr:uid="{00000000-0005-0000-0000-0000D2030000}"/>
    <cellStyle name="Currency 3 2 3 3 2 3 4" xfId="4147" xr:uid="{00000000-0005-0000-0000-0000D3030000}"/>
    <cellStyle name="Currency 3 2 3 3 2 3 5" xfId="1500" xr:uid="{00000000-0005-0000-0000-0000D4030000}"/>
    <cellStyle name="Currency 3 2 3 3 2 4" xfId="2824" xr:uid="{00000000-0005-0000-0000-0000D5030000}"/>
    <cellStyle name="Currency 3 2 3 3 2 4 2" xfId="4700" xr:uid="{00000000-0005-0000-0000-0000D6030000}"/>
    <cellStyle name="Currency 3 2 3 3 2 5" xfId="1942" xr:uid="{00000000-0005-0000-0000-0000D7030000}"/>
    <cellStyle name="Currency 3 2 3 3 2 5 2" xfId="4701" xr:uid="{00000000-0005-0000-0000-0000D8030000}"/>
    <cellStyle name="Currency 3 2 3 3 2 6" xfId="3706" xr:uid="{00000000-0005-0000-0000-0000D9030000}"/>
    <cellStyle name="Currency 3 2 3 3 2 7" xfId="1059" xr:uid="{00000000-0005-0000-0000-0000DA030000}"/>
    <cellStyle name="Currency 3 2 3 3 3" xfId="286" xr:uid="{00000000-0005-0000-0000-0000DB030000}"/>
    <cellStyle name="Currency 3 2 3 3 3 2" xfId="727" xr:uid="{00000000-0005-0000-0000-0000DC030000}"/>
    <cellStyle name="Currency 3 2 3 3 3 2 2" xfId="3375" xr:uid="{00000000-0005-0000-0000-0000DD030000}"/>
    <cellStyle name="Currency 3 2 3 3 3 2 2 2" xfId="4702" xr:uid="{00000000-0005-0000-0000-0000DE030000}"/>
    <cellStyle name="Currency 3 2 3 3 3 2 3" xfId="2493" xr:uid="{00000000-0005-0000-0000-0000DF030000}"/>
    <cellStyle name="Currency 3 2 3 3 3 2 3 2" xfId="4703" xr:uid="{00000000-0005-0000-0000-0000E0030000}"/>
    <cellStyle name="Currency 3 2 3 3 3 2 4" xfId="4257" xr:uid="{00000000-0005-0000-0000-0000E1030000}"/>
    <cellStyle name="Currency 3 2 3 3 3 2 5" xfId="1610" xr:uid="{00000000-0005-0000-0000-0000E2030000}"/>
    <cellStyle name="Currency 3 2 3 3 3 3" xfId="2934" xr:uid="{00000000-0005-0000-0000-0000E3030000}"/>
    <cellStyle name="Currency 3 2 3 3 3 3 2" xfId="4704" xr:uid="{00000000-0005-0000-0000-0000E4030000}"/>
    <cellStyle name="Currency 3 2 3 3 3 4" xfId="2052" xr:uid="{00000000-0005-0000-0000-0000E5030000}"/>
    <cellStyle name="Currency 3 2 3 3 3 4 2" xfId="4705" xr:uid="{00000000-0005-0000-0000-0000E6030000}"/>
    <cellStyle name="Currency 3 2 3 3 3 5" xfId="3816" xr:uid="{00000000-0005-0000-0000-0000E7030000}"/>
    <cellStyle name="Currency 3 2 3 3 3 6" xfId="1169" xr:uid="{00000000-0005-0000-0000-0000E8030000}"/>
    <cellStyle name="Currency 3 2 3 3 4" xfId="507" xr:uid="{00000000-0005-0000-0000-0000E9030000}"/>
    <cellStyle name="Currency 3 2 3 3 4 2" xfId="3155" xr:uid="{00000000-0005-0000-0000-0000EA030000}"/>
    <cellStyle name="Currency 3 2 3 3 4 2 2" xfId="4706" xr:uid="{00000000-0005-0000-0000-0000EB030000}"/>
    <cellStyle name="Currency 3 2 3 3 4 3" xfId="2273" xr:uid="{00000000-0005-0000-0000-0000EC030000}"/>
    <cellStyle name="Currency 3 2 3 3 4 3 2" xfId="4707" xr:uid="{00000000-0005-0000-0000-0000ED030000}"/>
    <cellStyle name="Currency 3 2 3 3 4 4" xfId="4037" xr:uid="{00000000-0005-0000-0000-0000EE030000}"/>
    <cellStyle name="Currency 3 2 3 3 4 5" xfId="1390" xr:uid="{00000000-0005-0000-0000-0000EF030000}"/>
    <cellStyle name="Currency 3 2 3 3 5" xfId="2714" xr:uid="{00000000-0005-0000-0000-0000F0030000}"/>
    <cellStyle name="Currency 3 2 3 3 5 2" xfId="4708" xr:uid="{00000000-0005-0000-0000-0000F1030000}"/>
    <cellStyle name="Currency 3 2 3 3 6" xfId="1832" xr:uid="{00000000-0005-0000-0000-0000F2030000}"/>
    <cellStyle name="Currency 3 2 3 3 6 2" xfId="4709" xr:uid="{00000000-0005-0000-0000-0000F3030000}"/>
    <cellStyle name="Currency 3 2 3 3 7" xfId="3596" xr:uid="{00000000-0005-0000-0000-0000F4030000}"/>
    <cellStyle name="Currency 3 2 3 3 8" xfId="949" xr:uid="{00000000-0005-0000-0000-0000F5030000}"/>
    <cellStyle name="Currency 3 2 3 4" xfId="82" xr:uid="{00000000-0005-0000-0000-0000F6030000}"/>
    <cellStyle name="Currency 3 2 3 4 2" xfId="192" xr:uid="{00000000-0005-0000-0000-0000F7030000}"/>
    <cellStyle name="Currency 3 2 3 4 2 2" xfId="412" xr:uid="{00000000-0005-0000-0000-0000F8030000}"/>
    <cellStyle name="Currency 3 2 3 4 2 2 2" xfId="853" xr:uid="{00000000-0005-0000-0000-0000F9030000}"/>
    <cellStyle name="Currency 3 2 3 4 2 2 2 2" xfId="3501" xr:uid="{00000000-0005-0000-0000-0000FA030000}"/>
    <cellStyle name="Currency 3 2 3 4 2 2 2 2 2" xfId="4710" xr:uid="{00000000-0005-0000-0000-0000FB030000}"/>
    <cellStyle name="Currency 3 2 3 4 2 2 2 3" xfId="2619" xr:uid="{00000000-0005-0000-0000-0000FC030000}"/>
    <cellStyle name="Currency 3 2 3 4 2 2 2 3 2" xfId="4711" xr:uid="{00000000-0005-0000-0000-0000FD030000}"/>
    <cellStyle name="Currency 3 2 3 4 2 2 2 4" xfId="4383" xr:uid="{00000000-0005-0000-0000-0000FE030000}"/>
    <cellStyle name="Currency 3 2 3 4 2 2 2 5" xfId="1736" xr:uid="{00000000-0005-0000-0000-0000FF030000}"/>
    <cellStyle name="Currency 3 2 3 4 2 2 3" xfId="3060" xr:uid="{00000000-0005-0000-0000-000000040000}"/>
    <cellStyle name="Currency 3 2 3 4 2 2 3 2" xfId="4712" xr:uid="{00000000-0005-0000-0000-000001040000}"/>
    <cellStyle name="Currency 3 2 3 4 2 2 4" xfId="2178" xr:uid="{00000000-0005-0000-0000-000002040000}"/>
    <cellStyle name="Currency 3 2 3 4 2 2 4 2" xfId="4713" xr:uid="{00000000-0005-0000-0000-000003040000}"/>
    <cellStyle name="Currency 3 2 3 4 2 2 5" xfId="3942" xr:uid="{00000000-0005-0000-0000-000004040000}"/>
    <cellStyle name="Currency 3 2 3 4 2 2 6" xfId="1295" xr:uid="{00000000-0005-0000-0000-000005040000}"/>
    <cellStyle name="Currency 3 2 3 4 2 3" xfId="633" xr:uid="{00000000-0005-0000-0000-000006040000}"/>
    <cellStyle name="Currency 3 2 3 4 2 3 2" xfId="3281" xr:uid="{00000000-0005-0000-0000-000007040000}"/>
    <cellStyle name="Currency 3 2 3 4 2 3 2 2" xfId="4714" xr:uid="{00000000-0005-0000-0000-000008040000}"/>
    <cellStyle name="Currency 3 2 3 4 2 3 3" xfId="2399" xr:uid="{00000000-0005-0000-0000-000009040000}"/>
    <cellStyle name="Currency 3 2 3 4 2 3 3 2" xfId="4715" xr:uid="{00000000-0005-0000-0000-00000A040000}"/>
    <cellStyle name="Currency 3 2 3 4 2 3 4" xfId="4163" xr:uid="{00000000-0005-0000-0000-00000B040000}"/>
    <cellStyle name="Currency 3 2 3 4 2 3 5" xfId="1516" xr:uid="{00000000-0005-0000-0000-00000C040000}"/>
    <cellStyle name="Currency 3 2 3 4 2 4" xfId="2840" xr:uid="{00000000-0005-0000-0000-00000D040000}"/>
    <cellStyle name="Currency 3 2 3 4 2 4 2" xfId="4716" xr:uid="{00000000-0005-0000-0000-00000E040000}"/>
    <cellStyle name="Currency 3 2 3 4 2 5" xfId="1958" xr:uid="{00000000-0005-0000-0000-00000F040000}"/>
    <cellStyle name="Currency 3 2 3 4 2 5 2" xfId="4717" xr:uid="{00000000-0005-0000-0000-000010040000}"/>
    <cellStyle name="Currency 3 2 3 4 2 6" xfId="3722" xr:uid="{00000000-0005-0000-0000-000011040000}"/>
    <cellStyle name="Currency 3 2 3 4 2 7" xfId="1075" xr:uid="{00000000-0005-0000-0000-000012040000}"/>
    <cellStyle name="Currency 3 2 3 4 3" xfId="302" xr:uid="{00000000-0005-0000-0000-000013040000}"/>
    <cellStyle name="Currency 3 2 3 4 3 2" xfId="743" xr:uid="{00000000-0005-0000-0000-000014040000}"/>
    <cellStyle name="Currency 3 2 3 4 3 2 2" xfId="3391" xr:uid="{00000000-0005-0000-0000-000015040000}"/>
    <cellStyle name="Currency 3 2 3 4 3 2 2 2" xfId="4718" xr:uid="{00000000-0005-0000-0000-000016040000}"/>
    <cellStyle name="Currency 3 2 3 4 3 2 3" xfId="2509" xr:uid="{00000000-0005-0000-0000-000017040000}"/>
    <cellStyle name="Currency 3 2 3 4 3 2 3 2" xfId="4719" xr:uid="{00000000-0005-0000-0000-000018040000}"/>
    <cellStyle name="Currency 3 2 3 4 3 2 4" xfId="4273" xr:uid="{00000000-0005-0000-0000-000019040000}"/>
    <cellStyle name="Currency 3 2 3 4 3 2 5" xfId="1626" xr:uid="{00000000-0005-0000-0000-00001A040000}"/>
    <cellStyle name="Currency 3 2 3 4 3 3" xfId="2950" xr:uid="{00000000-0005-0000-0000-00001B040000}"/>
    <cellStyle name="Currency 3 2 3 4 3 3 2" xfId="4720" xr:uid="{00000000-0005-0000-0000-00001C040000}"/>
    <cellStyle name="Currency 3 2 3 4 3 4" xfId="2068" xr:uid="{00000000-0005-0000-0000-00001D040000}"/>
    <cellStyle name="Currency 3 2 3 4 3 4 2" xfId="4721" xr:uid="{00000000-0005-0000-0000-00001E040000}"/>
    <cellStyle name="Currency 3 2 3 4 3 5" xfId="3832" xr:uid="{00000000-0005-0000-0000-00001F040000}"/>
    <cellStyle name="Currency 3 2 3 4 3 6" xfId="1185" xr:uid="{00000000-0005-0000-0000-000020040000}"/>
    <cellStyle name="Currency 3 2 3 4 4" xfId="523" xr:uid="{00000000-0005-0000-0000-000021040000}"/>
    <cellStyle name="Currency 3 2 3 4 4 2" xfId="3171" xr:uid="{00000000-0005-0000-0000-000022040000}"/>
    <cellStyle name="Currency 3 2 3 4 4 2 2" xfId="4722" xr:uid="{00000000-0005-0000-0000-000023040000}"/>
    <cellStyle name="Currency 3 2 3 4 4 3" xfId="2289" xr:uid="{00000000-0005-0000-0000-000024040000}"/>
    <cellStyle name="Currency 3 2 3 4 4 3 2" xfId="4723" xr:uid="{00000000-0005-0000-0000-000025040000}"/>
    <cellStyle name="Currency 3 2 3 4 4 4" xfId="4053" xr:uid="{00000000-0005-0000-0000-000026040000}"/>
    <cellStyle name="Currency 3 2 3 4 4 5" xfId="1406" xr:uid="{00000000-0005-0000-0000-000027040000}"/>
    <cellStyle name="Currency 3 2 3 4 5" xfId="2730" xr:uid="{00000000-0005-0000-0000-000028040000}"/>
    <cellStyle name="Currency 3 2 3 4 5 2" xfId="4724" xr:uid="{00000000-0005-0000-0000-000029040000}"/>
    <cellStyle name="Currency 3 2 3 4 6" xfId="1848" xr:uid="{00000000-0005-0000-0000-00002A040000}"/>
    <cellStyle name="Currency 3 2 3 4 6 2" xfId="4725" xr:uid="{00000000-0005-0000-0000-00002B040000}"/>
    <cellStyle name="Currency 3 2 3 4 7" xfId="3612" xr:uid="{00000000-0005-0000-0000-00002C040000}"/>
    <cellStyle name="Currency 3 2 3 4 8" xfId="965" xr:uid="{00000000-0005-0000-0000-00002D040000}"/>
    <cellStyle name="Currency 3 2 3 5" xfId="126" xr:uid="{00000000-0005-0000-0000-00002E040000}"/>
    <cellStyle name="Currency 3 2 3 5 2" xfId="346" xr:uid="{00000000-0005-0000-0000-00002F040000}"/>
    <cellStyle name="Currency 3 2 3 5 2 2" xfId="787" xr:uid="{00000000-0005-0000-0000-000030040000}"/>
    <cellStyle name="Currency 3 2 3 5 2 2 2" xfId="3435" xr:uid="{00000000-0005-0000-0000-000031040000}"/>
    <cellStyle name="Currency 3 2 3 5 2 2 2 2" xfId="4726" xr:uid="{00000000-0005-0000-0000-000032040000}"/>
    <cellStyle name="Currency 3 2 3 5 2 2 3" xfId="2553" xr:uid="{00000000-0005-0000-0000-000033040000}"/>
    <cellStyle name="Currency 3 2 3 5 2 2 3 2" xfId="4727" xr:uid="{00000000-0005-0000-0000-000034040000}"/>
    <cellStyle name="Currency 3 2 3 5 2 2 4" xfId="4317" xr:uid="{00000000-0005-0000-0000-000035040000}"/>
    <cellStyle name="Currency 3 2 3 5 2 2 5" xfId="1670" xr:uid="{00000000-0005-0000-0000-000036040000}"/>
    <cellStyle name="Currency 3 2 3 5 2 3" xfId="2994" xr:uid="{00000000-0005-0000-0000-000037040000}"/>
    <cellStyle name="Currency 3 2 3 5 2 3 2" xfId="4728" xr:uid="{00000000-0005-0000-0000-000038040000}"/>
    <cellStyle name="Currency 3 2 3 5 2 4" xfId="2112" xr:uid="{00000000-0005-0000-0000-000039040000}"/>
    <cellStyle name="Currency 3 2 3 5 2 4 2" xfId="4729" xr:uid="{00000000-0005-0000-0000-00003A040000}"/>
    <cellStyle name="Currency 3 2 3 5 2 5" xfId="3876" xr:uid="{00000000-0005-0000-0000-00003B040000}"/>
    <cellStyle name="Currency 3 2 3 5 2 6" xfId="1229" xr:uid="{00000000-0005-0000-0000-00003C040000}"/>
    <cellStyle name="Currency 3 2 3 5 3" xfId="567" xr:uid="{00000000-0005-0000-0000-00003D040000}"/>
    <cellStyle name="Currency 3 2 3 5 3 2" xfId="3215" xr:uid="{00000000-0005-0000-0000-00003E040000}"/>
    <cellStyle name="Currency 3 2 3 5 3 2 2" xfId="4730" xr:uid="{00000000-0005-0000-0000-00003F040000}"/>
    <cellStyle name="Currency 3 2 3 5 3 3" xfId="2333" xr:uid="{00000000-0005-0000-0000-000040040000}"/>
    <cellStyle name="Currency 3 2 3 5 3 3 2" xfId="4731" xr:uid="{00000000-0005-0000-0000-000041040000}"/>
    <cellStyle name="Currency 3 2 3 5 3 4" xfId="4097" xr:uid="{00000000-0005-0000-0000-000042040000}"/>
    <cellStyle name="Currency 3 2 3 5 3 5" xfId="1450" xr:uid="{00000000-0005-0000-0000-000043040000}"/>
    <cellStyle name="Currency 3 2 3 5 4" xfId="2774" xr:uid="{00000000-0005-0000-0000-000044040000}"/>
    <cellStyle name="Currency 3 2 3 5 4 2" xfId="4732" xr:uid="{00000000-0005-0000-0000-000045040000}"/>
    <cellStyle name="Currency 3 2 3 5 5" xfId="1892" xr:uid="{00000000-0005-0000-0000-000046040000}"/>
    <cellStyle name="Currency 3 2 3 5 5 2" xfId="4733" xr:uid="{00000000-0005-0000-0000-000047040000}"/>
    <cellStyle name="Currency 3 2 3 5 6" xfId="3656" xr:uid="{00000000-0005-0000-0000-000048040000}"/>
    <cellStyle name="Currency 3 2 3 5 7" xfId="1009" xr:uid="{00000000-0005-0000-0000-000049040000}"/>
    <cellStyle name="Currency 3 2 3 6" xfId="236" xr:uid="{00000000-0005-0000-0000-00004A040000}"/>
    <cellStyle name="Currency 3 2 3 6 2" xfId="677" xr:uid="{00000000-0005-0000-0000-00004B040000}"/>
    <cellStyle name="Currency 3 2 3 6 2 2" xfId="3325" xr:uid="{00000000-0005-0000-0000-00004C040000}"/>
    <cellStyle name="Currency 3 2 3 6 2 2 2" xfId="4734" xr:uid="{00000000-0005-0000-0000-00004D040000}"/>
    <cellStyle name="Currency 3 2 3 6 2 3" xfId="2443" xr:uid="{00000000-0005-0000-0000-00004E040000}"/>
    <cellStyle name="Currency 3 2 3 6 2 3 2" xfId="4735" xr:uid="{00000000-0005-0000-0000-00004F040000}"/>
    <cellStyle name="Currency 3 2 3 6 2 4" xfId="4207" xr:uid="{00000000-0005-0000-0000-000050040000}"/>
    <cellStyle name="Currency 3 2 3 6 2 5" xfId="1560" xr:uid="{00000000-0005-0000-0000-000051040000}"/>
    <cellStyle name="Currency 3 2 3 6 3" xfId="2884" xr:uid="{00000000-0005-0000-0000-000052040000}"/>
    <cellStyle name="Currency 3 2 3 6 3 2" xfId="4736" xr:uid="{00000000-0005-0000-0000-000053040000}"/>
    <cellStyle name="Currency 3 2 3 6 4" xfId="2002" xr:uid="{00000000-0005-0000-0000-000054040000}"/>
    <cellStyle name="Currency 3 2 3 6 4 2" xfId="4737" xr:uid="{00000000-0005-0000-0000-000055040000}"/>
    <cellStyle name="Currency 3 2 3 6 5" xfId="3766" xr:uid="{00000000-0005-0000-0000-000056040000}"/>
    <cellStyle name="Currency 3 2 3 6 6" xfId="1119" xr:uid="{00000000-0005-0000-0000-000057040000}"/>
    <cellStyle name="Currency 3 2 3 7" xfId="457" xr:uid="{00000000-0005-0000-0000-000058040000}"/>
    <cellStyle name="Currency 3 2 3 7 2" xfId="3105" xr:uid="{00000000-0005-0000-0000-000059040000}"/>
    <cellStyle name="Currency 3 2 3 7 2 2" xfId="4738" xr:uid="{00000000-0005-0000-0000-00005A040000}"/>
    <cellStyle name="Currency 3 2 3 7 3" xfId="2223" xr:uid="{00000000-0005-0000-0000-00005B040000}"/>
    <cellStyle name="Currency 3 2 3 7 3 2" xfId="4739" xr:uid="{00000000-0005-0000-0000-00005C040000}"/>
    <cellStyle name="Currency 3 2 3 7 4" xfId="3987" xr:uid="{00000000-0005-0000-0000-00005D040000}"/>
    <cellStyle name="Currency 3 2 3 7 5" xfId="1340" xr:uid="{00000000-0005-0000-0000-00005E040000}"/>
    <cellStyle name="Currency 3 2 3 8" xfId="2664" xr:uid="{00000000-0005-0000-0000-00005F040000}"/>
    <cellStyle name="Currency 3 2 3 8 2" xfId="4740" xr:uid="{00000000-0005-0000-0000-000060040000}"/>
    <cellStyle name="Currency 3 2 3 9" xfId="1782" xr:uid="{00000000-0005-0000-0000-000061040000}"/>
    <cellStyle name="Currency 3 2 3 9 2" xfId="4741" xr:uid="{00000000-0005-0000-0000-000062040000}"/>
    <cellStyle name="Currency 3 2 4" xfId="19" xr:uid="{00000000-0005-0000-0000-000063040000}"/>
    <cellStyle name="Currency 3 2 4 10" xfId="3549" xr:uid="{00000000-0005-0000-0000-000064040000}"/>
    <cellStyle name="Currency 3 2 4 11" xfId="902" xr:uid="{00000000-0005-0000-0000-000065040000}"/>
    <cellStyle name="Currency 3 2 4 2" xfId="53" xr:uid="{00000000-0005-0000-0000-000066040000}"/>
    <cellStyle name="Currency 3 2 4 2 2" xfId="163" xr:uid="{00000000-0005-0000-0000-000067040000}"/>
    <cellStyle name="Currency 3 2 4 2 2 2" xfId="383" xr:uid="{00000000-0005-0000-0000-000068040000}"/>
    <cellStyle name="Currency 3 2 4 2 2 2 2" xfId="824" xr:uid="{00000000-0005-0000-0000-000069040000}"/>
    <cellStyle name="Currency 3 2 4 2 2 2 2 2" xfId="3472" xr:uid="{00000000-0005-0000-0000-00006A040000}"/>
    <cellStyle name="Currency 3 2 4 2 2 2 2 2 2" xfId="4742" xr:uid="{00000000-0005-0000-0000-00006B040000}"/>
    <cellStyle name="Currency 3 2 4 2 2 2 2 3" xfId="2590" xr:uid="{00000000-0005-0000-0000-00006C040000}"/>
    <cellStyle name="Currency 3 2 4 2 2 2 2 3 2" xfId="4743" xr:uid="{00000000-0005-0000-0000-00006D040000}"/>
    <cellStyle name="Currency 3 2 4 2 2 2 2 4" xfId="4354" xr:uid="{00000000-0005-0000-0000-00006E040000}"/>
    <cellStyle name="Currency 3 2 4 2 2 2 2 5" xfId="1707" xr:uid="{00000000-0005-0000-0000-00006F040000}"/>
    <cellStyle name="Currency 3 2 4 2 2 2 3" xfId="3031" xr:uid="{00000000-0005-0000-0000-000070040000}"/>
    <cellStyle name="Currency 3 2 4 2 2 2 3 2" xfId="4744" xr:uid="{00000000-0005-0000-0000-000071040000}"/>
    <cellStyle name="Currency 3 2 4 2 2 2 4" xfId="2149" xr:uid="{00000000-0005-0000-0000-000072040000}"/>
    <cellStyle name="Currency 3 2 4 2 2 2 4 2" xfId="4745" xr:uid="{00000000-0005-0000-0000-000073040000}"/>
    <cellStyle name="Currency 3 2 4 2 2 2 5" xfId="3913" xr:uid="{00000000-0005-0000-0000-000074040000}"/>
    <cellStyle name="Currency 3 2 4 2 2 2 6" xfId="1266" xr:uid="{00000000-0005-0000-0000-000075040000}"/>
    <cellStyle name="Currency 3 2 4 2 2 3" xfId="604" xr:uid="{00000000-0005-0000-0000-000076040000}"/>
    <cellStyle name="Currency 3 2 4 2 2 3 2" xfId="3252" xr:uid="{00000000-0005-0000-0000-000077040000}"/>
    <cellStyle name="Currency 3 2 4 2 2 3 2 2" xfId="4746" xr:uid="{00000000-0005-0000-0000-000078040000}"/>
    <cellStyle name="Currency 3 2 4 2 2 3 3" xfId="2370" xr:uid="{00000000-0005-0000-0000-000079040000}"/>
    <cellStyle name="Currency 3 2 4 2 2 3 3 2" xfId="4747" xr:uid="{00000000-0005-0000-0000-00007A040000}"/>
    <cellStyle name="Currency 3 2 4 2 2 3 4" xfId="4134" xr:uid="{00000000-0005-0000-0000-00007B040000}"/>
    <cellStyle name="Currency 3 2 4 2 2 3 5" xfId="1487" xr:uid="{00000000-0005-0000-0000-00007C040000}"/>
    <cellStyle name="Currency 3 2 4 2 2 4" xfId="2811" xr:uid="{00000000-0005-0000-0000-00007D040000}"/>
    <cellStyle name="Currency 3 2 4 2 2 4 2" xfId="4748" xr:uid="{00000000-0005-0000-0000-00007E040000}"/>
    <cellStyle name="Currency 3 2 4 2 2 5" xfId="1929" xr:uid="{00000000-0005-0000-0000-00007F040000}"/>
    <cellStyle name="Currency 3 2 4 2 2 5 2" xfId="4749" xr:uid="{00000000-0005-0000-0000-000080040000}"/>
    <cellStyle name="Currency 3 2 4 2 2 6" xfId="3693" xr:uid="{00000000-0005-0000-0000-000081040000}"/>
    <cellStyle name="Currency 3 2 4 2 2 7" xfId="1046" xr:uid="{00000000-0005-0000-0000-000082040000}"/>
    <cellStyle name="Currency 3 2 4 2 3" xfId="273" xr:uid="{00000000-0005-0000-0000-000083040000}"/>
    <cellStyle name="Currency 3 2 4 2 3 2" xfId="714" xr:uid="{00000000-0005-0000-0000-000084040000}"/>
    <cellStyle name="Currency 3 2 4 2 3 2 2" xfId="3362" xr:uid="{00000000-0005-0000-0000-000085040000}"/>
    <cellStyle name="Currency 3 2 4 2 3 2 2 2" xfId="4750" xr:uid="{00000000-0005-0000-0000-000086040000}"/>
    <cellStyle name="Currency 3 2 4 2 3 2 3" xfId="2480" xr:uid="{00000000-0005-0000-0000-000087040000}"/>
    <cellStyle name="Currency 3 2 4 2 3 2 3 2" xfId="4751" xr:uid="{00000000-0005-0000-0000-000088040000}"/>
    <cellStyle name="Currency 3 2 4 2 3 2 4" xfId="4244" xr:uid="{00000000-0005-0000-0000-000089040000}"/>
    <cellStyle name="Currency 3 2 4 2 3 2 5" xfId="1597" xr:uid="{00000000-0005-0000-0000-00008A040000}"/>
    <cellStyle name="Currency 3 2 4 2 3 3" xfId="2921" xr:uid="{00000000-0005-0000-0000-00008B040000}"/>
    <cellStyle name="Currency 3 2 4 2 3 3 2" xfId="4752" xr:uid="{00000000-0005-0000-0000-00008C040000}"/>
    <cellStyle name="Currency 3 2 4 2 3 4" xfId="2039" xr:uid="{00000000-0005-0000-0000-00008D040000}"/>
    <cellStyle name="Currency 3 2 4 2 3 4 2" xfId="4753" xr:uid="{00000000-0005-0000-0000-00008E040000}"/>
    <cellStyle name="Currency 3 2 4 2 3 5" xfId="3803" xr:uid="{00000000-0005-0000-0000-00008F040000}"/>
    <cellStyle name="Currency 3 2 4 2 3 6" xfId="1156" xr:uid="{00000000-0005-0000-0000-000090040000}"/>
    <cellStyle name="Currency 3 2 4 2 4" xfId="494" xr:uid="{00000000-0005-0000-0000-000091040000}"/>
    <cellStyle name="Currency 3 2 4 2 4 2" xfId="3142" xr:uid="{00000000-0005-0000-0000-000092040000}"/>
    <cellStyle name="Currency 3 2 4 2 4 2 2" xfId="4754" xr:uid="{00000000-0005-0000-0000-000093040000}"/>
    <cellStyle name="Currency 3 2 4 2 4 3" xfId="2260" xr:uid="{00000000-0005-0000-0000-000094040000}"/>
    <cellStyle name="Currency 3 2 4 2 4 3 2" xfId="4755" xr:uid="{00000000-0005-0000-0000-000095040000}"/>
    <cellStyle name="Currency 3 2 4 2 4 4" xfId="4024" xr:uid="{00000000-0005-0000-0000-000096040000}"/>
    <cellStyle name="Currency 3 2 4 2 4 5" xfId="1377" xr:uid="{00000000-0005-0000-0000-000097040000}"/>
    <cellStyle name="Currency 3 2 4 2 5" xfId="2701" xr:uid="{00000000-0005-0000-0000-000098040000}"/>
    <cellStyle name="Currency 3 2 4 2 5 2" xfId="4756" xr:uid="{00000000-0005-0000-0000-000099040000}"/>
    <cellStyle name="Currency 3 2 4 2 6" xfId="1819" xr:uid="{00000000-0005-0000-0000-00009A040000}"/>
    <cellStyle name="Currency 3 2 4 2 6 2" xfId="4757" xr:uid="{00000000-0005-0000-0000-00009B040000}"/>
    <cellStyle name="Currency 3 2 4 2 7" xfId="3583" xr:uid="{00000000-0005-0000-0000-00009C040000}"/>
    <cellStyle name="Currency 3 2 4 2 8" xfId="936" xr:uid="{00000000-0005-0000-0000-00009D040000}"/>
    <cellStyle name="Currency 3 2 4 3" xfId="69" xr:uid="{00000000-0005-0000-0000-00009E040000}"/>
    <cellStyle name="Currency 3 2 4 3 2" xfId="179" xr:uid="{00000000-0005-0000-0000-00009F040000}"/>
    <cellStyle name="Currency 3 2 4 3 2 2" xfId="399" xr:uid="{00000000-0005-0000-0000-0000A0040000}"/>
    <cellStyle name="Currency 3 2 4 3 2 2 2" xfId="840" xr:uid="{00000000-0005-0000-0000-0000A1040000}"/>
    <cellStyle name="Currency 3 2 4 3 2 2 2 2" xfId="3488" xr:uid="{00000000-0005-0000-0000-0000A2040000}"/>
    <cellStyle name="Currency 3 2 4 3 2 2 2 2 2" xfId="4758" xr:uid="{00000000-0005-0000-0000-0000A3040000}"/>
    <cellStyle name="Currency 3 2 4 3 2 2 2 3" xfId="2606" xr:uid="{00000000-0005-0000-0000-0000A4040000}"/>
    <cellStyle name="Currency 3 2 4 3 2 2 2 3 2" xfId="4759" xr:uid="{00000000-0005-0000-0000-0000A5040000}"/>
    <cellStyle name="Currency 3 2 4 3 2 2 2 4" xfId="4370" xr:uid="{00000000-0005-0000-0000-0000A6040000}"/>
    <cellStyle name="Currency 3 2 4 3 2 2 2 5" xfId="1723" xr:uid="{00000000-0005-0000-0000-0000A7040000}"/>
    <cellStyle name="Currency 3 2 4 3 2 2 3" xfId="3047" xr:uid="{00000000-0005-0000-0000-0000A8040000}"/>
    <cellStyle name="Currency 3 2 4 3 2 2 3 2" xfId="4760" xr:uid="{00000000-0005-0000-0000-0000A9040000}"/>
    <cellStyle name="Currency 3 2 4 3 2 2 4" xfId="2165" xr:uid="{00000000-0005-0000-0000-0000AA040000}"/>
    <cellStyle name="Currency 3 2 4 3 2 2 4 2" xfId="4761" xr:uid="{00000000-0005-0000-0000-0000AB040000}"/>
    <cellStyle name="Currency 3 2 4 3 2 2 5" xfId="3929" xr:uid="{00000000-0005-0000-0000-0000AC040000}"/>
    <cellStyle name="Currency 3 2 4 3 2 2 6" xfId="1282" xr:uid="{00000000-0005-0000-0000-0000AD040000}"/>
    <cellStyle name="Currency 3 2 4 3 2 3" xfId="620" xr:uid="{00000000-0005-0000-0000-0000AE040000}"/>
    <cellStyle name="Currency 3 2 4 3 2 3 2" xfId="3268" xr:uid="{00000000-0005-0000-0000-0000AF040000}"/>
    <cellStyle name="Currency 3 2 4 3 2 3 2 2" xfId="4762" xr:uid="{00000000-0005-0000-0000-0000B0040000}"/>
    <cellStyle name="Currency 3 2 4 3 2 3 3" xfId="2386" xr:uid="{00000000-0005-0000-0000-0000B1040000}"/>
    <cellStyle name="Currency 3 2 4 3 2 3 3 2" xfId="4763" xr:uid="{00000000-0005-0000-0000-0000B2040000}"/>
    <cellStyle name="Currency 3 2 4 3 2 3 4" xfId="4150" xr:uid="{00000000-0005-0000-0000-0000B3040000}"/>
    <cellStyle name="Currency 3 2 4 3 2 3 5" xfId="1503" xr:uid="{00000000-0005-0000-0000-0000B4040000}"/>
    <cellStyle name="Currency 3 2 4 3 2 4" xfId="2827" xr:uid="{00000000-0005-0000-0000-0000B5040000}"/>
    <cellStyle name="Currency 3 2 4 3 2 4 2" xfId="4764" xr:uid="{00000000-0005-0000-0000-0000B6040000}"/>
    <cellStyle name="Currency 3 2 4 3 2 5" xfId="1945" xr:uid="{00000000-0005-0000-0000-0000B7040000}"/>
    <cellStyle name="Currency 3 2 4 3 2 5 2" xfId="4765" xr:uid="{00000000-0005-0000-0000-0000B8040000}"/>
    <cellStyle name="Currency 3 2 4 3 2 6" xfId="3709" xr:uid="{00000000-0005-0000-0000-0000B9040000}"/>
    <cellStyle name="Currency 3 2 4 3 2 7" xfId="1062" xr:uid="{00000000-0005-0000-0000-0000BA040000}"/>
    <cellStyle name="Currency 3 2 4 3 3" xfId="289" xr:uid="{00000000-0005-0000-0000-0000BB040000}"/>
    <cellStyle name="Currency 3 2 4 3 3 2" xfId="730" xr:uid="{00000000-0005-0000-0000-0000BC040000}"/>
    <cellStyle name="Currency 3 2 4 3 3 2 2" xfId="3378" xr:uid="{00000000-0005-0000-0000-0000BD040000}"/>
    <cellStyle name="Currency 3 2 4 3 3 2 2 2" xfId="4766" xr:uid="{00000000-0005-0000-0000-0000BE040000}"/>
    <cellStyle name="Currency 3 2 4 3 3 2 3" xfId="2496" xr:uid="{00000000-0005-0000-0000-0000BF040000}"/>
    <cellStyle name="Currency 3 2 4 3 3 2 3 2" xfId="4767" xr:uid="{00000000-0005-0000-0000-0000C0040000}"/>
    <cellStyle name="Currency 3 2 4 3 3 2 4" xfId="4260" xr:uid="{00000000-0005-0000-0000-0000C1040000}"/>
    <cellStyle name="Currency 3 2 4 3 3 2 5" xfId="1613" xr:uid="{00000000-0005-0000-0000-0000C2040000}"/>
    <cellStyle name="Currency 3 2 4 3 3 3" xfId="2937" xr:uid="{00000000-0005-0000-0000-0000C3040000}"/>
    <cellStyle name="Currency 3 2 4 3 3 3 2" xfId="4768" xr:uid="{00000000-0005-0000-0000-0000C4040000}"/>
    <cellStyle name="Currency 3 2 4 3 3 4" xfId="2055" xr:uid="{00000000-0005-0000-0000-0000C5040000}"/>
    <cellStyle name="Currency 3 2 4 3 3 4 2" xfId="4769" xr:uid="{00000000-0005-0000-0000-0000C6040000}"/>
    <cellStyle name="Currency 3 2 4 3 3 5" xfId="3819" xr:uid="{00000000-0005-0000-0000-0000C7040000}"/>
    <cellStyle name="Currency 3 2 4 3 3 6" xfId="1172" xr:uid="{00000000-0005-0000-0000-0000C8040000}"/>
    <cellStyle name="Currency 3 2 4 3 4" xfId="510" xr:uid="{00000000-0005-0000-0000-0000C9040000}"/>
    <cellStyle name="Currency 3 2 4 3 4 2" xfId="3158" xr:uid="{00000000-0005-0000-0000-0000CA040000}"/>
    <cellStyle name="Currency 3 2 4 3 4 2 2" xfId="4770" xr:uid="{00000000-0005-0000-0000-0000CB040000}"/>
    <cellStyle name="Currency 3 2 4 3 4 3" xfId="2276" xr:uid="{00000000-0005-0000-0000-0000CC040000}"/>
    <cellStyle name="Currency 3 2 4 3 4 3 2" xfId="4771" xr:uid="{00000000-0005-0000-0000-0000CD040000}"/>
    <cellStyle name="Currency 3 2 4 3 4 4" xfId="4040" xr:uid="{00000000-0005-0000-0000-0000CE040000}"/>
    <cellStyle name="Currency 3 2 4 3 4 5" xfId="1393" xr:uid="{00000000-0005-0000-0000-0000CF040000}"/>
    <cellStyle name="Currency 3 2 4 3 5" xfId="2717" xr:uid="{00000000-0005-0000-0000-0000D0040000}"/>
    <cellStyle name="Currency 3 2 4 3 5 2" xfId="4772" xr:uid="{00000000-0005-0000-0000-0000D1040000}"/>
    <cellStyle name="Currency 3 2 4 3 6" xfId="1835" xr:uid="{00000000-0005-0000-0000-0000D2040000}"/>
    <cellStyle name="Currency 3 2 4 3 6 2" xfId="4773" xr:uid="{00000000-0005-0000-0000-0000D3040000}"/>
    <cellStyle name="Currency 3 2 4 3 7" xfId="3599" xr:uid="{00000000-0005-0000-0000-0000D4040000}"/>
    <cellStyle name="Currency 3 2 4 3 8" xfId="952" xr:uid="{00000000-0005-0000-0000-0000D5040000}"/>
    <cellStyle name="Currency 3 2 4 4" xfId="85" xr:uid="{00000000-0005-0000-0000-0000D6040000}"/>
    <cellStyle name="Currency 3 2 4 4 2" xfId="195" xr:uid="{00000000-0005-0000-0000-0000D7040000}"/>
    <cellStyle name="Currency 3 2 4 4 2 2" xfId="415" xr:uid="{00000000-0005-0000-0000-0000D8040000}"/>
    <cellStyle name="Currency 3 2 4 4 2 2 2" xfId="856" xr:uid="{00000000-0005-0000-0000-0000D9040000}"/>
    <cellStyle name="Currency 3 2 4 4 2 2 2 2" xfId="3504" xr:uid="{00000000-0005-0000-0000-0000DA040000}"/>
    <cellStyle name="Currency 3 2 4 4 2 2 2 2 2" xfId="4774" xr:uid="{00000000-0005-0000-0000-0000DB040000}"/>
    <cellStyle name="Currency 3 2 4 4 2 2 2 3" xfId="2622" xr:uid="{00000000-0005-0000-0000-0000DC040000}"/>
    <cellStyle name="Currency 3 2 4 4 2 2 2 3 2" xfId="4775" xr:uid="{00000000-0005-0000-0000-0000DD040000}"/>
    <cellStyle name="Currency 3 2 4 4 2 2 2 4" xfId="4386" xr:uid="{00000000-0005-0000-0000-0000DE040000}"/>
    <cellStyle name="Currency 3 2 4 4 2 2 2 5" xfId="1739" xr:uid="{00000000-0005-0000-0000-0000DF040000}"/>
    <cellStyle name="Currency 3 2 4 4 2 2 3" xfId="3063" xr:uid="{00000000-0005-0000-0000-0000E0040000}"/>
    <cellStyle name="Currency 3 2 4 4 2 2 3 2" xfId="4776" xr:uid="{00000000-0005-0000-0000-0000E1040000}"/>
    <cellStyle name="Currency 3 2 4 4 2 2 4" xfId="2181" xr:uid="{00000000-0005-0000-0000-0000E2040000}"/>
    <cellStyle name="Currency 3 2 4 4 2 2 4 2" xfId="4777" xr:uid="{00000000-0005-0000-0000-0000E3040000}"/>
    <cellStyle name="Currency 3 2 4 4 2 2 5" xfId="3945" xr:uid="{00000000-0005-0000-0000-0000E4040000}"/>
    <cellStyle name="Currency 3 2 4 4 2 2 6" xfId="1298" xr:uid="{00000000-0005-0000-0000-0000E5040000}"/>
    <cellStyle name="Currency 3 2 4 4 2 3" xfId="636" xr:uid="{00000000-0005-0000-0000-0000E6040000}"/>
    <cellStyle name="Currency 3 2 4 4 2 3 2" xfId="3284" xr:uid="{00000000-0005-0000-0000-0000E7040000}"/>
    <cellStyle name="Currency 3 2 4 4 2 3 2 2" xfId="4778" xr:uid="{00000000-0005-0000-0000-0000E8040000}"/>
    <cellStyle name="Currency 3 2 4 4 2 3 3" xfId="2402" xr:uid="{00000000-0005-0000-0000-0000E9040000}"/>
    <cellStyle name="Currency 3 2 4 4 2 3 3 2" xfId="4779" xr:uid="{00000000-0005-0000-0000-0000EA040000}"/>
    <cellStyle name="Currency 3 2 4 4 2 3 4" xfId="4166" xr:uid="{00000000-0005-0000-0000-0000EB040000}"/>
    <cellStyle name="Currency 3 2 4 4 2 3 5" xfId="1519" xr:uid="{00000000-0005-0000-0000-0000EC040000}"/>
    <cellStyle name="Currency 3 2 4 4 2 4" xfId="2843" xr:uid="{00000000-0005-0000-0000-0000ED040000}"/>
    <cellStyle name="Currency 3 2 4 4 2 4 2" xfId="4780" xr:uid="{00000000-0005-0000-0000-0000EE040000}"/>
    <cellStyle name="Currency 3 2 4 4 2 5" xfId="1961" xr:uid="{00000000-0005-0000-0000-0000EF040000}"/>
    <cellStyle name="Currency 3 2 4 4 2 5 2" xfId="4781" xr:uid="{00000000-0005-0000-0000-0000F0040000}"/>
    <cellStyle name="Currency 3 2 4 4 2 6" xfId="3725" xr:uid="{00000000-0005-0000-0000-0000F1040000}"/>
    <cellStyle name="Currency 3 2 4 4 2 7" xfId="1078" xr:uid="{00000000-0005-0000-0000-0000F2040000}"/>
    <cellStyle name="Currency 3 2 4 4 3" xfId="305" xr:uid="{00000000-0005-0000-0000-0000F3040000}"/>
    <cellStyle name="Currency 3 2 4 4 3 2" xfId="746" xr:uid="{00000000-0005-0000-0000-0000F4040000}"/>
    <cellStyle name="Currency 3 2 4 4 3 2 2" xfId="3394" xr:uid="{00000000-0005-0000-0000-0000F5040000}"/>
    <cellStyle name="Currency 3 2 4 4 3 2 2 2" xfId="4782" xr:uid="{00000000-0005-0000-0000-0000F6040000}"/>
    <cellStyle name="Currency 3 2 4 4 3 2 3" xfId="2512" xr:uid="{00000000-0005-0000-0000-0000F7040000}"/>
    <cellStyle name="Currency 3 2 4 4 3 2 3 2" xfId="4783" xr:uid="{00000000-0005-0000-0000-0000F8040000}"/>
    <cellStyle name="Currency 3 2 4 4 3 2 4" xfId="4276" xr:uid="{00000000-0005-0000-0000-0000F9040000}"/>
    <cellStyle name="Currency 3 2 4 4 3 2 5" xfId="1629" xr:uid="{00000000-0005-0000-0000-0000FA040000}"/>
    <cellStyle name="Currency 3 2 4 4 3 3" xfId="2953" xr:uid="{00000000-0005-0000-0000-0000FB040000}"/>
    <cellStyle name="Currency 3 2 4 4 3 3 2" xfId="4784" xr:uid="{00000000-0005-0000-0000-0000FC040000}"/>
    <cellStyle name="Currency 3 2 4 4 3 4" xfId="2071" xr:uid="{00000000-0005-0000-0000-0000FD040000}"/>
    <cellStyle name="Currency 3 2 4 4 3 4 2" xfId="4785" xr:uid="{00000000-0005-0000-0000-0000FE040000}"/>
    <cellStyle name="Currency 3 2 4 4 3 5" xfId="3835" xr:uid="{00000000-0005-0000-0000-0000FF040000}"/>
    <cellStyle name="Currency 3 2 4 4 3 6" xfId="1188" xr:uid="{00000000-0005-0000-0000-000000050000}"/>
    <cellStyle name="Currency 3 2 4 4 4" xfId="526" xr:uid="{00000000-0005-0000-0000-000001050000}"/>
    <cellStyle name="Currency 3 2 4 4 4 2" xfId="3174" xr:uid="{00000000-0005-0000-0000-000002050000}"/>
    <cellStyle name="Currency 3 2 4 4 4 2 2" xfId="4786" xr:uid="{00000000-0005-0000-0000-000003050000}"/>
    <cellStyle name="Currency 3 2 4 4 4 3" xfId="2292" xr:uid="{00000000-0005-0000-0000-000004050000}"/>
    <cellStyle name="Currency 3 2 4 4 4 3 2" xfId="4787" xr:uid="{00000000-0005-0000-0000-000005050000}"/>
    <cellStyle name="Currency 3 2 4 4 4 4" xfId="4056" xr:uid="{00000000-0005-0000-0000-000006050000}"/>
    <cellStyle name="Currency 3 2 4 4 4 5" xfId="1409" xr:uid="{00000000-0005-0000-0000-000007050000}"/>
    <cellStyle name="Currency 3 2 4 4 5" xfId="2733" xr:uid="{00000000-0005-0000-0000-000008050000}"/>
    <cellStyle name="Currency 3 2 4 4 5 2" xfId="4788" xr:uid="{00000000-0005-0000-0000-000009050000}"/>
    <cellStyle name="Currency 3 2 4 4 6" xfId="1851" xr:uid="{00000000-0005-0000-0000-00000A050000}"/>
    <cellStyle name="Currency 3 2 4 4 6 2" xfId="4789" xr:uid="{00000000-0005-0000-0000-00000B050000}"/>
    <cellStyle name="Currency 3 2 4 4 7" xfId="3615" xr:uid="{00000000-0005-0000-0000-00000C050000}"/>
    <cellStyle name="Currency 3 2 4 4 8" xfId="968" xr:uid="{00000000-0005-0000-0000-00000D050000}"/>
    <cellStyle name="Currency 3 2 4 5" xfId="129" xr:uid="{00000000-0005-0000-0000-00000E050000}"/>
    <cellStyle name="Currency 3 2 4 5 2" xfId="349" xr:uid="{00000000-0005-0000-0000-00000F050000}"/>
    <cellStyle name="Currency 3 2 4 5 2 2" xfId="790" xr:uid="{00000000-0005-0000-0000-000010050000}"/>
    <cellStyle name="Currency 3 2 4 5 2 2 2" xfId="3438" xr:uid="{00000000-0005-0000-0000-000011050000}"/>
    <cellStyle name="Currency 3 2 4 5 2 2 2 2" xfId="4790" xr:uid="{00000000-0005-0000-0000-000012050000}"/>
    <cellStyle name="Currency 3 2 4 5 2 2 3" xfId="2556" xr:uid="{00000000-0005-0000-0000-000013050000}"/>
    <cellStyle name="Currency 3 2 4 5 2 2 3 2" xfId="4791" xr:uid="{00000000-0005-0000-0000-000014050000}"/>
    <cellStyle name="Currency 3 2 4 5 2 2 4" xfId="4320" xr:uid="{00000000-0005-0000-0000-000015050000}"/>
    <cellStyle name="Currency 3 2 4 5 2 2 5" xfId="1673" xr:uid="{00000000-0005-0000-0000-000016050000}"/>
    <cellStyle name="Currency 3 2 4 5 2 3" xfId="2997" xr:uid="{00000000-0005-0000-0000-000017050000}"/>
    <cellStyle name="Currency 3 2 4 5 2 3 2" xfId="4792" xr:uid="{00000000-0005-0000-0000-000018050000}"/>
    <cellStyle name="Currency 3 2 4 5 2 4" xfId="2115" xr:uid="{00000000-0005-0000-0000-000019050000}"/>
    <cellStyle name="Currency 3 2 4 5 2 4 2" xfId="4793" xr:uid="{00000000-0005-0000-0000-00001A050000}"/>
    <cellStyle name="Currency 3 2 4 5 2 5" xfId="3879" xr:uid="{00000000-0005-0000-0000-00001B050000}"/>
    <cellStyle name="Currency 3 2 4 5 2 6" xfId="1232" xr:uid="{00000000-0005-0000-0000-00001C050000}"/>
    <cellStyle name="Currency 3 2 4 5 3" xfId="570" xr:uid="{00000000-0005-0000-0000-00001D050000}"/>
    <cellStyle name="Currency 3 2 4 5 3 2" xfId="3218" xr:uid="{00000000-0005-0000-0000-00001E050000}"/>
    <cellStyle name="Currency 3 2 4 5 3 2 2" xfId="4794" xr:uid="{00000000-0005-0000-0000-00001F050000}"/>
    <cellStyle name="Currency 3 2 4 5 3 3" xfId="2336" xr:uid="{00000000-0005-0000-0000-000020050000}"/>
    <cellStyle name="Currency 3 2 4 5 3 3 2" xfId="4795" xr:uid="{00000000-0005-0000-0000-000021050000}"/>
    <cellStyle name="Currency 3 2 4 5 3 4" xfId="4100" xr:uid="{00000000-0005-0000-0000-000022050000}"/>
    <cellStyle name="Currency 3 2 4 5 3 5" xfId="1453" xr:uid="{00000000-0005-0000-0000-000023050000}"/>
    <cellStyle name="Currency 3 2 4 5 4" xfId="2777" xr:uid="{00000000-0005-0000-0000-000024050000}"/>
    <cellStyle name="Currency 3 2 4 5 4 2" xfId="4796" xr:uid="{00000000-0005-0000-0000-000025050000}"/>
    <cellStyle name="Currency 3 2 4 5 5" xfId="1895" xr:uid="{00000000-0005-0000-0000-000026050000}"/>
    <cellStyle name="Currency 3 2 4 5 5 2" xfId="4797" xr:uid="{00000000-0005-0000-0000-000027050000}"/>
    <cellStyle name="Currency 3 2 4 5 6" xfId="3659" xr:uid="{00000000-0005-0000-0000-000028050000}"/>
    <cellStyle name="Currency 3 2 4 5 7" xfId="1012" xr:uid="{00000000-0005-0000-0000-000029050000}"/>
    <cellStyle name="Currency 3 2 4 6" xfId="239" xr:uid="{00000000-0005-0000-0000-00002A050000}"/>
    <cellStyle name="Currency 3 2 4 6 2" xfId="680" xr:uid="{00000000-0005-0000-0000-00002B050000}"/>
    <cellStyle name="Currency 3 2 4 6 2 2" xfId="3328" xr:uid="{00000000-0005-0000-0000-00002C050000}"/>
    <cellStyle name="Currency 3 2 4 6 2 2 2" xfId="4798" xr:uid="{00000000-0005-0000-0000-00002D050000}"/>
    <cellStyle name="Currency 3 2 4 6 2 3" xfId="2446" xr:uid="{00000000-0005-0000-0000-00002E050000}"/>
    <cellStyle name="Currency 3 2 4 6 2 3 2" xfId="4799" xr:uid="{00000000-0005-0000-0000-00002F050000}"/>
    <cellStyle name="Currency 3 2 4 6 2 4" xfId="4210" xr:uid="{00000000-0005-0000-0000-000030050000}"/>
    <cellStyle name="Currency 3 2 4 6 2 5" xfId="1563" xr:uid="{00000000-0005-0000-0000-000031050000}"/>
    <cellStyle name="Currency 3 2 4 6 3" xfId="2887" xr:uid="{00000000-0005-0000-0000-000032050000}"/>
    <cellStyle name="Currency 3 2 4 6 3 2" xfId="4800" xr:uid="{00000000-0005-0000-0000-000033050000}"/>
    <cellStyle name="Currency 3 2 4 6 4" xfId="2005" xr:uid="{00000000-0005-0000-0000-000034050000}"/>
    <cellStyle name="Currency 3 2 4 6 4 2" xfId="4801" xr:uid="{00000000-0005-0000-0000-000035050000}"/>
    <cellStyle name="Currency 3 2 4 6 5" xfId="3769" xr:uid="{00000000-0005-0000-0000-000036050000}"/>
    <cellStyle name="Currency 3 2 4 6 6" xfId="1122" xr:uid="{00000000-0005-0000-0000-000037050000}"/>
    <cellStyle name="Currency 3 2 4 7" xfId="460" xr:uid="{00000000-0005-0000-0000-000038050000}"/>
    <cellStyle name="Currency 3 2 4 7 2" xfId="3108" xr:uid="{00000000-0005-0000-0000-000039050000}"/>
    <cellStyle name="Currency 3 2 4 7 2 2" xfId="4802" xr:uid="{00000000-0005-0000-0000-00003A050000}"/>
    <cellStyle name="Currency 3 2 4 7 3" xfId="2226" xr:uid="{00000000-0005-0000-0000-00003B050000}"/>
    <cellStyle name="Currency 3 2 4 7 3 2" xfId="4803" xr:uid="{00000000-0005-0000-0000-00003C050000}"/>
    <cellStyle name="Currency 3 2 4 7 4" xfId="3990" xr:uid="{00000000-0005-0000-0000-00003D050000}"/>
    <cellStyle name="Currency 3 2 4 7 5" xfId="1343" xr:uid="{00000000-0005-0000-0000-00003E050000}"/>
    <cellStyle name="Currency 3 2 4 8" xfId="2667" xr:uid="{00000000-0005-0000-0000-00003F050000}"/>
    <cellStyle name="Currency 3 2 4 8 2" xfId="4804" xr:uid="{00000000-0005-0000-0000-000040050000}"/>
    <cellStyle name="Currency 3 2 4 9" xfId="1785" xr:uid="{00000000-0005-0000-0000-000041050000}"/>
    <cellStyle name="Currency 3 2 4 9 2" xfId="4805" xr:uid="{00000000-0005-0000-0000-000042050000}"/>
    <cellStyle name="Currency 3 2 5" xfId="22" xr:uid="{00000000-0005-0000-0000-000043050000}"/>
    <cellStyle name="Currency 3 2 5 10" xfId="3552" xr:uid="{00000000-0005-0000-0000-000044050000}"/>
    <cellStyle name="Currency 3 2 5 11" xfId="905" xr:uid="{00000000-0005-0000-0000-000045050000}"/>
    <cellStyle name="Currency 3 2 5 2" xfId="56" xr:uid="{00000000-0005-0000-0000-000046050000}"/>
    <cellStyle name="Currency 3 2 5 2 2" xfId="166" xr:uid="{00000000-0005-0000-0000-000047050000}"/>
    <cellStyle name="Currency 3 2 5 2 2 2" xfId="386" xr:uid="{00000000-0005-0000-0000-000048050000}"/>
    <cellStyle name="Currency 3 2 5 2 2 2 2" xfId="827" xr:uid="{00000000-0005-0000-0000-000049050000}"/>
    <cellStyle name="Currency 3 2 5 2 2 2 2 2" xfId="3475" xr:uid="{00000000-0005-0000-0000-00004A050000}"/>
    <cellStyle name="Currency 3 2 5 2 2 2 2 2 2" xfId="4806" xr:uid="{00000000-0005-0000-0000-00004B050000}"/>
    <cellStyle name="Currency 3 2 5 2 2 2 2 3" xfId="2593" xr:uid="{00000000-0005-0000-0000-00004C050000}"/>
    <cellStyle name="Currency 3 2 5 2 2 2 2 3 2" xfId="4807" xr:uid="{00000000-0005-0000-0000-00004D050000}"/>
    <cellStyle name="Currency 3 2 5 2 2 2 2 4" xfId="4357" xr:uid="{00000000-0005-0000-0000-00004E050000}"/>
    <cellStyle name="Currency 3 2 5 2 2 2 2 5" xfId="1710" xr:uid="{00000000-0005-0000-0000-00004F050000}"/>
    <cellStyle name="Currency 3 2 5 2 2 2 3" xfId="3034" xr:uid="{00000000-0005-0000-0000-000050050000}"/>
    <cellStyle name="Currency 3 2 5 2 2 2 3 2" xfId="4808" xr:uid="{00000000-0005-0000-0000-000051050000}"/>
    <cellStyle name="Currency 3 2 5 2 2 2 4" xfId="2152" xr:uid="{00000000-0005-0000-0000-000052050000}"/>
    <cellStyle name="Currency 3 2 5 2 2 2 4 2" xfId="4809" xr:uid="{00000000-0005-0000-0000-000053050000}"/>
    <cellStyle name="Currency 3 2 5 2 2 2 5" xfId="3916" xr:uid="{00000000-0005-0000-0000-000054050000}"/>
    <cellStyle name="Currency 3 2 5 2 2 2 6" xfId="1269" xr:uid="{00000000-0005-0000-0000-000055050000}"/>
    <cellStyle name="Currency 3 2 5 2 2 3" xfId="607" xr:uid="{00000000-0005-0000-0000-000056050000}"/>
    <cellStyle name="Currency 3 2 5 2 2 3 2" xfId="3255" xr:uid="{00000000-0005-0000-0000-000057050000}"/>
    <cellStyle name="Currency 3 2 5 2 2 3 2 2" xfId="4810" xr:uid="{00000000-0005-0000-0000-000058050000}"/>
    <cellStyle name="Currency 3 2 5 2 2 3 3" xfId="2373" xr:uid="{00000000-0005-0000-0000-000059050000}"/>
    <cellStyle name="Currency 3 2 5 2 2 3 3 2" xfId="4811" xr:uid="{00000000-0005-0000-0000-00005A050000}"/>
    <cellStyle name="Currency 3 2 5 2 2 3 4" xfId="4137" xr:uid="{00000000-0005-0000-0000-00005B050000}"/>
    <cellStyle name="Currency 3 2 5 2 2 3 5" xfId="1490" xr:uid="{00000000-0005-0000-0000-00005C050000}"/>
    <cellStyle name="Currency 3 2 5 2 2 4" xfId="2814" xr:uid="{00000000-0005-0000-0000-00005D050000}"/>
    <cellStyle name="Currency 3 2 5 2 2 4 2" xfId="4812" xr:uid="{00000000-0005-0000-0000-00005E050000}"/>
    <cellStyle name="Currency 3 2 5 2 2 5" xfId="1932" xr:uid="{00000000-0005-0000-0000-00005F050000}"/>
    <cellStyle name="Currency 3 2 5 2 2 5 2" xfId="4813" xr:uid="{00000000-0005-0000-0000-000060050000}"/>
    <cellStyle name="Currency 3 2 5 2 2 6" xfId="3696" xr:uid="{00000000-0005-0000-0000-000061050000}"/>
    <cellStyle name="Currency 3 2 5 2 2 7" xfId="1049" xr:uid="{00000000-0005-0000-0000-000062050000}"/>
    <cellStyle name="Currency 3 2 5 2 3" xfId="276" xr:uid="{00000000-0005-0000-0000-000063050000}"/>
    <cellStyle name="Currency 3 2 5 2 3 2" xfId="717" xr:uid="{00000000-0005-0000-0000-000064050000}"/>
    <cellStyle name="Currency 3 2 5 2 3 2 2" xfId="3365" xr:uid="{00000000-0005-0000-0000-000065050000}"/>
    <cellStyle name="Currency 3 2 5 2 3 2 2 2" xfId="4814" xr:uid="{00000000-0005-0000-0000-000066050000}"/>
    <cellStyle name="Currency 3 2 5 2 3 2 3" xfId="2483" xr:uid="{00000000-0005-0000-0000-000067050000}"/>
    <cellStyle name="Currency 3 2 5 2 3 2 3 2" xfId="4815" xr:uid="{00000000-0005-0000-0000-000068050000}"/>
    <cellStyle name="Currency 3 2 5 2 3 2 4" xfId="4247" xr:uid="{00000000-0005-0000-0000-000069050000}"/>
    <cellStyle name="Currency 3 2 5 2 3 2 5" xfId="1600" xr:uid="{00000000-0005-0000-0000-00006A050000}"/>
    <cellStyle name="Currency 3 2 5 2 3 3" xfId="2924" xr:uid="{00000000-0005-0000-0000-00006B050000}"/>
    <cellStyle name="Currency 3 2 5 2 3 3 2" xfId="4816" xr:uid="{00000000-0005-0000-0000-00006C050000}"/>
    <cellStyle name="Currency 3 2 5 2 3 4" xfId="2042" xr:uid="{00000000-0005-0000-0000-00006D050000}"/>
    <cellStyle name="Currency 3 2 5 2 3 4 2" xfId="4817" xr:uid="{00000000-0005-0000-0000-00006E050000}"/>
    <cellStyle name="Currency 3 2 5 2 3 5" xfId="3806" xr:uid="{00000000-0005-0000-0000-00006F050000}"/>
    <cellStyle name="Currency 3 2 5 2 3 6" xfId="1159" xr:uid="{00000000-0005-0000-0000-000070050000}"/>
    <cellStyle name="Currency 3 2 5 2 4" xfId="497" xr:uid="{00000000-0005-0000-0000-000071050000}"/>
    <cellStyle name="Currency 3 2 5 2 4 2" xfId="3145" xr:uid="{00000000-0005-0000-0000-000072050000}"/>
    <cellStyle name="Currency 3 2 5 2 4 2 2" xfId="4818" xr:uid="{00000000-0005-0000-0000-000073050000}"/>
    <cellStyle name="Currency 3 2 5 2 4 3" xfId="2263" xr:uid="{00000000-0005-0000-0000-000074050000}"/>
    <cellStyle name="Currency 3 2 5 2 4 3 2" xfId="4819" xr:uid="{00000000-0005-0000-0000-000075050000}"/>
    <cellStyle name="Currency 3 2 5 2 4 4" xfId="4027" xr:uid="{00000000-0005-0000-0000-000076050000}"/>
    <cellStyle name="Currency 3 2 5 2 4 5" xfId="1380" xr:uid="{00000000-0005-0000-0000-000077050000}"/>
    <cellStyle name="Currency 3 2 5 2 5" xfId="2704" xr:uid="{00000000-0005-0000-0000-000078050000}"/>
    <cellStyle name="Currency 3 2 5 2 5 2" xfId="4820" xr:uid="{00000000-0005-0000-0000-000079050000}"/>
    <cellStyle name="Currency 3 2 5 2 6" xfId="1822" xr:uid="{00000000-0005-0000-0000-00007A050000}"/>
    <cellStyle name="Currency 3 2 5 2 6 2" xfId="4821" xr:uid="{00000000-0005-0000-0000-00007B050000}"/>
    <cellStyle name="Currency 3 2 5 2 7" xfId="3586" xr:uid="{00000000-0005-0000-0000-00007C050000}"/>
    <cellStyle name="Currency 3 2 5 2 8" xfId="939" xr:uid="{00000000-0005-0000-0000-00007D050000}"/>
    <cellStyle name="Currency 3 2 5 3" xfId="72" xr:uid="{00000000-0005-0000-0000-00007E050000}"/>
    <cellStyle name="Currency 3 2 5 3 2" xfId="182" xr:uid="{00000000-0005-0000-0000-00007F050000}"/>
    <cellStyle name="Currency 3 2 5 3 2 2" xfId="402" xr:uid="{00000000-0005-0000-0000-000080050000}"/>
    <cellStyle name="Currency 3 2 5 3 2 2 2" xfId="843" xr:uid="{00000000-0005-0000-0000-000081050000}"/>
    <cellStyle name="Currency 3 2 5 3 2 2 2 2" xfId="3491" xr:uid="{00000000-0005-0000-0000-000082050000}"/>
    <cellStyle name="Currency 3 2 5 3 2 2 2 2 2" xfId="4822" xr:uid="{00000000-0005-0000-0000-000083050000}"/>
    <cellStyle name="Currency 3 2 5 3 2 2 2 3" xfId="2609" xr:uid="{00000000-0005-0000-0000-000084050000}"/>
    <cellStyle name="Currency 3 2 5 3 2 2 2 3 2" xfId="4823" xr:uid="{00000000-0005-0000-0000-000085050000}"/>
    <cellStyle name="Currency 3 2 5 3 2 2 2 4" xfId="4373" xr:uid="{00000000-0005-0000-0000-000086050000}"/>
    <cellStyle name="Currency 3 2 5 3 2 2 2 5" xfId="1726" xr:uid="{00000000-0005-0000-0000-000087050000}"/>
    <cellStyle name="Currency 3 2 5 3 2 2 3" xfId="3050" xr:uid="{00000000-0005-0000-0000-000088050000}"/>
    <cellStyle name="Currency 3 2 5 3 2 2 3 2" xfId="4824" xr:uid="{00000000-0005-0000-0000-000089050000}"/>
    <cellStyle name="Currency 3 2 5 3 2 2 4" xfId="2168" xr:uid="{00000000-0005-0000-0000-00008A050000}"/>
    <cellStyle name="Currency 3 2 5 3 2 2 4 2" xfId="4825" xr:uid="{00000000-0005-0000-0000-00008B050000}"/>
    <cellStyle name="Currency 3 2 5 3 2 2 5" xfId="3932" xr:uid="{00000000-0005-0000-0000-00008C050000}"/>
    <cellStyle name="Currency 3 2 5 3 2 2 6" xfId="1285" xr:uid="{00000000-0005-0000-0000-00008D050000}"/>
    <cellStyle name="Currency 3 2 5 3 2 3" xfId="623" xr:uid="{00000000-0005-0000-0000-00008E050000}"/>
    <cellStyle name="Currency 3 2 5 3 2 3 2" xfId="3271" xr:uid="{00000000-0005-0000-0000-00008F050000}"/>
    <cellStyle name="Currency 3 2 5 3 2 3 2 2" xfId="4826" xr:uid="{00000000-0005-0000-0000-000090050000}"/>
    <cellStyle name="Currency 3 2 5 3 2 3 3" xfId="2389" xr:uid="{00000000-0005-0000-0000-000091050000}"/>
    <cellStyle name="Currency 3 2 5 3 2 3 3 2" xfId="4827" xr:uid="{00000000-0005-0000-0000-000092050000}"/>
    <cellStyle name="Currency 3 2 5 3 2 3 4" xfId="4153" xr:uid="{00000000-0005-0000-0000-000093050000}"/>
    <cellStyle name="Currency 3 2 5 3 2 3 5" xfId="1506" xr:uid="{00000000-0005-0000-0000-000094050000}"/>
    <cellStyle name="Currency 3 2 5 3 2 4" xfId="2830" xr:uid="{00000000-0005-0000-0000-000095050000}"/>
    <cellStyle name="Currency 3 2 5 3 2 4 2" xfId="4828" xr:uid="{00000000-0005-0000-0000-000096050000}"/>
    <cellStyle name="Currency 3 2 5 3 2 5" xfId="1948" xr:uid="{00000000-0005-0000-0000-000097050000}"/>
    <cellStyle name="Currency 3 2 5 3 2 5 2" xfId="4829" xr:uid="{00000000-0005-0000-0000-000098050000}"/>
    <cellStyle name="Currency 3 2 5 3 2 6" xfId="3712" xr:uid="{00000000-0005-0000-0000-000099050000}"/>
    <cellStyle name="Currency 3 2 5 3 2 7" xfId="1065" xr:uid="{00000000-0005-0000-0000-00009A050000}"/>
    <cellStyle name="Currency 3 2 5 3 3" xfId="292" xr:uid="{00000000-0005-0000-0000-00009B050000}"/>
    <cellStyle name="Currency 3 2 5 3 3 2" xfId="733" xr:uid="{00000000-0005-0000-0000-00009C050000}"/>
    <cellStyle name="Currency 3 2 5 3 3 2 2" xfId="3381" xr:uid="{00000000-0005-0000-0000-00009D050000}"/>
    <cellStyle name="Currency 3 2 5 3 3 2 2 2" xfId="4830" xr:uid="{00000000-0005-0000-0000-00009E050000}"/>
    <cellStyle name="Currency 3 2 5 3 3 2 3" xfId="2499" xr:uid="{00000000-0005-0000-0000-00009F050000}"/>
    <cellStyle name="Currency 3 2 5 3 3 2 3 2" xfId="4831" xr:uid="{00000000-0005-0000-0000-0000A0050000}"/>
    <cellStyle name="Currency 3 2 5 3 3 2 4" xfId="4263" xr:uid="{00000000-0005-0000-0000-0000A1050000}"/>
    <cellStyle name="Currency 3 2 5 3 3 2 5" xfId="1616" xr:uid="{00000000-0005-0000-0000-0000A2050000}"/>
    <cellStyle name="Currency 3 2 5 3 3 3" xfId="2940" xr:uid="{00000000-0005-0000-0000-0000A3050000}"/>
    <cellStyle name="Currency 3 2 5 3 3 3 2" xfId="4832" xr:uid="{00000000-0005-0000-0000-0000A4050000}"/>
    <cellStyle name="Currency 3 2 5 3 3 4" xfId="2058" xr:uid="{00000000-0005-0000-0000-0000A5050000}"/>
    <cellStyle name="Currency 3 2 5 3 3 4 2" xfId="4833" xr:uid="{00000000-0005-0000-0000-0000A6050000}"/>
    <cellStyle name="Currency 3 2 5 3 3 5" xfId="3822" xr:uid="{00000000-0005-0000-0000-0000A7050000}"/>
    <cellStyle name="Currency 3 2 5 3 3 6" xfId="1175" xr:uid="{00000000-0005-0000-0000-0000A8050000}"/>
    <cellStyle name="Currency 3 2 5 3 4" xfId="513" xr:uid="{00000000-0005-0000-0000-0000A9050000}"/>
    <cellStyle name="Currency 3 2 5 3 4 2" xfId="3161" xr:uid="{00000000-0005-0000-0000-0000AA050000}"/>
    <cellStyle name="Currency 3 2 5 3 4 2 2" xfId="4834" xr:uid="{00000000-0005-0000-0000-0000AB050000}"/>
    <cellStyle name="Currency 3 2 5 3 4 3" xfId="2279" xr:uid="{00000000-0005-0000-0000-0000AC050000}"/>
    <cellStyle name="Currency 3 2 5 3 4 3 2" xfId="4835" xr:uid="{00000000-0005-0000-0000-0000AD050000}"/>
    <cellStyle name="Currency 3 2 5 3 4 4" xfId="4043" xr:uid="{00000000-0005-0000-0000-0000AE050000}"/>
    <cellStyle name="Currency 3 2 5 3 4 5" xfId="1396" xr:uid="{00000000-0005-0000-0000-0000AF050000}"/>
    <cellStyle name="Currency 3 2 5 3 5" xfId="2720" xr:uid="{00000000-0005-0000-0000-0000B0050000}"/>
    <cellStyle name="Currency 3 2 5 3 5 2" xfId="4836" xr:uid="{00000000-0005-0000-0000-0000B1050000}"/>
    <cellStyle name="Currency 3 2 5 3 6" xfId="1838" xr:uid="{00000000-0005-0000-0000-0000B2050000}"/>
    <cellStyle name="Currency 3 2 5 3 6 2" xfId="4837" xr:uid="{00000000-0005-0000-0000-0000B3050000}"/>
    <cellStyle name="Currency 3 2 5 3 7" xfId="3602" xr:uid="{00000000-0005-0000-0000-0000B4050000}"/>
    <cellStyle name="Currency 3 2 5 3 8" xfId="955" xr:uid="{00000000-0005-0000-0000-0000B5050000}"/>
    <cellStyle name="Currency 3 2 5 4" xfId="88" xr:uid="{00000000-0005-0000-0000-0000B6050000}"/>
    <cellStyle name="Currency 3 2 5 4 2" xfId="198" xr:uid="{00000000-0005-0000-0000-0000B7050000}"/>
    <cellStyle name="Currency 3 2 5 4 2 2" xfId="418" xr:uid="{00000000-0005-0000-0000-0000B8050000}"/>
    <cellStyle name="Currency 3 2 5 4 2 2 2" xfId="859" xr:uid="{00000000-0005-0000-0000-0000B9050000}"/>
    <cellStyle name="Currency 3 2 5 4 2 2 2 2" xfId="3507" xr:uid="{00000000-0005-0000-0000-0000BA050000}"/>
    <cellStyle name="Currency 3 2 5 4 2 2 2 2 2" xfId="4838" xr:uid="{00000000-0005-0000-0000-0000BB050000}"/>
    <cellStyle name="Currency 3 2 5 4 2 2 2 3" xfId="2625" xr:uid="{00000000-0005-0000-0000-0000BC050000}"/>
    <cellStyle name="Currency 3 2 5 4 2 2 2 3 2" xfId="4839" xr:uid="{00000000-0005-0000-0000-0000BD050000}"/>
    <cellStyle name="Currency 3 2 5 4 2 2 2 4" xfId="4389" xr:uid="{00000000-0005-0000-0000-0000BE050000}"/>
    <cellStyle name="Currency 3 2 5 4 2 2 2 5" xfId="1742" xr:uid="{00000000-0005-0000-0000-0000BF050000}"/>
    <cellStyle name="Currency 3 2 5 4 2 2 3" xfId="3066" xr:uid="{00000000-0005-0000-0000-0000C0050000}"/>
    <cellStyle name="Currency 3 2 5 4 2 2 3 2" xfId="4840" xr:uid="{00000000-0005-0000-0000-0000C1050000}"/>
    <cellStyle name="Currency 3 2 5 4 2 2 4" xfId="2184" xr:uid="{00000000-0005-0000-0000-0000C2050000}"/>
    <cellStyle name="Currency 3 2 5 4 2 2 4 2" xfId="4841" xr:uid="{00000000-0005-0000-0000-0000C3050000}"/>
    <cellStyle name="Currency 3 2 5 4 2 2 5" xfId="3948" xr:uid="{00000000-0005-0000-0000-0000C4050000}"/>
    <cellStyle name="Currency 3 2 5 4 2 2 6" xfId="1301" xr:uid="{00000000-0005-0000-0000-0000C5050000}"/>
    <cellStyle name="Currency 3 2 5 4 2 3" xfId="639" xr:uid="{00000000-0005-0000-0000-0000C6050000}"/>
    <cellStyle name="Currency 3 2 5 4 2 3 2" xfId="3287" xr:uid="{00000000-0005-0000-0000-0000C7050000}"/>
    <cellStyle name="Currency 3 2 5 4 2 3 2 2" xfId="4842" xr:uid="{00000000-0005-0000-0000-0000C8050000}"/>
    <cellStyle name="Currency 3 2 5 4 2 3 3" xfId="2405" xr:uid="{00000000-0005-0000-0000-0000C9050000}"/>
    <cellStyle name="Currency 3 2 5 4 2 3 3 2" xfId="4843" xr:uid="{00000000-0005-0000-0000-0000CA050000}"/>
    <cellStyle name="Currency 3 2 5 4 2 3 4" xfId="4169" xr:uid="{00000000-0005-0000-0000-0000CB050000}"/>
    <cellStyle name="Currency 3 2 5 4 2 3 5" xfId="1522" xr:uid="{00000000-0005-0000-0000-0000CC050000}"/>
    <cellStyle name="Currency 3 2 5 4 2 4" xfId="2846" xr:uid="{00000000-0005-0000-0000-0000CD050000}"/>
    <cellStyle name="Currency 3 2 5 4 2 4 2" xfId="4844" xr:uid="{00000000-0005-0000-0000-0000CE050000}"/>
    <cellStyle name="Currency 3 2 5 4 2 5" xfId="1964" xr:uid="{00000000-0005-0000-0000-0000CF050000}"/>
    <cellStyle name="Currency 3 2 5 4 2 5 2" xfId="4845" xr:uid="{00000000-0005-0000-0000-0000D0050000}"/>
    <cellStyle name="Currency 3 2 5 4 2 6" xfId="3728" xr:uid="{00000000-0005-0000-0000-0000D1050000}"/>
    <cellStyle name="Currency 3 2 5 4 2 7" xfId="1081" xr:uid="{00000000-0005-0000-0000-0000D2050000}"/>
    <cellStyle name="Currency 3 2 5 4 3" xfId="308" xr:uid="{00000000-0005-0000-0000-0000D3050000}"/>
    <cellStyle name="Currency 3 2 5 4 3 2" xfId="749" xr:uid="{00000000-0005-0000-0000-0000D4050000}"/>
    <cellStyle name="Currency 3 2 5 4 3 2 2" xfId="3397" xr:uid="{00000000-0005-0000-0000-0000D5050000}"/>
    <cellStyle name="Currency 3 2 5 4 3 2 2 2" xfId="4846" xr:uid="{00000000-0005-0000-0000-0000D6050000}"/>
    <cellStyle name="Currency 3 2 5 4 3 2 3" xfId="2515" xr:uid="{00000000-0005-0000-0000-0000D7050000}"/>
    <cellStyle name="Currency 3 2 5 4 3 2 3 2" xfId="4847" xr:uid="{00000000-0005-0000-0000-0000D8050000}"/>
    <cellStyle name="Currency 3 2 5 4 3 2 4" xfId="4279" xr:uid="{00000000-0005-0000-0000-0000D9050000}"/>
    <cellStyle name="Currency 3 2 5 4 3 2 5" xfId="1632" xr:uid="{00000000-0005-0000-0000-0000DA050000}"/>
    <cellStyle name="Currency 3 2 5 4 3 3" xfId="2956" xr:uid="{00000000-0005-0000-0000-0000DB050000}"/>
    <cellStyle name="Currency 3 2 5 4 3 3 2" xfId="4848" xr:uid="{00000000-0005-0000-0000-0000DC050000}"/>
    <cellStyle name="Currency 3 2 5 4 3 4" xfId="2074" xr:uid="{00000000-0005-0000-0000-0000DD050000}"/>
    <cellStyle name="Currency 3 2 5 4 3 4 2" xfId="4849" xr:uid="{00000000-0005-0000-0000-0000DE050000}"/>
    <cellStyle name="Currency 3 2 5 4 3 5" xfId="3838" xr:uid="{00000000-0005-0000-0000-0000DF050000}"/>
    <cellStyle name="Currency 3 2 5 4 3 6" xfId="1191" xr:uid="{00000000-0005-0000-0000-0000E0050000}"/>
    <cellStyle name="Currency 3 2 5 4 4" xfId="529" xr:uid="{00000000-0005-0000-0000-0000E1050000}"/>
    <cellStyle name="Currency 3 2 5 4 4 2" xfId="3177" xr:uid="{00000000-0005-0000-0000-0000E2050000}"/>
    <cellStyle name="Currency 3 2 5 4 4 2 2" xfId="4850" xr:uid="{00000000-0005-0000-0000-0000E3050000}"/>
    <cellStyle name="Currency 3 2 5 4 4 3" xfId="2295" xr:uid="{00000000-0005-0000-0000-0000E4050000}"/>
    <cellStyle name="Currency 3 2 5 4 4 3 2" xfId="4851" xr:uid="{00000000-0005-0000-0000-0000E5050000}"/>
    <cellStyle name="Currency 3 2 5 4 4 4" xfId="4059" xr:uid="{00000000-0005-0000-0000-0000E6050000}"/>
    <cellStyle name="Currency 3 2 5 4 4 5" xfId="1412" xr:uid="{00000000-0005-0000-0000-0000E7050000}"/>
    <cellStyle name="Currency 3 2 5 4 5" xfId="2736" xr:uid="{00000000-0005-0000-0000-0000E8050000}"/>
    <cellStyle name="Currency 3 2 5 4 5 2" xfId="4852" xr:uid="{00000000-0005-0000-0000-0000E9050000}"/>
    <cellStyle name="Currency 3 2 5 4 6" xfId="1854" xr:uid="{00000000-0005-0000-0000-0000EA050000}"/>
    <cellStyle name="Currency 3 2 5 4 6 2" xfId="4853" xr:uid="{00000000-0005-0000-0000-0000EB050000}"/>
    <cellStyle name="Currency 3 2 5 4 7" xfId="3618" xr:uid="{00000000-0005-0000-0000-0000EC050000}"/>
    <cellStyle name="Currency 3 2 5 4 8" xfId="971" xr:uid="{00000000-0005-0000-0000-0000ED050000}"/>
    <cellStyle name="Currency 3 2 5 5" xfId="132" xr:uid="{00000000-0005-0000-0000-0000EE050000}"/>
    <cellStyle name="Currency 3 2 5 5 2" xfId="352" xr:uid="{00000000-0005-0000-0000-0000EF050000}"/>
    <cellStyle name="Currency 3 2 5 5 2 2" xfId="793" xr:uid="{00000000-0005-0000-0000-0000F0050000}"/>
    <cellStyle name="Currency 3 2 5 5 2 2 2" xfId="3441" xr:uid="{00000000-0005-0000-0000-0000F1050000}"/>
    <cellStyle name="Currency 3 2 5 5 2 2 2 2" xfId="4854" xr:uid="{00000000-0005-0000-0000-0000F2050000}"/>
    <cellStyle name="Currency 3 2 5 5 2 2 3" xfId="2559" xr:uid="{00000000-0005-0000-0000-0000F3050000}"/>
    <cellStyle name="Currency 3 2 5 5 2 2 3 2" xfId="4855" xr:uid="{00000000-0005-0000-0000-0000F4050000}"/>
    <cellStyle name="Currency 3 2 5 5 2 2 4" xfId="4323" xr:uid="{00000000-0005-0000-0000-0000F5050000}"/>
    <cellStyle name="Currency 3 2 5 5 2 2 5" xfId="1676" xr:uid="{00000000-0005-0000-0000-0000F6050000}"/>
    <cellStyle name="Currency 3 2 5 5 2 3" xfId="3000" xr:uid="{00000000-0005-0000-0000-0000F7050000}"/>
    <cellStyle name="Currency 3 2 5 5 2 3 2" xfId="4856" xr:uid="{00000000-0005-0000-0000-0000F8050000}"/>
    <cellStyle name="Currency 3 2 5 5 2 4" xfId="2118" xr:uid="{00000000-0005-0000-0000-0000F9050000}"/>
    <cellStyle name="Currency 3 2 5 5 2 4 2" xfId="4857" xr:uid="{00000000-0005-0000-0000-0000FA050000}"/>
    <cellStyle name="Currency 3 2 5 5 2 5" xfId="3882" xr:uid="{00000000-0005-0000-0000-0000FB050000}"/>
    <cellStyle name="Currency 3 2 5 5 2 6" xfId="1235" xr:uid="{00000000-0005-0000-0000-0000FC050000}"/>
    <cellStyle name="Currency 3 2 5 5 3" xfId="573" xr:uid="{00000000-0005-0000-0000-0000FD050000}"/>
    <cellStyle name="Currency 3 2 5 5 3 2" xfId="3221" xr:uid="{00000000-0005-0000-0000-0000FE050000}"/>
    <cellStyle name="Currency 3 2 5 5 3 2 2" xfId="4858" xr:uid="{00000000-0005-0000-0000-0000FF050000}"/>
    <cellStyle name="Currency 3 2 5 5 3 3" xfId="2339" xr:uid="{00000000-0005-0000-0000-000000060000}"/>
    <cellStyle name="Currency 3 2 5 5 3 3 2" xfId="4859" xr:uid="{00000000-0005-0000-0000-000001060000}"/>
    <cellStyle name="Currency 3 2 5 5 3 4" xfId="4103" xr:uid="{00000000-0005-0000-0000-000002060000}"/>
    <cellStyle name="Currency 3 2 5 5 3 5" xfId="1456" xr:uid="{00000000-0005-0000-0000-000003060000}"/>
    <cellStyle name="Currency 3 2 5 5 4" xfId="2780" xr:uid="{00000000-0005-0000-0000-000004060000}"/>
    <cellStyle name="Currency 3 2 5 5 4 2" xfId="4860" xr:uid="{00000000-0005-0000-0000-000005060000}"/>
    <cellStyle name="Currency 3 2 5 5 5" xfId="1898" xr:uid="{00000000-0005-0000-0000-000006060000}"/>
    <cellStyle name="Currency 3 2 5 5 5 2" xfId="4861" xr:uid="{00000000-0005-0000-0000-000007060000}"/>
    <cellStyle name="Currency 3 2 5 5 6" xfId="3662" xr:uid="{00000000-0005-0000-0000-000008060000}"/>
    <cellStyle name="Currency 3 2 5 5 7" xfId="1015" xr:uid="{00000000-0005-0000-0000-000009060000}"/>
    <cellStyle name="Currency 3 2 5 6" xfId="242" xr:uid="{00000000-0005-0000-0000-00000A060000}"/>
    <cellStyle name="Currency 3 2 5 6 2" xfId="683" xr:uid="{00000000-0005-0000-0000-00000B060000}"/>
    <cellStyle name="Currency 3 2 5 6 2 2" xfId="3331" xr:uid="{00000000-0005-0000-0000-00000C060000}"/>
    <cellStyle name="Currency 3 2 5 6 2 2 2" xfId="4862" xr:uid="{00000000-0005-0000-0000-00000D060000}"/>
    <cellStyle name="Currency 3 2 5 6 2 3" xfId="2449" xr:uid="{00000000-0005-0000-0000-00000E060000}"/>
    <cellStyle name="Currency 3 2 5 6 2 3 2" xfId="4863" xr:uid="{00000000-0005-0000-0000-00000F060000}"/>
    <cellStyle name="Currency 3 2 5 6 2 4" xfId="4213" xr:uid="{00000000-0005-0000-0000-000010060000}"/>
    <cellStyle name="Currency 3 2 5 6 2 5" xfId="1566" xr:uid="{00000000-0005-0000-0000-000011060000}"/>
    <cellStyle name="Currency 3 2 5 6 3" xfId="2890" xr:uid="{00000000-0005-0000-0000-000012060000}"/>
    <cellStyle name="Currency 3 2 5 6 3 2" xfId="4864" xr:uid="{00000000-0005-0000-0000-000013060000}"/>
    <cellStyle name="Currency 3 2 5 6 4" xfId="2008" xr:uid="{00000000-0005-0000-0000-000014060000}"/>
    <cellStyle name="Currency 3 2 5 6 4 2" xfId="4865" xr:uid="{00000000-0005-0000-0000-000015060000}"/>
    <cellStyle name="Currency 3 2 5 6 5" xfId="3772" xr:uid="{00000000-0005-0000-0000-000016060000}"/>
    <cellStyle name="Currency 3 2 5 6 6" xfId="1125" xr:uid="{00000000-0005-0000-0000-000017060000}"/>
    <cellStyle name="Currency 3 2 5 7" xfId="463" xr:uid="{00000000-0005-0000-0000-000018060000}"/>
    <cellStyle name="Currency 3 2 5 7 2" xfId="3111" xr:uid="{00000000-0005-0000-0000-000019060000}"/>
    <cellStyle name="Currency 3 2 5 7 2 2" xfId="4866" xr:uid="{00000000-0005-0000-0000-00001A060000}"/>
    <cellStyle name="Currency 3 2 5 7 3" xfId="2229" xr:uid="{00000000-0005-0000-0000-00001B060000}"/>
    <cellStyle name="Currency 3 2 5 7 3 2" xfId="4867" xr:uid="{00000000-0005-0000-0000-00001C060000}"/>
    <cellStyle name="Currency 3 2 5 7 4" xfId="3993" xr:uid="{00000000-0005-0000-0000-00001D060000}"/>
    <cellStyle name="Currency 3 2 5 7 5" xfId="1346" xr:uid="{00000000-0005-0000-0000-00001E060000}"/>
    <cellStyle name="Currency 3 2 5 8" xfId="2670" xr:uid="{00000000-0005-0000-0000-00001F060000}"/>
    <cellStyle name="Currency 3 2 5 8 2" xfId="4868" xr:uid="{00000000-0005-0000-0000-000020060000}"/>
    <cellStyle name="Currency 3 2 5 9" xfId="1788" xr:uid="{00000000-0005-0000-0000-000021060000}"/>
    <cellStyle name="Currency 3 2 5 9 2" xfId="4869" xr:uid="{00000000-0005-0000-0000-000022060000}"/>
    <cellStyle name="Currency 3 2 6" xfId="25" xr:uid="{00000000-0005-0000-0000-000023060000}"/>
    <cellStyle name="Currency 3 2 6 2" xfId="91" xr:uid="{00000000-0005-0000-0000-000024060000}"/>
    <cellStyle name="Currency 3 2 6 2 2" xfId="201" xr:uid="{00000000-0005-0000-0000-000025060000}"/>
    <cellStyle name="Currency 3 2 6 2 2 2" xfId="421" xr:uid="{00000000-0005-0000-0000-000026060000}"/>
    <cellStyle name="Currency 3 2 6 2 2 2 2" xfId="862" xr:uid="{00000000-0005-0000-0000-000027060000}"/>
    <cellStyle name="Currency 3 2 6 2 2 2 2 2" xfId="3510" xr:uid="{00000000-0005-0000-0000-000028060000}"/>
    <cellStyle name="Currency 3 2 6 2 2 2 2 2 2" xfId="4870" xr:uid="{00000000-0005-0000-0000-000029060000}"/>
    <cellStyle name="Currency 3 2 6 2 2 2 2 3" xfId="2628" xr:uid="{00000000-0005-0000-0000-00002A060000}"/>
    <cellStyle name="Currency 3 2 6 2 2 2 2 3 2" xfId="4871" xr:uid="{00000000-0005-0000-0000-00002B060000}"/>
    <cellStyle name="Currency 3 2 6 2 2 2 2 4" xfId="4392" xr:uid="{00000000-0005-0000-0000-00002C060000}"/>
    <cellStyle name="Currency 3 2 6 2 2 2 2 5" xfId="1745" xr:uid="{00000000-0005-0000-0000-00002D060000}"/>
    <cellStyle name="Currency 3 2 6 2 2 2 3" xfId="3069" xr:uid="{00000000-0005-0000-0000-00002E060000}"/>
    <cellStyle name="Currency 3 2 6 2 2 2 3 2" xfId="4872" xr:uid="{00000000-0005-0000-0000-00002F060000}"/>
    <cellStyle name="Currency 3 2 6 2 2 2 4" xfId="2187" xr:uid="{00000000-0005-0000-0000-000030060000}"/>
    <cellStyle name="Currency 3 2 6 2 2 2 4 2" xfId="4873" xr:uid="{00000000-0005-0000-0000-000031060000}"/>
    <cellStyle name="Currency 3 2 6 2 2 2 5" xfId="3951" xr:uid="{00000000-0005-0000-0000-000032060000}"/>
    <cellStyle name="Currency 3 2 6 2 2 2 6" xfId="1304" xr:uid="{00000000-0005-0000-0000-000033060000}"/>
    <cellStyle name="Currency 3 2 6 2 2 3" xfId="642" xr:uid="{00000000-0005-0000-0000-000034060000}"/>
    <cellStyle name="Currency 3 2 6 2 2 3 2" xfId="3290" xr:uid="{00000000-0005-0000-0000-000035060000}"/>
    <cellStyle name="Currency 3 2 6 2 2 3 2 2" xfId="4874" xr:uid="{00000000-0005-0000-0000-000036060000}"/>
    <cellStyle name="Currency 3 2 6 2 2 3 3" xfId="2408" xr:uid="{00000000-0005-0000-0000-000037060000}"/>
    <cellStyle name="Currency 3 2 6 2 2 3 3 2" xfId="4875" xr:uid="{00000000-0005-0000-0000-000038060000}"/>
    <cellStyle name="Currency 3 2 6 2 2 3 4" xfId="4172" xr:uid="{00000000-0005-0000-0000-000039060000}"/>
    <cellStyle name="Currency 3 2 6 2 2 3 5" xfId="1525" xr:uid="{00000000-0005-0000-0000-00003A060000}"/>
    <cellStyle name="Currency 3 2 6 2 2 4" xfId="2849" xr:uid="{00000000-0005-0000-0000-00003B060000}"/>
    <cellStyle name="Currency 3 2 6 2 2 4 2" xfId="4876" xr:uid="{00000000-0005-0000-0000-00003C060000}"/>
    <cellStyle name="Currency 3 2 6 2 2 5" xfId="1967" xr:uid="{00000000-0005-0000-0000-00003D060000}"/>
    <cellStyle name="Currency 3 2 6 2 2 5 2" xfId="4877" xr:uid="{00000000-0005-0000-0000-00003E060000}"/>
    <cellStyle name="Currency 3 2 6 2 2 6" xfId="3731" xr:uid="{00000000-0005-0000-0000-00003F060000}"/>
    <cellStyle name="Currency 3 2 6 2 2 7" xfId="1084" xr:uid="{00000000-0005-0000-0000-000040060000}"/>
    <cellStyle name="Currency 3 2 6 2 3" xfId="311" xr:uid="{00000000-0005-0000-0000-000041060000}"/>
    <cellStyle name="Currency 3 2 6 2 3 2" xfId="752" xr:uid="{00000000-0005-0000-0000-000042060000}"/>
    <cellStyle name="Currency 3 2 6 2 3 2 2" xfId="3400" xr:uid="{00000000-0005-0000-0000-000043060000}"/>
    <cellStyle name="Currency 3 2 6 2 3 2 2 2" xfId="4878" xr:uid="{00000000-0005-0000-0000-000044060000}"/>
    <cellStyle name="Currency 3 2 6 2 3 2 3" xfId="2518" xr:uid="{00000000-0005-0000-0000-000045060000}"/>
    <cellStyle name="Currency 3 2 6 2 3 2 3 2" xfId="4879" xr:uid="{00000000-0005-0000-0000-000046060000}"/>
    <cellStyle name="Currency 3 2 6 2 3 2 4" xfId="4282" xr:uid="{00000000-0005-0000-0000-000047060000}"/>
    <cellStyle name="Currency 3 2 6 2 3 2 5" xfId="1635" xr:uid="{00000000-0005-0000-0000-000048060000}"/>
    <cellStyle name="Currency 3 2 6 2 3 3" xfId="2959" xr:uid="{00000000-0005-0000-0000-000049060000}"/>
    <cellStyle name="Currency 3 2 6 2 3 3 2" xfId="4880" xr:uid="{00000000-0005-0000-0000-00004A060000}"/>
    <cellStyle name="Currency 3 2 6 2 3 4" xfId="2077" xr:uid="{00000000-0005-0000-0000-00004B060000}"/>
    <cellStyle name="Currency 3 2 6 2 3 4 2" xfId="4881" xr:uid="{00000000-0005-0000-0000-00004C060000}"/>
    <cellStyle name="Currency 3 2 6 2 3 5" xfId="3841" xr:uid="{00000000-0005-0000-0000-00004D060000}"/>
    <cellStyle name="Currency 3 2 6 2 3 6" xfId="1194" xr:uid="{00000000-0005-0000-0000-00004E060000}"/>
    <cellStyle name="Currency 3 2 6 2 4" xfId="532" xr:uid="{00000000-0005-0000-0000-00004F060000}"/>
    <cellStyle name="Currency 3 2 6 2 4 2" xfId="3180" xr:uid="{00000000-0005-0000-0000-000050060000}"/>
    <cellStyle name="Currency 3 2 6 2 4 2 2" xfId="4882" xr:uid="{00000000-0005-0000-0000-000051060000}"/>
    <cellStyle name="Currency 3 2 6 2 4 3" xfId="2298" xr:uid="{00000000-0005-0000-0000-000052060000}"/>
    <cellStyle name="Currency 3 2 6 2 4 3 2" xfId="4883" xr:uid="{00000000-0005-0000-0000-000053060000}"/>
    <cellStyle name="Currency 3 2 6 2 4 4" xfId="4062" xr:uid="{00000000-0005-0000-0000-000054060000}"/>
    <cellStyle name="Currency 3 2 6 2 4 5" xfId="1415" xr:uid="{00000000-0005-0000-0000-000055060000}"/>
    <cellStyle name="Currency 3 2 6 2 5" xfId="2739" xr:uid="{00000000-0005-0000-0000-000056060000}"/>
    <cellStyle name="Currency 3 2 6 2 5 2" xfId="4884" xr:uid="{00000000-0005-0000-0000-000057060000}"/>
    <cellStyle name="Currency 3 2 6 2 6" xfId="1857" xr:uid="{00000000-0005-0000-0000-000058060000}"/>
    <cellStyle name="Currency 3 2 6 2 6 2" xfId="4885" xr:uid="{00000000-0005-0000-0000-000059060000}"/>
    <cellStyle name="Currency 3 2 6 2 7" xfId="3621" xr:uid="{00000000-0005-0000-0000-00005A060000}"/>
    <cellStyle name="Currency 3 2 6 2 8" xfId="974" xr:uid="{00000000-0005-0000-0000-00005B060000}"/>
    <cellStyle name="Currency 3 2 6 3" xfId="135" xr:uid="{00000000-0005-0000-0000-00005C060000}"/>
    <cellStyle name="Currency 3 2 6 3 2" xfId="355" xr:uid="{00000000-0005-0000-0000-00005D060000}"/>
    <cellStyle name="Currency 3 2 6 3 2 2" xfId="796" xr:uid="{00000000-0005-0000-0000-00005E060000}"/>
    <cellStyle name="Currency 3 2 6 3 2 2 2" xfId="3444" xr:uid="{00000000-0005-0000-0000-00005F060000}"/>
    <cellStyle name="Currency 3 2 6 3 2 2 2 2" xfId="4886" xr:uid="{00000000-0005-0000-0000-000060060000}"/>
    <cellStyle name="Currency 3 2 6 3 2 2 3" xfId="2562" xr:uid="{00000000-0005-0000-0000-000061060000}"/>
    <cellStyle name="Currency 3 2 6 3 2 2 3 2" xfId="4887" xr:uid="{00000000-0005-0000-0000-000062060000}"/>
    <cellStyle name="Currency 3 2 6 3 2 2 4" xfId="4326" xr:uid="{00000000-0005-0000-0000-000063060000}"/>
    <cellStyle name="Currency 3 2 6 3 2 2 5" xfId="1679" xr:uid="{00000000-0005-0000-0000-000064060000}"/>
    <cellStyle name="Currency 3 2 6 3 2 3" xfId="3003" xr:uid="{00000000-0005-0000-0000-000065060000}"/>
    <cellStyle name="Currency 3 2 6 3 2 3 2" xfId="4888" xr:uid="{00000000-0005-0000-0000-000066060000}"/>
    <cellStyle name="Currency 3 2 6 3 2 4" xfId="2121" xr:uid="{00000000-0005-0000-0000-000067060000}"/>
    <cellStyle name="Currency 3 2 6 3 2 4 2" xfId="4889" xr:uid="{00000000-0005-0000-0000-000068060000}"/>
    <cellStyle name="Currency 3 2 6 3 2 5" xfId="3885" xr:uid="{00000000-0005-0000-0000-000069060000}"/>
    <cellStyle name="Currency 3 2 6 3 2 6" xfId="1238" xr:uid="{00000000-0005-0000-0000-00006A060000}"/>
    <cellStyle name="Currency 3 2 6 3 3" xfId="576" xr:uid="{00000000-0005-0000-0000-00006B060000}"/>
    <cellStyle name="Currency 3 2 6 3 3 2" xfId="3224" xr:uid="{00000000-0005-0000-0000-00006C060000}"/>
    <cellStyle name="Currency 3 2 6 3 3 2 2" xfId="4890" xr:uid="{00000000-0005-0000-0000-00006D060000}"/>
    <cellStyle name="Currency 3 2 6 3 3 3" xfId="2342" xr:uid="{00000000-0005-0000-0000-00006E060000}"/>
    <cellStyle name="Currency 3 2 6 3 3 3 2" xfId="4891" xr:uid="{00000000-0005-0000-0000-00006F060000}"/>
    <cellStyle name="Currency 3 2 6 3 3 4" xfId="4106" xr:uid="{00000000-0005-0000-0000-000070060000}"/>
    <cellStyle name="Currency 3 2 6 3 3 5" xfId="1459" xr:uid="{00000000-0005-0000-0000-000071060000}"/>
    <cellStyle name="Currency 3 2 6 3 4" xfId="2783" xr:uid="{00000000-0005-0000-0000-000072060000}"/>
    <cellStyle name="Currency 3 2 6 3 4 2" xfId="4892" xr:uid="{00000000-0005-0000-0000-000073060000}"/>
    <cellStyle name="Currency 3 2 6 3 5" xfId="1901" xr:uid="{00000000-0005-0000-0000-000074060000}"/>
    <cellStyle name="Currency 3 2 6 3 5 2" xfId="4893" xr:uid="{00000000-0005-0000-0000-000075060000}"/>
    <cellStyle name="Currency 3 2 6 3 6" xfId="3665" xr:uid="{00000000-0005-0000-0000-000076060000}"/>
    <cellStyle name="Currency 3 2 6 3 7" xfId="1018" xr:uid="{00000000-0005-0000-0000-000077060000}"/>
    <cellStyle name="Currency 3 2 6 4" xfId="245" xr:uid="{00000000-0005-0000-0000-000078060000}"/>
    <cellStyle name="Currency 3 2 6 4 2" xfId="686" xr:uid="{00000000-0005-0000-0000-000079060000}"/>
    <cellStyle name="Currency 3 2 6 4 2 2" xfId="3334" xr:uid="{00000000-0005-0000-0000-00007A060000}"/>
    <cellStyle name="Currency 3 2 6 4 2 2 2" xfId="4894" xr:uid="{00000000-0005-0000-0000-00007B060000}"/>
    <cellStyle name="Currency 3 2 6 4 2 3" xfId="2452" xr:uid="{00000000-0005-0000-0000-00007C060000}"/>
    <cellStyle name="Currency 3 2 6 4 2 3 2" xfId="4895" xr:uid="{00000000-0005-0000-0000-00007D060000}"/>
    <cellStyle name="Currency 3 2 6 4 2 4" xfId="4216" xr:uid="{00000000-0005-0000-0000-00007E060000}"/>
    <cellStyle name="Currency 3 2 6 4 2 5" xfId="1569" xr:uid="{00000000-0005-0000-0000-00007F060000}"/>
    <cellStyle name="Currency 3 2 6 4 3" xfId="2893" xr:uid="{00000000-0005-0000-0000-000080060000}"/>
    <cellStyle name="Currency 3 2 6 4 3 2" xfId="4896" xr:uid="{00000000-0005-0000-0000-000081060000}"/>
    <cellStyle name="Currency 3 2 6 4 4" xfId="2011" xr:uid="{00000000-0005-0000-0000-000082060000}"/>
    <cellStyle name="Currency 3 2 6 4 4 2" xfId="4897" xr:uid="{00000000-0005-0000-0000-000083060000}"/>
    <cellStyle name="Currency 3 2 6 4 5" xfId="3775" xr:uid="{00000000-0005-0000-0000-000084060000}"/>
    <cellStyle name="Currency 3 2 6 4 6" xfId="1128" xr:uid="{00000000-0005-0000-0000-000085060000}"/>
    <cellStyle name="Currency 3 2 6 5" xfId="466" xr:uid="{00000000-0005-0000-0000-000086060000}"/>
    <cellStyle name="Currency 3 2 6 5 2" xfId="3114" xr:uid="{00000000-0005-0000-0000-000087060000}"/>
    <cellStyle name="Currency 3 2 6 5 2 2" xfId="4898" xr:uid="{00000000-0005-0000-0000-000088060000}"/>
    <cellStyle name="Currency 3 2 6 5 3" xfId="2232" xr:uid="{00000000-0005-0000-0000-000089060000}"/>
    <cellStyle name="Currency 3 2 6 5 3 2" xfId="4899" xr:uid="{00000000-0005-0000-0000-00008A060000}"/>
    <cellStyle name="Currency 3 2 6 5 4" xfId="3996" xr:uid="{00000000-0005-0000-0000-00008B060000}"/>
    <cellStyle name="Currency 3 2 6 5 5" xfId="1349" xr:uid="{00000000-0005-0000-0000-00008C060000}"/>
    <cellStyle name="Currency 3 2 6 6" xfId="2673" xr:uid="{00000000-0005-0000-0000-00008D060000}"/>
    <cellStyle name="Currency 3 2 6 6 2" xfId="4900" xr:uid="{00000000-0005-0000-0000-00008E060000}"/>
    <cellStyle name="Currency 3 2 6 7" xfId="1791" xr:uid="{00000000-0005-0000-0000-00008F060000}"/>
    <cellStyle name="Currency 3 2 6 7 2" xfId="4901" xr:uid="{00000000-0005-0000-0000-000090060000}"/>
    <cellStyle name="Currency 3 2 6 8" xfId="3555" xr:uid="{00000000-0005-0000-0000-000091060000}"/>
    <cellStyle name="Currency 3 2 6 9" xfId="908" xr:uid="{00000000-0005-0000-0000-000092060000}"/>
    <cellStyle name="Currency 3 2 7" xfId="31" xr:uid="{00000000-0005-0000-0000-000093060000}"/>
    <cellStyle name="Currency 3 2 7 2" xfId="97" xr:uid="{00000000-0005-0000-0000-000094060000}"/>
    <cellStyle name="Currency 3 2 7 2 2" xfId="207" xr:uid="{00000000-0005-0000-0000-000095060000}"/>
    <cellStyle name="Currency 3 2 7 2 2 2" xfId="427" xr:uid="{00000000-0005-0000-0000-000096060000}"/>
    <cellStyle name="Currency 3 2 7 2 2 2 2" xfId="868" xr:uid="{00000000-0005-0000-0000-000097060000}"/>
    <cellStyle name="Currency 3 2 7 2 2 2 2 2" xfId="3516" xr:uid="{00000000-0005-0000-0000-000098060000}"/>
    <cellStyle name="Currency 3 2 7 2 2 2 2 2 2" xfId="4902" xr:uid="{00000000-0005-0000-0000-000099060000}"/>
    <cellStyle name="Currency 3 2 7 2 2 2 2 3" xfId="2634" xr:uid="{00000000-0005-0000-0000-00009A060000}"/>
    <cellStyle name="Currency 3 2 7 2 2 2 2 3 2" xfId="4903" xr:uid="{00000000-0005-0000-0000-00009B060000}"/>
    <cellStyle name="Currency 3 2 7 2 2 2 2 4" xfId="4398" xr:uid="{00000000-0005-0000-0000-00009C060000}"/>
    <cellStyle name="Currency 3 2 7 2 2 2 2 5" xfId="1751" xr:uid="{00000000-0005-0000-0000-00009D060000}"/>
    <cellStyle name="Currency 3 2 7 2 2 2 3" xfId="3075" xr:uid="{00000000-0005-0000-0000-00009E060000}"/>
    <cellStyle name="Currency 3 2 7 2 2 2 3 2" xfId="4904" xr:uid="{00000000-0005-0000-0000-00009F060000}"/>
    <cellStyle name="Currency 3 2 7 2 2 2 4" xfId="2193" xr:uid="{00000000-0005-0000-0000-0000A0060000}"/>
    <cellStyle name="Currency 3 2 7 2 2 2 4 2" xfId="4905" xr:uid="{00000000-0005-0000-0000-0000A1060000}"/>
    <cellStyle name="Currency 3 2 7 2 2 2 5" xfId="3957" xr:uid="{00000000-0005-0000-0000-0000A2060000}"/>
    <cellStyle name="Currency 3 2 7 2 2 2 6" xfId="1310" xr:uid="{00000000-0005-0000-0000-0000A3060000}"/>
    <cellStyle name="Currency 3 2 7 2 2 3" xfId="648" xr:uid="{00000000-0005-0000-0000-0000A4060000}"/>
    <cellStyle name="Currency 3 2 7 2 2 3 2" xfId="3296" xr:uid="{00000000-0005-0000-0000-0000A5060000}"/>
    <cellStyle name="Currency 3 2 7 2 2 3 2 2" xfId="4906" xr:uid="{00000000-0005-0000-0000-0000A6060000}"/>
    <cellStyle name="Currency 3 2 7 2 2 3 3" xfId="2414" xr:uid="{00000000-0005-0000-0000-0000A7060000}"/>
    <cellStyle name="Currency 3 2 7 2 2 3 3 2" xfId="4907" xr:uid="{00000000-0005-0000-0000-0000A8060000}"/>
    <cellStyle name="Currency 3 2 7 2 2 3 4" xfId="4178" xr:uid="{00000000-0005-0000-0000-0000A9060000}"/>
    <cellStyle name="Currency 3 2 7 2 2 3 5" xfId="1531" xr:uid="{00000000-0005-0000-0000-0000AA060000}"/>
    <cellStyle name="Currency 3 2 7 2 2 4" xfId="2855" xr:uid="{00000000-0005-0000-0000-0000AB060000}"/>
    <cellStyle name="Currency 3 2 7 2 2 4 2" xfId="4908" xr:uid="{00000000-0005-0000-0000-0000AC060000}"/>
    <cellStyle name="Currency 3 2 7 2 2 5" xfId="1973" xr:uid="{00000000-0005-0000-0000-0000AD060000}"/>
    <cellStyle name="Currency 3 2 7 2 2 5 2" xfId="4909" xr:uid="{00000000-0005-0000-0000-0000AE060000}"/>
    <cellStyle name="Currency 3 2 7 2 2 6" xfId="3737" xr:uid="{00000000-0005-0000-0000-0000AF060000}"/>
    <cellStyle name="Currency 3 2 7 2 2 7" xfId="1090" xr:uid="{00000000-0005-0000-0000-0000B0060000}"/>
    <cellStyle name="Currency 3 2 7 2 3" xfId="317" xr:uid="{00000000-0005-0000-0000-0000B1060000}"/>
    <cellStyle name="Currency 3 2 7 2 3 2" xfId="758" xr:uid="{00000000-0005-0000-0000-0000B2060000}"/>
    <cellStyle name="Currency 3 2 7 2 3 2 2" xfId="3406" xr:uid="{00000000-0005-0000-0000-0000B3060000}"/>
    <cellStyle name="Currency 3 2 7 2 3 2 2 2" xfId="4910" xr:uid="{00000000-0005-0000-0000-0000B4060000}"/>
    <cellStyle name="Currency 3 2 7 2 3 2 3" xfId="2524" xr:uid="{00000000-0005-0000-0000-0000B5060000}"/>
    <cellStyle name="Currency 3 2 7 2 3 2 3 2" xfId="4911" xr:uid="{00000000-0005-0000-0000-0000B6060000}"/>
    <cellStyle name="Currency 3 2 7 2 3 2 4" xfId="4288" xr:uid="{00000000-0005-0000-0000-0000B7060000}"/>
    <cellStyle name="Currency 3 2 7 2 3 2 5" xfId="1641" xr:uid="{00000000-0005-0000-0000-0000B8060000}"/>
    <cellStyle name="Currency 3 2 7 2 3 3" xfId="2965" xr:uid="{00000000-0005-0000-0000-0000B9060000}"/>
    <cellStyle name="Currency 3 2 7 2 3 3 2" xfId="4912" xr:uid="{00000000-0005-0000-0000-0000BA060000}"/>
    <cellStyle name="Currency 3 2 7 2 3 4" xfId="2083" xr:uid="{00000000-0005-0000-0000-0000BB060000}"/>
    <cellStyle name="Currency 3 2 7 2 3 4 2" xfId="4913" xr:uid="{00000000-0005-0000-0000-0000BC060000}"/>
    <cellStyle name="Currency 3 2 7 2 3 5" xfId="3847" xr:uid="{00000000-0005-0000-0000-0000BD060000}"/>
    <cellStyle name="Currency 3 2 7 2 3 6" xfId="1200" xr:uid="{00000000-0005-0000-0000-0000BE060000}"/>
    <cellStyle name="Currency 3 2 7 2 4" xfId="538" xr:uid="{00000000-0005-0000-0000-0000BF060000}"/>
    <cellStyle name="Currency 3 2 7 2 4 2" xfId="3186" xr:uid="{00000000-0005-0000-0000-0000C0060000}"/>
    <cellStyle name="Currency 3 2 7 2 4 2 2" xfId="4914" xr:uid="{00000000-0005-0000-0000-0000C1060000}"/>
    <cellStyle name="Currency 3 2 7 2 4 3" xfId="2304" xr:uid="{00000000-0005-0000-0000-0000C2060000}"/>
    <cellStyle name="Currency 3 2 7 2 4 3 2" xfId="4915" xr:uid="{00000000-0005-0000-0000-0000C3060000}"/>
    <cellStyle name="Currency 3 2 7 2 4 4" xfId="4068" xr:uid="{00000000-0005-0000-0000-0000C4060000}"/>
    <cellStyle name="Currency 3 2 7 2 4 5" xfId="1421" xr:uid="{00000000-0005-0000-0000-0000C5060000}"/>
    <cellStyle name="Currency 3 2 7 2 5" xfId="2745" xr:uid="{00000000-0005-0000-0000-0000C6060000}"/>
    <cellStyle name="Currency 3 2 7 2 5 2" xfId="4916" xr:uid="{00000000-0005-0000-0000-0000C7060000}"/>
    <cellStyle name="Currency 3 2 7 2 6" xfId="1863" xr:uid="{00000000-0005-0000-0000-0000C8060000}"/>
    <cellStyle name="Currency 3 2 7 2 6 2" xfId="4917" xr:uid="{00000000-0005-0000-0000-0000C9060000}"/>
    <cellStyle name="Currency 3 2 7 2 7" xfId="3627" xr:uid="{00000000-0005-0000-0000-0000CA060000}"/>
    <cellStyle name="Currency 3 2 7 2 8" xfId="980" xr:uid="{00000000-0005-0000-0000-0000CB060000}"/>
    <cellStyle name="Currency 3 2 7 3" xfId="141" xr:uid="{00000000-0005-0000-0000-0000CC060000}"/>
    <cellStyle name="Currency 3 2 7 3 2" xfId="361" xr:uid="{00000000-0005-0000-0000-0000CD060000}"/>
    <cellStyle name="Currency 3 2 7 3 2 2" xfId="802" xr:uid="{00000000-0005-0000-0000-0000CE060000}"/>
    <cellStyle name="Currency 3 2 7 3 2 2 2" xfId="3450" xr:uid="{00000000-0005-0000-0000-0000CF060000}"/>
    <cellStyle name="Currency 3 2 7 3 2 2 2 2" xfId="4918" xr:uid="{00000000-0005-0000-0000-0000D0060000}"/>
    <cellStyle name="Currency 3 2 7 3 2 2 3" xfId="2568" xr:uid="{00000000-0005-0000-0000-0000D1060000}"/>
    <cellStyle name="Currency 3 2 7 3 2 2 3 2" xfId="4919" xr:uid="{00000000-0005-0000-0000-0000D2060000}"/>
    <cellStyle name="Currency 3 2 7 3 2 2 4" xfId="4332" xr:uid="{00000000-0005-0000-0000-0000D3060000}"/>
    <cellStyle name="Currency 3 2 7 3 2 2 5" xfId="1685" xr:uid="{00000000-0005-0000-0000-0000D4060000}"/>
    <cellStyle name="Currency 3 2 7 3 2 3" xfId="3009" xr:uid="{00000000-0005-0000-0000-0000D5060000}"/>
    <cellStyle name="Currency 3 2 7 3 2 3 2" xfId="4920" xr:uid="{00000000-0005-0000-0000-0000D6060000}"/>
    <cellStyle name="Currency 3 2 7 3 2 4" xfId="2127" xr:uid="{00000000-0005-0000-0000-0000D7060000}"/>
    <cellStyle name="Currency 3 2 7 3 2 4 2" xfId="4921" xr:uid="{00000000-0005-0000-0000-0000D8060000}"/>
    <cellStyle name="Currency 3 2 7 3 2 5" xfId="3891" xr:uid="{00000000-0005-0000-0000-0000D9060000}"/>
    <cellStyle name="Currency 3 2 7 3 2 6" xfId="1244" xr:uid="{00000000-0005-0000-0000-0000DA060000}"/>
    <cellStyle name="Currency 3 2 7 3 3" xfId="582" xr:uid="{00000000-0005-0000-0000-0000DB060000}"/>
    <cellStyle name="Currency 3 2 7 3 3 2" xfId="3230" xr:uid="{00000000-0005-0000-0000-0000DC060000}"/>
    <cellStyle name="Currency 3 2 7 3 3 2 2" xfId="4922" xr:uid="{00000000-0005-0000-0000-0000DD060000}"/>
    <cellStyle name="Currency 3 2 7 3 3 3" xfId="2348" xr:uid="{00000000-0005-0000-0000-0000DE060000}"/>
    <cellStyle name="Currency 3 2 7 3 3 3 2" xfId="4923" xr:uid="{00000000-0005-0000-0000-0000DF060000}"/>
    <cellStyle name="Currency 3 2 7 3 3 4" xfId="4112" xr:uid="{00000000-0005-0000-0000-0000E0060000}"/>
    <cellStyle name="Currency 3 2 7 3 3 5" xfId="1465" xr:uid="{00000000-0005-0000-0000-0000E1060000}"/>
    <cellStyle name="Currency 3 2 7 3 4" xfId="2789" xr:uid="{00000000-0005-0000-0000-0000E2060000}"/>
    <cellStyle name="Currency 3 2 7 3 4 2" xfId="4924" xr:uid="{00000000-0005-0000-0000-0000E3060000}"/>
    <cellStyle name="Currency 3 2 7 3 5" xfId="1907" xr:uid="{00000000-0005-0000-0000-0000E4060000}"/>
    <cellStyle name="Currency 3 2 7 3 5 2" xfId="4925" xr:uid="{00000000-0005-0000-0000-0000E5060000}"/>
    <cellStyle name="Currency 3 2 7 3 6" xfId="3671" xr:uid="{00000000-0005-0000-0000-0000E6060000}"/>
    <cellStyle name="Currency 3 2 7 3 7" xfId="1024" xr:uid="{00000000-0005-0000-0000-0000E7060000}"/>
    <cellStyle name="Currency 3 2 7 4" xfId="251" xr:uid="{00000000-0005-0000-0000-0000E8060000}"/>
    <cellStyle name="Currency 3 2 7 4 2" xfId="692" xr:uid="{00000000-0005-0000-0000-0000E9060000}"/>
    <cellStyle name="Currency 3 2 7 4 2 2" xfId="3340" xr:uid="{00000000-0005-0000-0000-0000EA060000}"/>
    <cellStyle name="Currency 3 2 7 4 2 2 2" xfId="4926" xr:uid="{00000000-0005-0000-0000-0000EB060000}"/>
    <cellStyle name="Currency 3 2 7 4 2 3" xfId="2458" xr:uid="{00000000-0005-0000-0000-0000EC060000}"/>
    <cellStyle name="Currency 3 2 7 4 2 3 2" xfId="4927" xr:uid="{00000000-0005-0000-0000-0000ED060000}"/>
    <cellStyle name="Currency 3 2 7 4 2 4" xfId="4222" xr:uid="{00000000-0005-0000-0000-0000EE060000}"/>
    <cellStyle name="Currency 3 2 7 4 2 5" xfId="1575" xr:uid="{00000000-0005-0000-0000-0000EF060000}"/>
    <cellStyle name="Currency 3 2 7 4 3" xfId="2899" xr:uid="{00000000-0005-0000-0000-0000F0060000}"/>
    <cellStyle name="Currency 3 2 7 4 3 2" xfId="4928" xr:uid="{00000000-0005-0000-0000-0000F1060000}"/>
    <cellStyle name="Currency 3 2 7 4 4" xfId="2017" xr:uid="{00000000-0005-0000-0000-0000F2060000}"/>
    <cellStyle name="Currency 3 2 7 4 4 2" xfId="4929" xr:uid="{00000000-0005-0000-0000-0000F3060000}"/>
    <cellStyle name="Currency 3 2 7 4 5" xfId="3781" xr:uid="{00000000-0005-0000-0000-0000F4060000}"/>
    <cellStyle name="Currency 3 2 7 4 6" xfId="1134" xr:uid="{00000000-0005-0000-0000-0000F5060000}"/>
    <cellStyle name="Currency 3 2 7 5" xfId="472" xr:uid="{00000000-0005-0000-0000-0000F6060000}"/>
    <cellStyle name="Currency 3 2 7 5 2" xfId="3120" xr:uid="{00000000-0005-0000-0000-0000F7060000}"/>
    <cellStyle name="Currency 3 2 7 5 2 2" xfId="4930" xr:uid="{00000000-0005-0000-0000-0000F8060000}"/>
    <cellStyle name="Currency 3 2 7 5 3" xfId="2238" xr:uid="{00000000-0005-0000-0000-0000F9060000}"/>
    <cellStyle name="Currency 3 2 7 5 3 2" xfId="4931" xr:uid="{00000000-0005-0000-0000-0000FA060000}"/>
    <cellStyle name="Currency 3 2 7 5 4" xfId="4002" xr:uid="{00000000-0005-0000-0000-0000FB060000}"/>
    <cellStyle name="Currency 3 2 7 5 5" xfId="1355" xr:uid="{00000000-0005-0000-0000-0000FC060000}"/>
    <cellStyle name="Currency 3 2 7 6" xfId="2679" xr:uid="{00000000-0005-0000-0000-0000FD060000}"/>
    <cellStyle name="Currency 3 2 7 6 2" xfId="4932" xr:uid="{00000000-0005-0000-0000-0000FE060000}"/>
    <cellStyle name="Currency 3 2 7 7" xfId="1797" xr:uid="{00000000-0005-0000-0000-0000FF060000}"/>
    <cellStyle name="Currency 3 2 7 7 2" xfId="4933" xr:uid="{00000000-0005-0000-0000-000000070000}"/>
    <cellStyle name="Currency 3 2 7 8" xfId="3561" xr:uid="{00000000-0005-0000-0000-000001070000}"/>
    <cellStyle name="Currency 3 2 7 9" xfId="914" xr:uid="{00000000-0005-0000-0000-000002070000}"/>
    <cellStyle name="Currency 3 2 8" xfId="37" xr:uid="{00000000-0005-0000-0000-000003070000}"/>
    <cellStyle name="Currency 3 2 8 2" xfId="103" xr:uid="{00000000-0005-0000-0000-000004070000}"/>
    <cellStyle name="Currency 3 2 8 2 2" xfId="213" xr:uid="{00000000-0005-0000-0000-000005070000}"/>
    <cellStyle name="Currency 3 2 8 2 2 2" xfId="433" xr:uid="{00000000-0005-0000-0000-000006070000}"/>
    <cellStyle name="Currency 3 2 8 2 2 2 2" xfId="874" xr:uid="{00000000-0005-0000-0000-000007070000}"/>
    <cellStyle name="Currency 3 2 8 2 2 2 2 2" xfId="3522" xr:uid="{00000000-0005-0000-0000-000008070000}"/>
    <cellStyle name="Currency 3 2 8 2 2 2 2 2 2" xfId="4934" xr:uid="{00000000-0005-0000-0000-000009070000}"/>
    <cellStyle name="Currency 3 2 8 2 2 2 2 3" xfId="2640" xr:uid="{00000000-0005-0000-0000-00000A070000}"/>
    <cellStyle name="Currency 3 2 8 2 2 2 2 3 2" xfId="4935" xr:uid="{00000000-0005-0000-0000-00000B070000}"/>
    <cellStyle name="Currency 3 2 8 2 2 2 2 4" xfId="4404" xr:uid="{00000000-0005-0000-0000-00000C070000}"/>
    <cellStyle name="Currency 3 2 8 2 2 2 2 5" xfId="1757" xr:uid="{00000000-0005-0000-0000-00000D070000}"/>
    <cellStyle name="Currency 3 2 8 2 2 2 3" xfId="3081" xr:uid="{00000000-0005-0000-0000-00000E070000}"/>
    <cellStyle name="Currency 3 2 8 2 2 2 3 2" xfId="4936" xr:uid="{00000000-0005-0000-0000-00000F070000}"/>
    <cellStyle name="Currency 3 2 8 2 2 2 4" xfId="2199" xr:uid="{00000000-0005-0000-0000-000010070000}"/>
    <cellStyle name="Currency 3 2 8 2 2 2 4 2" xfId="4937" xr:uid="{00000000-0005-0000-0000-000011070000}"/>
    <cellStyle name="Currency 3 2 8 2 2 2 5" xfId="3963" xr:uid="{00000000-0005-0000-0000-000012070000}"/>
    <cellStyle name="Currency 3 2 8 2 2 2 6" xfId="1316" xr:uid="{00000000-0005-0000-0000-000013070000}"/>
    <cellStyle name="Currency 3 2 8 2 2 3" xfId="654" xr:uid="{00000000-0005-0000-0000-000014070000}"/>
    <cellStyle name="Currency 3 2 8 2 2 3 2" xfId="3302" xr:uid="{00000000-0005-0000-0000-000015070000}"/>
    <cellStyle name="Currency 3 2 8 2 2 3 2 2" xfId="4938" xr:uid="{00000000-0005-0000-0000-000016070000}"/>
    <cellStyle name="Currency 3 2 8 2 2 3 3" xfId="2420" xr:uid="{00000000-0005-0000-0000-000017070000}"/>
    <cellStyle name="Currency 3 2 8 2 2 3 3 2" xfId="4939" xr:uid="{00000000-0005-0000-0000-000018070000}"/>
    <cellStyle name="Currency 3 2 8 2 2 3 4" xfId="4184" xr:uid="{00000000-0005-0000-0000-000019070000}"/>
    <cellStyle name="Currency 3 2 8 2 2 3 5" xfId="1537" xr:uid="{00000000-0005-0000-0000-00001A070000}"/>
    <cellStyle name="Currency 3 2 8 2 2 4" xfId="2861" xr:uid="{00000000-0005-0000-0000-00001B070000}"/>
    <cellStyle name="Currency 3 2 8 2 2 4 2" xfId="4940" xr:uid="{00000000-0005-0000-0000-00001C070000}"/>
    <cellStyle name="Currency 3 2 8 2 2 5" xfId="1979" xr:uid="{00000000-0005-0000-0000-00001D070000}"/>
    <cellStyle name="Currency 3 2 8 2 2 5 2" xfId="4941" xr:uid="{00000000-0005-0000-0000-00001E070000}"/>
    <cellStyle name="Currency 3 2 8 2 2 6" xfId="3743" xr:uid="{00000000-0005-0000-0000-00001F070000}"/>
    <cellStyle name="Currency 3 2 8 2 2 7" xfId="1096" xr:uid="{00000000-0005-0000-0000-000020070000}"/>
    <cellStyle name="Currency 3 2 8 2 3" xfId="323" xr:uid="{00000000-0005-0000-0000-000021070000}"/>
    <cellStyle name="Currency 3 2 8 2 3 2" xfId="764" xr:uid="{00000000-0005-0000-0000-000022070000}"/>
    <cellStyle name="Currency 3 2 8 2 3 2 2" xfId="3412" xr:uid="{00000000-0005-0000-0000-000023070000}"/>
    <cellStyle name="Currency 3 2 8 2 3 2 2 2" xfId="4942" xr:uid="{00000000-0005-0000-0000-000024070000}"/>
    <cellStyle name="Currency 3 2 8 2 3 2 3" xfId="2530" xr:uid="{00000000-0005-0000-0000-000025070000}"/>
    <cellStyle name="Currency 3 2 8 2 3 2 3 2" xfId="4943" xr:uid="{00000000-0005-0000-0000-000026070000}"/>
    <cellStyle name="Currency 3 2 8 2 3 2 4" xfId="4294" xr:uid="{00000000-0005-0000-0000-000027070000}"/>
    <cellStyle name="Currency 3 2 8 2 3 2 5" xfId="1647" xr:uid="{00000000-0005-0000-0000-000028070000}"/>
    <cellStyle name="Currency 3 2 8 2 3 3" xfId="2971" xr:uid="{00000000-0005-0000-0000-000029070000}"/>
    <cellStyle name="Currency 3 2 8 2 3 3 2" xfId="4944" xr:uid="{00000000-0005-0000-0000-00002A070000}"/>
    <cellStyle name="Currency 3 2 8 2 3 4" xfId="2089" xr:uid="{00000000-0005-0000-0000-00002B070000}"/>
    <cellStyle name="Currency 3 2 8 2 3 4 2" xfId="4945" xr:uid="{00000000-0005-0000-0000-00002C070000}"/>
    <cellStyle name="Currency 3 2 8 2 3 5" xfId="3853" xr:uid="{00000000-0005-0000-0000-00002D070000}"/>
    <cellStyle name="Currency 3 2 8 2 3 6" xfId="1206" xr:uid="{00000000-0005-0000-0000-00002E070000}"/>
    <cellStyle name="Currency 3 2 8 2 4" xfId="544" xr:uid="{00000000-0005-0000-0000-00002F070000}"/>
    <cellStyle name="Currency 3 2 8 2 4 2" xfId="3192" xr:uid="{00000000-0005-0000-0000-000030070000}"/>
    <cellStyle name="Currency 3 2 8 2 4 2 2" xfId="4946" xr:uid="{00000000-0005-0000-0000-000031070000}"/>
    <cellStyle name="Currency 3 2 8 2 4 3" xfId="2310" xr:uid="{00000000-0005-0000-0000-000032070000}"/>
    <cellStyle name="Currency 3 2 8 2 4 3 2" xfId="4947" xr:uid="{00000000-0005-0000-0000-000033070000}"/>
    <cellStyle name="Currency 3 2 8 2 4 4" xfId="4074" xr:uid="{00000000-0005-0000-0000-000034070000}"/>
    <cellStyle name="Currency 3 2 8 2 4 5" xfId="1427" xr:uid="{00000000-0005-0000-0000-000035070000}"/>
    <cellStyle name="Currency 3 2 8 2 5" xfId="2751" xr:uid="{00000000-0005-0000-0000-000036070000}"/>
    <cellStyle name="Currency 3 2 8 2 5 2" xfId="4948" xr:uid="{00000000-0005-0000-0000-000037070000}"/>
    <cellStyle name="Currency 3 2 8 2 6" xfId="1869" xr:uid="{00000000-0005-0000-0000-000038070000}"/>
    <cellStyle name="Currency 3 2 8 2 6 2" xfId="4949" xr:uid="{00000000-0005-0000-0000-000039070000}"/>
    <cellStyle name="Currency 3 2 8 2 7" xfId="3633" xr:uid="{00000000-0005-0000-0000-00003A070000}"/>
    <cellStyle name="Currency 3 2 8 2 8" xfId="986" xr:uid="{00000000-0005-0000-0000-00003B070000}"/>
    <cellStyle name="Currency 3 2 8 3" xfId="147" xr:uid="{00000000-0005-0000-0000-00003C070000}"/>
    <cellStyle name="Currency 3 2 8 3 2" xfId="367" xr:uid="{00000000-0005-0000-0000-00003D070000}"/>
    <cellStyle name="Currency 3 2 8 3 2 2" xfId="808" xr:uid="{00000000-0005-0000-0000-00003E070000}"/>
    <cellStyle name="Currency 3 2 8 3 2 2 2" xfId="3456" xr:uid="{00000000-0005-0000-0000-00003F070000}"/>
    <cellStyle name="Currency 3 2 8 3 2 2 2 2" xfId="4950" xr:uid="{00000000-0005-0000-0000-000040070000}"/>
    <cellStyle name="Currency 3 2 8 3 2 2 3" xfId="2574" xr:uid="{00000000-0005-0000-0000-000041070000}"/>
    <cellStyle name="Currency 3 2 8 3 2 2 3 2" xfId="4951" xr:uid="{00000000-0005-0000-0000-000042070000}"/>
    <cellStyle name="Currency 3 2 8 3 2 2 4" xfId="4338" xr:uid="{00000000-0005-0000-0000-000043070000}"/>
    <cellStyle name="Currency 3 2 8 3 2 2 5" xfId="1691" xr:uid="{00000000-0005-0000-0000-000044070000}"/>
    <cellStyle name="Currency 3 2 8 3 2 3" xfId="3015" xr:uid="{00000000-0005-0000-0000-000045070000}"/>
    <cellStyle name="Currency 3 2 8 3 2 3 2" xfId="4952" xr:uid="{00000000-0005-0000-0000-000046070000}"/>
    <cellStyle name="Currency 3 2 8 3 2 4" xfId="2133" xr:uid="{00000000-0005-0000-0000-000047070000}"/>
    <cellStyle name="Currency 3 2 8 3 2 4 2" xfId="4953" xr:uid="{00000000-0005-0000-0000-000048070000}"/>
    <cellStyle name="Currency 3 2 8 3 2 5" xfId="3897" xr:uid="{00000000-0005-0000-0000-000049070000}"/>
    <cellStyle name="Currency 3 2 8 3 2 6" xfId="1250" xr:uid="{00000000-0005-0000-0000-00004A070000}"/>
    <cellStyle name="Currency 3 2 8 3 3" xfId="588" xr:uid="{00000000-0005-0000-0000-00004B070000}"/>
    <cellStyle name="Currency 3 2 8 3 3 2" xfId="3236" xr:uid="{00000000-0005-0000-0000-00004C070000}"/>
    <cellStyle name="Currency 3 2 8 3 3 2 2" xfId="4954" xr:uid="{00000000-0005-0000-0000-00004D070000}"/>
    <cellStyle name="Currency 3 2 8 3 3 3" xfId="2354" xr:uid="{00000000-0005-0000-0000-00004E070000}"/>
    <cellStyle name="Currency 3 2 8 3 3 3 2" xfId="4955" xr:uid="{00000000-0005-0000-0000-00004F070000}"/>
    <cellStyle name="Currency 3 2 8 3 3 4" xfId="4118" xr:uid="{00000000-0005-0000-0000-000050070000}"/>
    <cellStyle name="Currency 3 2 8 3 3 5" xfId="1471" xr:uid="{00000000-0005-0000-0000-000051070000}"/>
    <cellStyle name="Currency 3 2 8 3 4" xfId="2795" xr:uid="{00000000-0005-0000-0000-000052070000}"/>
    <cellStyle name="Currency 3 2 8 3 4 2" xfId="4956" xr:uid="{00000000-0005-0000-0000-000053070000}"/>
    <cellStyle name="Currency 3 2 8 3 5" xfId="1913" xr:uid="{00000000-0005-0000-0000-000054070000}"/>
    <cellStyle name="Currency 3 2 8 3 5 2" xfId="4957" xr:uid="{00000000-0005-0000-0000-000055070000}"/>
    <cellStyle name="Currency 3 2 8 3 6" xfId="3677" xr:uid="{00000000-0005-0000-0000-000056070000}"/>
    <cellStyle name="Currency 3 2 8 3 7" xfId="1030" xr:uid="{00000000-0005-0000-0000-000057070000}"/>
    <cellStyle name="Currency 3 2 8 4" xfId="257" xr:uid="{00000000-0005-0000-0000-000058070000}"/>
    <cellStyle name="Currency 3 2 8 4 2" xfId="698" xr:uid="{00000000-0005-0000-0000-000059070000}"/>
    <cellStyle name="Currency 3 2 8 4 2 2" xfId="3346" xr:uid="{00000000-0005-0000-0000-00005A070000}"/>
    <cellStyle name="Currency 3 2 8 4 2 2 2" xfId="4958" xr:uid="{00000000-0005-0000-0000-00005B070000}"/>
    <cellStyle name="Currency 3 2 8 4 2 3" xfId="2464" xr:uid="{00000000-0005-0000-0000-00005C070000}"/>
    <cellStyle name="Currency 3 2 8 4 2 3 2" xfId="4959" xr:uid="{00000000-0005-0000-0000-00005D070000}"/>
    <cellStyle name="Currency 3 2 8 4 2 4" xfId="4228" xr:uid="{00000000-0005-0000-0000-00005E070000}"/>
    <cellStyle name="Currency 3 2 8 4 2 5" xfId="1581" xr:uid="{00000000-0005-0000-0000-00005F070000}"/>
    <cellStyle name="Currency 3 2 8 4 3" xfId="2905" xr:uid="{00000000-0005-0000-0000-000060070000}"/>
    <cellStyle name="Currency 3 2 8 4 3 2" xfId="4960" xr:uid="{00000000-0005-0000-0000-000061070000}"/>
    <cellStyle name="Currency 3 2 8 4 4" xfId="2023" xr:uid="{00000000-0005-0000-0000-000062070000}"/>
    <cellStyle name="Currency 3 2 8 4 4 2" xfId="4961" xr:uid="{00000000-0005-0000-0000-000063070000}"/>
    <cellStyle name="Currency 3 2 8 4 5" xfId="3787" xr:uid="{00000000-0005-0000-0000-000064070000}"/>
    <cellStyle name="Currency 3 2 8 4 6" xfId="1140" xr:uid="{00000000-0005-0000-0000-000065070000}"/>
    <cellStyle name="Currency 3 2 8 5" xfId="478" xr:uid="{00000000-0005-0000-0000-000066070000}"/>
    <cellStyle name="Currency 3 2 8 5 2" xfId="3126" xr:uid="{00000000-0005-0000-0000-000067070000}"/>
    <cellStyle name="Currency 3 2 8 5 2 2" xfId="4962" xr:uid="{00000000-0005-0000-0000-000068070000}"/>
    <cellStyle name="Currency 3 2 8 5 3" xfId="2244" xr:uid="{00000000-0005-0000-0000-000069070000}"/>
    <cellStyle name="Currency 3 2 8 5 3 2" xfId="4963" xr:uid="{00000000-0005-0000-0000-00006A070000}"/>
    <cellStyle name="Currency 3 2 8 5 4" xfId="4008" xr:uid="{00000000-0005-0000-0000-00006B070000}"/>
    <cellStyle name="Currency 3 2 8 5 5" xfId="1361" xr:uid="{00000000-0005-0000-0000-00006C070000}"/>
    <cellStyle name="Currency 3 2 8 6" xfId="2685" xr:uid="{00000000-0005-0000-0000-00006D070000}"/>
    <cellStyle name="Currency 3 2 8 6 2" xfId="4964" xr:uid="{00000000-0005-0000-0000-00006E070000}"/>
    <cellStyle name="Currency 3 2 8 7" xfId="1803" xr:uid="{00000000-0005-0000-0000-00006F070000}"/>
    <cellStyle name="Currency 3 2 8 7 2" xfId="4965" xr:uid="{00000000-0005-0000-0000-000070070000}"/>
    <cellStyle name="Currency 3 2 8 8" xfId="3567" xr:uid="{00000000-0005-0000-0000-000071070000}"/>
    <cellStyle name="Currency 3 2 8 9" xfId="920" xr:uid="{00000000-0005-0000-0000-000072070000}"/>
    <cellStyle name="Currency 3 2 9" xfId="43" xr:uid="{00000000-0005-0000-0000-000073070000}"/>
    <cellStyle name="Currency 3 2 9 2" xfId="153" xr:uid="{00000000-0005-0000-0000-000074070000}"/>
    <cellStyle name="Currency 3 2 9 2 2" xfId="373" xr:uid="{00000000-0005-0000-0000-000075070000}"/>
    <cellStyle name="Currency 3 2 9 2 2 2" xfId="814" xr:uid="{00000000-0005-0000-0000-000076070000}"/>
    <cellStyle name="Currency 3 2 9 2 2 2 2" xfId="3462" xr:uid="{00000000-0005-0000-0000-000077070000}"/>
    <cellStyle name="Currency 3 2 9 2 2 2 2 2" xfId="4966" xr:uid="{00000000-0005-0000-0000-000078070000}"/>
    <cellStyle name="Currency 3 2 9 2 2 2 3" xfId="2580" xr:uid="{00000000-0005-0000-0000-000079070000}"/>
    <cellStyle name="Currency 3 2 9 2 2 2 3 2" xfId="4967" xr:uid="{00000000-0005-0000-0000-00007A070000}"/>
    <cellStyle name="Currency 3 2 9 2 2 2 4" xfId="4344" xr:uid="{00000000-0005-0000-0000-00007B070000}"/>
    <cellStyle name="Currency 3 2 9 2 2 2 5" xfId="1697" xr:uid="{00000000-0005-0000-0000-00007C070000}"/>
    <cellStyle name="Currency 3 2 9 2 2 3" xfId="3021" xr:uid="{00000000-0005-0000-0000-00007D070000}"/>
    <cellStyle name="Currency 3 2 9 2 2 3 2" xfId="4968" xr:uid="{00000000-0005-0000-0000-00007E070000}"/>
    <cellStyle name="Currency 3 2 9 2 2 4" xfId="2139" xr:uid="{00000000-0005-0000-0000-00007F070000}"/>
    <cellStyle name="Currency 3 2 9 2 2 4 2" xfId="4969" xr:uid="{00000000-0005-0000-0000-000080070000}"/>
    <cellStyle name="Currency 3 2 9 2 2 5" xfId="3903" xr:uid="{00000000-0005-0000-0000-000081070000}"/>
    <cellStyle name="Currency 3 2 9 2 2 6" xfId="1256" xr:uid="{00000000-0005-0000-0000-000082070000}"/>
    <cellStyle name="Currency 3 2 9 2 3" xfId="594" xr:uid="{00000000-0005-0000-0000-000083070000}"/>
    <cellStyle name="Currency 3 2 9 2 3 2" xfId="3242" xr:uid="{00000000-0005-0000-0000-000084070000}"/>
    <cellStyle name="Currency 3 2 9 2 3 2 2" xfId="4970" xr:uid="{00000000-0005-0000-0000-000085070000}"/>
    <cellStyle name="Currency 3 2 9 2 3 3" xfId="2360" xr:uid="{00000000-0005-0000-0000-000086070000}"/>
    <cellStyle name="Currency 3 2 9 2 3 3 2" xfId="4971" xr:uid="{00000000-0005-0000-0000-000087070000}"/>
    <cellStyle name="Currency 3 2 9 2 3 4" xfId="4124" xr:uid="{00000000-0005-0000-0000-000088070000}"/>
    <cellStyle name="Currency 3 2 9 2 3 5" xfId="1477" xr:uid="{00000000-0005-0000-0000-000089070000}"/>
    <cellStyle name="Currency 3 2 9 2 4" xfId="2801" xr:uid="{00000000-0005-0000-0000-00008A070000}"/>
    <cellStyle name="Currency 3 2 9 2 4 2" xfId="4972" xr:uid="{00000000-0005-0000-0000-00008B070000}"/>
    <cellStyle name="Currency 3 2 9 2 5" xfId="1919" xr:uid="{00000000-0005-0000-0000-00008C070000}"/>
    <cellStyle name="Currency 3 2 9 2 5 2" xfId="4973" xr:uid="{00000000-0005-0000-0000-00008D070000}"/>
    <cellStyle name="Currency 3 2 9 2 6" xfId="3683" xr:uid="{00000000-0005-0000-0000-00008E070000}"/>
    <cellStyle name="Currency 3 2 9 2 7" xfId="1036" xr:uid="{00000000-0005-0000-0000-00008F070000}"/>
    <cellStyle name="Currency 3 2 9 3" xfId="263" xr:uid="{00000000-0005-0000-0000-000090070000}"/>
    <cellStyle name="Currency 3 2 9 3 2" xfId="704" xr:uid="{00000000-0005-0000-0000-000091070000}"/>
    <cellStyle name="Currency 3 2 9 3 2 2" xfId="3352" xr:uid="{00000000-0005-0000-0000-000092070000}"/>
    <cellStyle name="Currency 3 2 9 3 2 2 2" xfId="4974" xr:uid="{00000000-0005-0000-0000-000093070000}"/>
    <cellStyle name="Currency 3 2 9 3 2 3" xfId="2470" xr:uid="{00000000-0005-0000-0000-000094070000}"/>
    <cellStyle name="Currency 3 2 9 3 2 3 2" xfId="4975" xr:uid="{00000000-0005-0000-0000-000095070000}"/>
    <cellStyle name="Currency 3 2 9 3 2 4" xfId="4234" xr:uid="{00000000-0005-0000-0000-000096070000}"/>
    <cellStyle name="Currency 3 2 9 3 2 5" xfId="1587" xr:uid="{00000000-0005-0000-0000-000097070000}"/>
    <cellStyle name="Currency 3 2 9 3 3" xfId="2911" xr:uid="{00000000-0005-0000-0000-000098070000}"/>
    <cellStyle name="Currency 3 2 9 3 3 2" xfId="4976" xr:uid="{00000000-0005-0000-0000-000099070000}"/>
    <cellStyle name="Currency 3 2 9 3 4" xfId="2029" xr:uid="{00000000-0005-0000-0000-00009A070000}"/>
    <cellStyle name="Currency 3 2 9 3 4 2" xfId="4977" xr:uid="{00000000-0005-0000-0000-00009B070000}"/>
    <cellStyle name="Currency 3 2 9 3 5" xfId="3793" xr:uid="{00000000-0005-0000-0000-00009C070000}"/>
    <cellStyle name="Currency 3 2 9 3 6" xfId="1146" xr:uid="{00000000-0005-0000-0000-00009D070000}"/>
    <cellStyle name="Currency 3 2 9 4" xfId="484" xr:uid="{00000000-0005-0000-0000-00009E070000}"/>
    <cellStyle name="Currency 3 2 9 4 2" xfId="3132" xr:uid="{00000000-0005-0000-0000-00009F070000}"/>
    <cellStyle name="Currency 3 2 9 4 2 2" xfId="4978" xr:uid="{00000000-0005-0000-0000-0000A0070000}"/>
    <cellStyle name="Currency 3 2 9 4 3" xfId="2250" xr:uid="{00000000-0005-0000-0000-0000A1070000}"/>
    <cellStyle name="Currency 3 2 9 4 3 2" xfId="4979" xr:uid="{00000000-0005-0000-0000-0000A2070000}"/>
    <cellStyle name="Currency 3 2 9 4 4" xfId="4014" xr:uid="{00000000-0005-0000-0000-0000A3070000}"/>
    <cellStyle name="Currency 3 2 9 4 5" xfId="1367" xr:uid="{00000000-0005-0000-0000-0000A4070000}"/>
    <cellStyle name="Currency 3 2 9 5" xfId="2691" xr:uid="{00000000-0005-0000-0000-0000A5070000}"/>
    <cellStyle name="Currency 3 2 9 5 2" xfId="4980" xr:uid="{00000000-0005-0000-0000-0000A6070000}"/>
    <cellStyle name="Currency 3 2 9 6" xfId="1809" xr:uid="{00000000-0005-0000-0000-0000A7070000}"/>
    <cellStyle name="Currency 3 2 9 6 2" xfId="4981" xr:uid="{00000000-0005-0000-0000-0000A8070000}"/>
    <cellStyle name="Currency 3 2 9 7" xfId="3573" xr:uid="{00000000-0005-0000-0000-0000A9070000}"/>
    <cellStyle name="Currency 3 2 9 8" xfId="926" xr:uid="{00000000-0005-0000-0000-0000AA070000}"/>
    <cellStyle name="Currency 4" xfId="113" xr:uid="{00000000-0005-0000-0000-0000AB070000}"/>
    <cellStyle name="Currency 4 2" xfId="223" xr:uid="{00000000-0005-0000-0000-0000AC070000}"/>
    <cellStyle name="Currency 4 2 2" xfId="443" xr:uid="{00000000-0005-0000-0000-0000AD070000}"/>
    <cellStyle name="Currency 4 2 2 2" xfId="884" xr:uid="{00000000-0005-0000-0000-0000AE070000}"/>
    <cellStyle name="Currency 4 2 2 2 2" xfId="3532" xr:uid="{00000000-0005-0000-0000-0000AF070000}"/>
    <cellStyle name="Currency 4 2 2 2 2 2" xfId="4982" xr:uid="{00000000-0005-0000-0000-0000B0070000}"/>
    <cellStyle name="Currency 4 2 2 2 3" xfId="2650" xr:uid="{00000000-0005-0000-0000-0000B1070000}"/>
    <cellStyle name="Currency 4 2 2 2 3 2" xfId="4983" xr:uid="{00000000-0005-0000-0000-0000B2070000}"/>
    <cellStyle name="Currency 4 2 2 2 4" xfId="4414" xr:uid="{00000000-0005-0000-0000-0000B3070000}"/>
    <cellStyle name="Currency 4 2 2 2 5" xfId="1767" xr:uid="{00000000-0005-0000-0000-0000B4070000}"/>
    <cellStyle name="Currency 4 2 2 3" xfId="3091" xr:uid="{00000000-0005-0000-0000-0000B5070000}"/>
    <cellStyle name="Currency 4 2 2 3 2" xfId="4984" xr:uid="{00000000-0005-0000-0000-0000B6070000}"/>
    <cellStyle name="Currency 4 2 2 4" xfId="2209" xr:uid="{00000000-0005-0000-0000-0000B7070000}"/>
    <cellStyle name="Currency 4 2 2 4 2" xfId="4985" xr:uid="{00000000-0005-0000-0000-0000B8070000}"/>
    <cellStyle name="Currency 4 2 2 5" xfId="3973" xr:uid="{00000000-0005-0000-0000-0000B9070000}"/>
    <cellStyle name="Currency 4 2 2 6" xfId="1326" xr:uid="{00000000-0005-0000-0000-0000BA070000}"/>
    <cellStyle name="Currency 4 2 3" xfId="664" xr:uid="{00000000-0005-0000-0000-0000BB070000}"/>
    <cellStyle name="Currency 4 2 3 2" xfId="3312" xr:uid="{00000000-0005-0000-0000-0000BC070000}"/>
    <cellStyle name="Currency 4 2 3 2 2" xfId="4986" xr:uid="{00000000-0005-0000-0000-0000BD070000}"/>
    <cellStyle name="Currency 4 2 3 3" xfId="2430" xr:uid="{00000000-0005-0000-0000-0000BE070000}"/>
    <cellStyle name="Currency 4 2 3 3 2" xfId="4987" xr:uid="{00000000-0005-0000-0000-0000BF070000}"/>
    <cellStyle name="Currency 4 2 3 4" xfId="4194" xr:uid="{00000000-0005-0000-0000-0000C0070000}"/>
    <cellStyle name="Currency 4 2 3 5" xfId="1547" xr:uid="{00000000-0005-0000-0000-0000C1070000}"/>
    <cellStyle name="Currency 4 2 4" xfId="2871" xr:uid="{00000000-0005-0000-0000-0000C2070000}"/>
    <cellStyle name="Currency 4 2 4 2" xfId="4988" xr:uid="{00000000-0005-0000-0000-0000C3070000}"/>
    <cellStyle name="Currency 4 2 5" xfId="1989" xr:uid="{00000000-0005-0000-0000-0000C4070000}"/>
    <cellStyle name="Currency 4 2 5 2" xfId="4989" xr:uid="{00000000-0005-0000-0000-0000C5070000}"/>
    <cellStyle name="Currency 4 2 6" xfId="3753" xr:uid="{00000000-0005-0000-0000-0000C6070000}"/>
    <cellStyle name="Currency 4 2 7" xfId="1106" xr:uid="{00000000-0005-0000-0000-0000C7070000}"/>
    <cellStyle name="Currency 4 3" xfId="333" xr:uid="{00000000-0005-0000-0000-0000C8070000}"/>
    <cellStyle name="Currency 4 3 2" xfId="774" xr:uid="{00000000-0005-0000-0000-0000C9070000}"/>
    <cellStyle name="Currency 4 3 2 2" xfId="3422" xr:uid="{00000000-0005-0000-0000-0000CA070000}"/>
    <cellStyle name="Currency 4 3 2 2 2" xfId="4990" xr:uid="{00000000-0005-0000-0000-0000CB070000}"/>
    <cellStyle name="Currency 4 3 2 3" xfId="2540" xr:uid="{00000000-0005-0000-0000-0000CC070000}"/>
    <cellStyle name="Currency 4 3 2 3 2" xfId="4991" xr:uid="{00000000-0005-0000-0000-0000CD070000}"/>
    <cellStyle name="Currency 4 3 2 4" xfId="4304" xr:uid="{00000000-0005-0000-0000-0000CE070000}"/>
    <cellStyle name="Currency 4 3 2 5" xfId="1657" xr:uid="{00000000-0005-0000-0000-0000CF070000}"/>
    <cellStyle name="Currency 4 3 3" xfId="2981" xr:uid="{00000000-0005-0000-0000-0000D0070000}"/>
    <cellStyle name="Currency 4 3 3 2" xfId="4992" xr:uid="{00000000-0005-0000-0000-0000D1070000}"/>
    <cellStyle name="Currency 4 3 4" xfId="2099" xr:uid="{00000000-0005-0000-0000-0000D2070000}"/>
    <cellStyle name="Currency 4 3 4 2" xfId="4993" xr:uid="{00000000-0005-0000-0000-0000D3070000}"/>
    <cellStyle name="Currency 4 3 5" xfId="3863" xr:uid="{00000000-0005-0000-0000-0000D4070000}"/>
    <cellStyle name="Currency 4 3 6" xfId="1216" xr:uid="{00000000-0005-0000-0000-0000D5070000}"/>
    <cellStyle name="Currency 4 4" xfId="554" xr:uid="{00000000-0005-0000-0000-0000D6070000}"/>
    <cellStyle name="Currency 4 4 2" xfId="3202" xr:uid="{00000000-0005-0000-0000-0000D7070000}"/>
    <cellStyle name="Currency 4 4 2 2" xfId="4994" xr:uid="{00000000-0005-0000-0000-0000D8070000}"/>
    <cellStyle name="Currency 4 4 3" xfId="2320" xr:uid="{00000000-0005-0000-0000-0000D9070000}"/>
    <cellStyle name="Currency 4 4 3 2" xfId="4995" xr:uid="{00000000-0005-0000-0000-0000DA070000}"/>
    <cellStyle name="Currency 4 4 4" xfId="4084" xr:uid="{00000000-0005-0000-0000-0000DB070000}"/>
    <cellStyle name="Currency 4 4 5" xfId="1437" xr:uid="{00000000-0005-0000-0000-0000DC070000}"/>
    <cellStyle name="Currency 4 5" xfId="2761" xr:uid="{00000000-0005-0000-0000-0000DD070000}"/>
    <cellStyle name="Currency 4 5 2" xfId="4996" xr:uid="{00000000-0005-0000-0000-0000DE070000}"/>
    <cellStyle name="Currency 4 6" xfId="1879" xr:uid="{00000000-0005-0000-0000-0000DF070000}"/>
    <cellStyle name="Currency 4 6 2" xfId="4997" xr:uid="{00000000-0005-0000-0000-0000E0070000}"/>
    <cellStyle name="Currency 4 7" xfId="3643" xr:uid="{00000000-0005-0000-0000-0000E1070000}"/>
    <cellStyle name="Currency 4 8" xfId="996" xr:uid="{00000000-0005-0000-0000-0000E2070000}"/>
    <cellStyle name="Currency 5" xfId="114" xr:uid="{00000000-0005-0000-0000-0000E3070000}"/>
    <cellStyle name="Currency 5 2" xfId="224" xr:uid="{00000000-0005-0000-0000-0000E4070000}"/>
    <cellStyle name="Currency 5 2 2" xfId="444" xr:uid="{00000000-0005-0000-0000-0000E5070000}"/>
    <cellStyle name="Currency 5 2 2 2" xfId="885" xr:uid="{00000000-0005-0000-0000-0000E6070000}"/>
    <cellStyle name="Currency 5 2 2 2 2" xfId="3533" xr:uid="{00000000-0005-0000-0000-0000E7070000}"/>
    <cellStyle name="Currency 5 2 2 2 2 2" xfId="4998" xr:uid="{00000000-0005-0000-0000-0000E8070000}"/>
    <cellStyle name="Currency 5 2 2 2 3" xfId="2651" xr:uid="{00000000-0005-0000-0000-0000E9070000}"/>
    <cellStyle name="Currency 5 2 2 2 3 2" xfId="4999" xr:uid="{00000000-0005-0000-0000-0000EA070000}"/>
    <cellStyle name="Currency 5 2 2 2 4" xfId="4415" xr:uid="{00000000-0005-0000-0000-0000EB070000}"/>
    <cellStyle name="Currency 5 2 2 2 5" xfId="1768" xr:uid="{00000000-0005-0000-0000-0000EC070000}"/>
    <cellStyle name="Currency 5 2 2 3" xfId="3092" xr:uid="{00000000-0005-0000-0000-0000ED070000}"/>
    <cellStyle name="Currency 5 2 2 3 2" xfId="5000" xr:uid="{00000000-0005-0000-0000-0000EE070000}"/>
    <cellStyle name="Currency 5 2 2 4" xfId="2210" xr:uid="{00000000-0005-0000-0000-0000EF070000}"/>
    <cellStyle name="Currency 5 2 2 4 2" xfId="5001" xr:uid="{00000000-0005-0000-0000-0000F0070000}"/>
    <cellStyle name="Currency 5 2 2 5" xfId="3974" xr:uid="{00000000-0005-0000-0000-0000F1070000}"/>
    <cellStyle name="Currency 5 2 2 6" xfId="1327" xr:uid="{00000000-0005-0000-0000-0000F2070000}"/>
    <cellStyle name="Currency 5 2 3" xfId="665" xr:uid="{00000000-0005-0000-0000-0000F3070000}"/>
    <cellStyle name="Currency 5 2 3 2" xfId="3313" xr:uid="{00000000-0005-0000-0000-0000F4070000}"/>
    <cellStyle name="Currency 5 2 3 2 2" xfId="5002" xr:uid="{00000000-0005-0000-0000-0000F5070000}"/>
    <cellStyle name="Currency 5 2 3 3" xfId="2431" xr:uid="{00000000-0005-0000-0000-0000F6070000}"/>
    <cellStyle name="Currency 5 2 3 3 2" xfId="5003" xr:uid="{00000000-0005-0000-0000-0000F7070000}"/>
    <cellStyle name="Currency 5 2 3 4" xfId="4195" xr:uid="{00000000-0005-0000-0000-0000F8070000}"/>
    <cellStyle name="Currency 5 2 3 5" xfId="1548" xr:uid="{00000000-0005-0000-0000-0000F9070000}"/>
    <cellStyle name="Currency 5 2 4" xfId="2872" xr:uid="{00000000-0005-0000-0000-0000FA070000}"/>
    <cellStyle name="Currency 5 2 4 2" xfId="5004" xr:uid="{00000000-0005-0000-0000-0000FB070000}"/>
    <cellStyle name="Currency 5 2 5" xfId="1990" xr:uid="{00000000-0005-0000-0000-0000FC070000}"/>
    <cellStyle name="Currency 5 2 5 2" xfId="5005" xr:uid="{00000000-0005-0000-0000-0000FD070000}"/>
    <cellStyle name="Currency 5 2 6" xfId="3754" xr:uid="{00000000-0005-0000-0000-0000FE070000}"/>
    <cellStyle name="Currency 5 2 7" xfId="1107" xr:uid="{00000000-0005-0000-0000-0000FF070000}"/>
    <cellStyle name="Currency 5 3" xfId="334" xr:uid="{00000000-0005-0000-0000-000000080000}"/>
    <cellStyle name="Currency 5 3 2" xfId="775" xr:uid="{00000000-0005-0000-0000-000001080000}"/>
    <cellStyle name="Currency 5 3 2 2" xfId="3423" xr:uid="{00000000-0005-0000-0000-000002080000}"/>
    <cellStyle name="Currency 5 3 2 2 2" xfId="5006" xr:uid="{00000000-0005-0000-0000-000003080000}"/>
    <cellStyle name="Currency 5 3 2 3" xfId="2541" xr:uid="{00000000-0005-0000-0000-000004080000}"/>
    <cellStyle name="Currency 5 3 2 3 2" xfId="5007" xr:uid="{00000000-0005-0000-0000-000005080000}"/>
    <cellStyle name="Currency 5 3 2 4" xfId="4305" xr:uid="{00000000-0005-0000-0000-000006080000}"/>
    <cellStyle name="Currency 5 3 2 5" xfId="1658" xr:uid="{00000000-0005-0000-0000-000007080000}"/>
    <cellStyle name="Currency 5 3 3" xfId="2982" xr:uid="{00000000-0005-0000-0000-000008080000}"/>
    <cellStyle name="Currency 5 3 3 2" xfId="5008" xr:uid="{00000000-0005-0000-0000-000009080000}"/>
    <cellStyle name="Currency 5 3 4" xfId="2100" xr:uid="{00000000-0005-0000-0000-00000A080000}"/>
    <cellStyle name="Currency 5 3 4 2" xfId="5009" xr:uid="{00000000-0005-0000-0000-00000B080000}"/>
    <cellStyle name="Currency 5 3 5" xfId="3864" xr:uid="{00000000-0005-0000-0000-00000C080000}"/>
    <cellStyle name="Currency 5 3 6" xfId="1217" xr:uid="{00000000-0005-0000-0000-00000D080000}"/>
    <cellStyle name="Currency 5 4" xfId="555" xr:uid="{00000000-0005-0000-0000-00000E080000}"/>
    <cellStyle name="Currency 5 4 2" xfId="3203" xr:uid="{00000000-0005-0000-0000-00000F080000}"/>
    <cellStyle name="Currency 5 4 2 2" xfId="5010" xr:uid="{00000000-0005-0000-0000-000010080000}"/>
    <cellStyle name="Currency 5 4 3" xfId="2321" xr:uid="{00000000-0005-0000-0000-000011080000}"/>
    <cellStyle name="Currency 5 4 3 2" xfId="5011" xr:uid="{00000000-0005-0000-0000-000012080000}"/>
    <cellStyle name="Currency 5 4 4" xfId="4085" xr:uid="{00000000-0005-0000-0000-000013080000}"/>
    <cellStyle name="Currency 5 4 5" xfId="1438" xr:uid="{00000000-0005-0000-0000-000014080000}"/>
    <cellStyle name="Currency 5 5" xfId="2762" xr:uid="{00000000-0005-0000-0000-000015080000}"/>
    <cellStyle name="Currency 5 5 2" xfId="5012" xr:uid="{00000000-0005-0000-0000-000016080000}"/>
    <cellStyle name="Currency 5 6" xfId="1880" xr:uid="{00000000-0005-0000-0000-000017080000}"/>
    <cellStyle name="Currency 5 6 2" xfId="5013" xr:uid="{00000000-0005-0000-0000-000018080000}"/>
    <cellStyle name="Currency 5 7" xfId="3644" xr:uid="{00000000-0005-0000-0000-000019080000}"/>
    <cellStyle name="Currency 5 8" xfId="997" xr:uid="{00000000-0005-0000-0000-00001A080000}"/>
    <cellStyle name="Currency 6" xfId="115" xr:uid="{00000000-0005-0000-0000-00001B080000}"/>
    <cellStyle name="Currency 6 2" xfId="225" xr:uid="{00000000-0005-0000-0000-00001C080000}"/>
    <cellStyle name="Currency 6 2 2" xfId="445" xr:uid="{00000000-0005-0000-0000-00001D080000}"/>
    <cellStyle name="Currency 6 2 2 2" xfId="886" xr:uid="{00000000-0005-0000-0000-00001E080000}"/>
    <cellStyle name="Currency 6 2 2 2 2" xfId="3534" xr:uid="{00000000-0005-0000-0000-00001F080000}"/>
    <cellStyle name="Currency 6 2 2 2 2 2" xfId="5014" xr:uid="{00000000-0005-0000-0000-000020080000}"/>
    <cellStyle name="Currency 6 2 2 2 3" xfId="2652" xr:uid="{00000000-0005-0000-0000-000021080000}"/>
    <cellStyle name="Currency 6 2 2 2 3 2" xfId="5015" xr:uid="{00000000-0005-0000-0000-000022080000}"/>
    <cellStyle name="Currency 6 2 2 2 4" xfId="4416" xr:uid="{00000000-0005-0000-0000-000023080000}"/>
    <cellStyle name="Currency 6 2 2 2 5" xfId="1769" xr:uid="{00000000-0005-0000-0000-000024080000}"/>
    <cellStyle name="Currency 6 2 2 3" xfId="3093" xr:uid="{00000000-0005-0000-0000-000025080000}"/>
    <cellStyle name="Currency 6 2 2 3 2" xfId="5016" xr:uid="{00000000-0005-0000-0000-000026080000}"/>
    <cellStyle name="Currency 6 2 2 4" xfId="2211" xr:uid="{00000000-0005-0000-0000-000027080000}"/>
    <cellStyle name="Currency 6 2 2 4 2" xfId="5017" xr:uid="{00000000-0005-0000-0000-000028080000}"/>
    <cellStyle name="Currency 6 2 2 5" xfId="3975" xr:uid="{00000000-0005-0000-0000-000029080000}"/>
    <cellStyle name="Currency 6 2 2 6" xfId="1328" xr:uid="{00000000-0005-0000-0000-00002A080000}"/>
    <cellStyle name="Currency 6 2 3" xfId="666" xr:uid="{00000000-0005-0000-0000-00002B080000}"/>
    <cellStyle name="Currency 6 2 3 2" xfId="3314" xr:uid="{00000000-0005-0000-0000-00002C080000}"/>
    <cellStyle name="Currency 6 2 3 2 2" xfId="5018" xr:uid="{00000000-0005-0000-0000-00002D080000}"/>
    <cellStyle name="Currency 6 2 3 3" xfId="2432" xr:uid="{00000000-0005-0000-0000-00002E080000}"/>
    <cellStyle name="Currency 6 2 3 3 2" xfId="5019" xr:uid="{00000000-0005-0000-0000-00002F080000}"/>
    <cellStyle name="Currency 6 2 3 4" xfId="4196" xr:uid="{00000000-0005-0000-0000-000030080000}"/>
    <cellStyle name="Currency 6 2 3 5" xfId="1549" xr:uid="{00000000-0005-0000-0000-000031080000}"/>
    <cellStyle name="Currency 6 2 4" xfId="2873" xr:uid="{00000000-0005-0000-0000-000032080000}"/>
    <cellStyle name="Currency 6 2 4 2" xfId="5020" xr:uid="{00000000-0005-0000-0000-000033080000}"/>
    <cellStyle name="Currency 6 2 5" xfId="1991" xr:uid="{00000000-0005-0000-0000-000034080000}"/>
    <cellStyle name="Currency 6 2 5 2" xfId="5021" xr:uid="{00000000-0005-0000-0000-000035080000}"/>
    <cellStyle name="Currency 6 2 6" xfId="3755" xr:uid="{00000000-0005-0000-0000-000036080000}"/>
    <cellStyle name="Currency 6 2 7" xfId="1108" xr:uid="{00000000-0005-0000-0000-000037080000}"/>
    <cellStyle name="Currency 6 3" xfId="335" xr:uid="{00000000-0005-0000-0000-000038080000}"/>
    <cellStyle name="Currency 6 3 2" xfId="776" xr:uid="{00000000-0005-0000-0000-000039080000}"/>
    <cellStyle name="Currency 6 3 2 2" xfId="3424" xr:uid="{00000000-0005-0000-0000-00003A080000}"/>
    <cellStyle name="Currency 6 3 2 2 2" xfId="5022" xr:uid="{00000000-0005-0000-0000-00003B080000}"/>
    <cellStyle name="Currency 6 3 2 3" xfId="2542" xr:uid="{00000000-0005-0000-0000-00003C080000}"/>
    <cellStyle name="Currency 6 3 2 3 2" xfId="5023" xr:uid="{00000000-0005-0000-0000-00003D080000}"/>
    <cellStyle name="Currency 6 3 2 4" xfId="4306" xr:uid="{00000000-0005-0000-0000-00003E080000}"/>
    <cellStyle name="Currency 6 3 2 5" xfId="1659" xr:uid="{00000000-0005-0000-0000-00003F080000}"/>
    <cellStyle name="Currency 6 3 3" xfId="2983" xr:uid="{00000000-0005-0000-0000-000040080000}"/>
    <cellStyle name="Currency 6 3 3 2" xfId="5024" xr:uid="{00000000-0005-0000-0000-000041080000}"/>
    <cellStyle name="Currency 6 3 4" xfId="2101" xr:uid="{00000000-0005-0000-0000-000042080000}"/>
    <cellStyle name="Currency 6 3 4 2" xfId="5025" xr:uid="{00000000-0005-0000-0000-000043080000}"/>
    <cellStyle name="Currency 6 3 5" xfId="3865" xr:uid="{00000000-0005-0000-0000-000044080000}"/>
    <cellStyle name="Currency 6 3 6" xfId="1218" xr:uid="{00000000-0005-0000-0000-000045080000}"/>
    <cellStyle name="Currency 6 4" xfId="556" xr:uid="{00000000-0005-0000-0000-000046080000}"/>
    <cellStyle name="Currency 6 4 2" xfId="3204" xr:uid="{00000000-0005-0000-0000-000047080000}"/>
    <cellStyle name="Currency 6 4 2 2" xfId="5026" xr:uid="{00000000-0005-0000-0000-000048080000}"/>
    <cellStyle name="Currency 6 4 3" xfId="2322" xr:uid="{00000000-0005-0000-0000-000049080000}"/>
    <cellStyle name="Currency 6 4 3 2" xfId="5027" xr:uid="{00000000-0005-0000-0000-00004A080000}"/>
    <cellStyle name="Currency 6 4 4" xfId="4086" xr:uid="{00000000-0005-0000-0000-00004B080000}"/>
    <cellStyle name="Currency 6 4 5" xfId="1439" xr:uid="{00000000-0005-0000-0000-00004C080000}"/>
    <cellStyle name="Currency 6 5" xfId="2763" xr:uid="{00000000-0005-0000-0000-00004D080000}"/>
    <cellStyle name="Currency 6 5 2" xfId="5028" xr:uid="{00000000-0005-0000-0000-00004E080000}"/>
    <cellStyle name="Currency 6 6" xfId="1881" xr:uid="{00000000-0005-0000-0000-00004F080000}"/>
    <cellStyle name="Currency 6 6 2" xfId="5029" xr:uid="{00000000-0005-0000-0000-000050080000}"/>
    <cellStyle name="Currency 6 7" xfId="3645" xr:uid="{00000000-0005-0000-0000-000051080000}"/>
    <cellStyle name="Currency 6 8" xfId="998" xr:uid="{00000000-0005-0000-0000-000052080000}"/>
    <cellStyle name="Hyperlink" xfId="5" builtinId="8"/>
    <cellStyle name="Normal" xfId="0" builtinId="0"/>
    <cellStyle name="Normal 2" xfId="6" xr:uid="{00000000-0005-0000-0000-000055080000}"/>
    <cellStyle name="Normal 3" xfId="7" xr:uid="{00000000-0005-0000-0000-000056080000}"/>
    <cellStyle name="Normal 3 10" xfId="44" xr:uid="{00000000-0005-0000-0000-000057080000}"/>
    <cellStyle name="Normal 3 10 2" xfId="154" xr:uid="{00000000-0005-0000-0000-000058080000}"/>
    <cellStyle name="Normal 3 10 2 2" xfId="374" xr:uid="{00000000-0005-0000-0000-000059080000}"/>
    <cellStyle name="Normal 3 10 2 2 2" xfId="815" xr:uid="{00000000-0005-0000-0000-00005A080000}"/>
    <cellStyle name="Normal 3 10 2 2 2 2" xfId="3463" xr:uid="{00000000-0005-0000-0000-00005B080000}"/>
    <cellStyle name="Normal 3 10 2 2 2 2 2" xfId="5030" xr:uid="{00000000-0005-0000-0000-00005C080000}"/>
    <cellStyle name="Normal 3 10 2 2 2 3" xfId="2581" xr:uid="{00000000-0005-0000-0000-00005D080000}"/>
    <cellStyle name="Normal 3 10 2 2 2 3 2" xfId="5031" xr:uid="{00000000-0005-0000-0000-00005E080000}"/>
    <cellStyle name="Normal 3 10 2 2 2 4" xfId="4345" xr:uid="{00000000-0005-0000-0000-00005F080000}"/>
    <cellStyle name="Normal 3 10 2 2 2 5" xfId="1698" xr:uid="{00000000-0005-0000-0000-000060080000}"/>
    <cellStyle name="Normal 3 10 2 2 3" xfId="3022" xr:uid="{00000000-0005-0000-0000-000061080000}"/>
    <cellStyle name="Normal 3 10 2 2 3 2" xfId="5032" xr:uid="{00000000-0005-0000-0000-000062080000}"/>
    <cellStyle name="Normal 3 10 2 2 4" xfId="2140" xr:uid="{00000000-0005-0000-0000-000063080000}"/>
    <cellStyle name="Normal 3 10 2 2 4 2" xfId="5033" xr:uid="{00000000-0005-0000-0000-000064080000}"/>
    <cellStyle name="Normal 3 10 2 2 5" xfId="3904" xr:uid="{00000000-0005-0000-0000-000065080000}"/>
    <cellStyle name="Normal 3 10 2 2 6" xfId="1257" xr:uid="{00000000-0005-0000-0000-000066080000}"/>
    <cellStyle name="Normal 3 10 2 3" xfId="595" xr:uid="{00000000-0005-0000-0000-000067080000}"/>
    <cellStyle name="Normal 3 10 2 3 2" xfId="3243" xr:uid="{00000000-0005-0000-0000-000068080000}"/>
    <cellStyle name="Normal 3 10 2 3 2 2" xfId="5034" xr:uid="{00000000-0005-0000-0000-000069080000}"/>
    <cellStyle name="Normal 3 10 2 3 3" xfId="2361" xr:uid="{00000000-0005-0000-0000-00006A080000}"/>
    <cellStyle name="Normal 3 10 2 3 3 2" xfId="5035" xr:uid="{00000000-0005-0000-0000-00006B080000}"/>
    <cellStyle name="Normal 3 10 2 3 4" xfId="4125" xr:uid="{00000000-0005-0000-0000-00006C080000}"/>
    <cellStyle name="Normal 3 10 2 3 5" xfId="1478" xr:uid="{00000000-0005-0000-0000-00006D080000}"/>
    <cellStyle name="Normal 3 10 2 4" xfId="2802" xr:uid="{00000000-0005-0000-0000-00006E080000}"/>
    <cellStyle name="Normal 3 10 2 4 2" xfId="5036" xr:uid="{00000000-0005-0000-0000-00006F080000}"/>
    <cellStyle name="Normal 3 10 2 5" xfId="1920" xr:uid="{00000000-0005-0000-0000-000070080000}"/>
    <cellStyle name="Normal 3 10 2 5 2" xfId="5037" xr:uid="{00000000-0005-0000-0000-000071080000}"/>
    <cellStyle name="Normal 3 10 2 6" xfId="3684" xr:uid="{00000000-0005-0000-0000-000072080000}"/>
    <cellStyle name="Normal 3 10 2 7" xfId="1037" xr:uid="{00000000-0005-0000-0000-000073080000}"/>
    <cellStyle name="Normal 3 10 3" xfId="264" xr:uid="{00000000-0005-0000-0000-000074080000}"/>
    <cellStyle name="Normal 3 10 3 2" xfId="705" xr:uid="{00000000-0005-0000-0000-000075080000}"/>
    <cellStyle name="Normal 3 10 3 2 2" xfId="3353" xr:uid="{00000000-0005-0000-0000-000076080000}"/>
    <cellStyle name="Normal 3 10 3 2 2 2" xfId="5038" xr:uid="{00000000-0005-0000-0000-000077080000}"/>
    <cellStyle name="Normal 3 10 3 2 3" xfId="2471" xr:uid="{00000000-0005-0000-0000-000078080000}"/>
    <cellStyle name="Normal 3 10 3 2 3 2" xfId="5039" xr:uid="{00000000-0005-0000-0000-000079080000}"/>
    <cellStyle name="Normal 3 10 3 2 4" xfId="4235" xr:uid="{00000000-0005-0000-0000-00007A080000}"/>
    <cellStyle name="Normal 3 10 3 2 5" xfId="1588" xr:uid="{00000000-0005-0000-0000-00007B080000}"/>
    <cellStyle name="Normal 3 10 3 3" xfId="2912" xr:uid="{00000000-0005-0000-0000-00007C080000}"/>
    <cellStyle name="Normal 3 10 3 3 2" xfId="5040" xr:uid="{00000000-0005-0000-0000-00007D080000}"/>
    <cellStyle name="Normal 3 10 3 4" xfId="2030" xr:uid="{00000000-0005-0000-0000-00007E080000}"/>
    <cellStyle name="Normal 3 10 3 4 2" xfId="5041" xr:uid="{00000000-0005-0000-0000-00007F080000}"/>
    <cellStyle name="Normal 3 10 3 5" xfId="3794" xr:uid="{00000000-0005-0000-0000-000080080000}"/>
    <cellStyle name="Normal 3 10 3 6" xfId="1147" xr:uid="{00000000-0005-0000-0000-000081080000}"/>
    <cellStyle name="Normal 3 10 4" xfId="485" xr:uid="{00000000-0005-0000-0000-000082080000}"/>
    <cellStyle name="Normal 3 10 4 2" xfId="3133" xr:uid="{00000000-0005-0000-0000-000083080000}"/>
    <cellStyle name="Normal 3 10 4 2 2" xfId="5042" xr:uid="{00000000-0005-0000-0000-000084080000}"/>
    <cellStyle name="Normal 3 10 4 3" xfId="2251" xr:uid="{00000000-0005-0000-0000-000085080000}"/>
    <cellStyle name="Normal 3 10 4 3 2" xfId="5043" xr:uid="{00000000-0005-0000-0000-000086080000}"/>
    <cellStyle name="Normal 3 10 4 4" xfId="4015" xr:uid="{00000000-0005-0000-0000-000087080000}"/>
    <cellStyle name="Normal 3 10 4 5" xfId="1368" xr:uid="{00000000-0005-0000-0000-000088080000}"/>
    <cellStyle name="Normal 3 10 5" xfId="2692" xr:uid="{00000000-0005-0000-0000-000089080000}"/>
    <cellStyle name="Normal 3 10 5 2" xfId="5044" xr:uid="{00000000-0005-0000-0000-00008A080000}"/>
    <cellStyle name="Normal 3 10 6" xfId="1810" xr:uid="{00000000-0005-0000-0000-00008B080000}"/>
    <cellStyle name="Normal 3 10 6 2" xfId="5045" xr:uid="{00000000-0005-0000-0000-00008C080000}"/>
    <cellStyle name="Normal 3 10 7" xfId="3574" xr:uid="{00000000-0005-0000-0000-00008D080000}"/>
    <cellStyle name="Normal 3 10 8" xfId="927" xr:uid="{00000000-0005-0000-0000-00008E080000}"/>
    <cellStyle name="Normal 3 11" xfId="60" xr:uid="{00000000-0005-0000-0000-00008F080000}"/>
    <cellStyle name="Normal 3 11 2" xfId="170" xr:uid="{00000000-0005-0000-0000-000090080000}"/>
    <cellStyle name="Normal 3 11 2 2" xfId="390" xr:uid="{00000000-0005-0000-0000-000091080000}"/>
    <cellStyle name="Normal 3 11 2 2 2" xfId="831" xr:uid="{00000000-0005-0000-0000-000092080000}"/>
    <cellStyle name="Normal 3 11 2 2 2 2" xfId="3479" xr:uid="{00000000-0005-0000-0000-000093080000}"/>
    <cellStyle name="Normal 3 11 2 2 2 2 2" xfId="5046" xr:uid="{00000000-0005-0000-0000-000094080000}"/>
    <cellStyle name="Normal 3 11 2 2 2 3" xfId="2597" xr:uid="{00000000-0005-0000-0000-000095080000}"/>
    <cellStyle name="Normal 3 11 2 2 2 3 2" xfId="5047" xr:uid="{00000000-0005-0000-0000-000096080000}"/>
    <cellStyle name="Normal 3 11 2 2 2 4" xfId="4361" xr:uid="{00000000-0005-0000-0000-000097080000}"/>
    <cellStyle name="Normal 3 11 2 2 2 5" xfId="1714" xr:uid="{00000000-0005-0000-0000-000098080000}"/>
    <cellStyle name="Normal 3 11 2 2 3" xfId="3038" xr:uid="{00000000-0005-0000-0000-000099080000}"/>
    <cellStyle name="Normal 3 11 2 2 3 2" xfId="5048" xr:uid="{00000000-0005-0000-0000-00009A080000}"/>
    <cellStyle name="Normal 3 11 2 2 4" xfId="2156" xr:uid="{00000000-0005-0000-0000-00009B080000}"/>
    <cellStyle name="Normal 3 11 2 2 4 2" xfId="5049" xr:uid="{00000000-0005-0000-0000-00009C080000}"/>
    <cellStyle name="Normal 3 11 2 2 5" xfId="3920" xr:uid="{00000000-0005-0000-0000-00009D080000}"/>
    <cellStyle name="Normal 3 11 2 2 6" xfId="1273" xr:uid="{00000000-0005-0000-0000-00009E080000}"/>
    <cellStyle name="Normal 3 11 2 3" xfId="611" xr:uid="{00000000-0005-0000-0000-00009F080000}"/>
    <cellStyle name="Normal 3 11 2 3 2" xfId="3259" xr:uid="{00000000-0005-0000-0000-0000A0080000}"/>
    <cellStyle name="Normal 3 11 2 3 2 2" xfId="5050" xr:uid="{00000000-0005-0000-0000-0000A1080000}"/>
    <cellStyle name="Normal 3 11 2 3 3" xfId="2377" xr:uid="{00000000-0005-0000-0000-0000A2080000}"/>
    <cellStyle name="Normal 3 11 2 3 3 2" xfId="5051" xr:uid="{00000000-0005-0000-0000-0000A3080000}"/>
    <cellStyle name="Normal 3 11 2 3 4" xfId="4141" xr:uid="{00000000-0005-0000-0000-0000A4080000}"/>
    <cellStyle name="Normal 3 11 2 3 5" xfId="1494" xr:uid="{00000000-0005-0000-0000-0000A5080000}"/>
    <cellStyle name="Normal 3 11 2 4" xfId="2818" xr:uid="{00000000-0005-0000-0000-0000A6080000}"/>
    <cellStyle name="Normal 3 11 2 4 2" xfId="5052" xr:uid="{00000000-0005-0000-0000-0000A7080000}"/>
    <cellStyle name="Normal 3 11 2 5" xfId="1936" xr:uid="{00000000-0005-0000-0000-0000A8080000}"/>
    <cellStyle name="Normal 3 11 2 5 2" xfId="5053" xr:uid="{00000000-0005-0000-0000-0000A9080000}"/>
    <cellStyle name="Normal 3 11 2 6" xfId="3700" xr:uid="{00000000-0005-0000-0000-0000AA080000}"/>
    <cellStyle name="Normal 3 11 2 7" xfId="1053" xr:uid="{00000000-0005-0000-0000-0000AB080000}"/>
    <cellStyle name="Normal 3 11 3" xfId="280" xr:uid="{00000000-0005-0000-0000-0000AC080000}"/>
    <cellStyle name="Normal 3 11 3 2" xfId="721" xr:uid="{00000000-0005-0000-0000-0000AD080000}"/>
    <cellStyle name="Normal 3 11 3 2 2" xfId="3369" xr:uid="{00000000-0005-0000-0000-0000AE080000}"/>
    <cellStyle name="Normal 3 11 3 2 2 2" xfId="5054" xr:uid="{00000000-0005-0000-0000-0000AF080000}"/>
    <cellStyle name="Normal 3 11 3 2 3" xfId="2487" xr:uid="{00000000-0005-0000-0000-0000B0080000}"/>
    <cellStyle name="Normal 3 11 3 2 3 2" xfId="5055" xr:uid="{00000000-0005-0000-0000-0000B1080000}"/>
    <cellStyle name="Normal 3 11 3 2 4" xfId="4251" xr:uid="{00000000-0005-0000-0000-0000B2080000}"/>
    <cellStyle name="Normal 3 11 3 2 5" xfId="1604" xr:uid="{00000000-0005-0000-0000-0000B3080000}"/>
    <cellStyle name="Normal 3 11 3 3" xfId="2928" xr:uid="{00000000-0005-0000-0000-0000B4080000}"/>
    <cellStyle name="Normal 3 11 3 3 2" xfId="5056" xr:uid="{00000000-0005-0000-0000-0000B5080000}"/>
    <cellStyle name="Normal 3 11 3 4" xfId="2046" xr:uid="{00000000-0005-0000-0000-0000B6080000}"/>
    <cellStyle name="Normal 3 11 3 4 2" xfId="5057" xr:uid="{00000000-0005-0000-0000-0000B7080000}"/>
    <cellStyle name="Normal 3 11 3 5" xfId="3810" xr:uid="{00000000-0005-0000-0000-0000B8080000}"/>
    <cellStyle name="Normal 3 11 3 6" xfId="1163" xr:uid="{00000000-0005-0000-0000-0000B9080000}"/>
    <cellStyle name="Normal 3 11 4" xfId="501" xr:uid="{00000000-0005-0000-0000-0000BA080000}"/>
    <cellStyle name="Normal 3 11 4 2" xfId="3149" xr:uid="{00000000-0005-0000-0000-0000BB080000}"/>
    <cellStyle name="Normal 3 11 4 2 2" xfId="5058" xr:uid="{00000000-0005-0000-0000-0000BC080000}"/>
    <cellStyle name="Normal 3 11 4 3" xfId="2267" xr:uid="{00000000-0005-0000-0000-0000BD080000}"/>
    <cellStyle name="Normal 3 11 4 3 2" xfId="5059" xr:uid="{00000000-0005-0000-0000-0000BE080000}"/>
    <cellStyle name="Normal 3 11 4 4" xfId="4031" xr:uid="{00000000-0005-0000-0000-0000BF080000}"/>
    <cellStyle name="Normal 3 11 4 5" xfId="1384" xr:uid="{00000000-0005-0000-0000-0000C0080000}"/>
    <cellStyle name="Normal 3 11 5" xfId="2708" xr:uid="{00000000-0005-0000-0000-0000C1080000}"/>
    <cellStyle name="Normal 3 11 5 2" xfId="5060" xr:uid="{00000000-0005-0000-0000-0000C2080000}"/>
    <cellStyle name="Normal 3 11 6" xfId="1826" xr:uid="{00000000-0005-0000-0000-0000C3080000}"/>
    <cellStyle name="Normal 3 11 6 2" xfId="5061" xr:uid="{00000000-0005-0000-0000-0000C4080000}"/>
    <cellStyle name="Normal 3 11 7" xfId="3590" xr:uid="{00000000-0005-0000-0000-0000C5080000}"/>
    <cellStyle name="Normal 3 11 8" xfId="943" xr:uid="{00000000-0005-0000-0000-0000C6080000}"/>
    <cellStyle name="Normal 3 12" xfId="76" xr:uid="{00000000-0005-0000-0000-0000C7080000}"/>
    <cellStyle name="Normal 3 12 2" xfId="186" xr:uid="{00000000-0005-0000-0000-0000C8080000}"/>
    <cellStyle name="Normal 3 12 2 2" xfId="406" xr:uid="{00000000-0005-0000-0000-0000C9080000}"/>
    <cellStyle name="Normal 3 12 2 2 2" xfId="847" xr:uid="{00000000-0005-0000-0000-0000CA080000}"/>
    <cellStyle name="Normal 3 12 2 2 2 2" xfId="3495" xr:uid="{00000000-0005-0000-0000-0000CB080000}"/>
    <cellStyle name="Normal 3 12 2 2 2 2 2" xfId="5062" xr:uid="{00000000-0005-0000-0000-0000CC080000}"/>
    <cellStyle name="Normal 3 12 2 2 2 3" xfId="2613" xr:uid="{00000000-0005-0000-0000-0000CD080000}"/>
    <cellStyle name="Normal 3 12 2 2 2 3 2" xfId="5063" xr:uid="{00000000-0005-0000-0000-0000CE080000}"/>
    <cellStyle name="Normal 3 12 2 2 2 4" xfId="4377" xr:uid="{00000000-0005-0000-0000-0000CF080000}"/>
    <cellStyle name="Normal 3 12 2 2 2 5" xfId="1730" xr:uid="{00000000-0005-0000-0000-0000D0080000}"/>
    <cellStyle name="Normal 3 12 2 2 3" xfId="3054" xr:uid="{00000000-0005-0000-0000-0000D1080000}"/>
    <cellStyle name="Normal 3 12 2 2 3 2" xfId="5064" xr:uid="{00000000-0005-0000-0000-0000D2080000}"/>
    <cellStyle name="Normal 3 12 2 2 4" xfId="2172" xr:uid="{00000000-0005-0000-0000-0000D3080000}"/>
    <cellStyle name="Normal 3 12 2 2 4 2" xfId="5065" xr:uid="{00000000-0005-0000-0000-0000D4080000}"/>
    <cellStyle name="Normal 3 12 2 2 5" xfId="3936" xr:uid="{00000000-0005-0000-0000-0000D5080000}"/>
    <cellStyle name="Normal 3 12 2 2 6" xfId="1289" xr:uid="{00000000-0005-0000-0000-0000D6080000}"/>
    <cellStyle name="Normal 3 12 2 3" xfId="627" xr:uid="{00000000-0005-0000-0000-0000D7080000}"/>
    <cellStyle name="Normal 3 12 2 3 2" xfId="3275" xr:uid="{00000000-0005-0000-0000-0000D8080000}"/>
    <cellStyle name="Normal 3 12 2 3 2 2" xfId="5066" xr:uid="{00000000-0005-0000-0000-0000D9080000}"/>
    <cellStyle name="Normal 3 12 2 3 3" xfId="2393" xr:uid="{00000000-0005-0000-0000-0000DA080000}"/>
    <cellStyle name="Normal 3 12 2 3 3 2" xfId="5067" xr:uid="{00000000-0005-0000-0000-0000DB080000}"/>
    <cellStyle name="Normal 3 12 2 3 4" xfId="4157" xr:uid="{00000000-0005-0000-0000-0000DC080000}"/>
    <cellStyle name="Normal 3 12 2 3 5" xfId="1510" xr:uid="{00000000-0005-0000-0000-0000DD080000}"/>
    <cellStyle name="Normal 3 12 2 4" xfId="2834" xr:uid="{00000000-0005-0000-0000-0000DE080000}"/>
    <cellStyle name="Normal 3 12 2 4 2" xfId="5068" xr:uid="{00000000-0005-0000-0000-0000DF080000}"/>
    <cellStyle name="Normal 3 12 2 5" xfId="1952" xr:uid="{00000000-0005-0000-0000-0000E0080000}"/>
    <cellStyle name="Normal 3 12 2 5 2" xfId="5069" xr:uid="{00000000-0005-0000-0000-0000E1080000}"/>
    <cellStyle name="Normal 3 12 2 6" xfId="3716" xr:uid="{00000000-0005-0000-0000-0000E2080000}"/>
    <cellStyle name="Normal 3 12 2 7" xfId="1069" xr:uid="{00000000-0005-0000-0000-0000E3080000}"/>
    <cellStyle name="Normal 3 12 3" xfId="296" xr:uid="{00000000-0005-0000-0000-0000E4080000}"/>
    <cellStyle name="Normal 3 12 3 2" xfId="737" xr:uid="{00000000-0005-0000-0000-0000E5080000}"/>
    <cellStyle name="Normal 3 12 3 2 2" xfId="3385" xr:uid="{00000000-0005-0000-0000-0000E6080000}"/>
    <cellStyle name="Normal 3 12 3 2 2 2" xfId="5070" xr:uid="{00000000-0005-0000-0000-0000E7080000}"/>
    <cellStyle name="Normal 3 12 3 2 3" xfId="2503" xr:uid="{00000000-0005-0000-0000-0000E8080000}"/>
    <cellStyle name="Normal 3 12 3 2 3 2" xfId="5071" xr:uid="{00000000-0005-0000-0000-0000E9080000}"/>
    <cellStyle name="Normal 3 12 3 2 4" xfId="4267" xr:uid="{00000000-0005-0000-0000-0000EA080000}"/>
    <cellStyle name="Normal 3 12 3 2 5" xfId="1620" xr:uid="{00000000-0005-0000-0000-0000EB080000}"/>
    <cellStyle name="Normal 3 12 3 3" xfId="2944" xr:uid="{00000000-0005-0000-0000-0000EC080000}"/>
    <cellStyle name="Normal 3 12 3 3 2" xfId="5072" xr:uid="{00000000-0005-0000-0000-0000ED080000}"/>
    <cellStyle name="Normal 3 12 3 4" xfId="2062" xr:uid="{00000000-0005-0000-0000-0000EE080000}"/>
    <cellStyle name="Normal 3 12 3 4 2" xfId="5073" xr:uid="{00000000-0005-0000-0000-0000EF080000}"/>
    <cellStyle name="Normal 3 12 3 5" xfId="3826" xr:uid="{00000000-0005-0000-0000-0000F0080000}"/>
    <cellStyle name="Normal 3 12 3 6" xfId="1179" xr:uid="{00000000-0005-0000-0000-0000F1080000}"/>
    <cellStyle name="Normal 3 12 4" xfId="517" xr:uid="{00000000-0005-0000-0000-0000F2080000}"/>
    <cellStyle name="Normal 3 12 4 2" xfId="3165" xr:uid="{00000000-0005-0000-0000-0000F3080000}"/>
    <cellStyle name="Normal 3 12 4 2 2" xfId="5074" xr:uid="{00000000-0005-0000-0000-0000F4080000}"/>
    <cellStyle name="Normal 3 12 4 3" xfId="2283" xr:uid="{00000000-0005-0000-0000-0000F5080000}"/>
    <cellStyle name="Normal 3 12 4 3 2" xfId="5075" xr:uid="{00000000-0005-0000-0000-0000F6080000}"/>
    <cellStyle name="Normal 3 12 4 4" xfId="4047" xr:uid="{00000000-0005-0000-0000-0000F7080000}"/>
    <cellStyle name="Normal 3 12 4 5" xfId="1400" xr:uid="{00000000-0005-0000-0000-0000F8080000}"/>
    <cellStyle name="Normal 3 12 5" xfId="2724" xr:uid="{00000000-0005-0000-0000-0000F9080000}"/>
    <cellStyle name="Normal 3 12 5 2" xfId="5076" xr:uid="{00000000-0005-0000-0000-0000FA080000}"/>
    <cellStyle name="Normal 3 12 6" xfId="1842" xr:uid="{00000000-0005-0000-0000-0000FB080000}"/>
    <cellStyle name="Normal 3 12 6 2" xfId="5077" xr:uid="{00000000-0005-0000-0000-0000FC080000}"/>
    <cellStyle name="Normal 3 12 7" xfId="3606" xr:uid="{00000000-0005-0000-0000-0000FD080000}"/>
    <cellStyle name="Normal 3 12 8" xfId="959" xr:uid="{00000000-0005-0000-0000-0000FE080000}"/>
    <cellStyle name="Normal 3 13" xfId="109" xr:uid="{00000000-0005-0000-0000-0000FF080000}"/>
    <cellStyle name="Normal 3 13 2" xfId="219" xr:uid="{00000000-0005-0000-0000-000000090000}"/>
    <cellStyle name="Normal 3 13 2 2" xfId="439" xr:uid="{00000000-0005-0000-0000-000001090000}"/>
    <cellStyle name="Normal 3 13 2 2 2" xfId="880" xr:uid="{00000000-0005-0000-0000-000002090000}"/>
    <cellStyle name="Normal 3 13 2 2 2 2" xfId="3528" xr:uid="{00000000-0005-0000-0000-000003090000}"/>
    <cellStyle name="Normal 3 13 2 2 2 2 2" xfId="5078" xr:uid="{00000000-0005-0000-0000-000004090000}"/>
    <cellStyle name="Normal 3 13 2 2 2 3" xfId="2646" xr:uid="{00000000-0005-0000-0000-000005090000}"/>
    <cellStyle name="Normal 3 13 2 2 2 3 2" xfId="5079" xr:uid="{00000000-0005-0000-0000-000006090000}"/>
    <cellStyle name="Normal 3 13 2 2 2 4" xfId="4410" xr:uid="{00000000-0005-0000-0000-000007090000}"/>
    <cellStyle name="Normal 3 13 2 2 2 5" xfId="1763" xr:uid="{00000000-0005-0000-0000-000008090000}"/>
    <cellStyle name="Normal 3 13 2 2 3" xfId="3087" xr:uid="{00000000-0005-0000-0000-000009090000}"/>
    <cellStyle name="Normal 3 13 2 2 3 2" xfId="5080" xr:uid="{00000000-0005-0000-0000-00000A090000}"/>
    <cellStyle name="Normal 3 13 2 2 4" xfId="2205" xr:uid="{00000000-0005-0000-0000-00000B090000}"/>
    <cellStyle name="Normal 3 13 2 2 4 2" xfId="5081" xr:uid="{00000000-0005-0000-0000-00000C090000}"/>
    <cellStyle name="Normal 3 13 2 2 5" xfId="3969" xr:uid="{00000000-0005-0000-0000-00000D090000}"/>
    <cellStyle name="Normal 3 13 2 2 6" xfId="1322" xr:uid="{00000000-0005-0000-0000-00000E090000}"/>
    <cellStyle name="Normal 3 13 2 3" xfId="660" xr:uid="{00000000-0005-0000-0000-00000F090000}"/>
    <cellStyle name="Normal 3 13 2 3 2" xfId="3308" xr:uid="{00000000-0005-0000-0000-000010090000}"/>
    <cellStyle name="Normal 3 13 2 3 2 2" xfId="5082" xr:uid="{00000000-0005-0000-0000-000011090000}"/>
    <cellStyle name="Normal 3 13 2 3 3" xfId="2426" xr:uid="{00000000-0005-0000-0000-000012090000}"/>
    <cellStyle name="Normal 3 13 2 3 3 2" xfId="5083" xr:uid="{00000000-0005-0000-0000-000013090000}"/>
    <cellStyle name="Normal 3 13 2 3 4" xfId="4190" xr:uid="{00000000-0005-0000-0000-000014090000}"/>
    <cellStyle name="Normal 3 13 2 3 5" xfId="1543" xr:uid="{00000000-0005-0000-0000-000015090000}"/>
    <cellStyle name="Normal 3 13 2 4" xfId="2867" xr:uid="{00000000-0005-0000-0000-000016090000}"/>
    <cellStyle name="Normal 3 13 2 4 2" xfId="5084" xr:uid="{00000000-0005-0000-0000-000017090000}"/>
    <cellStyle name="Normal 3 13 2 5" xfId="1985" xr:uid="{00000000-0005-0000-0000-000018090000}"/>
    <cellStyle name="Normal 3 13 2 5 2" xfId="5085" xr:uid="{00000000-0005-0000-0000-000019090000}"/>
    <cellStyle name="Normal 3 13 2 6" xfId="3749" xr:uid="{00000000-0005-0000-0000-00001A090000}"/>
    <cellStyle name="Normal 3 13 2 7" xfId="1102" xr:uid="{00000000-0005-0000-0000-00001B090000}"/>
    <cellStyle name="Normal 3 13 3" xfId="329" xr:uid="{00000000-0005-0000-0000-00001C090000}"/>
    <cellStyle name="Normal 3 13 3 2" xfId="770" xr:uid="{00000000-0005-0000-0000-00001D090000}"/>
    <cellStyle name="Normal 3 13 3 2 2" xfId="3418" xr:uid="{00000000-0005-0000-0000-00001E090000}"/>
    <cellStyle name="Normal 3 13 3 2 2 2" xfId="5086" xr:uid="{00000000-0005-0000-0000-00001F090000}"/>
    <cellStyle name="Normal 3 13 3 2 3" xfId="2536" xr:uid="{00000000-0005-0000-0000-000020090000}"/>
    <cellStyle name="Normal 3 13 3 2 3 2" xfId="5087" xr:uid="{00000000-0005-0000-0000-000021090000}"/>
    <cellStyle name="Normal 3 13 3 2 4" xfId="4300" xr:uid="{00000000-0005-0000-0000-000022090000}"/>
    <cellStyle name="Normal 3 13 3 2 5" xfId="1653" xr:uid="{00000000-0005-0000-0000-000023090000}"/>
    <cellStyle name="Normal 3 13 3 3" xfId="2977" xr:uid="{00000000-0005-0000-0000-000024090000}"/>
    <cellStyle name="Normal 3 13 3 3 2" xfId="5088" xr:uid="{00000000-0005-0000-0000-000025090000}"/>
    <cellStyle name="Normal 3 13 3 4" xfId="2095" xr:uid="{00000000-0005-0000-0000-000026090000}"/>
    <cellStyle name="Normal 3 13 3 4 2" xfId="5089" xr:uid="{00000000-0005-0000-0000-000027090000}"/>
    <cellStyle name="Normal 3 13 3 5" xfId="3859" xr:uid="{00000000-0005-0000-0000-000028090000}"/>
    <cellStyle name="Normal 3 13 3 6" xfId="1212" xr:uid="{00000000-0005-0000-0000-000029090000}"/>
    <cellStyle name="Normal 3 13 4" xfId="550" xr:uid="{00000000-0005-0000-0000-00002A090000}"/>
    <cellStyle name="Normal 3 13 4 2" xfId="3198" xr:uid="{00000000-0005-0000-0000-00002B090000}"/>
    <cellStyle name="Normal 3 13 4 2 2" xfId="5090" xr:uid="{00000000-0005-0000-0000-00002C090000}"/>
    <cellStyle name="Normal 3 13 4 3" xfId="2316" xr:uid="{00000000-0005-0000-0000-00002D090000}"/>
    <cellStyle name="Normal 3 13 4 3 2" xfId="5091" xr:uid="{00000000-0005-0000-0000-00002E090000}"/>
    <cellStyle name="Normal 3 13 4 4" xfId="4080" xr:uid="{00000000-0005-0000-0000-00002F090000}"/>
    <cellStyle name="Normal 3 13 4 5" xfId="1433" xr:uid="{00000000-0005-0000-0000-000030090000}"/>
    <cellStyle name="Normal 3 13 5" xfId="2757" xr:uid="{00000000-0005-0000-0000-000031090000}"/>
    <cellStyle name="Normal 3 13 5 2" xfId="5092" xr:uid="{00000000-0005-0000-0000-000032090000}"/>
    <cellStyle name="Normal 3 13 6" xfId="1875" xr:uid="{00000000-0005-0000-0000-000033090000}"/>
    <cellStyle name="Normal 3 13 6 2" xfId="5093" xr:uid="{00000000-0005-0000-0000-000034090000}"/>
    <cellStyle name="Normal 3 13 7" xfId="3639" xr:uid="{00000000-0005-0000-0000-000035090000}"/>
    <cellStyle name="Normal 3 13 8" xfId="992" xr:uid="{00000000-0005-0000-0000-000036090000}"/>
    <cellStyle name="Normal 3 14" xfId="120" xr:uid="{00000000-0005-0000-0000-000037090000}"/>
    <cellStyle name="Normal 3 14 2" xfId="340" xr:uid="{00000000-0005-0000-0000-000038090000}"/>
    <cellStyle name="Normal 3 14 2 2" xfId="781" xr:uid="{00000000-0005-0000-0000-000039090000}"/>
    <cellStyle name="Normal 3 14 2 2 2" xfId="3429" xr:uid="{00000000-0005-0000-0000-00003A090000}"/>
    <cellStyle name="Normal 3 14 2 2 2 2" xfId="5094" xr:uid="{00000000-0005-0000-0000-00003B090000}"/>
    <cellStyle name="Normal 3 14 2 2 3" xfId="2547" xr:uid="{00000000-0005-0000-0000-00003C090000}"/>
    <cellStyle name="Normal 3 14 2 2 3 2" xfId="5095" xr:uid="{00000000-0005-0000-0000-00003D090000}"/>
    <cellStyle name="Normal 3 14 2 2 4" xfId="4311" xr:uid="{00000000-0005-0000-0000-00003E090000}"/>
    <cellStyle name="Normal 3 14 2 2 5" xfId="1664" xr:uid="{00000000-0005-0000-0000-00003F090000}"/>
    <cellStyle name="Normal 3 14 2 3" xfId="2988" xr:uid="{00000000-0005-0000-0000-000040090000}"/>
    <cellStyle name="Normal 3 14 2 3 2" xfId="5096" xr:uid="{00000000-0005-0000-0000-000041090000}"/>
    <cellStyle name="Normal 3 14 2 4" xfId="2106" xr:uid="{00000000-0005-0000-0000-000042090000}"/>
    <cellStyle name="Normal 3 14 2 4 2" xfId="5097" xr:uid="{00000000-0005-0000-0000-000043090000}"/>
    <cellStyle name="Normal 3 14 2 5" xfId="3870" xr:uid="{00000000-0005-0000-0000-000044090000}"/>
    <cellStyle name="Normal 3 14 2 6" xfId="1223" xr:uid="{00000000-0005-0000-0000-000045090000}"/>
    <cellStyle name="Normal 3 14 3" xfId="561" xr:uid="{00000000-0005-0000-0000-000046090000}"/>
    <cellStyle name="Normal 3 14 3 2" xfId="3209" xr:uid="{00000000-0005-0000-0000-000047090000}"/>
    <cellStyle name="Normal 3 14 3 2 2" xfId="5098" xr:uid="{00000000-0005-0000-0000-000048090000}"/>
    <cellStyle name="Normal 3 14 3 3" xfId="2327" xr:uid="{00000000-0005-0000-0000-000049090000}"/>
    <cellStyle name="Normal 3 14 3 3 2" xfId="5099" xr:uid="{00000000-0005-0000-0000-00004A090000}"/>
    <cellStyle name="Normal 3 14 3 4" xfId="4091" xr:uid="{00000000-0005-0000-0000-00004B090000}"/>
    <cellStyle name="Normal 3 14 3 5" xfId="1444" xr:uid="{00000000-0005-0000-0000-00004C090000}"/>
    <cellStyle name="Normal 3 14 4" xfId="2768" xr:uid="{00000000-0005-0000-0000-00004D090000}"/>
    <cellStyle name="Normal 3 14 4 2" xfId="5100" xr:uid="{00000000-0005-0000-0000-00004E090000}"/>
    <cellStyle name="Normal 3 14 5" xfId="1886" xr:uid="{00000000-0005-0000-0000-00004F090000}"/>
    <cellStyle name="Normal 3 14 5 2" xfId="5101" xr:uid="{00000000-0005-0000-0000-000050090000}"/>
    <cellStyle name="Normal 3 14 6" xfId="3650" xr:uid="{00000000-0005-0000-0000-000051090000}"/>
    <cellStyle name="Normal 3 14 7" xfId="1003" xr:uid="{00000000-0005-0000-0000-000052090000}"/>
    <cellStyle name="Normal 3 15" xfId="230" xr:uid="{00000000-0005-0000-0000-000053090000}"/>
    <cellStyle name="Normal 3 15 2" xfId="671" xr:uid="{00000000-0005-0000-0000-000054090000}"/>
    <cellStyle name="Normal 3 15 2 2" xfId="3319" xr:uid="{00000000-0005-0000-0000-000055090000}"/>
    <cellStyle name="Normal 3 15 2 2 2" xfId="5102" xr:uid="{00000000-0005-0000-0000-000056090000}"/>
    <cellStyle name="Normal 3 15 2 3" xfId="2437" xr:uid="{00000000-0005-0000-0000-000057090000}"/>
    <cellStyle name="Normal 3 15 2 3 2" xfId="5103" xr:uid="{00000000-0005-0000-0000-000058090000}"/>
    <cellStyle name="Normal 3 15 2 4" xfId="4201" xr:uid="{00000000-0005-0000-0000-000059090000}"/>
    <cellStyle name="Normal 3 15 2 5" xfId="1554" xr:uid="{00000000-0005-0000-0000-00005A090000}"/>
    <cellStyle name="Normal 3 15 3" xfId="2878" xr:uid="{00000000-0005-0000-0000-00005B090000}"/>
    <cellStyle name="Normal 3 15 3 2" xfId="5104" xr:uid="{00000000-0005-0000-0000-00005C090000}"/>
    <cellStyle name="Normal 3 15 4" xfId="1996" xr:uid="{00000000-0005-0000-0000-00005D090000}"/>
    <cellStyle name="Normal 3 15 4 2" xfId="5105" xr:uid="{00000000-0005-0000-0000-00005E090000}"/>
    <cellStyle name="Normal 3 15 5" xfId="3760" xr:uid="{00000000-0005-0000-0000-00005F090000}"/>
    <cellStyle name="Normal 3 15 6" xfId="1113" xr:uid="{00000000-0005-0000-0000-000060090000}"/>
    <cellStyle name="Normal 3 16" xfId="451" xr:uid="{00000000-0005-0000-0000-000061090000}"/>
    <cellStyle name="Normal 3 16 2" xfId="3099" xr:uid="{00000000-0005-0000-0000-000062090000}"/>
    <cellStyle name="Normal 3 16 2 2" xfId="5106" xr:uid="{00000000-0005-0000-0000-000063090000}"/>
    <cellStyle name="Normal 3 16 3" xfId="2217" xr:uid="{00000000-0005-0000-0000-000064090000}"/>
    <cellStyle name="Normal 3 16 3 2" xfId="5107" xr:uid="{00000000-0005-0000-0000-000065090000}"/>
    <cellStyle name="Normal 3 16 4" xfId="3981" xr:uid="{00000000-0005-0000-0000-000066090000}"/>
    <cellStyle name="Normal 3 16 5" xfId="1334" xr:uid="{00000000-0005-0000-0000-000067090000}"/>
    <cellStyle name="Normal 3 17" xfId="891" xr:uid="{00000000-0005-0000-0000-000068090000}"/>
    <cellStyle name="Normal 3 17 2" xfId="2658" xr:uid="{00000000-0005-0000-0000-000069090000}"/>
    <cellStyle name="Normal 3 17 2 2" xfId="5108" xr:uid="{00000000-0005-0000-0000-00006A090000}"/>
    <cellStyle name="Normal 3 17 3" xfId="4421" xr:uid="{00000000-0005-0000-0000-00006B090000}"/>
    <cellStyle name="Normal 3 17 4" xfId="1774" xr:uid="{00000000-0005-0000-0000-00006C090000}"/>
    <cellStyle name="Normal 3 18" xfId="1776" xr:uid="{00000000-0005-0000-0000-00006D090000}"/>
    <cellStyle name="Normal 3 18 2" xfId="5109" xr:uid="{00000000-0005-0000-0000-00006E090000}"/>
    <cellStyle name="Normal 3 19" xfId="3540" xr:uid="{00000000-0005-0000-0000-00006F090000}"/>
    <cellStyle name="Normal 3 2" xfId="12" xr:uid="{00000000-0005-0000-0000-000070090000}"/>
    <cellStyle name="Normal 3 2 10" xfId="454" xr:uid="{00000000-0005-0000-0000-000071090000}"/>
    <cellStyle name="Normal 3 2 10 2" xfId="3102" xr:uid="{00000000-0005-0000-0000-000072090000}"/>
    <cellStyle name="Normal 3 2 10 2 2" xfId="5110" xr:uid="{00000000-0005-0000-0000-000073090000}"/>
    <cellStyle name="Normal 3 2 10 3" xfId="2220" xr:uid="{00000000-0005-0000-0000-000074090000}"/>
    <cellStyle name="Normal 3 2 10 3 2" xfId="5111" xr:uid="{00000000-0005-0000-0000-000075090000}"/>
    <cellStyle name="Normal 3 2 10 4" xfId="3984" xr:uid="{00000000-0005-0000-0000-000076090000}"/>
    <cellStyle name="Normal 3 2 10 5" xfId="1337" xr:uid="{00000000-0005-0000-0000-000077090000}"/>
    <cellStyle name="Normal 3 2 11" xfId="2661" xr:uid="{00000000-0005-0000-0000-000078090000}"/>
    <cellStyle name="Normal 3 2 11 2" xfId="5112" xr:uid="{00000000-0005-0000-0000-000079090000}"/>
    <cellStyle name="Normal 3 2 12" xfId="1779" xr:uid="{00000000-0005-0000-0000-00007A090000}"/>
    <cellStyle name="Normal 3 2 12 2" xfId="5113" xr:uid="{00000000-0005-0000-0000-00007B090000}"/>
    <cellStyle name="Normal 3 2 13" xfId="3543" xr:uid="{00000000-0005-0000-0000-00007C090000}"/>
    <cellStyle name="Normal 3 2 14" xfId="896" xr:uid="{00000000-0005-0000-0000-00007D090000}"/>
    <cellStyle name="Normal 3 2 2" xfId="29" xr:uid="{00000000-0005-0000-0000-00007E090000}"/>
    <cellStyle name="Normal 3 2 2 2" xfId="95" xr:uid="{00000000-0005-0000-0000-00007F090000}"/>
    <cellStyle name="Normal 3 2 2 2 2" xfId="205" xr:uid="{00000000-0005-0000-0000-000080090000}"/>
    <cellStyle name="Normal 3 2 2 2 2 2" xfId="425" xr:uid="{00000000-0005-0000-0000-000081090000}"/>
    <cellStyle name="Normal 3 2 2 2 2 2 2" xfId="866" xr:uid="{00000000-0005-0000-0000-000082090000}"/>
    <cellStyle name="Normal 3 2 2 2 2 2 2 2" xfId="3514" xr:uid="{00000000-0005-0000-0000-000083090000}"/>
    <cellStyle name="Normal 3 2 2 2 2 2 2 2 2" xfId="5114" xr:uid="{00000000-0005-0000-0000-000084090000}"/>
    <cellStyle name="Normal 3 2 2 2 2 2 2 3" xfId="2632" xr:uid="{00000000-0005-0000-0000-000085090000}"/>
    <cellStyle name="Normal 3 2 2 2 2 2 2 3 2" xfId="5115" xr:uid="{00000000-0005-0000-0000-000086090000}"/>
    <cellStyle name="Normal 3 2 2 2 2 2 2 4" xfId="4396" xr:uid="{00000000-0005-0000-0000-000087090000}"/>
    <cellStyle name="Normal 3 2 2 2 2 2 2 5" xfId="1749" xr:uid="{00000000-0005-0000-0000-000088090000}"/>
    <cellStyle name="Normal 3 2 2 2 2 2 3" xfId="3073" xr:uid="{00000000-0005-0000-0000-000089090000}"/>
    <cellStyle name="Normal 3 2 2 2 2 2 3 2" xfId="5116" xr:uid="{00000000-0005-0000-0000-00008A090000}"/>
    <cellStyle name="Normal 3 2 2 2 2 2 4" xfId="2191" xr:uid="{00000000-0005-0000-0000-00008B090000}"/>
    <cellStyle name="Normal 3 2 2 2 2 2 4 2" xfId="5117" xr:uid="{00000000-0005-0000-0000-00008C090000}"/>
    <cellStyle name="Normal 3 2 2 2 2 2 5" xfId="3955" xr:uid="{00000000-0005-0000-0000-00008D090000}"/>
    <cellStyle name="Normal 3 2 2 2 2 2 6" xfId="1308" xr:uid="{00000000-0005-0000-0000-00008E090000}"/>
    <cellStyle name="Normal 3 2 2 2 2 3" xfId="646" xr:uid="{00000000-0005-0000-0000-00008F090000}"/>
    <cellStyle name="Normal 3 2 2 2 2 3 2" xfId="3294" xr:uid="{00000000-0005-0000-0000-000090090000}"/>
    <cellStyle name="Normal 3 2 2 2 2 3 2 2" xfId="5118" xr:uid="{00000000-0005-0000-0000-000091090000}"/>
    <cellStyle name="Normal 3 2 2 2 2 3 3" xfId="2412" xr:uid="{00000000-0005-0000-0000-000092090000}"/>
    <cellStyle name="Normal 3 2 2 2 2 3 3 2" xfId="5119" xr:uid="{00000000-0005-0000-0000-000093090000}"/>
    <cellStyle name="Normal 3 2 2 2 2 3 4" xfId="4176" xr:uid="{00000000-0005-0000-0000-000094090000}"/>
    <cellStyle name="Normal 3 2 2 2 2 3 5" xfId="1529" xr:uid="{00000000-0005-0000-0000-000095090000}"/>
    <cellStyle name="Normal 3 2 2 2 2 4" xfId="2853" xr:uid="{00000000-0005-0000-0000-000096090000}"/>
    <cellStyle name="Normal 3 2 2 2 2 4 2" xfId="5120" xr:uid="{00000000-0005-0000-0000-000097090000}"/>
    <cellStyle name="Normal 3 2 2 2 2 5" xfId="1971" xr:uid="{00000000-0005-0000-0000-000098090000}"/>
    <cellStyle name="Normal 3 2 2 2 2 5 2" xfId="5121" xr:uid="{00000000-0005-0000-0000-000099090000}"/>
    <cellStyle name="Normal 3 2 2 2 2 6" xfId="3735" xr:uid="{00000000-0005-0000-0000-00009A090000}"/>
    <cellStyle name="Normal 3 2 2 2 2 7" xfId="1088" xr:uid="{00000000-0005-0000-0000-00009B090000}"/>
    <cellStyle name="Normal 3 2 2 2 3" xfId="315" xr:uid="{00000000-0005-0000-0000-00009C090000}"/>
    <cellStyle name="Normal 3 2 2 2 3 2" xfId="756" xr:uid="{00000000-0005-0000-0000-00009D090000}"/>
    <cellStyle name="Normal 3 2 2 2 3 2 2" xfId="3404" xr:uid="{00000000-0005-0000-0000-00009E090000}"/>
    <cellStyle name="Normal 3 2 2 2 3 2 2 2" xfId="5122" xr:uid="{00000000-0005-0000-0000-00009F090000}"/>
    <cellStyle name="Normal 3 2 2 2 3 2 3" xfId="2522" xr:uid="{00000000-0005-0000-0000-0000A0090000}"/>
    <cellStyle name="Normal 3 2 2 2 3 2 3 2" xfId="5123" xr:uid="{00000000-0005-0000-0000-0000A1090000}"/>
    <cellStyle name="Normal 3 2 2 2 3 2 4" xfId="4286" xr:uid="{00000000-0005-0000-0000-0000A2090000}"/>
    <cellStyle name="Normal 3 2 2 2 3 2 5" xfId="1639" xr:uid="{00000000-0005-0000-0000-0000A3090000}"/>
    <cellStyle name="Normal 3 2 2 2 3 3" xfId="2963" xr:uid="{00000000-0005-0000-0000-0000A4090000}"/>
    <cellStyle name="Normal 3 2 2 2 3 3 2" xfId="5124" xr:uid="{00000000-0005-0000-0000-0000A5090000}"/>
    <cellStyle name="Normal 3 2 2 2 3 4" xfId="2081" xr:uid="{00000000-0005-0000-0000-0000A6090000}"/>
    <cellStyle name="Normal 3 2 2 2 3 4 2" xfId="5125" xr:uid="{00000000-0005-0000-0000-0000A7090000}"/>
    <cellStyle name="Normal 3 2 2 2 3 5" xfId="3845" xr:uid="{00000000-0005-0000-0000-0000A8090000}"/>
    <cellStyle name="Normal 3 2 2 2 3 6" xfId="1198" xr:uid="{00000000-0005-0000-0000-0000A9090000}"/>
    <cellStyle name="Normal 3 2 2 2 4" xfId="536" xr:uid="{00000000-0005-0000-0000-0000AA090000}"/>
    <cellStyle name="Normal 3 2 2 2 4 2" xfId="3184" xr:uid="{00000000-0005-0000-0000-0000AB090000}"/>
    <cellStyle name="Normal 3 2 2 2 4 2 2" xfId="5126" xr:uid="{00000000-0005-0000-0000-0000AC090000}"/>
    <cellStyle name="Normal 3 2 2 2 4 3" xfId="2302" xr:uid="{00000000-0005-0000-0000-0000AD090000}"/>
    <cellStyle name="Normal 3 2 2 2 4 3 2" xfId="5127" xr:uid="{00000000-0005-0000-0000-0000AE090000}"/>
    <cellStyle name="Normal 3 2 2 2 4 4" xfId="4066" xr:uid="{00000000-0005-0000-0000-0000AF090000}"/>
    <cellStyle name="Normal 3 2 2 2 4 5" xfId="1419" xr:uid="{00000000-0005-0000-0000-0000B0090000}"/>
    <cellStyle name="Normal 3 2 2 2 5" xfId="2743" xr:uid="{00000000-0005-0000-0000-0000B1090000}"/>
    <cellStyle name="Normal 3 2 2 2 5 2" xfId="5128" xr:uid="{00000000-0005-0000-0000-0000B2090000}"/>
    <cellStyle name="Normal 3 2 2 2 6" xfId="1861" xr:uid="{00000000-0005-0000-0000-0000B3090000}"/>
    <cellStyle name="Normal 3 2 2 2 6 2" xfId="5129" xr:uid="{00000000-0005-0000-0000-0000B4090000}"/>
    <cellStyle name="Normal 3 2 2 2 7" xfId="3625" xr:uid="{00000000-0005-0000-0000-0000B5090000}"/>
    <cellStyle name="Normal 3 2 2 2 8" xfId="978" xr:uid="{00000000-0005-0000-0000-0000B6090000}"/>
    <cellStyle name="Normal 3 2 2 3" xfId="139" xr:uid="{00000000-0005-0000-0000-0000B7090000}"/>
    <cellStyle name="Normal 3 2 2 3 2" xfId="359" xr:uid="{00000000-0005-0000-0000-0000B8090000}"/>
    <cellStyle name="Normal 3 2 2 3 2 2" xfId="800" xr:uid="{00000000-0005-0000-0000-0000B9090000}"/>
    <cellStyle name="Normal 3 2 2 3 2 2 2" xfId="3448" xr:uid="{00000000-0005-0000-0000-0000BA090000}"/>
    <cellStyle name="Normal 3 2 2 3 2 2 2 2" xfId="5130" xr:uid="{00000000-0005-0000-0000-0000BB090000}"/>
    <cellStyle name="Normal 3 2 2 3 2 2 3" xfId="2566" xr:uid="{00000000-0005-0000-0000-0000BC090000}"/>
    <cellStyle name="Normal 3 2 2 3 2 2 3 2" xfId="5131" xr:uid="{00000000-0005-0000-0000-0000BD090000}"/>
    <cellStyle name="Normal 3 2 2 3 2 2 4" xfId="4330" xr:uid="{00000000-0005-0000-0000-0000BE090000}"/>
    <cellStyle name="Normal 3 2 2 3 2 2 5" xfId="1683" xr:uid="{00000000-0005-0000-0000-0000BF090000}"/>
    <cellStyle name="Normal 3 2 2 3 2 3" xfId="3007" xr:uid="{00000000-0005-0000-0000-0000C0090000}"/>
    <cellStyle name="Normal 3 2 2 3 2 3 2" xfId="5132" xr:uid="{00000000-0005-0000-0000-0000C1090000}"/>
    <cellStyle name="Normal 3 2 2 3 2 4" xfId="2125" xr:uid="{00000000-0005-0000-0000-0000C2090000}"/>
    <cellStyle name="Normal 3 2 2 3 2 4 2" xfId="5133" xr:uid="{00000000-0005-0000-0000-0000C3090000}"/>
    <cellStyle name="Normal 3 2 2 3 2 5" xfId="3889" xr:uid="{00000000-0005-0000-0000-0000C4090000}"/>
    <cellStyle name="Normal 3 2 2 3 2 6" xfId="1242" xr:uid="{00000000-0005-0000-0000-0000C5090000}"/>
    <cellStyle name="Normal 3 2 2 3 3" xfId="580" xr:uid="{00000000-0005-0000-0000-0000C6090000}"/>
    <cellStyle name="Normal 3 2 2 3 3 2" xfId="3228" xr:uid="{00000000-0005-0000-0000-0000C7090000}"/>
    <cellStyle name="Normal 3 2 2 3 3 2 2" xfId="5134" xr:uid="{00000000-0005-0000-0000-0000C8090000}"/>
    <cellStyle name="Normal 3 2 2 3 3 3" xfId="2346" xr:uid="{00000000-0005-0000-0000-0000C9090000}"/>
    <cellStyle name="Normal 3 2 2 3 3 3 2" xfId="5135" xr:uid="{00000000-0005-0000-0000-0000CA090000}"/>
    <cellStyle name="Normal 3 2 2 3 3 4" xfId="4110" xr:uid="{00000000-0005-0000-0000-0000CB090000}"/>
    <cellStyle name="Normal 3 2 2 3 3 5" xfId="1463" xr:uid="{00000000-0005-0000-0000-0000CC090000}"/>
    <cellStyle name="Normal 3 2 2 3 4" xfId="2787" xr:uid="{00000000-0005-0000-0000-0000CD090000}"/>
    <cellStyle name="Normal 3 2 2 3 4 2" xfId="5136" xr:uid="{00000000-0005-0000-0000-0000CE090000}"/>
    <cellStyle name="Normal 3 2 2 3 5" xfId="1905" xr:uid="{00000000-0005-0000-0000-0000CF090000}"/>
    <cellStyle name="Normal 3 2 2 3 5 2" xfId="5137" xr:uid="{00000000-0005-0000-0000-0000D0090000}"/>
    <cellStyle name="Normal 3 2 2 3 6" xfId="3669" xr:uid="{00000000-0005-0000-0000-0000D1090000}"/>
    <cellStyle name="Normal 3 2 2 3 7" xfId="1022" xr:uid="{00000000-0005-0000-0000-0000D2090000}"/>
    <cellStyle name="Normal 3 2 2 4" xfId="249" xr:uid="{00000000-0005-0000-0000-0000D3090000}"/>
    <cellStyle name="Normal 3 2 2 4 2" xfId="690" xr:uid="{00000000-0005-0000-0000-0000D4090000}"/>
    <cellStyle name="Normal 3 2 2 4 2 2" xfId="3338" xr:uid="{00000000-0005-0000-0000-0000D5090000}"/>
    <cellStyle name="Normal 3 2 2 4 2 2 2" xfId="5138" xr:uid="{00000000-0005-0000-0000-0000D6090000}"/>
    <cellStyle name="Normal 3 2 2 4 2 3" xfId="2456" xr:uid="{00000000-0005-0000-0000-0000D7090000}"/>
    <cellStyle name="Normal 3 2 2 4 2 3 2" xfId="5139" xr:uid="{00000000-0005-0000-0000-0000D8090000}"/>
    <cellStyle name="Normal 3 2 2 4 2 4" xfId="4220" xr:uid="{00000000-0005-0000-0000-0000D9090000}"/>
    <cellStyle name="Normal 3 2 2 4 2 5" xfId="1573" xr:uid="{00000000-0005-0000-0000-0000DA090000}"/>
    <cellStyle name="Normal 3 2 2 4 3" xfId="2897" xr:uid="{00000000-0005-0000-0000-0000DB090000}"/>
    <cellStyle name="Normal 3 2 2 4 3 2" xfId="5140" xr:uid="{00000000-0005-0000-0000-0000DC090000}"/>
    <cellStyle name="Normal 3 2 2 4 4" xfId="2015" xr:uid="{00000000-0005-0000-0000-0000DD090000}"/>
    <cellStyle name="Normal 3 2 2 4 4 2" xfId="5141" xr:uid="{00000000-0005-0000-0000-0000DE090000}"/>
    <cellStyle name="Normal 3 2 2 4 5" xfId="3779" xr:uid="{00000000-0005-0000-0000-0000DF090000}"/>
    <cellStyle name="Normal 3 2 2 4 6" xfId="1132" xr:uid="{00000000-0005-0000-0000-0000E0090000}"/>
    <cellStyle name="Normal 3 2 2 5" xfId="470" xr:uid="{00000000-0005-0000-0000-0000E1090000}"/>
    <cellStyle name="Normal 3 2 2 5 2" xfId="3118" xr:uid="{00000000-0005-0000-0000-0000E2090000}"/>
    <cellStyle name="Normal 3 2 2 5 2 2" xfId="5142" xr:uid="{00000000-0005-0000-0000-0000E3090000}"/>
    <cellStyle name="Normal 3 2 2 5 3" xfId="2236" xr:uid="{00000000-0005-0000-0000-0000E4090000}"/>
    <cellStyle name="Normal 3 2 2 5 3 2" xfId="5143" xr:uid="{00000000-0005-0000-0000-0000E5090000}"/>
    <cellStyle name="Normal 3 2 2 5 4" xfId="4000" xr:uid="{00000000-0005-0000-0000-0000E6090000}"/>
    <cellStyle name="Normal 3 2 2 5 5" xfId="1353" xr:uid="{00000000-0005-0000-0000-0000E7090000}"/>
    <cellStyle name="Normal 3 2 2 6" xfId="2677" xr:uid="{00000000-0005-0000-0000-0000E8090000}"/>
    <cellStyle name="Normal 3 2 2 6 2" xfId="5144" xr:uid="{00000000-0005-0000-0000-0000E9090000}"/>
    <cellStyle name="Normal 3 2 2 7" xfId="1795" xr:uid="{00000000-0005-0000-0000-0000EA090000}"/>
    <cellStyle name="Normal 3 2 2 7 2" xfId="5145" xr:uid="{00000000-0005-0000-0000-0000EB090000}"/>
    <cellStyle name="Normal 3 2 2 8" xfId="3559" xr:uid="{00000000-0005-0000-0000-0000EC090000}"/>
    <cellStyle name="Normal 3 2 2 9" xfId="912" xr:uid="{00000000-0005-0000-0000-0000ED090000}"/>
    <cellStyle name="Normal 3 2 3" xfId="35" xr:uid="{00000000-0005-0000-0000-0000EE090000}"/>
    <cellStyle name="Normal 3 2 3 2" xfId="101" xr:uid="{00000000-0005-0000-0000-0000EF090000}"/>
    <cellStyle name="Normal 3 2 3 2 2" xfId="211" xr:uid="{00000000-0005-0000-0000-0000F0090000}"/>
    <cellStyle name="Normal 3 2 3 2 2 2" xfId="431" xr:uid="{00000000-0005-0000-0000-0000F1090000}"/>
    <cellStyle name="Normal 3 2 3 2 2 2 2" xfId="872" xr:uid="{00000000-0005-0000-0000-0000F2090000}"/>
    <cellStyle name="Normal 3 2 3 2 2 2 2 2" xfId="3520" xr:uid="{00000000-0005-0000-0000-0000F3090000}"/>
    <cellStyle name="Normal 3 2 3 2 2 2 2 2 2" xfId="5146" xr:uid="{00000000-0005-0000-0000-0000F4090000}"/>
    <cellStyle name="Normal 3 2 3 2 2 2 2 3" xfId="2638" xr:uid="{00000000-0005-0000-0000-0000F5090000}"/>
    <cellStyle name="Normal 3 2 3 2 2 2 2 3 2" xfId="5147" xr:uid="{00000000-0005-0000-0000-0000F6090000}"/>
    <cellStyle name="Normal 3 2 3 2 2 2 2 4" xfId="4402" xr:uid="{00000000-0005-0000-0000-0000F7090000}"/>
    <cellStyle name="Normal 3 2 3 2 2 2 2 5" xfId="1755" xr:uid="{00000000-0005-0000-0000-0000F8090000}"/>
    <cellStyle name="Normal 3 2 3 2 2 2 3" xfId="3079" xr:uid="{00000000-0005-0000-0000-0000F9090000}"/>
    <cellStyle name="Normal 3 2 3 2 2 2 3 2" xfId="5148" xr:uid="{00000000-0005-0000-0000-0000FA090000}"/>
    <cellStyle name="Normal 3 2 3 2 2 2 4" xfId="2197" xr:uid="{00000000-0005-0000-0000-0000FB090000}"/>
    <cellStyle name="Normal 3 2 3 2 2 2 4 2" xfId="5149" xr:uid="{00000000-0005-0000-0000-0000FC090000}"/>
    <cellStyle name="Normal 3 2 3 2 2 2 5" xfId="3961" xr:uid="{00000000-0005-0000-0000-0000FD090000}"/>
    <cellStyle name="Normal 3 2 3 2 2 2 6" xfId="1314" xr:uid="{00000000-0005-0000-0000-0000FE090000}"/>
    <cellStyle name="Normal 3 2 3 2 2 3" xfId="652" xr:uid="{00000000-0005-0000-0000-0000FF090000}"/>
    <cellStyle name="Normal 3 2 3 2 2 3 2" xfId="3300" xr:uid="{00000000-0005-0000-0000-0000000A0000}"/>
    <cellStyle name="Normal 3 2 3 2 2 3 2 2" xfId="5150" xr:uid="{00000000-0005-0000-0000-0000010A0000}"/>
    <cellStyle name="Normal 3 2 3 2 2 3 3" xfId="2418" xr:uid="{00000000-0005-0000-0000-0000020A0000}"/>
    <cellStyle name="Normal 3 2 3 2 2 3 3 2" xfId="5151" xr:uid="{00000000-0005-0000-0000-0000030A0000}"/>
    <cellStyle name="Normal 3 2 3 2 2 3 4" xfId="4182" xr:uid="{00000000-0005-0000-0000-0000040A0000}"/>
    <cellStyle name="Normal 3 2 3 2 2 3 5" xfId="1535" xr:uid="{00000000-0005-0000-0000-0000050A0000}"/>
    <cellStyle name="Normal 3 2 3 2 2 4" xfId="2859" xr:uid="{00000000-0005-0000-0000-0000060A0000}"/>
    <cellStyle name="Normal 3 2 3 2 2 4 2" xfId="5152" xr:uid="{00000000-0005-0000-0000-0000070A0000}"/>
    <cellStyle name="Normal 3 2 3 2 2 5" xfId="1977" xr:uid="{00000000-0005-0000-0000-0000080A0000}"/>
    <cellStyle name="Normal 3 2 3 2 2 5 2" xfId="5153" xr:uid="{00000000-0005-0000-0000-0000090A0000}"/>
    <cellStyle name="Normal 3 2 3 2 2 6" xfId="3741" xr:uid="{00000000-0005-0000-0000-00000A0A0000}"/>
    <cellStyle name="Normal 3 2 3 2 2 7" xfId="1094" xr:uid="{00000000-0005-0000-0000-00000B0A0000}"/>
    <cellStyle name="Normal 3 2 3 2 3" xfId="321" xr:uid="{00000000-0005-0000-0000-00000C0A0000}"/>
    <cellStyle name="Normal 3 2 3 2 3 2" xfId="762" xr:uid="{00000000-0005-0000-0000-00000D0A0000}"/>
    <cellStyle name="Normal 3 2 3 2 3 2 2" xfId="3410" xr:uid="{00000000-0005-0000-0000-00000E0A0000}"/>
    <cellStyle name="Normal 3 2 3 2 3 2 2 2" xfId="5154" xr:uid="{00000000-0005-0000-0000-00000F0A0000}"/>
    <cellStyle name="Normal 3 2 3 2 3 2 3" xfId="2528" xr:uid="{00000000-0005-0000-0000-0000100A0000}"/>
    <cellStyle name="Normal 3 2 3 2 3 2 3 2" xfId="5155" xr:uid="{00000000-0005-0000-0000-0000110A0000}"/>
    <cellStyle name="Normal 3 2 3 2 3 2 4" xfId="4292" xr:uid="{00000000-0005-0000-0000-0000120A0000}"/>
    <cellStyle name="Normal 3 2 3 2 3 2 5" xfId="1645" xr:uid="{00000000-0005-0000-0000-0000130A0000}"/>
    <cellStyle name="Normal 3 2 3 2 3 3" xfId="2969" xr:uid="{00000000-0005-0000-0000-0000140A0000}"/>
    <cellStyle name="Normal 3 2 3 2 3 3 2" xfId="5156" xr:uid="{00000000-0005-0000-0000-0000150A0000}"/>
    <cellStyle name="Normal 3 2 3 2 3 4" xfId="2087" xr:uid="{00000000-0005-0000-0000-0000160A0000}"/>
    <cellStyle name="Normal 3 2 3 2 3 4 2" xfId="5157" xr:uid="{00000000-0005-0000-0000-0000170A0000}"/>
    <cellStyle name="Normal 3 2 3 2 3 5" xfId="3851" xr:uid="{00000000-0005-0000-0000-0000180A0000}"/>
    <cellStyle name="Normal 3 2 3 2 3 6" xfId="1204" xr:uid="{00000000-0005-0000-0000-0000190A0000}"/>
    <cellStyle name="Normal 3 2 3 2 4" xfId="542" xr:uid="{00000000-0005-0000-0000-00001A0A0000}"/>
    <cellStyle name="Normal 3 2 3 2 4 2" xfId="3190" xr:uid="{00000000-0005-0000-0000-00001B0A0000}"/>
    <cellStyle name="Normal 3 2 3 2 4 2 2" xfId="5158" xr:uid="{00000000-0005-0000-0000-00001C0A0000}"/>
    <cellStyle name="Normal 3 2 3 2 4 3" xfId="2308" xr:uid="{00000000-0005-0000-0000-00001D0A0000}"/>
    <cellStyle name="Normal 3 2 3 2 4 3 2" xfId="5159" xr:uid="{00000000-0005-0000-0000-00001E0A0000}"/>
    <cellStyle name="Normal 3 2 3 2 4 4" xfId="4072" xr:uid="{00000000-0005-0000-0000-00001F0A0000}"/>
    <cellStyle name="Normal 3 2 3 2 4 5" xfId="1425" xr:uid="{00000000-0005-0000-0000-0000200A0000}"/>
    <cellStyle name="Normal 3 2 3 2 5" xfId="2749" xr:uid="{00000000-0005-0000-0000-0000210A0000}"/>
    <cellStyle name="Normal 3 2 3 2 5 2" xfId="5160" xr:uid="{00000000-0005-0000-0000-0000220A0000}"/>
    <cellStyle name="Normal 3 2 3 2 6" xfId="1867" xr:uid="{00000000-0005-0000-0000-0000230A0000}"/>
    <cellStyle name="Normal 3 2 3 2 6 2" xfId="5161" xr:uid="{00000000-0005-0000-0000-0000240A0000}"/>
    <cellStyle name="Normal 3 2 3 2 7" xfId="3631" xr:uid="{00000000-0005-0000-0000-0000250A0000}"/>
    <cellStyle name="Normal 3 2 3 2 8" xfId="984" xr:uid="{00000000-0005-0000-0000-0000260A0000}"/>
    <cellStyle name="Normal 3 2 3 3" xfId="145" xr:uid="{00000000-0005-0000-0000-0000270A0000}"/>
    <cellStyle name="Normal 3 2 3 3 2" xfId="365" xr:uid="{00000000-0005-0000-0000-0000280A0000}"/>
    <cellStyle name="Normal 3 2 3 3 2 2" xfId="806" xr:uid="{00000000-0005-0000-0000-0000290A0000}"/>
    <cellStyle name="Normal 3 2 3 3 2 2 2" xfId="3454" xr:uid="{00000000-0005-0000-0000-00002A0A0000}"/>
    <cellStyle name="Normal 3 2 3 3 2 2 2 2" xfId="5162" xr:uid="{00000000-0005-0000-0000-00002B0A0000}"/>
    <cellStyle name="Normal 3 2 3 3 2 2 3" xfId="2572" xr:uid="{00000000-0005-0000-0000-00002C0A0000}"/>
    <cellStyle name="Normal 3 2 3 3 2 2 3 2" xfId="5163" xr:uid="{00000000-0005-0000-0000-00002D0A0000}"/>
    <cellStyle name="Normal 3 2 3 3 2 2 4" xfId="4336" xr:uid="{00000000-0005-0000-0000-00002E0A0000}"/>
    <cellStyle name="Normal 3 2 3 3 2 2 5" xfId="1689" xr:uid="{00000000-0005-0000-0000-00002F0A0000}"/>
    <cellStyle name="Normal 3 2 3 3 2 3" xfId="3013" xr:uid="{00000000-0005-0000-0000-0000300A0000}"/>
    <cellStyle name="Normal 3 2 3 3 2 3 2" xfId="5164" xr:uid="{00000000-0005-0000-0000-0000310A0000}"/>
    <cellStyle name="Normal 3 2 3 3 2 4" xfId="2131" xr:uid="{00000000-0005-0000-0000-0000320A0000}"/>
    <cellStyle name="Normal 3 2 3 3 2 4 2" xfId="5165" xr:uid="{00000000-0005-0000-0000-0000330A0000}"/>
    <cellStyle name="Normal 3 2 3 3 2 5" xfId="3895" xr:uid="{00000000-0005-0000-0000-0000340A0000}"/>
    <cellStyle name="Normal 3 2 3 3 2 6" xfId="1248" xr:uid="{00000000-0005-0000-0000-0000350A0000}"/>
    <cellStyle name="Normal 3 2 3 3 3" xfId="586" xr:uid="{00000000-0005-0000-0000-0000360A0000}"/>
    <cellStyle name="Normal 3 2 3 3 3 2" xfId="3234" xr:uid="{00000000-0005-0000-0000-0000370A0000}"/>
    <cellStyle name="Normal 3 2 3 3 3 2 2" xfId="5166" xr:uid="{00000000-0005-0000-0000-0000380A0000}"/>
    <cellStyle name="Normal 3 2 3 3 3 3" xfId="2352" xr:uid="{00000000-0005-0000-0000-0000390A0000}"/>
    <cellStyle name="Normal 3 2 3 3 3 3 2" xfId="5167" xr:uid="{00000000-0005-0000-0000-00003A0A0000}"/>
    <cellStyle name="Normal 3 2 3 3 3 4" xfId="4116" xr:uid="{00000000-0005-0000-0000-00003B0A0000}"/>
    <cellStyle name="Normal 3 2 3 3 3 5" xfId="1469" xr:uid="{00000000-0005-0000-0000-00003C0A0000}"/>
    <cellStyle name="Normal 3 2 3 3 4" xfId="2793" xr:uid="{00000000-0005-0000-0000-00003D0A0000}"/>
    <cellStyle name="Normal 3 2 3 3 4 2" xfId="5168" xr:uid="{00000000-0005-0000-0000-00003E0A0000}"/>
    <cellStyle name="Normal 3 2 3 3 5" xfId="1911" xr:uid="{00000000-0005-0000-0000-00003F0A0000}"/>
    <cellStyle name="Normal 3 2 3 3 5 2" xfId="5169" xr:uid="{00000000-0005-0000-0000-0000400A0000}"/>
    <cellStyle name="Normal 3 2 3 3 6" xfId="3675" xr:uid="{00000000-0005-0000-0000-0000410A0000}"/>
    <cellStyle name="Normal 3 2 3 3 7" xfId="1028" xr:uid="{00000000-0005-0000-0000-0000420A0000}"/>
    <cellStyle name="Normal 3 2 3 4" xfId="255" xr:uid="{00000000-0005-0000-0000-0000430A0000}"/>
    <cellStyle name="Normal 3 2 3 4 2" xfId="696" xr:uid="{00000000-0005-0000-0000-0000440A0000}"/>
    <cellStyle name="Normal 3 2 3 4 2 2" xfId="3344" xr:uid="{00000000-0005-0000-0000-0000450A0000}"/>
    <cellStyle name="Normal 3 2 3 4 2 2 2" xfId="5170" xr:uid="{00000000-0005-0000-0000-0000460A0000}"/>
    <cellStyle name="Normal 3 2 3 4 2 3" xfId="2462" xr:uid="{00000000-0005-0000-0000-0000470A0000}"/>
    <cellStyle name="Normal 3 2 3 4 2 3 2" xfId="5171" xr:uid="{00000000-0005-0000-0000-0000480A0000}"/>
    <cellStyle name="Normal 3 2 3 4 2 4" xfId="4226" xr:uid="{00000000-0005-0000-0000-0000490A0000}"/>
    <cellStyle name="Normal 3 2 3 4 2 5" xfId="1579" xr:uid="{00000000-0005-0000-0000-00004A0A0000}"/>
    <cellStyle name="Normal 3 2 3 4 3" xfId="2903" xr:uid="{00000000-0005-0000-0000-00004B0A0000}"/>
    <cellStyle name="Normal 3 2 3 4 3 2" xfId="5172" xr:uid="{00000000-0005-0000-0000-00004C0A0000}"/>
    <cellStyle name="Normal 3 2 3 4 4" xfId="2021" xr:uid="{00000000-0005-0000-0000-00004D0A0000}"/>
    <cellStyle name="Normal 3 2 3 4 4 2" xfId="5173" xr:uid="{00000000-0005-0000-0000-00004E0A0000}"/>
    <cellStyle name="Normal 3 2 3 4 5" xfId="3785" xr:uid="{00000000-0005-0000-0000-00004F0A0000}"/>
    <cellStyle name="Normal 3 2 3 4 6" xfId="1138" xr:uid="{00000000-0005-0000-0000-0000500A0000}"/>
    <cellStyle name="Normal 3 2 3 5" xfId="476" xr:uid="{00000000-0005-0000-0000-0000510A0000}"/>
    <cellStyle name="Normal 3 2 3 5 2" xfId="3124" xr:uid="{00000000-0005-0000-0000-0000520A0000}"/>
    <cellStyle name="Normal 3 2 3 5 2 2" xfId="5174" xr:uid="{00000000-0005-0000-0000-0000530A0000}"/>
    <cellStyle name="Normal 3 2 3 5 3" xfId="2242" xr:uid="{00000000-0005-0000-0000-0000540A0000}"/>
    <cellStyle name="Normal 3 2 3 5 3 2" xfId="5175" xr:uid="{00000000-0005-0000-0000-0000550A0000}"/>
    <cellStyle name="Normal 3 2 3 5 4" xfId="4006" xr:uid="{00000000-0005-0000-0000-0000560A0000}"/>
    <cellStyle name="Normal 3 2 3 5 5" xfId="1359" xr:uid="{00000000-0005-0000-0000-0000570A0000}"/>
    <cellStyle name="Normal 3 2 3 6" xfId="2683" xr:uid="{00000000-0005-0000-0000-0000580A0000}"/>
    <cellStyle name="Normal 3 2 3 6 2" xfId="5176" xr:uid="{00000000-0005-0000-0000-0000590A0000}"/>
    <cellStyle name="Normal 3 2 3 7" xfId="1801" xr:uid="{00000000-0005-0000-0000-00005A0A0000}"/>
    <cellStyle name="Normal 3 2 3 7 2" xfId="5177" xr:uid="{00000000-0005-0000-0000-00005B0A0000}"/>
    <cellStyle name="Normal 3 2 3 8" xfId="3565" xr:uid="{00000000-0005-0000-0000-00005C0A0000}"/>
    <cellStyle name="Normal 3 2 3 9" xfId="918" xr:uid="{00000000-0005-0000-0000-00005D0A0000}"/>
    <cellStyle name="Normal 3 2 4" xfId="41" xr:uid="{00000000-0005-0000-0000-00005E0A0000}"/>
    <cellStyle name="Normal 3 2 4 2" xfId="107" xr:uid="{00000000-0005-0000-0000-00005F0A0000}"/>
    <cellStyle name="Normal 3 2 4 2 2" xfId="217" xr:uid="{00000000-0005-0000-0000-0000600A0000}"/>
    <cellStyle name="Normal 3 2 4 2 2 2" xfId="437" xr:uid="{00000000-0005-0000-0000-0000610A0000}"/>
    <cellStyle name="Normal 3 2 4 2 2 2 2" xfId="878" xr:uid="{00000000-0005-0000-0000-0000620A0000}"/>
    <cellStyle name="Normal 3 2 4 2 2 2 2 2" xfId="3526" xr:uid="{00000000-0005-0000-0000-0000630A0000}"/>
    <cellStyle name="Normal 3 2 4 2 2 2 2 2 2" xfId="5178" xr:uid="{00000000-0005-0000-0000-0000640A0000}"/>
    <cellStyle name="Normal 3 2 4 2 2 2 2 3" xfId="2644" xr:uid="{00000000-0005-0000-0000-0000650A0000}"/>
    <cellStyle name="Normal 3 2 4 2 2 2 2 3 2" xfId="5179" xr:uid="{00000000-0005-0000-0000-0000660A0000}"/>
    <cellStyle name="Normal 3 2 4 2 2 2 2 4" xfId="4408" xr:uid="{00000000-0005-0000-0000-0000670A0000}"/>
    <cellStyle name="Normal 3 2 4 2 2 2 2 5" xfId="1761" xr:uid="{00000000-0005-0000-0000-0000680A0000}"/>
    <cellStyle name="Normal 3 2 4 2 2 2 3" xfId="3085" xr:uid="{00000000-0005-0000-0000-0000690A0000}"/>
    <cellStyle name="Normal 3 2 4 2 2 2 3 2" xfId="5180" xr:uid="{00000000-0005-0000-0000-00006A0A0000}"/>
    <cellStyle name="Normal 3 2 4 2 2 2 4" xfId="2203" xr:uid="{00000000-0005-0000-0000-00006B0A0000}"/>
    <cellStyle name="Normal 3 2 4 2 2 2 4 2" xfId="5181" xr:uid="{00000000-0005-0000-0000-00006C0A0000}"/>
    <cellStyle name="Normal 3 2 4 2 2 2 5" xfId="3967" xr:uid="{00000000-0005-0000-0000-00006D0A0000}"/>
    <cellStyle name="Normal 3 2 4 2 2 2 6" xfId="1320" xr:uid="{00000000-0005-0000-0000-00006E0A0000}"/>
    <cellStyle name="Normal 3 2 4 2 2 3" xfId="658" xr:uid="{00000000-0005-0000-0000-00006F0A0000}"/>
    <cellStyle name="Normal 3 2 4 2 2 3 2" xfId="3306" xr:uid="{00000000-0005-0000-0000-0000700A0000}"/>
    <cellStyle name="Normal 3 2 4 2 2 3 2 2" xfId="5182" xr:uid="{00000000-0005-0000-0000-0000710A0000}"/>
    <cellStyle name="Normal 3 2 4 2 2 3 3" xfId="2424" xr:uid="{00000000-0005-0000-0000-0000720A0000}"/>
    <cellStyle name="Normal 3 2 4 2 2 3 3 2" xfId="5183" xr:uid="{00000000-0005-0000-0000-0000730A0000}"/>
    <cellStyle name="Normal 3 2 4 2 2 3 4" xfId="4188" xr:uid="{00000000-0005-0000-0000-0000740A0000}"/>
    <cellStyle name="Normal 3 2 4 2 2 3 5" xfId="1541" xr:uid="{00000000-0005-0000-0000-0000750A0000}"/>
    <cellStyle name="Normal 3 2 4 2 2 4" xfId="2865" xr:uid="{00000000-0005-0000-0000-0000760A0000}"/>
    <cellStyle name="Normal 3 2 4 2 2 4 2" xfId="5184" xr:uid="{00000000-0005-0000-0000-0000770A0000}"/>
    <cellStyle name="Normal 3 2 4 2 2 5" xfId="1983" xr:uid="{00000000-0005-0000-0000-0000780A0000}"/>
    <cellStyle name="Normal 3 2 4 2 2 5 2" xfId="5185" xr:uid="{00000000-0005-0000-0000-0000790A0000}"/>
    <cellStyle name="Normal 3 2 4 2 2 6" xfId="3747" xr:uid="{00000000-0005-0000-0000-00007A0A0000}"/>
    <cellStyle name="Normal 3 2 4 2 2 7" xfId="1100" xr:uid="{00000000-0005-0000-0000-00007B0A0000}"/>
    <cellStyle name="Normal 3 2 4 2 3" xfId="327" xr:uid="{00000000-0005-0000-0000-00007C0A0000}"/>
    <cellStyle name="Normal 3 2 4 2 3 2" xfId="768" xr:uid="{00000000-0005-0000-0000-00007D0A0000}"/>
    <cellStyle name="Normal 3 2 4 2 3 2 2" xfId="3416" xr:uid="{00000000-0005-0000-0000-00007E0A0000}"/>
    <cellStyle name="Normal 3 2 4 2 3 2 2 2" xfId="5186" xr:uid="{00000000-0005-0000-0000-00007F0A0000}"/>
    <cellStyle name="Normal 3 2 4 2 3 2 3" xfId="2534" xr:uid="{00000000-0005-0000-0000-0000800A0000}"/>
    <cellStyle name="Normal 3 2 4 2 3 2 3 2" xfId="5187" xr:uid="{00000000-0005-0000-0000-0000810A0000}"/>
    <cellStyle name="Normal 3 2 4 2 3 2 4" xfId="4298" xr:uid="{00000000-0005-0000-0000-0000820A0000}"/>
    <cellStyle name="Normal 3 2 4 2 3 2 5" xfId="1651" xr:uid="{00000000-0005-0000-0000-0000830A0000}"/>
    <cellStyle name="Normal 3 2 4 2 3 3" xfId="2975" xr:uid="{00000000-0005-0000-0000-0000840A0000}"/>
    <cellStyle name="Normal 3 2 4 2 3 3 2" xfId="5188" xr:uid="{00000000-0005-0000-0000-0000850A0000}"/>
    <cellStyle name="Normal 3 2 4 2 3 4" xfId="2093" xr:uid="{00000000-0005-0000-0000-0000860A0000}"/>
    <cellStyle name="Normal 3 2 4 2 3 4 2" xfId="5189" xr:uid="{00000000-0005-0000-0000-0000870A0000}"/>
    <cellStyle name="Normal 3 2 4 2 3 5" xfId="3857" xr:uid="{00000000-0005-0000-0000-0000880A0000}"/>
    <cellStyle name="Normal 3 2 4 2 3 6" xfId="1210" xr:uid="{00000000-0005-0000-0000-0000890A0000}"/>
    <cellStyle name="Normal 3 2 4 2 4" xfId="548" xr:uid="{00000000-0005-0000-0000-00008A0A0000}"/>
    <cellStyle name="Normal 3 2 4 2 4 2" xfId="3196" xr:uid="{00000000-0005-0000-0000-00008B0A0000}"/>
    <cellStyle name="Normal 3 2 4 2 4 2 2" xfId="5190" xr:uid="{00000000-0005-0000-0000-00008C0A0000}"/>
    <cellStyle name="Normal 3 2 4 2 4 3" xfId="2314" xr:uid="{00000000-0005-0000-0000-00008D0A0000}"/>
    <cellStyle name="Normal 3 2 4 2 4 3 2" xfId="5191" xr:uid="{00000000-0005-0000-0000-00008E0A0000}"/>
    <cellStyle name="Normal 3 2 4 2 4 4" xfId="4078" xr:uid="{00000000-0005-0000-0000-00008F0A0000}"/>
    <cellStyle name="Normal 3 2 4 2 4 5" xfId="1431" xr:uid="{00000000-0005-0000-0000-0000900A0000}"/>
    <cellStyle name="Normal 3 2 4 2 5" xfId="2755" xr:uid="{00000000-0005-0000-0000-0000910A0000}"/>
    <cellStyle name="Normal 3 2 4 2 5 2" xfId="5192" xr:uid="{00000000-0005-0000-0000-0000920A0000}"/>
    <cellStyle name="Normal 3 2 4 2 6" xfId="1873" xr:uid="{00000000-0005-0000-0000-0000930A0000}"/>
    <cellStyle name="Normal 3 2 4 2 6 2" xfId="5193" xr:uid="{00000000-0005-0000-0000-0000940A0000}"/>
    <cellStyle name="Normal 3 2 4 2 7" xfId="3637" xr:uid="{00000000-0005-0000-0000-0000950A0000}"/>
    <cellStyle name="Normal 3 2 4 2 8" xfId="990" xr:uid="{00000000-0005-0000-0000-0000960A0000}"/>
    <cellStyle name="Normal 3 2 4 3" xfId="151" xr:uid="{00000000-0005-0000-0000-0000970A0000}"/>
    <cellStyle name="Normal 3 2 4 3 2" xfId="371" xr:uid="{00000000-0005-0000-0000-0000980A0000}"/>
    <cellStyle name="Normal 3 2 4 3 2 2" xfId="812" xr:uid="{00000000-0005-0000-0000-0000990A0000}"/>
    <cellStyle name="Normal 3 2 4 3 2 2 2" xfId="3460" xr:uid="{00000000-0005-0000-0000-00009A0A0000}"/>
    <cellStyle name="Normal 3 2 4 3 2 2 2 2" xfId="5194" xr:uid="{00000000-0005-0000-0000-00009B0A0000}"/>
    <cellStyle name="Normal 3 2 4 3 2 2 3" xfId="2578" xr:uid="{00000000-0005-0000-0000-00009C0A0000}"/>
    <cellStyle name="Normal 3 2 4 3 2 2 3 2" xfId="5195" xr:uid="{00000000-0005-0000-0000-00009D0A0000}"/>
    <cellStyle name="Normal 3 2 4 3 2 2 4" xfId="4342" xr:uid="{00000000-0005-0000-0000-00009E0A0000}"/>
    <cellStyle name="Normal 3 2 4 3 2 2 5" xfId="1695" xr:uid="{00000000-0005-0000-0000-00009F0A0000}"/>
    <cellStyle name="Normal 3 2 4 3 2 3" xfId="3019" xr:uid="{00000000-0005-0000-0000-0000A00A0000}"/>
    <cellStyle name="Normal 3 2 4 3 2 3 2" xfId="5196" xr:uid="{00000000-0005-0000-0000-0000A10A0000}"/>
    <cellStyle name="Normal 3 2 4 3 2 4" xfId="2137" xr:uid="{00000000-0005-0000-0000-0000A20A0000}"/>
    <cellStyle name="Normal 3 2 4 3 2 4 2" xfId="5197" xr:uid="{00000000-0005-0000-0000-0000A30A0000}"/>
    <cellStyle name="Normal 3 2 4 3 2 5" xfId="3901" xr:uid="{00000000-0005-0000-0000-0000A40A0000}"/>
    <cellStyle name="Normal 3 2 4 3 2 6" xfId="1254" xr:uid="{00000000-0005-0000-0000-0000A50A0000}"/>
    <cellStyle name="Normal 3 2 4 3 3" xfId="592" xr:uid="{00000000-0005-0000-0000-0000A60A0000}"/>
    <cellStyle name="Normal 3 2 4 3 3 2" xfId="3240" xr:uid="{00000000-0005-0000-0000-0000A70A0000}"/>
    <cellStyle name="Normal 3 2 4 3 3 2 2" xfId="5198" xr:uid="{00000000-0005-0000-0000-0000A80A0000}"/>
    <cellStyle name="Normal 3 2 4 3 3 3" xfId="2358" xr:uid="{00000000-0005-0000-0000-0000A90A0000}"/>
    <cellStyle name="Normal 3 2 4 3 3 3 2" xfId="5199" xr:uid="{00000000-0005-0000-0000-0000AA0A0000}"/>
    <cellStyle name="Normal 3 2 4 3 3 4" xfId="4122" xr:uid="{00000000-0005-0000-0000-0000AB0A0000}"/>
    <cellStyle name="Normal 3 2 4 3 3 5" xfId="1475" xr:uid="{00000000-0005-0000-0000-0000AC0A0000}"/>
    <cellStyle name="Normal 3 2 4 3 4" xfId="2799" xr:uid="{00000000-0005-0000-0000-0000AD0A0000}"/>
    <cellStyle name="Normal 3 2 4 3 4 2" xfId="5200" xr:uid="{00000000-0005-0000-0000-0000AE0A0000}"/>
    <cellStyle name="Normal 3 2 4 3 5" xfId="1917" xr:uid="{00000000-0005-0000-0000-0000AF0A0000}"/>
    <cellStyle name="Normal 3 2 4 3 5 2" xfId="5201" xr:uid="{00000000-0005-0000-0000-0000B00A0000}"/>
    <cellStyle name="Normal 3 2 4 3 6" xfId="3681" xr:uid="{00000000-0005-0000-0000-0000B10A0000}"/>
    <cellStyle name="Normal 3 2 4 3 7" xfId="1034" xr:uid="{00000000-0005-0000-0000-0000B20A0000}"/>
    <cellStyle name="Normal 3 2 4 4" xfId="261" xr:uid="{00000000-0005-0000-0000-0000B30A0000}"/>
    <cellStyle name="Normal 3 2 4 4 2" xfId="702" xr:uid="{00000000-0005-0000-0000-0000B40A0000}"/>
    <cellStyle name="Normal 3 2 4 4 2 2" xfId="3350" xr:uid="{00000000-0005-0000-0000-0000B50A0000}"/>
    <cellStyle name="Normal 3 2 4 4 2 2 2" xfId="5202" xr:uid="{00000000-0005-0000-0000-0000B60A0000}"/>
    <cellStyle name="Normal 3 2 4 4 2 3" xfId="2468" xr:uid="{00000000-0005-0000-0000-0000B70A0000}"/>
    <cellStyle name="Normal 3 2 4 4 2 3 2" xfId="5203" xr:uid="{00000000-0005-0000-0000-0000B80A0000}"/>
    <cellStyle name="Normal 3 2 4 4 2 4" xfId="4232" xr:uid="{00000000-0005-0000-0000-0000B90A0000}"/>
    <cellStyle name="Normal 3 2 4 4 2 5" xfId="1585" xr:uid="{00000000-0005-0000-0000-0000BA0A0000}"/>
    <cellStyle name="Normal 3 2 4 4 3" xfId="2909" xr:uid="{00000000-0005-0000-0000-0000BB0A0000}"/>
    <cellStyle name="Normal 3 2 4 4 3 2" xfId="5204" xr:uid="{00000000-0005-0000-0000-0000BC0A0000}"/>
    <cellStyle name="Normal 3 2 4 4 4" xfId="2027" xr:uid="{00000000-0005-0000-0000-0000BD0A0000}"/>
    <cellStyle name="Normal 3 2 4 4 4 2" xfId="5205" xr:uid="{00000000-0005-0000-0000-0000BE0A0000}"/>
    <cellStyle name="Normal 3 2 4 4 5" xfId="3791" xr:uid="{00000000-0005-0000-0000-0000BF0A0000}"/>
    <cellStyle name="Normal 3 2 4 4 6" xfId="1144" xr:uid="{00000000-0005-0000-0000-0000C00A0000}"/>
    <cellStyle name="Normal 3 2 4 5" xfId="482" xr:uid="{00000000-0005-0000-0000-0000C10A0000}"/>
    <cellStyle name="Normal 3 2 4 5 2" xfId="3130" xr:uid="{00000000-0005-0000-0000-0000C20A0000}"/>
    <cellStyle name="Normal 3 2 4 5 2 2" xfId="5206" xr:uid="{00000000-0005-0000-0000-0000C30A0000}"/>
    <cellStyle name="Normal 3 2 4 5 3" xfId="2248" xr:uid="{00000000-0005-0000-0000-0000C40A0000}"/>
    <cellStyle name="Normal 3 2 4 5 3 2" xfId="5207" xr:uid="{00000000-0005-0000-0000-0000C50A0000}"/>
    <cellStyle name="Normal 3 2 4 5 4" xfId="4012" xr:uid="{00000000-0005-0000-0000-0000C60A0000}"/>
    <cellStyle name="Normal 3 2 4 5 5" xfId="1365" xr:uid="{00000000-0005-0000-0000-0000C70A0000}"/>
    <cellStyle name="Normal 3 2 4 6" xfId="2689" xr:uid="{00000000-0005-0000-0000-0000C80A0000}"/>
    <cellStyle name="Normal 3 2 4 6 2" xfId="5208" xr:uid="{00000000-0005-0000-0000-0000C90A0000}"/>
    <cellStyle name="Normal 3 2 4 7" xfId="1807" xr:uid="{00000000-0005-0000-0000-0000CA0A0000}"/>
    <cellStyle name="Normal 3 2 4 7 2" xfId="5209" xr:uid="{00000000-0005-0000-0000-0000CB0A0000}"/>
    <cellStyle name="Normal 3 2 4 8" xfId="3571" xr:uid="{00000000-0005-0000-0000-0000CC0A0000}"/>
    <cellStyle name="Normal 3 2 4 9" xfId="924" xr:uid="{00000000-0005-0000-0000-0000CD0A0000}"/>
    <cellStyle name="Normal 3 2 5" xfId="47" xr:uid="{00000000-0005-0000-0000-0000CE0A0000}"/>
    <cellStyle name="Normal 3 2 5 2" xfId="157" xr:uid="{00000000-0005-0000-0000-0000CF0A0000}"/>
    <cellStyle name="Normal 3 2 5 2 2" xfId="377" xr:uid="{00000000-0005-0000-0000-0000D00A0000}"/>
    <cellStyle name="Normal 3 2 5 2 2 2" xfId="818" xr:uid="{00000000-0005-0000-0000-0000D10A0000}"/>
    <cellStyle name="Normal 3 2 5 2 2 2 2" xfId="3466" xr:uid="{00000000-0005-0000-0000-0000D20A0000}"/>
    <cellStyle name="Normal 3 2 5 2 2 2 2 2" xfId="5210" xr:uid="{00000000-0005-0000-0000-0000D30A0000}"/>
    <cellStyle name="Normal 3 2 5 2 2 2 3" xfId="2584" xr:uid="{00000000-0005-0000-0000-0000D40A0000}"/>
    <cellStyle name="Normal 3 2 5 2 2 2 3 2" xfId="5211" xr:uid="{00000000-0005-0000-0000-0000D50A0000}"/>
    <cellStyle name="Normal 3 2 5 2 2 2 4" xfId="4348" xr:uid="{00000000-0005-0000-0000-0000D60A0000}"/>
    <cellStyle name="Normal 3 2 5 2 2 2 5" xfId="1701" xr:uid="{00000000-0005-0000-0000-0000D70A0000}"/>
    <cellStyle name="Normal 3 2 5 2 2 3" xfId="3025" xr:uid="{00000000-0005-0000-0000-0000D80A0000}"/>
    <cellStyle name="Normal 3 2 5 2 2 3 2" xfId="5212" xr:uid="{00000000-0005-0000-0000-0000D90A0000}"/>
    <cellStyle name="Normal 3 2 5 2 2 4" xfId="2143" xr:uid="{00000000-0005-0000-0000-0000DA0A0000}"/>
    <cellStyle name="Normal 3 2 5 2 2 4 2" xfId="5213" xr:uid="{00000000-0005-0000-0000-0000DB0A0000}"/>
    <cellStyle name="Normal 3 2 5 2 2 5" xfId="3907" xr:uid="{00000000-0005-0000-0000-0000DC0A0000}"/>
    <cellStyle name="Normal 3 2 5 2 2 6" xfId="1260" xr:uid="{00000000-0005-0000-0000-0000DD0A0000}"/>
    <cellStyle name="Normal 3 2 5 2 3" xfId="598" xr:uid="{00000000-0005-0000-0000-0000DE0A0000}"/>
    <cellStyle name="Normal 3 2 5 2 3 2" xfId="3246" xr:uid="{00000000-0005-0000-0000-0000DF0A0000}"/>
    <cellStyle name="Normal 3 2 5 2 3 2 2" xfId="5214" xr:uid="{00000000-0005-0000-0000-0000E00A0000}"/>
    <cellStyle name="Normal 3 2 5 2 3 3" xfId="2364" xr:uid="{00000000-0005-0000-0000-0000E10A0000}"/>
    <cellStyle name="Normal 3 2 5 2 3 3 2" xfId="5215" xr:uid="{00000000-0005-0000-0000-0000E20A0000}"/>
    <cellStyle name="Normal 3 2 5 2 3 4" xfId="4128" xr:uid="{00000000-0005-0000-0000-0000E30A0000}"/>
    <cellStyle name="Normal 3 2 5 2 3 5" xfId="1481" xr:uid="{00000000-0005-0000-0000-0000E40A0000}"/>
    <cellStyle name="Normal 3 2 5 2 4" xfId="2805" xr:uid="{00000000-0005-0000-0000-0000E50A0000}"/>
    <cellStyle name="Normal 3 2 5 2 4 2" xfId="5216" xr:uid="{00000000-0005-0000-0000-0000E60A0000}"/>
    <cellStyle name="Normal 3 2 5 2 5" xfId="1923" xr:uid="{00000000-0005-0000-0000-0000E70A0000}"/>
    <cellStyle name="Normal 3 2 5 2 5 2" xfId="5217" xr:uid="{00000000-0005-0000-0000-0000E80A0000}"/>
    <cellStyle name="Normal 3 2 5 2 6" xfId="3687" xr:uid="{00000000-0005-0000-0000-0000E90A0000}"/>
    <cellStyle name="Normal 3 2 5 2 7" xfId="1040" xr:uid="{00000000-0005-0000-0000-0000EA0A0000}"/>
    <cellStyle name="Normal 3 2 5 3" xfId="267" xr:uid="{00000000-0005-0000-0000-0000EB0A0000}"/>
    <cellStyle name="Normal 3 2 5 3 2" xfId="708" xr:uid="{00000000-0005-0000-0000-0000EC0A0000}"/>
    <cellStyle name="Normal 3 2 5 3 2 2" xfId="3356" xr:uid="{00000000-0005-0000-0000-0000ED0A0000}"/>
    <cellStyle name="Normal 3 2 5 3 2 2 2" xfId="5218" xr:uid="{00000000-0005-0000-0000-0000EE0A0000}"/>
    <cellStyle name="Normal 3 2 5 3 2 3" xfId="2474" xr:uid="{00000000-0005-0000-0000-0000EF0A0000}"/>
    <cellStyle name="Normal 3 2 5 3 2 3 2" xfId="5219" xr:uid="{00000000-0005-0000-0000-0000F00A0000}"/>
    <cellStyle name="Normal 3 2 5 3 2 4" xfId="4238" xr:uid="{00000000-0005-0000-0000-0000F10A0000}"/>
    <cellStyle name="Normal 3 2 5 3 2 5" xfId="1591" xr:uid="{00000000-0005-0000-0000-0000F20A0000}"/>
    <cellStyle name="Normal 3 2 5 3 3" xfId="2915" xr:uid="{00000000-0005-0000-0000-0000F30A0000}"/>
    <cellStyle name="Normal 3 2 5 3 3 2" xfId="5220" xr:uid="{00000000-0005-0000-0000-0000F40A0000}"/>
    <cellStyle name="Normal 3 2 5 3 4" xfId="2033" xr:uid="{00000000-0005-0000-0000-0000F50A0000}"/>
    <cellStyle name="Normal 3 2 5 3 4 2" xfId="5221" xr:uid="{00000000-0005-0000-0000-0000F60A0000}"/>
    <cellStyle name="Normal 3 2 5 3 5" xfId="3797" xr:uid="{00000000-0005-0000-0000-0000F70A0000}"/>
    <cellStyle name="Normal 3 2 5 3 6" xfId="1150" xr:uid="{00000000-0005-0000-0000-0000F80A0000}"/>
    <cellStyle name="Normal 3 2 5 4" xfId="488" xr:uid="{00000000-0005-0000-0000-0000F90A0000}"/>
    <cellStyle name="Normal 3 2 5 4 2" xfId="3136" xr:uid="{00000000-0005-0000-0000-0000FA0A0000}"/>
    <cellStyle name="Normal 3 2 5 4 2 2" xfId="5222" xr:uid="{00000000-0005-0000-0000-0000FB0A0000}"/>
    <cellStyle name="Normal 3 2 5 4 3" xfId="2254" xr:uid="{00000000-0005-0000-0000-0000FC0A0000}"/>
    <cellStyle name="Normal 3 2 5 4 3 2" xfId="5223" xr:uid="{00000000-0005-0000-0000-0000FD0A0000}"/>
    <cellStyle name="Normal 3 2 5 4 4" xfId="4018" xr:uid="{00000000-0005-0000-0000-0000FE0A0000}"/>
    <cellStyle name="Normal 3 2 5 4 5" xfId="1371" xr:uid="{00000000-0005-0000-0000-0000FF0A0000}"/>
    <cellStyle name="Normal 3 2 5 5" xfId="2695" xr:uid="{00000000-0005-0000-0000-0000000B0000}"/>
    <cellStyle name="Normal 3 2 5 5 2" xfId="5224" xr:uid="{00000000-0005-0000-0000-0000010B0000}"/>
    <cellStyle name="Normal 3 2 5 6" xfId="1813" xr:uid="{00000000-0005-0000-0000-0000020B0000}"/>
    <cellStyle name="Normal 3 2 5 6 2" xfId="5225" xr:uid="{00000000-0005-0000-0000-0000030B0000}"/>
    <cellStyle name="Normal 3 2 5 7" xfId="3577" xr:uid="{00000000-0005-0000-0000-0000040B0000}"/>
    <cellStyle name="Normal 3 2 5 8" xfId="930" xr:uid="{00000000-0005-0000-0000-0000050B0000}"/>
    <cellStyle name="Normal 3 2 6" xfId="63" xr:uid="{00000000-0005-0000-0000-0000060B0000}"/>
    <cellStyle name="Normal 3 2 6 2" xfId="173" xr:uid="{00000000-0005-0000-0000-0000070B0000}"/>
    <cellStyle name="Normal 3 2 6 2 2" xfId="393" xr:uid="{00000000-0005-0000-0000-0000080B0000}"/>
    <cellStyle name="Normal 3 2 6 2 2 2" xfId="834" xr:uid="{00000000-0005-0000-0000-0000090B0000}"/>
    <cellStyle name="Normal 3 2 6 2 2 2 2" xfId="3482" xr:uid="{00000000-0005-0000-0000-00000A0B0000}"/>
    <cellStyle name="Normal 3 2 6 2 2 2 2 2" xfId="5226" xr:uid="{00000000-0005-0000-0000-00000B0B0000}"/>
    <cellStyle name="Normal 3 2 6 2 2 2 3" xfId="2600" xr:uid="{00000000-0005-0000-0000-00000C0B0000}"/>
    <cellStyle name="Normal 3 2 6 2 2 2 3 2" xfId="5227" xr:uid="{00000000-0005-0000-0000-00000D0B0000}"/>
    <cellStyle name="Normal 3 2 6 2 2 2 4" xfId="4364" xr:uid="{00000000-0005-0000-0000-00000E0B0000}"/>
    <cellStyle name="Normal 3 2 6 2 2 2 5" xfId="1717" xr:uid="{00000000-0005-0000-0000-00000F0B0000}"/>
    <cellStyle name="Normal 3 2 6 2 2 3" xfId="3041" xr:uid="{00000000-0005-0000-0000-0000100B0000}"/>
    <cellStyle name="Normal 3 2 6 2 2 3 2" xfId="5228" xr:uid="{00000000-0005-0000-0000-0000110B0000}"/>
    <cellStyle name="Normal 3 2 6 2 2 4" xfId="2159" xr:uid="{00000000-0005-0000-0000-0000120B0000}"/>
    <cellStyle name="Normal 3 2 6 2 2 4 2" xfId="5229" xr:uid="{00000000-0005-0000-0000-0000130B0000}"/>
    <cellStyle name="Normal 3 2 6 2 2 5" xfId="3923" xr:uid="{00000000-0005-0000-0000-0000140B0000}"/>
    <cellStyle name="Normal 3 2 6 2 2 6" xfId="1276" xr:uid="{00000000-0005-0000-0000-0000150B0000}"/>
    <cellStyle name="Normal 3 2 6 2 3" xfId="614" xr:uid="{00000000-0005-0000-0000-0000160B0000}"/>
    <cellStyle name="Normal 3 2 6 2 3 2" xfId="3262" xr:uid="{00000000-0005-0000-0000-0000170B0000}"/>
    <cellStyle name="Normal 3 2 6 2 3 2 2" xfId="5230" xr:uid="{00000000-0005-0000-0000-0000180B0000}"/>
    <cellStyle name="Normal 3 2 6 2 3 3" xfId="2380" xr:uid="{00000000-0005-0000-0000-0000190B0000}"/>
    <cellStyle name="Normal 3 2 6 2 3 3 2" xfId="5231" xr:uid="{00000000-0005-0000-0000-00001A0B0000}"/>
    <cellStyle name="Normal 3 2 6 2 3 4" xfId="4144" xr:uid="{00000000-0005-0000-0000-00001B0B0000}"/>
    <cellStyle name="Normal 3 2 6 2 3 5" xfId="1497" xr:uid="{00000000-0005-0000-0000-00001C0B0000}"/>
    <cellStyle name="Normal 3 2 6 2 4" xfId="2821" xr:uid="{00000000-0005-0000-0000-00001D0B0000}"/>
    <cellStyle name="Normal 3 2 6 2 4 2" xfId="5232" xr:uid="{00000000-0005-0000-0000-00001E0B0000}"/>
    <cellStyle name="Normal 3 2 6 2 5" xfId="1939" xr:uid="{00000000-0005-0000-0000-00001F0B0000}"/>
    <cellStyle name="Normal 3 2 6 2 5 2" xfId="5233" xr:uid="{00000000-0005-0000-0000-0000200B0000}"/>
    <cellStyle name="Normal 3 2 6 2 6" xfId="3703" xr:uid="{00000000-0005-0000-0000-0000210B0000}"/>
    <cellStyle name="Normal 3 2 6 2 7" xfId="1056" xr:uid="{00000000-0005-0000-0000-0000220B0000}"/>
    <cellStyle name="Normal 3 2 6 3" xfId="283" xr:uid="{00000000-0005-0000-0000-0000230B0000}"/>
    <cellStyle name="Normal 3 2 6 3 2" xfId="724" xr:uid="{00000000-0005-0000-0000-0000240B0000}"/>
    <cellStyle name="Normal 3 2 6 3 2 2" xfId="3372" xr:uid="{00000000-0005-0000-0000-0000250B0000}"/>
    <cellStyle name="Normal 3 2 6 3 2 2 2" xfId="5234" xr:uid="{00000000-0005-0000-0000-0000260B0000}"/>
    <cellStyle name="Normal 3 2 6 3 2 3" xfId="2490" xr:uid="{00000000-0005-0000-0000-0000270B0000}"/>
    <cellStyle name="Normal 3 2 6 3 2 3 2" xfId="5235" xr:uid="{00000000-0005-0000-0000-0000280B0000}"/>
    <cellStyle name="Normal 3 2 6 3 2 4" xfId="4254" xr:uid="{00000000-0005-0000-0000-0000290B0000}"/>
    <cellStyle name="Normal 3 2 6 3 2 5" xfId="1607" xr:uid="{00000000-0005-0000-0000-00002A0B0000}"/>
    <cellStyle name="Normal 3 2 6 3 3" xfId="2931" xr:uid="{00000000-0005-0000-0000-00002B0B0000}"/>
    <cellStyle name="Normal 3 2 6 3 3 2" xfId="5236" xr:uid="{00000000-0005-0000-0000-00002C0B0000}"/>
    <cellStyle name="Normal 3 2 6 3 4" xfId="2049" xr:uid="{00000000-0005-0000-0000-00002D0B0000}"/>
    <cellStyle name="Normal 3 2 6 3 4 2" xfId="5237" xr:uid="{00000000-0005-0000-0000-00002E0B0000}"/>
    <cellStyle name="Normal 3 2 6 3 5" xfId="3813" xr:uid="{00000000-0005-0000-0000-00002F0B0000}"/>
    <cellStyle name="Normal 3 2 6 3 6" xfId="1166" xr:uid="{00000000-0005-0000-0000-0000300B0000}"/>
    <cellStyle name="Normal 3 2 6 4" xfId="504" xr:uid="{00000000-0005-0000-0000-0000310B0000}"/>
    <cellStyle name="Normal 3 2 6 4 2" xfId="3152" xr:uid="{00000000-0005-0000-0000-0000320B0000}"/>
    <cellStyle name="Normal 3 2 6 4 2 2" xfId="5238" xr:uid="{00000000-0005-0000-0000-0000330B0000}"/>
    <cellStyle name="Normal 3 2 6 4 3" xfId="2270" xr:uid="{00000000-0005-0000-0000-0000340B0000}"/>
    <cellStyle name="Normal 3 2 6 4 3 2" xfId="5239" xr:uid="{00000000-0005-0000-0000-0000350B0000}"/>
    <cellStyle name="Normal 3 2 6 4 4" xfId="4034" xr:uid="{00000000-0005-0000-0000-0000360B0000}"/>
    <cellStyle name="Normal 3 2 6 4 5" xfId="1387" xr:uid="{00000000-0005-0000-0000-0000370B0000}"/>
    <cellStyle name="Normal 3 2 6 5" xfId="2711" xr:uid="{00000000-0005-0000-0000-0000380B0000}"/>
    <cellStyle name="Normal 3 2 6 5 2" xfId="5240" xr:uid="{00000000-0005-0000-0000-0000390B0000}"/>
    <cellStyle name="Normal 3 2 6 6" xfId="1829" xr:uid="{00000000-0005-0000-0000-00003A0B0000}"/>
    <cellStyle name="Normal 3 2 6 6 2" xfId="5241" xr:uid="{00000000-0005-0000-0000-00003B0B0000}"/>
    <cellStyle name="Normal 3 2 6 7" xfId="3593" xr:uid="{00000000-0005-0000-0000-00003C0B0000}"/>
    <cellStyle name="Normal 3 2 6 8" xfId="946" xr:uid="{00000000-0005-0000-0000-00003D0B0000}"/>
    <cellStyle name="Normal 3 2 7" xfId="79" xr:uid="{00000000-0005-0000-0000-00003E0B0000}"/>
    <cellStyle name="Normal 3 2 7 2" xfId="189" xr:uid="{00000000-0005-0000-0000-00003F0B0000}"/>
    <cellStyle name="Normal 3 2 7 2 2" xfId="409" xr:uid="{00000000-0005-0000-0000-0000400B0000}"/>
    <cellStyle name="Normal 3 2 7 2 2 2" xfId="850" xr:uid="{00000000-0005-0000-0000-0000410B0000}"/>
    <cellStyle name="Normal 3 2 7 2 2 2 2" xfId="3498" xr:uid="{00000000-0005-0000-0000-0000420B0000}"/>
    <cellStyle name="Normal 3 2 7 2 2 2 2 2" xfId="5242" xr:uid="{00000000-0005-0000-0000-0000430B0000}"/>
    <cellStyle name="Normal 3 2 7 2 2 2 3" xfId="2616" xr:uid="{00000000-0005-0000-0000-0000440B0000}"/>
    <cellStyle name="Normal 3 2 7 2 2 2 3 2" xfId="5243" xr:uid="{00000000-0005-0000-0000-0000450B0000}"/>
    <cellStyle name="Normal 3 2 7 2 2 2 4" xfId="4380" xr:uid="{00000000-0005-0000-0000-0000460B0000}"/>
    <cellStyle name="Normal 3 2 7 2 2 2 5" xfId="1733" xr:uid="{00000000-0005-0000-0000-0000470B0000}"/>
    <cellStyle name="Normal 3 2 7 2 2 3" xfId="3057" xr:uid="{00000000-0005-0000-0000-0000480B0000}"/>
    <cellStyle name="Normal 3 2 7 2 2 3 2" xfId="5244" xr:uid="{00000000-0005-0000-0000-0000490B0000}"/>
    <cellStyle name="Normal 3 2 7 2 2 4" xfId="2175" xr:uid="{00000000-0005-0000-0000-00004A0B0000}"/>
    <cellStyle name="Normal 3 2 7 2 2 4 2" xfId="5245" xr:uid="{00000000-0005-0000-0000-00004B0B0000}"/>
    <cellStyle name="Normal 3 2 7 2 2 5" xfId="3939" xr:uid="{00000000-0005-0000-0000-00004C0B0000}"/>
    <cellStyle name="Normal 3 2 7 2 2 6" xfId="1292" xr:uid="{00000000-0005-0000-0000-00004D0B0000}"/>
    <cellStyle name="Normal 3 2 7 2 3" xfId="630" xr:uid="{00000000-0005-0000-0000-00004E0B0000}"/>
    <cellStyle name="Normal 3 2 7 2 3 2" xfId="3278" xr:uid="{00000000-0005-0000-0000-00004F0B0000}"/>
    <cellStyle name="Normal 3 2 7 2 3 2 2" xfId="5246" xr:uid="{00000000-0005-0000-0000-0000500B0000}"/>
    <cellStyle name="Normal 3 2 7 2 3 3" xfId="2396" xr:uid="{00000000-0005-0000-0000-0000510B0000}"/>
    <cellStyle name="Normal 3 2 7 2 3 3 2" xfId="5247" xr:uid="{00000000-0005-0000-0000-0000520B0000}"/>
    <cellStyle name="Normal 3 2 7 2 3 4" xfId="4160" xr:uid="{00000000-0005-0000-0000-0000530B0000}"/>
    <cellStyle name="Normal 3 2 7 2 3 5" xfId="1513" xr:uid="{00000000-0005-0000-0000-0000540B0000}"/>
    <cellStyle name="Normal 3 2 7 2 4" xfId="2837" xr:uid="{00000000-0005-0000-0000-0000550B0000}"/>
    <cellStyle name="Normal 3 2 7 2 4 2" xfId="5248" xr:uid="{00000000-0005-0000-0000-0000560B0000}"/>
    <cellStyle name="Normal 3 2 7 2 5" xfId="1955" xr:uid="{00000000-0005-0000-0000-0000570B0000}"/>
    <cellStyle name="Normal 3 2 7 2 5 2" xfId="5249" xr:uid="{00000000-0005-0000-0000-0000580B0000}"/>
    <cellStyle name="Normal 3 2 7 2 6" xfId="3719" xr:uid="{00000000-0005-0000-0000-0000590B0000}"/>
    <cellStyle name="Normal 3 2 7 2 7" xfId="1072" xr:uid="{00000000-0005-0000-0000-00005A0B0000}"/>
    <cellStyle name="Normal 3 2 7 3" xfId="299" xr:uid="{00000000-0005-0000-0000-00005B0B0000}"/>
    <cellStyle name="Normal 3 2 7 3 2" xfId="740" xr:uid="{00000000-0005-0000-0000-00005C0B0000}"/>
    <cellStyle name="Normal 3 2 7 3 2 2" xfId="3388" xr:uid="{00000000-0005-0000-0000-00005D0B0000}"/>
    <cellStyle name="Normal 3 2 7 3 2 2 2" xfId="5250" xr:uid="{00000000-0005-0000-0000-00005E0B0000}"/>
    <cellStyle name="Normal 3 2 7 3 2 3" xfId="2506" xr:uid="{00000000-0005-0000-0000-00005F0B0000}"/>
    <cellStyle name="Normal 3 2 7 3 2 3 2" xfId="5251" xr:uid="{00000000-0005-0000-0000-0000600B0000}"/>
    <cellStyle name="Normal 3 2 7 3 2 4" xfId="4270" xr:uid="{00000000-0005-0000-0000-0000610B0000}"/>
    <cellStyle name="Normal 3 2 7 3 2 5" xfId="1623" xr:uid="{00000000-0005-0000-0000-0000620B0000}"/>
    <cellStyle name="Normal 3 2 7 3 3" xfId="2947" xr:uid="{00000000-0005-0000-0000-0000630B0000}"/>
    <cellStyle name="Normal 3 2 7 3 3 2" xfId="5252" xr:uid="{00000000-0005-0000-0000-0000640B0000}"/>
    <cellStyle name="Normal 3 2 7 3 4" xfId="2065" xr:uid="{00000000-0005-0000-0000-0000650B0000}"/>
    <cellStyle name="Normal 3 2 7 3 4 2" xfId="5253" xr:uid="{00000000-0005-0000-0000-0000660B0000}"/>
    <cellStyle name="Normal 3 2 7 3 5" xfId="3829" xr:uid="{00000000-0005-0000-0000-0000670B0000}"/>
    <cellStyle name="Normal 3 2 7 3 6" xfId="1182" xr:uid="{00000000-0005-0000-0000-0000680B0000}"/>
    <cellStyle name="Normal 3 2 7 4" xfId="520" xr:uid="{00000000-0005-0000-0000-0000690B0000}"/>
    <cellStyle name="Normal 3 2 7 4 2" xfId="3168" xr:uid="{00000000-0005-0000-0000-00006A0B0000}"/>
    <cellStyle name="Normal 3 2 7 4 2 2" xfId="5254" xr:uid="{00000000-0005-0000-0000-00006B0B0000}"/>
    <cellStyle name="Normal 3 2 7 4 3" xfId="2286" xr:uid="{00000000-0005-0000-0000-00006C0B0000}"/>
    <cellStyle name="Normal 3 2 7 4 3 2" xfId="5255" xr:uid="{00000000-0005-0000-0000-00006D0B0000}"/>
    <cellStyle name="Normal 3 2 7 4 4" xfId="4050" xr:uid="{00000000-0005-0000-0000-00006E0B0000}"/>
    <cellStyle name="Normal 3 2 7 4 5" xfId="1403" xr:uid="{00000000-0005-0000-0000-00006F0B0000}"/>
    <cellStyle name="Normal 3 2 7 5" xfId="2727" xr:uid="{00000000-0005-0000-0000-0000700B0000}"/>
    <cellStyle name="Normal 3 2 7 5 2" xfId="5256" xr:uid="{00000000-0005-0000-0000-0000710B0000}"/>
    <cellStyle name="Normal 3 2 7 6" xfId="1845" xr:uid="{00000000-0005-0000-0000-0000720B0000}"/>
    <cellStyle name="Normal 3 2 7 6 2" xfId="5257" xr:uid="{00000000-0005-0000-0000-0000730B0000}"/>
    <cellStyle name="Normal 3 2 7 7" xfId="3609" xr:uid="{00000000-0005-0000-0000-0000740B0000}"/>
    <cellStyle name="Normal 3 2 7 8" xfId="962" xr:uid="{00000000-0005-0000-0000-0000750B0000}"/>
    <cellStyle name="Normal 3 2 8" xfId="123" xr:uid="{00000000-0005-0000-0000-0000760B0000}"/>
    <cellStyle name="Normal 3 2 8 2" xfId="343" xr:uid="{00000000-0005-0000-0000-0000770B0000}"/>
    <cellStyle name="Normal 3 2 8 2 2" xfId="784" xr:uid="{00000000-0005-0000-0000-0000780B0000}"/>
    <cellStyle name="Normal 3 2 8 2 2 2" xfId="3432" xr:uid="{00000000-0005-0000-0000-0000790B0000}"/>
    <cellStyle name="Normal 3 2 8 2 2 2 2" xfId="5258" xr:uid="{00000000-0005-0000-0000-00007A0B0000}"/>
    <cellStyle name="Normal 3 2 8 2 2 3" xfId="2550" xr:uid="{00000000-0005-0000-0000-00007B0B0000}"/>
    <cellStyle name="Normal 3 2 8 2 2 3 2" xfId="5259" xr:uid="{00000000-0005-0000-0000-00007C0B0000}"/>
    <cellStyle name="Normal 3 2 8 2 2 4" xfId="4314" xr:uid="{00000000-0005-0000-0000-00007D0B0000}"/>
    <cellStyle name="Normal 3 2 8 2 2 5" xfId="1667" xr:uid="{00000000-0005-0000-0000-00007E0B0000}"/>
    <cellStyle name="Normal 3 2 8 2 3" xfId="2991" xr:uid="{00000000-0005-0000-0000-00007F0B0000}"/>
    <cellStyle name="Normal 3 2 8 2 3 2" xfId="5260" xr:uid="{00000000-0005-0000-0000-0000800B0000}"/>
    <cellStyle name="Normal 3 2 8 2 4" xfId="2109" xr:uid="{00000000-0005-0000-0000-0000810B0000}"/>
    <cellStyle name="Normal 3 2 8 2 4 2" xfId="5261" xr:uid="{00000000-0005-0000-0000-0000820B0000}"/>
    <cellStyle name="Normal 3 2 8 2 5" xfId="3873" xr:uid="{00000000-0005-0000-0000-0000830B0000}"/>
    <cellStyle name="Normal 3 2 8 2 6" xfId="1226" xr:uid="{00000000-0005-0000-0000-0000840B0000}"/>
    <cellStyle name="Normal 3 2 8 3" xfId="564" xr:uid="{00000000-0005-0000-0000-0000850B0000}"/>
    <cellStyle name="Normal 3 2 8 3 2" xfId="3212" xr:uid="{00000000-0005-0000-0000-0000860B0000}"/>
    <cellStyle name="Normal 3 2 8 3 2 2" xfId="5262" xr:uid="{00000000-0005-0000-0000-0000870B0000}"/>
    <cellStyle name="Normal 3 2 8 3 3" xfId="2330" xr:uid="{00000000-0005-0000-0000-0000880B0000}"/>
    <cellStyle name="Normal 3 2 8 3 3 2" xfId="5263" xr:uid="{00000000-0005-0000-0000-0000890B0000}"/>
    <cellStyle name="Normal 3 2 8 3 4" xfId="4094" xr:uid="{00000000-0005-0000-0000-00008A0B0000}"/>
    <cellStyle name="Normal 3 2 8 3 5" xfId="1447" xr:uid="{00000000-0005-0000-0000-00008B0B0000}"/>
    <cellStyle name="Normal 3 2 8 4" xfId="2771" xr:uid="{00000000-0005-0000-0000-00008C0B0000}"/>
    <cellStyle name="Normal 3 2 8 4 2" xfId="5264" xr:uid="{00000000-0005-0000-0000-00008D0B0000}"/>
    <cellStyle name="Normal 3 2 8 5" xfId="1889" xr:uid="{00000000-0005-0000-0000-00008E0B0000}"/>
    <cellStyle name="Normal 3 2 8 5 2" xfId="5265" xr:uid="{00000000-0005-0000-0000-00008F0B0000}"/>
    <cellStyle name="Normal 3 2 8 6" xfId="3653" xr:uid="{00000000-0005-0000-0000-0000900B0000}"/>
    <cellStyle name="Normal 3 2 8 7" xfId="1006" xr:uid="{00000000-0005-0000-0000-0000910B0000}"/>
    <cellStyle name="Normal 3 2 9" xfId="233" xr:uid="{00000000-0005-0000-0000-0000920B0000}"/>
    <cellStyle name="Normal 3 2 9 2" xfId="674" xr:uid="{00000000-0005-0000-0000-0000930B0000}"/>
    <cellStyle name="Normal 3 2 9 2 2" xfId="3322" xr:uid="{00000000-0005-0000-0000-0000940B0000}"/>
    <cellStyle name="Normal 3 2 9 2 2 2" xfId="5266" xr:uid="{00000000-0005-0000-0000-0000950B0000}"/>
    <cellStyle name="Normal 3 2 9 2 3" xfId="2440" xr:uid="{00000000-0005-0000-0000-0000960B0000}"/>
    <cellStyle name="Normal 3 2 9 2 3 2" xfId="5267" xr:uid="{00000000-0005-0000-0000-0000970B0000}"/>
    <cellStyle name="Normal 3 2 9 2 4" xfId="4204" xr:uid="{00000000-0005-0000-0000-0000980B0000}"/>
    <cellStyle name="Normal 3 2 9 2 5" xfId="1557" xr:uid="{00000000-0005-0000-0000-0000990B0000}"/>
    <cellStyle name="Normal 3 2 9 3" xfId="2881" xr:uid="{00000000-0005-0000-0000-00009A0B0000}"/>
    <cellStyle name="Normal 3 2 9 3 2" xfId="5268" xr:uid="{00000000-0005-0000-0000-00009B0B0000}"/>
    <cellStyle name="Normal 3 2 9 4" xfId="1999" xr:uid="{00000000-0005-0000-0000-00009C0B0000}"/>
    <cellStyle name="Normal 3 2 9 4 2" xfId="5269" xr:uid="{00000000-0005-0000-0000-00009D0B0000}"/>
    <cellStyle name="Normal 3 2 9 5" xfId="3763" xr:uid="{00000000-0005-0000-0000-00009E0B0000}"/>
    <cellStyle name="Normal 3 2 9 6" xfId="1116" xr:uid="{00000000-0005-0000-0000-00009F0B0000}"/>
    <cellStyle name="Normal 3 20" xfId="893" xr:uid="{00000000-0005-0000-0000-0000A00B0000}"/>
    <cellStyle name="Normal 3 3" xfId="15" xr:uid="{00000000-0005-0000-0000-0000A10B0000}"/>
    <cellStyle name="Normal 3 3 10" xfId="3545" xr:uid="{00000000-0005-0000-0000-0000A20B0000}"/>
    <cellStyle name="Normal 3 3 11" xfId="898" xr:uid="{00000000-0005-0000-0000-0000A30B0000}"/>
    <cellStyle name="Normal 3 3 2" xfId="49" xr:uid="{00000000-0005-0000-0000-0000A40B0000}"/>
    <cellStyle name="Normal 3 3 2 2" xfId="159" xr:uid="{00000000-0005-0000-0000-0000A50B0000}"/>
    <cellStyle name="Normal 3 3 2 2 2" xfId="379" xr:uid="{00000000-0005-0000-0000-0000A60B0000}"/>
    <cellStyle name="Normal 3 3 2 2 2 2" xfId="820" xr:uid="{00000000-0005-0000-0000-0000A70B0000}"/>
    <cellStyle name="Normal 3 3 2 2 2 2 2" xfId="3468" xr:uid="{00000000-0005-0000-0000-0000A80B0000}"/>
    <cellStyle name="Normal 3 3 2 2 2 2 2 2" xfId="5270" xr:uid="{00000000-0005-0000-0000-0000A90B0000}"/>
    <cellStyle name="Normal 3 3 2 2 2 2 3" xfId="2586" xr:uid="{00000000-0005-0000-0000-0000AA0B0000}"/>
    <cellStyle name="Normal 3 3 2 2 2 2 3 2" xfId="5271" xr:uid="{00000000-0005-0000-0000-0000AB0B0000}"/>
    <cellStyle name="Normal 3 3 2 2 2 2 4" xfId="4350" xr:uid="{00000000-0005-0000-0000-0000AC0B0000}"/>
    <cellStyle name="Normal 3 3 2 2 2 2 5" xfId="1703" xr:uid="{00000000-0005-0000-0000-0000AD0B0000}"/>
    <cellStyle name="Normal 3 3 2 2 2 3" xfId="3027" xr:uid="{00000000-0005-0000-0000-0000AE0B0000}"/>
    <cellStyle name="Normal 3 3 2 2 2 3 2" xfId="5272" xr:uid="{00000000-0005-0000-0000-0000AF0B0000}"/>
    <cellStyle name="Normal 3 3 2 2 2 4" xfId="2145" xr:uid="{00000000-0005-0000-0000-0000B00B0000}"/>
    <cellStyle name="Normal 3 3 2 2 2 4 2" xfId="5273" xr:uid="{00000000-0005-0000-0000-0000B10B0000}"/>
    <cellStyle name="Normal 3 3 2 2 2 5" xfId="3909" xr:uid="{00000000-0005-0000-0000-0000B20B0000}"/>
    <cellStyle name="Normal 3 3 2 2 2 6" xfId="1262" xr:uid="{00000000-0005-0000-0000-0000B30B0000}"/>
    <cellStyle name="Normal 3 3 2 2 3" xfId="600" xr:uid="{00000000-0005-0000-0000-0000B40B0000}"/>
    <cellStyle name="Normal 3 3 2 2 3 2" xfId="3248" xr:uid="{00000000-0005-0000-0000-0000B50B0000}"/>
    <cellStyle name="Normal 3 3 2 2 3 2 2" xfId="5274" xr:uid="{00000000-0005-0000-0000-0000B60B0000}"/>
    <cellStyle name="Normal 3 3 2 2 3 3" xfId="2366" xr:uid="{00000000-0005-0000-0000-0000B70B0000}"/>
    <cellStyle name="Normal 3 3 2 2 3 3 2" xfId="5275" xr:uid="{00000000-0005-0000-0000-0000B80B0000}"/>
    <cellStyle name="Normal 3 3 2 2 3 4" xfId="4130" xr:uid="{00000000-0005-0000-0000-0000B90B0000}"/>
    <cellStyle name="Normal 3 3 2 2 3 5" xfId="1483" xr:uid="{00000000-0005-0000-0000-0000BA0B0000}"/>
    <cellStyle name="Normal 3 3 2 2 4" xfId="2807" xr:uid="{00000000-0005-0000-0000-0000BB0B0000}"/>
    <cellStyle name="Normal 3 3 2 2 4 2" xfId="5276" xr:uid="{00000000-0005-0000-0000-0000BC0B0000}"/>
    <cellStyle name="Normal 3 3 2 2 5" xfId="1925" xr:uid="{00000000-0005-0000-0000-0000BD0B0000}"/>
    <cellStyle name="Normal 3 3 2 2 5 2" xfId="5277" xr:uid="{00000000-0005-0000-0000-0000BE0B0000}"/>
    <cellStyle name="Normal 3 3 2 2 6" xfId="3689" xr:uid="{00000000-0005-0000-0000-0000BF0B0000}"/>
    <cellStyle name="Normal 3 3 2 2 7" xfId="1042" xr:uid="{00000000-0005-0000-0000-0000C00B0000}"/>
    <cellStyle name="Normal 3 3 2 3" xfId="269" xr:uid="{00000000-0005-0000-0000-0000C10B0000}"/>
    <cellStyle name="Normal 3 3 2 3 2" xfId="710" xr:uid="{00000000-0005-0000-0000-0000C20B0000}"/>
    <cellStyle name="Normal 3 3 2 3 2 2" xfId="3358" xr:uid="{00000000-0005-0000-0000-0000C30B0000}"/>
    <cellStyle name="Normal 3 3 2 3 2 2 2" xfId="5278" xr:uid="{00000000-0005-0000-0000-0000C40B0000}"/>
    <cellStyle name="Normal 3 3 2 3 2 3" xfId="2476" xr:uid="{00000000-0005-0000-0000-0000C50B0000}"/>
    <cellStyle name="Normal 3 3 2 3 2 3 2" xfId="5279" xr:uid="{00000000-0005-0000-0000-0000C60B0000}"/>
    <cellStyle name="Normal 3 3 2 3 2 4" xfId="4240" xr:uid="{00000000-0005-0000-0000-0000C70B0000}"/>
    <cellStyle name="Normal 3 3 2 3 2 5" xfId="1593" xr:uid="{00000000-0005-0000-0000-0000C80B0000}"/>
    <cellStyle name="Normal 3 3 2 3 3" xfId="2917" xr:uid="{00000000-0005-0000-0000-0000C90B0000}"/>
    <cellStyle name="Normal 3 3 2 3 3 2" xfId="5280" xr:uid="{00000000-0005-0000-0000-0000CA0B0000}"/>
    <cellStyle name="Normal 3 3 2 3 4" xfId="2035" xr:uid="{00000000-0005-0000-0000-0000CB0B0000}"/>
    <cellStyle name="Normal 3 3 2 3 4 2" xfId="5281" xr:uid="{00000000-0005-0000-0000-0000CC0B0000}"/>
    <cellStyle name="Normal 3 3 2 3 5" xfId="3799" xr:uid="{00000000-0005-0000-0000-0000CD0B0000}"/>
    <cellStyle name="Normal 3 3 2 3 6" xfId="1152" xr:uid="{00000000-0005-0000-0000-0000CE0B0000}"/>
    <cellStyle name="Normal 3 3 2 4" xfId="490" xr:uid="{00000000-0005-0000-0000-0000CF0B0000}"/>
    <cellStyle name="Normal 3 3 2 4 2" xfId="3138" xr:uid="{00000000-0005-0000-0000-0000D00B0000}"/>
    <cellStyle name="Normal 3 3 2 4 2 2" xfId="5282" xr:uid="{00000000-0005-0000-0000-0000D10B0000}"/>
    <cellStyle name="Normal 3 3 2 4 3" xfId="2256" xr:uid="{00000000-0005-0000-0000-0000D20B0000}"/>
    <cellStyle name="Normal 3 3 2 4 3 2" xfId="5283" xr:uid="{00000000-0005-0000-0000-0000D30B0000}"/>
    <cellStyle name="Normal 3 3 2 4 4" xfId="4020" xr:uid="{00000000-0005-0000-0000-0000D40B0000}"/>
    <cellStyle name="Normal 3 3 2 4 5" xfId="1373" xr:uid="{00000000-0005-0000-0000-0000D50B0000}"/>
    <cellStyle name="Normal 3 3 2 5" xfId="2697" xr:uid="{00000000-0005-0000-0000-0000D60B0000}"/>
    <cellStyle name="Normal 3 3 2 5 2" xfId="5284" xr:uid="{00000000-0005-0000-0000-0000D70B0000}"/>
    <cellStyle name="Normal 3 3 2 6" xfId="1815" xr:uid="{00000000-0005-0000-0000-0000D80B0000}"/>
    <cellStyle name="Normal 3 3 2 6 2" xfId="5285" xr:uid="{00000000-0005-0000-0000-0000D90B0000}"/>
    <cellStyle name="Normal 3 3 2 7" xfId="3579" xr:uid="{00000000-0005-0000-0000-0000DA0B0000}"/>
    <cellStyle name="Normal 3 3 2 8" xfId="932" xr:uid="{00000000-0005-0000-0000-0000DB0B0000}"/>
    <cellStyle name="Normal 3 3 3" xfId="65" xr:uid="{00000000-0005-0000-0000-0000DC0B0000}"/>
    <cellStyle name="Normal 3 3 3 2" xfId="175" xr:uid="{00000000-0005-0000-0000-0000DD0B0000}"/>
    <cellStyle name="Normal 3 3 3 2 2" xfId="395" xr:uid="{00000000-0005-0000-0000-0000DE0B0000}"/>
    <cellStyle name="Normal 3 3 3 2 2 2" xfId="836" xr:uid="{00000000-0005-0000-0000-0000DF0B0000}"/>
    <cellStyle name="Normal 3 3 3 2 2 2 2" xfId="3484" xr:uid="{00000000-0005-0000-0000-0000E00B0000}"/>
    <cellStyle name="Normal 3 3 3 2 2 2 2 2" xfId="5286" xr:uid="{00000000-0005-0000-0000-0000E10B0000}"/>
    <cellStyle name="Normal 3 3 3 2 2 2 3" xfId="2602" xr:uid="{00000000-0005-0000-0000-0000E20B0000}"/>
    <cellStyle name="Normal 3 3 3 2 2 2 3 2" xfId="5287" xr:uid="{00000000-0005-0000-0000-0000E30B0000}"/>
    <cellStyle name="Normal 3 3 3 2 2 2 4" xfId="4366" xr:uid="{00000000-0005-0000-0000-0000E40B0000}"/>
    <cellStyle name="Normal 3 3 3 2 2 2 5" xfId="1719" xr:uid="{00000000-0005-0000-0000-0000E50B0000}"/>
    <cellStyle name="Normal 3 3 3 2 2 3" xfId="3043" xr:uid="{00000000-0005-0000-0000-0000E60B0000}"/>
    <cellStyle name="Normal 3 3 3 2 2 3 2" xfId="5288" xr:uid="{00000000-0005-0000-0000-0000E70B0000}"/>
    <cellStyle name="Normal 3 3 3 2 2 4" xfId="2161" xr:uid="{00000000-0005-0000-0000-0000E80B0000}"/>
    <cellStyle name="Normal 3 3 3 2 2 4 2" xfId="5289" xr:uid="{00000000-0005-0000-0000-0000E90B0000}"/>
    <cellStyle name="Normal 3 3 3 2 2 5" xfId="3925" xr:uid="{00000000-0005-0000-0000-0000EA0B0000}"/>
    <cellStyle name="Normal 3 3 3 2 2 6" xfId="1278" xr:uid="{00000000-0005-0000-0000-0000EB0B0000}"/>
    <cellStyle name="Normal 3 3 3 2 3" xfId="616" xr:uid="{00000000-0005-0000-0000-0000EC0B0000}"/>
    <cellStyle name="Normal 3 3 3 2 3 2" xfId="3264" xr:uid="{00000000-0005-0000-0000-0000ED0B0000}"/>
    <cellStyle name="Normal 3 3 3 2 3 2 2" xfId="5290" xr:uid="{00000000-0005-0000-0000-0000EE0B0000}"/>
    <cellStyle name="Normal 3 3 3 2 3 3" xfId="2382" xr:uid="{00000000-0005-0000-0000-0000EF0B0000}"/>
    <cellStyle name="Normal 3 3 3 2 3 3 2" xfId="5291" xr:uid="{00000000-0005-0000-0000-0000F00B0000}"/>
    <cellStyle name="Normal 3 3 3 2 3 4" xfId="4146" xr:uid="{00000000-0005-0000-0000-0000F10B0000}"/>
    <cellStyle name="Normal 3 3 3 2 3 5" xfId="1499" xr:uid="{00000000-0005-0000-0000-0000F20B0000}"/>
    <cellStyle name="Normal 3 3 3 2 4" xfId="2823" xr:uid="{00000000-0005-0000-0000-0000F30B0000}"/>
    <cellStyle name="Normal 3 3 3 2 4 2" xfId="5292" xr:uid="{00000000-0005-0000-0000-0000F40B0000}"/>
    <cellStyle name="Normal 3 3 3 2 5" xfId="1941" xr:uid="{00000000-0005-0000-0000-0000F50B0000}"/>
    <cellStyle name="Normal 3 3 3 2 5 2" xfId="5293" xr:uid="{00000000-0005-0000-0000-0000F60B0000}"/>
    <cellStyle name="Normal 3 3 3 2 6" xfId="3705" xr:uid="{00000000-0005-0000-0000-0000F70B0000}"/>
    <cellStyle name="Normal 3 3 3 2 7" xfId="1058" xr:uid="{00000000-0005-0000-0000-0000F80B0000}"/>
    <cellStyle name="Normal 3 3 3 3" xfId="285" xr:uid="{00000000-0005-0000-0000-0000F90B0000}"/>
    <cellStyle name="Normal 3 3 3 3 2" xfId="726" xr:uid="{00000000-0005-0000-0000-0000FA0B0000}"/>
    <cellStyle name="Normal 3 3 3 3 2 2" xfId="3374" xr:uid="{00000000-0005-0000-0000-0000FB0B0000}"/>
    <cellStyle name="Normal 3 3 3 3 2 2 2" xfId="5294" xr:uid="{00000000-0005-0000-0000-0000FC0B0000}"/>
    <cellStyle name="Normal 3 3 3 3 2 3" xfId="2492" xr:uid="{00000000-0005-0000-0000-0000FD0B0000}"/>
    <cellStyle name="Normal 3 3 3 3 2 3 2" xfId="5295" xr:uid="{00000000-0005-0000-0000-0000FE0B0000}"/>
    <cellStyle name="Normal 3 3 3 3 2 4" xfId="4256" xr:uid="{00000000-0005-0000-0000-0000FF0B0000}"/>
    <cellStyle name="Normal 3 3 3 3 2 5" xfId="1609" xr:uid="{00000000-0005-0000-0000-0000000C0000}"/>
    <cellStyle name="Normal 3 3 3 3 3" xfId="2933" xr:uid="{00000000-0005-0000-0000-0000010C0000}"/>
    <cellStyle name="Normal 3 3 3 3 3 2" xfId="5296" xr:uid="{00000000-0005-0000-0000-0000020C0000}"/>
    <cellStyle name="Normal 3 3 3 3 4" xfId="2051" xr:uid="{00000000-0005-0000-0000-0000030C0000}"/>
    <cellStyle name="Normal 3 3 3 3 4 2" xfId="5297" xr:uid="{00000000-0005-0000-0000-0000040C0000}"/>
    <cellStyle name="Normal 3 3 3 3 5" xfId="3815" xr:uid="{00000000-0005-0000-0000-0000050C0000}"/>
    <cellStyle name="Normal 3 3 3 3 6" xfId="1168" xr:uid="{00000000-0005-0000-0000-0000060C0000}"/>
    <cellStyle name="Normal 3 3 3 4" xfId="506" xr:uid="{00000000-0005-0000-0000-0000070C0000}"/>
    <cellStyle name="Normal 3 3 3 4 2" xfId="3154" xr:uid="{00000000-0005-0000-0000-0000080C0000}"/>
    <cellStyle name="Normal 3 3 3 4 2 2" xfId="5298" xr:uid="{00000000-0005-0000-0000-0000090C0000}"/>
    <cellStyle name="Normal 3 3 3 4 3" xfId="2272" xr:uid="{00000000-0005-0000-0000-00000A0C0000}"/>
    <cellStyle name="Normal 3 3 3 4 3 2" xfId="5299" xr:uid="{00000000-0005-0000-0000-00000B0C0000}"/>
    <cellStyle name="Normal 3 3 3 4 4" xfId="4036" xr:uid="{00000000-0005-0000-0000-00000C0C0000}"/>
    <cellStyle name="Normal 3 3 3 4 5" xfId="1389" xr:uid="{00000000-0005-0000-0000-00000D0C0000}"/>
    <cellStyle name="Normal 3 3 3 5" xfId="2713" xr:uid="{00000000-0005-0000-0000-00000E0C0000}"/>
    <cellStyle name="Normal 3 3 3 5 2" xfId="5300" xr:uid="{00000000-0005-0000-0000-00000F0C0000}"/>
    <cellStyle name="Normal 3 3 3 6" xfId="1831" xr:uid="{00000000-0005-0000-0000-0000100C0000}"/>
    <cellStyle name="Normal 3 3 3 6 2" xfId="5301" xr:uid="{00000000-0005-0000-0000-0000110C0000}"/>
    <cellStyle name="Normal 3 3 3 7" xfId="3595" xr:uid="{00000000-0005-0000-0000-0000120C0000}"/>
    <cellStyle name="Normal 3 3 3 8" xfId="948" xr:uid="{00000000-0005-0000-0000-0000130C0000}"/>
    <cellStyle name="Normal 3 3 4" xfId="81" xr:uid="{00000000-0005-0000-0000-0000140C0000}"/>
    <cellStyle name="Normal 3 3 4 2" xfId="191" xr:uid="{00000000-0005-0000-0000-0000150C0000}"/>
    <cellStyle name="Normal 3 3 4 2 2" xfId="411" xr:uid="{00000000-0005-0000-0000-0000160C0000}"/>
    <cellStyle name="Normal 3 3 4 2 2 2" xfId="852" xr:uid="{00000000-0005-0000-0000-0000170C0000}"/>
    <cellStyle name="Normal 3 3 4 2 2 2 2" xfId="3500" xr:uid="{00000000-0005-0000-0000-0000180C0000}"/>
    <cellStyle name="Normal 3 3 4 2 2 2 2 2" xfId="5302" xr:uid="{00000000-0005-0000-0000-0000190C0000}"/>
    <cellStyle name="Normal 3 3 4 2 2 2 3" xfId="2618" xr:uid="{00000000-0005-0000-0000-00001A0C0000}"/>
    <cellStyle name="Normal 3 3 4 2 2 2 3 2" xfId="5303" xr:uid="{00000000-0005-0000-0000-00001B0C0000}"/>
    <cellStyle name="Normal 3 3 4 2 2 2 4" xfId="4382" xr:uid="{00000000-0005-0000-0000-00001C0C0000}"/>
    <cellStyle name="Normal 3 3 4 2 2 2 5" xfId="1735" xr:uid="{00000000-0005-0000-0000-00001D0C0000}"/>
    <cellStyle name="Normal 3 3 4 2 2 3" xfId="3059" xr:uid="{00000000-0005-0000-0000-00001E0C0000}"/>
    <cellStyle name="Normal 3 3 4 2 2 3 2" xfId="5304" xr:uid="{00000000-0005-0000-0000-00001F0C0000}"/>
    <cellStyle name="Normal 3 3 4 2 2 4" xfId="2177" xr:uid="{00000000-0005-0000-0000-0000200C0000}"/>
    <cellStyle name="Normal 3 3 4 2 2 4 2" xfId="5305" xr:uid="{00000000-0005-0000-0000-0000210C0000}"/>
    <cellStyle name="Normal 3 3 4 2 2 5" xfId="3941" xr:uid="{00000000-0005-0000-0000-0000220C0000}"/>
    <cellStyle name="Normal 3 3 4 2 2 6" xfId="1294" xr:uid="{00000000-0005-0000-0000-0000230C0000}"/>
    <cellStyle name="Normal 3 3 4 2 3" xfId="632" xr:uid="{00000000-0005-0000-0000-0000240C0000}"/>
    <cellStyle name="Normal 3 3 4 2 3 2" xfId="3280" xr:uid="{00000000-0005-0000-0000-0000250C0000}"/>
    <cellStyle name="Normal 3 3 4 2 3 2 2" xfId="5306" xr:uid="{00000000-0005-0000-0000-0000260C0000}"/>
    <cellStyle name="Normal 3 3 4 2 3 3" xfId="2398" xr:uid="{00000000-0005-0000-0000-0000270C0000}"/>
    <cellStyle name="Normal 3 3 4 2 3 3 2" xfId="5307" xr:uid="{00000000-0005-0000-0000-0000280C0000}"/>
    <cellStyle name="Normal 3 3 4 2 3 4" xfId="4162" xr:uid="{00000000-0005-0000-0000-0000290C0000}"/>
    <cellStyle name="Normal 3 3 4 2 3 5" xfId="1515" xr:uid="{00000000-0005-0000-0000-00002A0C0000}"/>
    <cellStyle name="Normal 3 3 4 2 4" xfId="2839" xr:uid="{00000000-0005-0000-0000-00002B0C0000}"/>
    <cellStyle name="Normal 3 3 4 2 4 2" xfId="5308" xr:uid="{00000000-0005-0000-0000-00002C0C0000}"/>
    <cellStyle name="Normal 3 3 4 2 5" xfId="1957" xr:uid="{00000000-0005-0000-0000-00002D0C0000}"/>
    <cellStyle name="Normal 3 3 4 2 5 2" xfId="5309" xr:uid="{00000000-0005-0000-0000-00002E0C0000}"/>
    <cellStyle name="Normal 3 3 4 2 6" xfId="3721" xr:uid="{00000000-0005-0000-0000-00002F0C0000}"/>
    <cellStyle name="Normal 3 3 4 2 7" xfId="1074" xr:uid="{00000000-0005-0000-0000-0000300C0000}"/>
    <cellStyle name="Normal 3 3 4 3" xfId="301" xr:uid="{00000000-0005-0000-0000-0000310C0000}"/>
    <cellStyle name="Normal 3 3 4 3 2" xfId="742" xr:uid="{00000000-0005-0000-0000-0000320C0000}"/>
    <cellStyle name="Normal 3 3 4 3 2 2" xfId="3390" xr:uid="{00000000-0005-0000-0000-0000330C0000}"/>
    <cellStyle name="Normal 3 3 4 3 2 2 2" xfId="5310" xr:uid="{00000000-0005-0000-0000-0000340C0000}"/>
    <cellStyle name="Normal 3 3 4 3 2 3" xfId="2508" xr:uid="{00000000-0005-0000-0000-0000350C0000}"/>
    <cellStyle name="Normal 3 3 4 3 2 3 2" xfId="5311" xr:uid="{00000000-0005-0000-0000-0000360C0000}"/>
    <cellStyle name="Normal 3 3 4 3 2 4" xfId="4272" xr:uid="{00000000-0005-0000-0000-0000370C0000}"/>
    <cellStyle name="Normal 3 3 4 3 2 5" xfId="1625" xr:uid="{00000000-0005-0000-0000-0000380C0000}"/>
    <cellStyle name="Normal 3 3 4 3 3" xfId="2949" xr:uid="{00000000-0005-0000-0000-0000390C0000}"/>
    <cellStyle name="Normal 3 3 4 3 3 2" xfId="5312" xr:uid="{00000000-0005-0000-0000-00003A0C0000}"/>
    <cellStyle name="Normal 3 3 4 3 4" xfId="2067" xr:uid="{00000000-0005-0000-0000-00003B0C0000}"/>
    <cellStyle name="Normal 3 3 4 3 4 2" xfId="5313" xr:uid="{00000000-0005-0000-0000-00003C0C0000}"/>
    <cellStyle name="Normal 3 3 4 3 5" xfId="3831" xr:uid="{00000000-0005-0000-0000-00003D0C0000}"/>
    <cellStyle name="Normal 3 3 4 3 6" xfId="1184" xr:uid="{00000000-0005-0000-0000-00003E0C0000}"/>
    <cellStyle name="Normal 3 3 4 4" xfId="522" xr:uid="{00000000-0005-0000-0000-00003F0C0000}"/>
    <cellStyle name="Normal 3 3 4 4 2" xfId="3170" xr:uid="{00000000-0005-0000-0000-0000400C0000}"/>
    <cellStyle name="Normal 3 3 4 4 2 2" xfId="5314" xr:uid="{00000000-0005-0000-0000-0000410C0000}"/>
    <cellStyle name="Normal 3 3 4 4 3" xfId="2288" xr:uid="{00000000-0005-0000-0000-0000420C0000}"/>
    <cellStyle name="Normal 3 3 4 4 3 2" xfId="5315" xr:uid="{00000000-0005-0000-0000-0000430C0000}"/>
    <cellStyle name="Normal 3 3 4 4 4" xfId="4052" xr:uid="{00000000-0005-0000-0000-0000440C0000}"/>
    <cellStyle name="Normal 3 3 4 4 5" xfId="1405" xr:uid="{00000000-0005-0000-0000-0000450C0000}"/>
    <cellStyle name="Normal 3 3 4 5" xfId="2729" xr:uid="{00000000-0005-0000-0000-0000460C0000}"/>
    <cellStyle name="Normal 3 3 4 5 2" xfId="5316" xr:uid="{00000000-0005-0000-0000-0000470C0000}"/>
    <cellStyle name="Normal 3 3 4 6" xfId="1847" xr:uid="{00000000-0005-0000-0000-0000480C0000}"/>
    <cellStyle name="Normal 3 3 4 6 2" xfId="5317" xr:uid="{00000000-0005-0000-0000-0000490C0000}"/>
    <cellStyle name="Normal 3 3 4 7" xfId="3611" xr:uid="{00000000-0005-0000-0000-00004A0C0000}"/>
    <cellStyle name="Normal 3 3 4 8" xfId="964" xr:uid="{00000000-0005-0000-0000-00004B0C0000}"/>
    <cellStyle name="Normal 3 3 5" xfId="125" xr:uid="{00000000-0005-0000-0000-00004C0C0000}"/>
    <cellStyle name="Normal 3 3 5 2" xfId="345" xr:uid="{00000000-0005-0000-0000-00004D0C0000}"/>
    <cellStyle name="Normal 3 3 5 2 2" xfId="786" xr:uid="{00000000-0005-0000-0000-00004E0C0000}"/>
    <cellStyle name="Normal 3 3 5 2 2 2" xfId="3434" xr:uid="{00000000-0005-0000-0000-00004F0C0000}"/>
    <cellStyle name="Normal 3 3 5 2 2 2 2" xfId="5318" xr:uid="{00000000-0005-0000-0000-0000500C0000}"/>
    <cellStyle name="Normal 3 3 5 2 2 3" xfId="2552" xr:uid="{00000000-0005-0000-0000-0000510C0000}"/>
    <cellStyle name="Normal 3 3 5 2 2 3 2" xfId="5319" xr:uid="{00000000-0005-0000-0000-0000520C0000}"/>
    <cellStyle name="Normal 3 3 5 2 2 4" xfId="4316" xr:uid="{00000000-0005-0000-0000-0000530C0000}"/>
    <cellStyle name="Normal 3 3 5 2 2 5" xfId="1669" xr:uid="{00000000-0005-0000-0000-0000540C0000}"/>
    <cellStyle name="Normal 3 3 5 2 3" xfId="2993" xr:uid="{00000000-0005-0000-0000-0000550C0000}"/>
    <cellStyle name="Normal 3 3 5 2 3 2" xfId="5320" xr:uid="{00000000-0005-0000-0000-0000560C0000}"/>
    <cellStyle name="Normal 3 3 5 2 4" xfId="2111" xr:uid="{00000000-0005-0000-0000-0000570C0000}"/>
    <cellStyle name="Normal 3 3 5 2 4 2" xfId="5321" xr:uid="{00000000-0005-0000-0000-0000580C0000}"/>
    <cellStyle name="Normal 3 3 5 2 5" xfId="3875" xr:uid="{00000000-0005-0000-0000-0000590C0000}"/>
    <cellStyle name="Normal 3 3 5 2 6" xfId="1228" xr:uid="{00000000-0005-0000-0000-00005A0C0000}"/>
    <cellStyle name="Normal 3 3 5 3" xfId="566" xr:uid="{00000000-0005-0000-0000-00005B0C0000}"/>
    <cellStyle name="Normal 3 3 5 3 2" xfId="3214" xr:uid="{00000000-0005-0000-0000-00005C0C0000}"/>
    <cellStyle name="Normal 3 3 5 3 2 2" xfId="5322" xr:uid="{00000000-0005-0000-0000-00005D0C0000}"/>
    <cellStyle name="Normal 3 3 5 3 3" xfId="2332" xr:uid="{00000000-0005-0000-0000-00005E0C0000}"/>
    <cellStyle name="Normal 3 3 5 3 3 2" xfId="5323" xr:uid="{00000000-0005-0000-0000-00005F0C0000}"/>
    <cellStyle name="Normal 3 3 5 3 4" xfId="4096" xr:uid="{00000000-0005-0000-0000-0000600C0000}"/>
    <cellStyle name="Normal 3 3 5 3 5" xfId="1449" xr:uid="{00000000-0005-0000-0000-0000610C0000}"/>
    <cellStyle name="Normal 3 3 5 4" xfId="2773" xr:uid="{00000000-0005-0000-0000-0000620C0000}"/>
    <cellStyle name="Normal 3 3 5 4 2" xfId="5324" xr:uid="{00000000-0005-0000-0000-0000630C0000}"/>
    <cellStyle name="Normal 3 3 5 5" xfId="1891" xr:uid="{00000000-0005-0000-0000-0000640C0000}"/>
    <cellStyle name="Normal 3 3 5 5 2" xfId="5325" xr:uid="{00000000-0005-0000-0000-0000650C0000}"/>
    <cellStyle name="Normal 3 3 5 6" xfId="3655" xr:uid="{00000000-0005-0000-0000-0000660C0000}"/>
    <cellStyle name="Normal 3 3 5 7" xfId="1008" xr:uid="{00000000-0005-0000-0000-0000670C0000}"/>
    <cellStyle name="Normal 3 3 6" xfId="235" xr:uid="{00000000-0005-0000-0000-0000680C0000}"/>
    <cellStyle name="Normal 3 3 6 2" xfId="676" xr:uid="{00000000-0005-0000-0000-0000690C0000}"/>
    <cellStyle name="Normal 3 3 6 2 2" xfId="3324" xr:uid="{00000000-0005-0000-0000-00006A0C0000}"/>
    <cellStyle name="Normal 3 3 6 2 2 2" xfId="5326" xr:uid="{00000000-0005-0000-0000-00006B0C0000}"/>
    <cellStyle name="Normal 3 3 6 2 3" xfId="2442" xr:uid="{00000000-0005-0000-0000-00006C0C0000}"/>
    <cellStyle name="Normal 3 3 6 2 3 2" xfId="5327" xr:uid="{00000000-0005-0000-0000-00006D0C0000}"/>
    <cellStyle name="Normal 3 3 6 2 4" xfId="4206" xr:uid="{00000000-0005-0000-0000-00006E0C0000}"/>
    <cellStyle name="Normal 3 3 6 2 5" xfId="1559" xr:uid="{00000000-0005-0000-0000-00006F0C0000}"/>
    <cellStyle name="Normal 3 3 6 3" xfId="2883" xr:uid="{00000000-0005-0000-0000-0000700C0000}"/>
    <cellStyle name="Normal 3 3 6 3 2" xfId="5328" xr:uid="{00000000-0005-0000-0000-0000710C0000}"/>
    <cellStyle name="Normal 3 3 6 4" xfId="2001" xr:uid="{00000000-0005-0000-0000-0000720C0000}"/>
    <cellStyle name="Normal 3 3 6 4 2" xfId="5329" xr:uid="{00000000-0005-0000-0000-0000730C0000}"/>
    <cellStyle name="Normal 3 3 6 5" xfId="3765" xr:uid="{00000000-0005-0000-0000-0000740C0000}"/>
    <cellStyle name="Normal 3 3 6 6" xfId="1118" xr:uid="{00000000-0005-0000-0000-0000750C0000}"/>
    <cellStyle name="Normal 3 3 7" xfId="456" xr:uid="{00000000-0005-0000-0000-0000760C0000}"/>
    <cellStyle name="Normal 3 3 7 2" xfId="3104" xr:uid="{00000000-0005-0000-0000-0000770C0000}"/>
    <cellStyle name="Normal 3 3 7 2 2" xfId="5330" xr:uid="{00000000-0005-0000-0000-0000780C0000}"/>
    <cellStyle name="Normal 3 3 7 3" xfId="2222" xr:uid="{00000000-0005-0000-0000-0000790C0000}"/>
    <cellStyle name="Normal 3 3 7 3 2" xfId="5331" xr:uid="{00000000-0005-0000-0000-00007A0C0000}"/>
    <cellStyle name="Normal 3 3 7 4" xfId="3986" xr:uid="{00000000-0005-0000-0000-00007B0C0000}"/>
    <cellStyle name="Normal 3 3 7 5" xfId="1339" xr:uid="{00000000-0005-0000-0000-00007C0C0000}"/>
    <cellStyle name="Normal 3 3 8" xfId="2663" xr:uid="{00000000-0005-0000-0000-00007D0C0000}"/>
    <cellStyle name="Normal 3 3 8 2" xfId="5332" xr:uid="{00000000-0005-0000-0000-00007E0C0000}"/>
    <cellStyle name="Normal 3 3 9" xfId="1781" xr:uid="{00000000-0005-0000-0000-00007F0C0000}"/>
    <cellStyle name="Normal 3 3 9 2" xfId="5333" xr:uid="{00000000-0005-0000-0000-0000800C0000}"/>
    <cellStyle name="Normal 3 4" xfId="17" xr:uid="{00000000-0005-0000-0000-0000810C0000}"/>
    <cellStyle name="Normal 3 4 10" xfId="3547" xr:uid="{00000000-0005-0000-0000-0000820C0000}"/>
    <cellStyle name="Normal 3 4 11" xfId="900" xr:uid="{00000000-0005-0000-0000-0000830C0000}"/>
    <cellStyle name="Normal 3 4 2" xfId="51" xr:uid="{00000000-0005-0000-0000-0000840C0000}"/>
    <cellStyle name="Normal 3 4 2 2" xfId="161" xr:uid="{00000000-0005-0000-0000-0000850C0000}"/>
    <cellStyle name="Normal 3 4 2 2 2" xfId="381" xr:uid="{00000000-0005-0000-0000-0000860C0000}"/>
    <cellStyle name="Normal 3 4 2 2 2 2" xfId="822" xr:uid="{00000000-0005-0000-0000-0000870C0000}"/>
    <cellStyle name="Normal 3 4 2 2 2 2 2" xfId="3470" xr:uid="{00000000-0005-0000-0000-0000880C0000}"/>
    <cellStyle name="Normal 3 4 2 2 2 2 2 2" xfId="5334" xr:uid="{00000000-0005-0000-0000-0000890C0000}"/>
    <cellStyle name="Normal 3 4 2 2 2 2 3" xfId="2588" xr:uid="{00000000-0005-0000-0000-00008A0C0000}"/>
    <cellStyle name="Normal 3 4 2 2 2 2 3 2" xfId="5335" xr:uid="{00000000-0005-0000-0000-00008B0C0000}"/>
    <cellStyle name="Normal 3 4 2 2 2 2 4" xfId="4352" xr:uid="{00000000-0005-0000-0000-00008C0C0000}"/>
    <cellStyle name="Normal 3 4 2 2 2 2 5" xfId="1705" xr:uid="{00000000-0005-0000-0000-00008D0C0000}"/>
    <cellStyle name="Normal 3 4 2 2 2 3" xfId="3029" xr:uid="{00000000-0005-0000-0000-00008E0C0000}"/>
    <cellStyle name="Normal 3 4 2 2 2 3 2" xfId="5336" xr:uid="{00000000-0005-0000-0000-00008F0C0000}"/>
    <cellStyle name="Normal 3 4 2 2 2 4" xfId="2147" xr:uid="{00000000-0005-0000-0000-0000900C0000}"/>
    <cellStyle name="Normal 3 4 2 2 2 4 2" xfId="5337" xr:uid="{00000000-0005-0000-0000-0000910C0000}"/>
    <cellStyle name="Normal 3 4 2 2 2 5" xfId="3911" xr:uid="{00000000-0005-0000-0000-0000920C0000}"/>
    <cellStyle name="Normal 3 4 2 2 2 6" xfId="1264" xr:uid="{00000000-0005-0000-0000-0000930C0000}"/>
    <cellStyle name="Normal 3 4 2 2 3" xfId="602" xr:uid="{00000000-0005-0000-0000-0000940C0000}"/>
    <cellStyle name="Normal 3 4 2 2 3 2" xfId="3250" xr:uid="{00000000-0005-0000-0000-0000950C0000}"/>
    <cellStyle name="Normal 3 4 2 2 3 2 2" xfId="5338" xr:uid="{00000000-0005-0000-0000-0000960C0000}"/>
    <cellStyle name="Normal 3 4 2 2 3 3" xfId="2368" xr:uid="{00000000-0005-0000-0000-0000970C0000}"/>
    <cellStyle name="Normal 3 4 2 2 3 3 2" xfId="5339" xr:uid="{00000000-0005-0000-0000-0000980C0000}"/>
    <cellStyle name="Normal 3 4 2 2 3 4" xfId="4132" xr:uid="{00000000-0005-0000-0000-0000990C0000}"/>
    <cellStyle name="Normal 3 4 2 2 3 5" xfId="1485" xr:uid="{00000000-0005-0000-0000-00009A0C0000}"/>
    <cellStyle name="Normal 3 4 2 2 4" xfId="2809" xr:uid="{00000000-0005-0000-0000-00009B0C0000}"/>
    <cellStyle name="Normal 3 4 2 2 4 2" xfId="5340" xr:uid="{00000000-0005-0000-0000-00009C0C0000}"/>
    <cellStyle name="Normal 3 4 2 2 5" xfId="1927" xr:uid="{00000000-0005-0000-0000-00009D0C0000}"/>
    <cellStyle name="Normal 3 4 2 2 5 2" xfId="5341" xr:uid="{00000000-0005-0000-0000-00009E0C0000}"/>
    <cellStyle name="Normal 3 4 2 2 6" xfId="3691" xr:uid="{00000000-0005-0000-0000-00009F0C0000}"/>
    <cellStyle name="Normal 3 4 2 2 7" xfId="1044" xr:uid="{00000000-0005-0000-0000-0000A00C0000}"/>
    <cellStyle name="Normal 3 4 2 3" xfId="271" xr:uid="{00000000-0005-0000-0000-0000A10C0000}"/>
    <cellStyle name="Normal 3 4 2 3 2" xfId="712" xr:uid="{00000000-0005-0000-0000-0000A20C0000}"/>
    <cellStyle name="Normal 3 4 2 3 2 2" xfId="3360" xr:uid="{00000000-0005-0000-0000-0000A30C0000}"/>
    <cellStyle name="Normal 3 4 2 3 2 2 2" xfId="5342" xr:uid="{00000000-0005-0000-0000-0000A40C0000}"/>
    <cellStyle name="Normal 3 4 2 3 2 3" xfId="2478" xr:uid="{00000000-0005-0000-0000-0000A50C0000}"/>
    <cellStyle name="Normal 3 4 2 3 2 3 2" xfId="5343" xr:uid="{00000000-0005-0000-0000-0000A60C0000}"/>
    <cellStyle name="Normal 3 4 2 3 2 4" xfId="4242" xr:uid="{00000000-0005-0000-0000-0000A70C0000}"/>
    <cellStyle name="Normal 3 4 2 3 2 5" xfId="1595" xr:uid="{00000000-0005-0000-0000-0000A80C0000}"/>
    <cellStyle name="Normal 3 4 2 3 3" xfId="2919" xr:uid="{00000000-0005-0000-0000-0000A90C0000}"/>
    <cellStyle name="Normal 3 4 2 3 3 2" xfId="5344" xr:uid="{00000000-0005-0000-0000-0000AA0C0000}"/>
    <cellStyle name="Normal 3 4 2 3 4" xfId="2037" xr:uid="{00000000-0005-0000-0000-0000AB0C0000}"/>
    <cellStyle name="Normal 3 4 2 3 4 2" xfId="5345" xr:uid="{00000000-0005-0000-0000-0000AC0C0000}"/>
    <cellStyle name="Normal 3 4 2 3 5" xfId="3801" xr:uid="{00000000-0005-0000-0000-0000AD0C0000}"/>
    <cellStyle name="Normal 3 4 2 3 6" xfId="1154" xr:uid="{00000000-0005-0000-0000-0000AE0C0000}"/>
    <cellStyle name="Normal 3 4 2 4" xfId="492" xr:uid="{00000000-0005-0000-0000-0000AF0C0000}"/>
    <cellStyle name="Normal 3 4 2 4 2" xfId="3140" xr:uid="{00000000-0005-0000-0000-0000B00C0000}"/>
    <cellStyle name="Normal 3 4 2 4 2 2" xfId="5346" xr:uid="{00000000-0005-0000-0000-0000B10C0000}"/>
    <cellStyle name="Normal 3 4 2 4 3" xfId="2258" xr:uid="{00000000-0005-0000-0000-0000B20C0000}"/>
    <cellStyle name="Normal 3 4 2 4 3 2" xfId="5347" xr:uid="{00000000-0005-0000-0000-0000B30C0000}"/>
    <cellStyle name="Normal 3 4 2 4 4" xfId="4022" xr:uid="{00000000-0005-0000-0000-0000B40C0000}"/>
    <cellStyle name="Normal 3 4 2 4 5" xfId="1375" xr:uid="{00000000-0005-0000-0000-0000B50C0000}"/>
    <cellStyle name="Normal 3 4 2 5" xfId="2699" xr:uid="{00000000-0005-0000-0000-0000B60C0000}"/>
    <cellStyle name="Normal 3 4 2 5 2" xfId="5348" xr:uid="{00000000-0005-0000-0000-0000B70C0000}"/>
    <cellStyle name="Normal 3 4 2 6" xfId="1817" xr:uid="{00000000-0005-0000-0000-0000B80C0000}"/>
    <cellStyle name="Normal 3 4 2 6 2" xfId="5349" xr:uid="{00000000-0005-0000-0000-0000B90C0000}"/>
    <cellStyle name="Normal 3 4 2 7" xfId="3581" xr:uid="{00000000-0005-0000-0000-0000BA0C0000}"/>
    <cellStyle name="Normal 3 4 2 8" xfId="934" xr:uid="{00000000-0005-0000-0000-0000BB0C0000}"/>
    <cellStyle name="Normal 3 4 3" xfId="67" xr:uid="{00000000-0005-0000-0000-0000BC0C0000}"/>
    <cellStyle name="Normal 3 4 3 2" xfId="177" xr:uid="{00000000-0005-0000-0000-0000BD0C0000}"/>
    <cellStyle name="Normal 3 4 3 2 2" xfId="397" xr:uid="{00000000-0005-0000-0000-0000BE0C0000}"/>
    <cellStyle name="Normal 3 4 3 2 2 2" xfId="838" xr:uid="{00000000-0005-0000-0000-0000BF0C0000}"/>
    <cellStyle name="Normal 3 4 3 2 2 2 2" xfId="3486" xr:uid="{00000000-0005-0000-0000-0000C00C0000}"/>
    <cellStyle name="Normal 3 4 3 2 2 2 2 2" xfId="5350" xr:uid="{00000000-0005-0000-0000-0000C10C0000}"/>
    <cellStyle name="Normal 3 4 3 2 2 2 3" xfId="2604" xr:uid="{00000000-0005-0000-0000-0000C20C0000}"/>
    <cellStyle name="Normal 3 4 3 2 2 2 3 2" xfId="5351" xr:uid="{00000000-0005-0000-0000-0000C30C0000}"/>
    <cellStyle name="Normal 3 4 3 2 2 2 4" xfId="4368" xr:uid="{00000000-0005-0000-0000-0000C40C0000}"/>
    <cellStyle name="Normal 3 4 3 2 2 2 5" xfId="1721" xr:uid="{00000000-0005-0000-0000-0000C50C0000}"/>
    <cellStyle name="Normal 3 4 3 2 2 3" xfId="3045" xr:uid="{00000000-0005-0000-0000-0000C60C0000}"/>
    <cellStyle name="Normal 3 4 3 2 2 3 2" xfId="5352" xr:uid="{00000000-0005-0000-0000-0000C70C0000}"/>
    <cellStyle name="Normal 3 4 3 2 2 4" xfId="2163" xr:uid="{00000000-0005-0000-0000-0000C80C0000}"/>
    <cellStyle name="Normal 3 4 3 2 2 4 2" xfId="5353" xr:uid="{00000000-0005-0000-0000-0000C90C0000}"/>
    <cellStyle name="Normal 3 4 3 2 2 5" xfId="3927" xr:uid="{00000000-0005-0000-0000-0000CA0C0000}"/>
    <cellStyle name="Normal 3 4 3 2 2 6" xfId="1280" xr:uid="{00000000-0005-0000-0000-0000CB0C0000}"/>
    <cellStyle name="Normal 3 4 3 2 3" xfId="618" xr:uid="{00000000-0005-0000-0000-0000CC0C0000}"/>
    <cellStyle name="Normal 3 4 3 2 3 2" xfId="3266" xr:uid="{00000000-0005-0000-0000-0000CD0C0000}"/>
    <cellStyle name="Normal 3 4 3 2 3 2 2" xfId="5354" xr:uid="{00000000-0005-0000-0000-0000CE0C0000}"/>
    <cellStyle name="Normal 3 4 3 2 3 3" xfId="2384" xr:uid="{00000000-0005-0000-0000-0000CF0C0000}"/>
    <cellStyle name="Normal 3 4 3 2 3 3 2" xfId="5355" xr:uid="{00000000-0005-0000-0000-0000D00C0000}"/>
    <cellStyle name="Normal 3 4 3 2 3 4" xfId="4148" xr:uid="{00000000-0005-0000-0000-0000D10C0000}"/>
    <cellStyle name="Normal 3 4 3 2 3 5" xfId="1501" xr:uid="{00000000-0005-0000-0000-0000D20C0000}"/>
    <cellStyle name="Normal 3 4 3 2 4" xfId="2825" xr:uid="{00000000-0005-0000-0000-0000D30C0000}"/>
    <cellStyle name="Normal 3 4 3 2 4 2" xfId="5356" xr:uid="{00000000-0005-0000-0000-0000D40C0000}"/>
    <cellStyle name="Normal 3 4 3 2 5" xfId="1943" xr:uid="{00000000-0005-0000-0000-0000D50C0000}"/>
    <cellStyle name="Normal 3 4 3 2 5 2" xfId="5357" xr:uid="{00000000-0005-0000-0000-0000D60C0000}"/>
    <cellStyle name="Normal 3 4 3 2 6" xfId="3707" xr:uid="{00000000-0005-0000-0000-0000D70C0000}"/>
    <cellStyle name="Normal 3 4 3 2 7" xfId="1060" xr:uid="{00000000-0005-0000-0000-0000D80C0000}"/>
    <cellStyle name="Normal 3 4 3 3" xfId="287" xr:uid="{00000000-0005-0000-0000-0000D90C0000}"/>
    <cellStyle name="Normal 3 4 3 3 2" xfId="728" xr:uid="{00000000-0005-0000-0000-0000DA0C0000}"/>
    <cellStyle name="Normal 3 4 3 3 2 2" xfId="3376" xr:uid="{00000000-0005-0000-0000-0000DB0C0000}"/>
    <cellStyle name="Normal 3 4 3 3 2 2 2" xfId="5358" xr:uid="{00000000-0005-0000-0000-0000DC0C0000}"/>
    <cellStyle name="Normal 3 4 3 3 2 3" xfId="2494" xr:uid="{00000000-0005-0000-0000-0000DD0C0000}"/>
    <cellStyle name="Normal 3 4 3 3 2 3 2" xfId="5359" xr:uid="{00000000-0005-0000-0000-0000DE0C0000}"/>
    <cellStyle name="Normal 3 4 3 3 2 4" xfId="4258" xr:uid="{00000000-0005-0000-0000-0000DF0C0000}"/>
    <cellStyle name="Normal 3 4 3 3 2 5" xfId="1611" xr:uid="{00000000-0005-0000-0000-0000E00C0000}"/>
    <cellStyle name="Normal 3 4 3 3 3" xfId="2935" xr:uid="{00000000-0005-0000-0000-0000E10C0000}"/>
    <cellStyle name="Normal 3 4 3 3 3 2" xfId="5360" xr:uid="{00000000-0005-0000-0000-0000E20C0000}"/>
    <cellStyle name="Normal 3 4 3 3 4" xfId="2053" xr:uid="{00000000-0005-0000-0000-0000E30C0000}"/>
    <cellStyle name="Normal 3 4 3 3 4 2" xfId="5361" xr:uid="{00000000-0005-0000-0000-0000E40C0000}"/>
    <cellStyle name="Normal 3 4 3 3 5" xfId="3817" xr:uid="{00000000-0005-0000-0000-0000E50C0000}"/>
    <cellStyle name="Normal 3 4 3 3 6" xfId="1170" xr:uid="{00000000-0005-0000-0000-0000E60C0000}"/>
    <cellStyle name="Normal 3 4 3 4" xfId="508" xr:uid="{00000000-0005-0000-0000-0000E70C0000}"/>
    <cellStyle name="Normal 3 4 3 4 2" xfId="3156" xr:uid="{00000000-0005-0000-0000-0000E80C0000}"/>
    <cellStyle name="Normal 3 4 3 4 2 2" xfId="5362" xr:uid="{00000000-0005-0000-0000-0000E90C0000}"/>
    <cellStyle name="Normal 3 4 3 4 3" xfId="2274" xr:uid="{00000000-0005-0000-0000-0000EA0C0000}"/>
    <cellStyle name="Normal 3 4 3 4 3 2" xfId="5363" xr:uid="{00000000-0005-0000-0000-0000EB0C0000}"/>
    <cellStyle name="Normal 3 4 3 4 4" xfId="4038" xr:uid="{00000000-0005-0000-0000-0000EC0C0000}"/>
    <cellStyle name="Normal 3 4 3 4 5" xfId="1391" xr:uid="{00000000-0005-0000-0000-0000ED0C0000}"/>
    <cellStyle name="Normal 3 4 3 5" xfId="2715" xr:uid="{00000000-0005-0000-0000-0000EE0C0000}"/>
    <cellStyle name="Normal 3 4 3 5 2" xfId="5364" xr:uid="{00000000-0005-0000-0000-0000EF0C0000}"/>
    <cellStyle name="Normal 3 4 3 6" xfId="1833" xr:uid="{00000000-0005-0000-0000-0000F00C0000}"/>
    <cellStyle name="Normal 3 4 3 6 2" xfId="5365" xr:uid="{00000000-0005-0000-0000-0000F10C0000}"/>
    <cellStyle name="Normal 3 4 3 7" xfId="3597" xr:uid="{00000000-0005-0000-0000-0000F20C0000}"/>
    <cellStyle name="Normal 3 4 3 8" xfId="950" xr:uid="{00000000-0005-0000-0000-0000F30C0000}"/>
    <cellStyle name="Normal 3 4 4" xfId="83" xr:uid="{00000000-0005-0000-0000-0000F40C0000}"/>
    <cellStyle name="Normal 3 4 4 2" xfId="193" xr:uid="{00000000-0005-0000-0000-0000F50C0000}"/>
    <cellStyle name="Normal 3 4 4 2 2" xfId="413" xr:uid="{00000000-0005-0000-0000-0000F60C0000}"/>
    <cellStyle name="Normal 3 4 4 2 2 2" xfId="854" xr:uid="{00000000-0005-0000-0000-0000F70C0000}"/>
    <cellStyle name="Normal 3 4 4 2 2 2 2" xfId="3502" xr:uid="{00000000-0005-0000-0000-0000F80C0000}"/>
    <cellStyle name="Normal 3 4 4 2 2 2 2 2" xfId="5366" xr:uid="{00000000-0005-0000-0000-0000F90C0000}"/>
    <cellStyle name="Normal 3 4 4 2 2 2 3" xfId="2620" xr:uid="{00000000-0005-0000-0000-0000FA0C0000}"/>
    <cellStyle name="Normal 3 4 4 2 2 2 3 2" xfId="5367" xr:uid="{00000000-0005-0000-0000-0000FB0C0000}"/>
    <cellStyle name="Normal 3 4 4 2 2 2 4" xfId="4384" xr:uid="{00000000-0005-0000-0000-0000FC0C0000}"/>
    <cellStyle name="Normal 3 4 4 2 2 2 5" xfId="1737" xr:uid="{00000000-0005-0000-0000-0000FD0C0000}"/>
    <cellStyle name="Normal 3 4 4 2 2 3" xfId="3061" xr:uid="{00000000-0005-0000-0000-0000FE0C0000}"/>
    <cellStyle name="Normal 3 4 4 2 2 3 2" xfId="5368" xr:uid="{00000000-0005-0000-0000-0000FF0C0000}"/>
    <cellStyle name="Normal 3 4 4 2 2 4" xfId="2179" xr:uid="{00000000-0005-0000-0000-0000000D0000}"/>
    <cellStyle name="Normal 3 4 4 2 2 4 2" xfId="5369" xr:uid="{00000000-0005-0000-0000-0000010D0000}"/>
    <cellStyle name="Normal 3 4 4 2 2 5" xfId="3943" xr:uid="{00000000-0005-0000-0000-0000020D0000}"/>
    <cellStyle name="Normal 3 4 4 2 2 6" xfId="1296" xr:uid="{00000000-0005-0000-0000-0000030D0000}"/>
    <cellStyle name="Normal 3 4 4 2 3" xfId="634" xr:uid="{00000000-0005-0000-0000-0000040D0000}"/>
    <cellStyle name="Normal 3 4 4 2 3 2" xfId="3282" xr:uid="{00000000-0005-0000-0000-0000050D0000}"/>
    <cellStyle name="Normal 3 4 4 2 3 2 2" xfId="5370" xr:uid="{00000000-0005-0000-0000-0000060D0000}"/>
    <cellStyle name="Normal 3 4 4 2 3 3" xfId="2400" xr:uid="{00000000-0005-0000-0000-0000070D0000}"/>
    <cellStyle name="Normal 3 4 4 2 3 3 2" xfId="5371" xr:uid="{00000000-0005-0000-0000-0000080D0000}"/>
    <cellStyle name="Normal 3 4 4 2 3 4" xfId="4164" xr:uid="{00000000-0005-0000-0000-0000090D0000}"/>
    <cellStyle name="Normal 3 4 4 2 3 5" xfId="1517" xr:uid="{00000000-0005-0000-0000-00000A0D0000}"/>
    <cellStyle name="Normal 3 4 4 2 4" xfId="2841" xr:uid="{00000000-0005-0000-0000-00000B0D0000}"/>
    <cellStyle name="Normal 3 4 4 2 4 2" xfId="5372" xr:uid="{00000000-0005-0000-0000-00000C0D0000}"/>
    <cellStyle name="Normal 3 4 4 2 5" xfId="1959" xr:uid="{00000000-0005-0000-0000-00000D0D0000}"/>
    <cellStyle name="Normal 3 4 4 2 5 2" xfId="5373" xr:uid="{00000000-0005-0000-0000-00000E0D0000}"/>
    <cellStyle name="Normal 3 4 4 2 6" xfId="3723" xr:uid="{00000000-0005-0000-0000-00000F0D0000}"/>
    <cellStyle name="Normal 3 4 4 2 7" xfId="1076" xr:uid="{00000000-0005-0000-0000-0000100D0000}"/>
    <cellStyle name="Normal 3 4 4 3" xfId="303" xr:uid="{00000000-0005-0000-0000-0000110D0000}"/>
    <cellStyle name="Normal 3 4 4 3 2" xfId="744" xr:uid="{00000000-0005-0000-0000-0000120D0000}"/>
    <cellStyle name="Normal 3 4 4 3 2 2" xfId="3392" xr:uid="{00000000-0005-0000-0000-0000130D0000}"/>
    <cellStyle name="Normal 3 4 4 3 2 2 2" xfId="5374" xr:uid="{00000000-0005-0000-0000-0000140D0000}"/>
    <cellStyle name="Normal 3 4 4 3 2 3" xfId="2510" xr:uid="{00000000-0005-0000-0000-0000150D0000}"/>
    <cellStyle name="Normal 3 4 4 3 2 3 2" xfId="5375" xr:uid="{00000000-0005-0000-0000-0000160D0000}"/>
    <cellStyle name="Normal 3 4 4 3 2 4" xfId="4274" xr:uid="{00000000-0005-0000-0000-0000170D0000}"/>
    <cellStyle name="Normal 3 4 4 3 2 5" xfId="1627" xr:uid="{00000000-0005-0000-0000-0000180D0000}"/>
    <cellStyle name="Normal 3 4 4 3 3" xfId="2951" xr:uid="{00000000-0005-0000-0000-0000190D0000}"/>
    <cellStyle name="Normal 3 4 4 3 3 2" xfId="5376" xr:uid="{00000000-0005-0000-0000-00001A0D0000}"/>
    <cellStyle name="Normal 3 4 4 3 4" xfId="2069" xr:uid="{00000000-0005-0000-0000-00001B0D0000}"/>
    <cellStyle name="Normal 3 4 4 3 4 2" xfId="5377" xr:uid="{00000000-0005-0000-0000-00001C0D0000}"/>
    <cellStyle name="Normal 3 4 4 3 5" xfId="3833" xr:uid="{00000000-0005-0000-0000-00001D0D0000}"/>
    <cellStyle name="Normal 3 4 4 3 6" xfId="1186" xr:uid="{00000000-0005-0000-0000-00001E0D0000}"/>
    <cellStyle name="Normal 3 4 4 4" xfId="524" xr:uid="{00000000-0005-0000-0000-00001F0D0000}"/>
    <cellStyle name="Normal 3 4 4 4 2" xfId="3172" xr:uid="{00000000-0005-0000-0000-0000200D0000}"/>
    <cellStyle name="Normal 3 4 4 4 2 2" xfId="5378" xr:uid="{00000000-0005-0000-0000-0000210D0000}"/>
    <cellStyle name="Normal 3 4 4 4 3" xfId="2290" xr:uid="{00000000-0005-0000-0000-0000220D0000}"/>
    <cellStyle name="Normal 3 4 4 4 3 2" xfId="5379" xr:uid="{00000000-0005-0000-0000-0000230D0000}"/>
    <cellStyle name="Normal 3 4 4 4 4" xfId="4054" xr:uid="{00000000-0005-0000-0000-0000240D0000}"/>
    <cellStyle name="Normal 3 4 4 4 5" xfId="1407" xr:uid="{00000000-0005-0000-0000-0000250D0000}"/>
    <cellStyle name="Normal 3 4 4 5" xfId="2731" xr:uid="{00000000-0005-0000-0000-0000260D0000}"/>
    <cellStyle name="Normal 3 4 4 5 2" xfId="5380" xr:uid="{00000000-0005-0000-0000-0000270D0000}"/>
    <cellStyle name="Normal 3 4 4 6" xfId="1849" xr:uid="{00000000-0005-0000-0000-0000280D0000}"/>
    <cellStyle name="Normal 3 4 4 6 2" xfId="5381" xr:uid="{00000000-0005-0000-0000-0000290D0000}"/>
    <cellStyle name="Normal 3 4 4 7" xfId="3613" xr:uid="{00000000-0005-0000-0000-00002A0D0000}"/>
    <cellStyle name="Normal 3 4 4 8" xfId="966" xr:uid="{00000000-0005-0000-0000-00002B0D0000}"/>
    <cellStyle name="Normal 3 4 5" xfId="127" xr:uid="{00000000-0005-0000-0000-00002C0D0000}"/>
    <cellStyle name="Normal 3 4 5 2" xfId="347" xr:uid="{00000000-0005-0000-0000-00002D0D0000}"/>
    <cellStyle name="Normal 3 4 5 2 2" xfId="788" xr:uid="{00000000-0005-0000-0000-00002E0D0000}"/>
    <cellStyle name="Normal 3 4 5 2 2 2" xfId="3436" xr:uid="{00000000-0005-0000-0000-00002F0D0000}"/>
    <cellStyle name="Normal 3 4 5 2 2 2 2" xfId="5382" xr:uid="{00000000-0005-0000-0000-0000300D0000}"/>
    <cellStyle name="Normal 3 4 5 2 2 3" xfId="2554" xr:uid="{00000000-0005-0000-0000-0000310D0000}"/>
    <cellStyle name="Normal 3 4 5 2 2 3 2" xfId="5383" xr:uid="{00000000-0005-0000-0000-0000320D0000}"/>
    <cellStyle name="Normal 3 4 5 2 2 4" xfId="4318" xr:uid="{00000000-0005-0000-0000-0000330D0000}"/>
    <cellStyle name="Normal 3 4 5 2 2 5" xfId="1671" xr:uid="{00000000-0005-0000-0000-0000340D0000}"/>
    <cellStyle name="Normal 3 4 5 2 3" xfId="2995" xr:uid="{00000000-0005-0000-0000-0000350D0000}"/>
    <cellStyle name="Normal 3 4 5 2 3 2" xfId="5384" xr:uid="{00000000-0005-0000-0000-0000360D0000}"/>
    <cellStyle name="Normal 3 4 5 2 4" xfId="2113" xr:uid="{00000000-0005-0000-0000-0000370D0000}"/>
    <cellStyle name="Normal 3 4 5 2 4 2" xfId="5385" xr:uid="{00000000-0005-0000-0000-0000380D0000}"/>
    <cellStyle name="Normal 3 4 5 2 5" xfId="3877" xr:uid="{00000000-0005-0000-0000-0000390D0000}"/>
    <cellStyle name="Normal 3 4 5 2 6" xfId="1230" xr:uid="{00000000-0005-0000-0000-00003A0D0000}"/>
    <cellStyle name="Normal 3 4 5 3" xfId="568" xr:uid="{00000000-0005-0000-0000-00003B0D0000}"/>
    <cellStyle name="Normal 3 4 5 3 2" xfId="3216" xr:uid="{00000000-0005-0000-0000-00003C0D0000}"/>
    <cellStyle name="Normal 3 4 5 3 2 2" xfId="5386" xr:uid="{00000000-0005-0000-0000-00003D0D0000}"/>
    <cellStyle name="Normal 3 4 5 3 3" xfId="2334" xr:uid="{00000000-0005-0000-0000-00003E0D0000}"/>
    <cellStyle name="Normal 3 4 5 3 3 2" xfId="5387" xr:uid="{00000000-0005-0000-0000-00003F0D0000}"/>
    <cellStyle name="Normal 3 4 5 3 4" xfId="4098" xr:uid="{00000000-0005-0000-0000-0000400D0000}"/>
    <cellStyle name="Normal 3 4 5 3 5" xfId="1451" xr:uid="{00000000-0005-0000-0000-0000410D0000}"/>
    <cellStyle name="Normal 3 4 5 4" xfId="2775" xr:uid="{00000000-0005-0000-0000-0000420D0000}"/>
    <cellStyle name="Normal 3 4 5 4 2" xfId="5388" xr:uid="{00000000-0005-0000-0000-0000430D0000}"/>
    <cellStyle name="Normal 3 4 5 5" xfId="1893" xr:uid="{00000000-0005-0000-0000-0000440D0000}"/>
    <cellStyle name="Normal 3 4 5 5 2" xfId="5389" xr:uid="{00000000-0005-0000-0000-0000450D0000}"/>
    <cellStyle name="Normal 3 4 5 6" xfId="3657" xr:uid="{00000000-0005-0000-0000-0000460D0000}"/>
    <cellStyle name="Normal 3 4 5 7" xfId="1010" xr:uid="{00000000-0005-0000-0000-0000470D0000}"/>
    <cellStyle name="Normal 3 4 6" xfId="237" xr:uid="{00000000-0005-0000-0000-0000480D0000}"/>
    <cellStyle name="Normal 3 4 6 2" xfId="678" xr:uid="{00000000-0005-0000-0000-0000490D0000}"/>
    <cellStyle name="Normal 3 4 6 2 2" xfId="3326" xr:uid="{00000000-0005-0000-0000-00004A0D0000}"/>
    <cellStyle name="Normal 3 4 6 2 2 2" xfId="5390" xr:uid="{00000000-0005-0000-0000-00004B0D0000}"/>
    <cellStyle name="Normal 3 4 6 2 3" xfId="2444" xr:uid="{00000000-0005-0000-0000-00004C0D0000}"/>
    <cellStyle name="Normal 3 4 6 2 3 2" xfId="5391" xr:uid="{00000000-0005-0000-0000-00004D0D0000}"/>
    <cellStyle name="Normal 3 4 6 2 4" xfId="4208" xr:uid="{00000000-0005-0000-0000-00004E0D0000}"/>
    <cellStyle name="Normal 3 4 6 2 5" xfId="1561" xr:uid="{00000000-0005-0000-0000-00004F0D0000}"/>
    <cellStyle name="Normal 3 4 6 3" xfId="2885" xr:uid="{00000000-0005-0000-0000-0000500D0000}"/>
    <cellStyle name="Normal 3 4 6 3 2" xfId="5392" xr:uid="{00000000-0005-0000-0000-0000510D0000}"/>
    <cellStyle name="Normal 3 4 6 4" xfId="2003" xr:uid="{00000000-0005-0000-0000-0000520D0000}"/>
    <cellStyle name="Normal 3 4 6 4 2" xfId="5393" xr:uid="{00000000-0005-0000-0000-0000530D0000}"/>
    <cellStyle name="Normal 3 4 6 5" xfId="3767" xr:uid="{00000000-0005-0000-0000-0000540D0000}"/>
    <cellStyle name="Normal 3 4 6 6" xfId="1120" xr:uid="{00000000-0005-0000-0000-0000550D0000}"/>
    <cellStyle name="Normal 3 4 7" xfId="458" xr:uid="{00000000-0005-0000-0000-0000560D0000}"/>
    <cellStyle name="Normal 3 4 7 2" xfId="3106" xr:uid="{00000000-0005-0000-0000-0000570D0000}"/>
    <cellStyle name="Normal 3 4 7 2 2" xfId="5394" xr:uid="{00000000-0005-0000-0000-0000580D0000}"/>
    <cellStyle name="Normal 3 4 7 3" xfId="2224" xr:uid="{00000000-0005-0000-0000-0000590D0000}"/>
    <cellStyle name="Normal 3 4 7 3 2" xfId="5395" xr:uid="{00000000-0005-0000-0000-00005A0D0000}"/>
    <cellStyle name="Normal 3 4 7 4" xfId="3988" xr:uid="{00000000-0005-0000-0000-00005B0D0000}"/>
    <cellStyle name="Normal 3 4 7 5" xfId="1341" xr:uid="{00000000-0005-0000-0000-00005C0D0000}"/>
    <cellStyle name="Normal 3 4 8" xfId="2665" xr:uid="{00000000-0005-0000-0000-00005D0D0000}"/>
    <cellStyle name="Normal 3 4 8 2" xfId="5396" xr:uid="{00000000-0005-0000-0000-00005E0D0000}"/>
    <cellStyle name="Normal 3 4 9" xfId="1783" xr:uid="{00000000-0005-0000-0000-00005F0D0000}"/>
    <cellStyle name="Normal 3 4 9 2" xfId="5397" xr:uid="{00000000-0005-0000-0000-0000600D0000}"/>
    <cellStyle name="Normal 3 5" xfId="20" xr:uid="{00000000-0005-0000-0000-0000610D0000}"/>
    <cellStyle name="Normal 3 5 10" xfId="3550" xr:uid="{00000000-0005-0000-0000-0000620D0000}"/>
    <cellStyle name="Normal 3 5 11" xfId="903" xr:uid="{00000000-0005-0000-0000-0000630D0000}"/>
    <cellStyle name="Normal 3 5 2" xfId="54" xr:uid="{00000000-0005-0000-0000-0000640D0000}"/>
    <cellStyle name="Normal 3 5 2 2" xfId="164" xr:uid="{00000000-0005-0000-0000-0000650D0000}"/>
    <cellStyle name="Normal 3 5 2 2 2" xfId="384" xr:uid="{00000000-0005-0000-0000-0000660D0000}"/>
    <cellStyle name="Normal 3 5 2 2 2 2" xfId="825" xr:uid="{00000000-0005-0000-0000-0000670D0000}"/>
    <cellStyle name="Normal 3 5 2 2 2 2 2" xfId="3473" xr:uid="{00000000-0005-0000-0000-0000680D0000}"/>
    <cellStyle name="Normal 3 5 2 2 2 2 2 2" xfId="5398" xr:uid="{00000000-0005-0000-0000-0000690D0000}"/>
    <cellStyle name="Normal 3 5 2 2 2 2 3" xfId="2591" xr:uid="{00000000-0005-0000-0000-00006A0D0000}"/>
    <cellStyle name="Normal 3 5 2 2 2 2 3 2" xfId="5399" xr:uid="{00000000-0005-0000-0000-00006B0D0000}"/>
    <cellStyle name="Normal 3 5 2 2 2 2 4" xfId="4355" xr:uid="{00000000-0005-0000-0000-00006C0D0000}"/>
    <cellStyle name="Normal 3 5 2 2 2 2 5" xfId="1708" xr:uid="{00000000-0005-0000-0000-00006D0D0000}"/>
    <cellStyle name="Normal 3 5 2 2 2 3" xfId="3032" xr:uid="{00000000-0005-0000-0000-00006E0D0000}"/>
    <cellStyle name="Normal 3 5 2 2 2 3 2" xfId="5400" xr:uid="{00000000-0005-0000-0000-00006F0D0000}"/>
    <cellStyle name="Normal 3 5 2 2 2 4" xfId="2150" xr:uid="{00000000-0005-0000-0000-0000700D0000}"/>
    <cellStyle name="Normal 3 5 2 2 2 4 2" xfId="5401" xr:uid="{00000000-0005-0000-0000-0000710D0000}"/>
    <cellStyle name="Normal 3 5 2 2 2 5" xfId="3914" xr:uid="{00000000-0005-0000-0000-0000720D0000}"/>
    <cellStyle name="Normal 3 5 2 2 2 6" xfId="1267" xr:uid="{00000000-0005-0000-0000-0000730D0000}"/>
    <cellStyle name="Normal 3 5 2 2 3" xfId="605" xr:uid="{00000000-0005-0000-0000-0000740D0000}"/>
    <cellStyle name="Normal 3 5 2 2 3 2" xfId="3253" xr:uid="{00000000-0005-0000-0000-0000750D0000}"/>
    <cellStyle name="Normal 3 5 2 2 3 2 2" xfId="5402" xr:uid="{00000000-0005-0000-0000-0000760D0000}"/>
    <cellStyle name="Normal 3 5 2 2 3 3" xfId="2371" xr:uid="{00000000-0005-0000-0000-0000770D0000}"/>
    <cellStyle name="Normal 3 5 2 2 3 3 2" xfId="5403" xr:uid="{00000000-0005-0000-0000-0000780D0000}"/>
    <cellStyle name="Normal 3 5 2 2 3 4" xfId="4135" xr:uid="{00000000-0005-0000-0000-0000790D0000}"/>
    <cellStyle name="Normal 3 5 2 2 3 5" xfId="1488" xr:uid="{00000000-0005-0000-0000-00007A0D0000}"/>
    <cellStyle name="Normal 3 5 2 2 4" xfId="2812" xr:uid="{00000000-0005-0000-0000-00007B0D0000}"/>
    <cellStyle name="Normal 3 5 2 2 4 2" xfId="5404" xr:uid="{00000000-0005-0000-0000-00007C0D0000}"/>
    <cellStyle name="Normal 3 5 2 2 5" xfId="1930" xr:uid="{00000000-0005-0000-0000-00007D0D0000}"/>
    <cellStyle name="Normal 3 5 2 2 5 2" xfId="5405" xr:uid="{00000000-0005-0000-0000-00007E0D0000}"/>
    <cellStyle name="Normal 3 5 2 2 6" xfId="3694" xr:uid="{00000000-0005-0000-0000-00007F0D0000}"/>
    <cellStyle name="Normal 3 5 2 2 7" xfId="1047" xr:uid="{00000000-0005-0000-0000-0000800D0000}"/>
    <cellStyle name="Normal 3 5 2 3" xfId="274" xr:uid="{00000000-0005-0000-0000-0000810D0000}"/>
    <cellStyle name="Normal 3 5 2 3 2" xfId="715" xr:uid="{00000000-0005-0000-0000-0000820D0000}"/>
    <cellStyle name="Normal 3 5 2 3 2 2" xfId="3363" xr:uid="{00000000-0005-0000-0000-0000830D0000}"/>
    <cellStyle name="Normal 3 5 2 3 2 2 2" xfId="5406" xr:uid="{00000000-0005-0000-0000-0000840D0000}"/>
    <cellStyle name="Normal 3 5 2 3 2 3" xfId="2481" xr:uid="{00000000-0005-0000-0000-0000850D0000}"/>
    <cellStyle name="Normal 3 5 2 3 2 3 2" xfId="5407" xr:uid="{00000000-0005-0000-0000-0000860D0000}"/>
    <cellStyle name="Normal 3 5 2 3 2 4" xfId="4245" xr:uid="{00000000-0005-0000-0000-0000870D0000}"/>
    <cellStyle name="Normal 3 5 2 3 2 5" xfId="1598" xr:uid="{00000000-0005-0000-0000-0000880D0000}"/>
    <cellStyle name="Normal 3 5 2 3 3" xfId="2922" xr:uid="{00000000-0005-0000-0000-0000890D0000}"/>
    <cellStyle name="Normal 3 5 2 3 3 2" xfId="5408" xr:uid="{00000000-0005-0000-0000-00008A0D0000}"/>
    <cellStyle name="Normal 3 5 2 3 4" xfId="2040" xr:uid="{00000000-0005-0000-0000-00008B0D0000}"/>
    <cellStyle name="Normal 3 5 2 3 4 2" xfId="5409" xr:uid="{00000000-0005-0000-0000-00008C0D0000}"/>
    <cellStyle name="Normal 3 5 2 3 5" xfId="3804" xr:uid="{00000000-0005-0000-0000-00008D0D0000}"/>
    <cellStyle name="Normal 3 5 2 3 6" xfId="1157" xr:uid="{00000000-0005-0000-0000-00008E0D0000}"/>
    <cellStyle name="Normal 3 5 2 4" xfId="495" xr:uid="{00000000-0005-0000-0000-00008F0D0000}"/>
    <cellStyle name="Normal 3 5 2 4 2" xfId="3143" xr:uid="{00000000-0005-0000-0000-0000900D0000}"/>
    <cellStyle name="Normal 3 5 2 4 2 2" xfId="5410" xr:uid="{00000000-0005-0000-0000-0000910D0000}"/>
    <cellStyle name="Normal 3 5 2 4 3" xfId="2261" xr:uid="{00000000-0005-0000-0000-0000920D0000}"/>
    <cellStyle name="Normal 3 5 2 4 3 2" xfId="5411" xr:uid="{00000000-0005-0000-0000-0000930D0000}"/>
    <cellStyle name="Normal 3 5 2 4 4" xfId="4025" xr:uid="{00000000-0005-0000-0000-0000940D0000}"/>
    <cellStyle name="Normal 3 5 2 4 5" xfId="1378" xr:uid="{00000000-0005-0000-0000-0000950D0000}"/>
    <cellStyle name="Normal 3 5 2 5" xfId="2702" xr:uid="{00000000-0005-0000-0000-0000960D0000}"/>
    <cellStyle name="Normal 3 5 2 5 2" xfId="5412" xr:uid="{00000000-0005-0000-0000-0000970D0000}"/>
    <cellStyle name="Normal 3 5 2 6" xfId="1820" xr:uid="{00000000-0005-0000-0000-0000980D0000}"/>
    <cellStyle name="Normal 3 5 2 6 2" xfId="5413" xr:uid="{00000000-0005-0000-0000-0000990D0000}"/>
    <cellStyle name="Normal 3 5 2 7" xfId="3584" xr:uid="{00000000-0005-0000-0000-00009A0D0000}"/>
    <cellStyle name="Normal 3 5 2 8" xfId="937" xr:uid="{00000000-0005-0000-0000-00009B0D0000}"/>
    <cellStyle name="Normal 3 5 3" xfId="70" xr:uid="{00000000-0005-0000-0000-00009C0D0000}"/>
    <cellStyle name="Normal 3 5 3 2" xfId="180" xr:uid="{00000000-0005-0000-0000-00009D0D0000}"/>
    <cellStyle name="Normal 3 5 3 2 2" xfId="400" xr:uid="{00000000-0005-0000-0000-00009E0D0000}"/>
    <cellStyle name="Normal 3 5 3 2 2 2" xfId="841" xr:uid="{00000000-0005-0000-0000-00009F0D0000}"/>
    <cellStyle name="Normal 3 5 3 2 2 2 2" xfId="3489" xr:uid="{00000000-0005-0000-0000-0000A00D0000}"/>
    <cellStyle name="Normal 3 5 3 2 2 2 2 2" xfId="5414" xr:uid="{00000000-0005-0000-0000-0000A10D0000}"/>
    <cellStyle name="Normal 3 5 3 2 2 2 3" xfId="2607" xr:uid="{00000000-0005-0000-0000-0000A20D0000}"/>
    <cellStyle name="Normal 3 5 3 2 2 2 3 2" xfId="5415" xr:uid="{00000000-0005-0000-0000-0000A30D0000}"/>
    <cellStyle name="Normal 3 5 3 2 2 2 4" xfId="4371" xr:uid="{00000000-0005-0000-0000-0000A40D0000}"/>
    <cellStyle name="Normal 3 5 3 2 2 2 5" xfId="1724" xr:uid="{00000000-0005-0000-0000-0000A50D0000}"/>
    <cellStyle name="Normal 3 5 3 2 2 3" xfId="3048" xr:uid="{00000000-0005-0000-0000-0000A60D0000}"/>
    <cellStyle name="Normal 3 5 3 2 2 3 2" xfId="5416" xr:uid="{00000000-0005-0000-0000-0000A70D0000}"/>
    <cellStyle name="Normal 3 5 3 2 2 4" xfId="2166" xr:uid="{00000000-0005-0000-0000-0000A80D0000}"/>
    <cellStyle name="Normal 3 5 3 2 2 4 2" xfId="5417" xr:uid="{00000000-0005-0000-0000-0000A90D0000}"/>
    <cellStyle name="Normal 3 5 3 2 2 5" xfId="3930" xr:uid="{00000000-0005-0000-0000-0000AA0D0000}"/>
    <cellStyle name="Normal 3 5 3 2 2 6" xfId="1283" xr:uid="{00000000-0005-0000-0000-0000AB0D0000}"/>
    <cellStyle name="Normal 3 5 3 2 3" xfId="621" xr:uid="{00000000-0005-0000-0000-0000AC0D0000}"/>
    <cellStyle name="Normal 3 5 3 2 3 2" xfId="3269" xr:uid="{00000000-0005-0000-0000-0000AD0D0000}"/>
    <cellStyle name="Normal 3 5 3 2 3 2 2" xfId="5418" xr:uid="{00000000-0005-0000-0000-0000AE0D0000}"/>
    <cellStyle name="Normal 3 5 3 2 3 3" xfId="2387" xr:uid="{00000000-0005-0000-0000-0000AF0D0000}"/>
    <cellStyle name="Normal 3 5 3 2 3 3 2" xfId="5419" xr:uid="{00000000-0005-0000-0000-0000B00D0000}"/>
    <cellStyle name="Normal 3 5 3 2 3 4" xfId="4151" xr:uid="{00000000-0005-0000-0000-0000B10D0000}"/>
    <cellStyle name="Normal 3 5 3 2 3 5" xfId="1504" xr:uid="{00000000-0005-0000-0000-0000B20D0000}"/>
    <cellStyle name="Normal 3 5 3 2 4" xfId="2828" xr:uid="{00000000-0005-0000-0000-0000B30D0000}"/>
    <cellStyle name="Normal 3 5 3 2 4 2" xfId="5420" xr:uid="{00000000-0005-0000-0000-0000B40D0000}"/>
    <cellStyle name="Normal 3 5 3 2 5" xfId="1946" xr:uid="{00000000-0005-0000-0000-0000B50D0000}"/>
    <cellStyle name="Normal 3 5 3 2 5 2" xfId="5421" xr:uid="{00000000-0005-0000-0000-0000B60D0000}"/>
    <cellStyle name="Normal 3 5 3 2 6" xfId="3710" xr:uid="{00000000-0005-0000-0000-0000B70D0000}"/>
    <cellStyle name="Normal 3 5 3 2 7" xfId="1063" xr:uid="{00000000-0005-0000-0000-0000B80D0000}"/>
    <cellStyle name="Normal 3 5 3 3" xfId="290" xr:uid="{00000000-0005-0000-0000-0000B90D0000}"/>
    <cellStyle name="Normal 3 5 3 3 2" xfId="731" xr:uid="{00000000-0005-0000-0000-0000BA0D0000}"/>
    <cellStyle name="Normal 3 5 3 3 2 2" xfId="3379" xr:uid="{00000000-0005-0000-0000-0000BB0D0000}"/>
    <cellStyle name="Normal 3 5 3 3 2 2 2" xfId="5422" xr:uid="{00000000-0005-0000-0000-0000BC0D0000}"/>
    <cellStyle name="Normal 3 5 3 3 2 3" xfId="2497" xr:uid="{00000000-0005-0000-0000-0000BD0D0000}"/>
    <cellStyle name="Normal 3 5 3 3 2 3 2" xfId="5423" xr:uid="{00000000-0005-0000-0000-0000BE0D0000}"/>
    <cellStyle name="Normal 3 5 3 3 2 4" xfId="4261" xr:uid="{00000000-0005-0000-0000-0000BF0D0000}"/>
    <cellStyle name="Normal 3 5 3 3 2 5" xfId="1614" xr:uid="{00000000-0005-0000-0000-0000C00D0000}"/>
    <cellStyle name="Normal 3 5 3 3 3" xfId="2938" xr:uid="{00000000-0005-0000-0000-0000C10D0000}"/>
    <cellStyle name="Normal 3 5 3 3 3 2" xfId="5424" xr:uid="{00000000-0005-0000-0000-0000C20D0000}"/>
    <cellStyle name="Normal 3 5 3 3 4" xfId="2056" xr:uid="{00000000-0005-0000-0000-0000C30D0000}"/>
    <cellStyle name="Normal 3 5 3 3 4 2" xfId="5425" xr:uid="{00000000-0005-0000-0000-0000C40D0000}"/>
    <cellStyle name="Normal 3 5 3 3 5" xfId="3820" xr:uid="{00000000-0005-0000-0000-0000C50D0000}"/>
    <cellStyle name="Normal 3 5 3 3 6" xfId="1173" xr:uid="{00000000-0005-0000-0000-0000C60D0000}"/>
    <cellStyle name="Normal 3 5 3 4" xfId="511" xr:uid="{00000000-0005-0000-0000-0000C70D0000}"/>
    <cellStyle name="Normal 3 5 3 4 2" xfId="3159" xr:uid="{00000000-0005-0000-0000-0000C80D0000}"/>
    <cellStyle name="Normal 3 5 3 4 2 2" xfId="5426" xr:uid="{00000000-0005-0000-0000-0000C90D0000}"/>
    <cellStyle name="Normal 3 5 3 4 3" xfId="2277" xr:uid="{00000000-0005-0000-0000-0000CA0D0000}"/>
    <cellStyle name="Normal 3 5 3 4 3 2" xfId="5427" xr:uid="{00000000-0005-0000-0000-0000CB0D0000}"/>
    <cellStyle name="Normal 3 5 3 4 4" xfId="4041" xr:uid="{00000000-0005-0000-0000-0000CC0D0000}"/>
    <cellStyle name="Normal 3 5 3 4 5" xfId="1394" xr:uid="{00000000-0005-0000-0000-0000CD0D0000}"/>
    <cellStyle name="Normal 3 5 3 5" xfId="2718" xr:uid="{00000000-0005-0000-0000-0000CE0D0000}"/>
    <cellStyle name="Normal 3 5 3 5 2" xfId="5428" xr:uid="{00000000-0005-0000-0000-0000CF0D0000}"/>
    <cellStyle name="Normal 3 5 3 6" xfId="1836" xr:uid="{00000000-0005-0000-0000-0000D00D0000}"/>
    <cellStyle name="Normal 3 5 3 6 2" xfId="5429" xr:uid="{00000000-0005-0000-0000-0000D10D0000}"/>
    <cellStyle name="Normal 3 5 3 7" xfId="3600" xr:uid="{00000000-0005-0000-0000-0000D20D0000}"/>
    <cellStyle name="Normal 3 5 3 8" xfId="953" xr:uid="{00000000-0005-0000-0000-0000D30D0000}"/>
    <cellStyle name="Normal 3 5 4" xfId="86" xr:uid="{00000000-0005-0000-0000-0000D40D0000}"/>
    <cellStyle name="Normal 3 5 4 2" xfId="196" xr:uid="{00000000-0005-0000-0000-0000D50D0000}"/>
    <cellStyle name="Normal 3 5 4 2 2" xfId="416" xr:uid="{00000000-0005-0000-0000-0000D60D0000}"/>
    <cellStyle name="Normal 3 5 4 2 2 2" xfId="857" xr:uid="{00000000-0005-0000-0000-0000D70D0000}"/>
    <cellStyle name="Normal 3 5 4 2 2 2 2" xfId="3505" xr:uid="{00000000-0005-0000-0000-0000D80D0000}"/>
    <cellStyle name="Normal 3 5 4 2 2 2 2 2" xfId="5430" xr:uid="{00000000-0005-0000-0000-0000D90D0000}"/>
    <cellStyle name="Normal 3 5 4 2 2 2 3" xfId="2623" xr:uid="{00000000-0005-0000-0000-0000DA0D0000}"/>
    <cellStyle name="Normal 3 5 4 2 2 2 3 2" xfId="5431" xr:uid="{00000000-0005-0000-0000-0000DB0D0000}"/>
    <cellStyle name="Normal 3 5 4 2 2 2 4" xfId="4387" xr:uid="{00000000-0005-0000-0000-0000DC0D0000}"/>
    <cellStyle name="Normal 3 5 4 2 2 2 5" xfId="1740" xr:uid="{00000000-0005-0000-0000-0000DD0D0000}"/>
    <cellStyle name="Normal 3 5 4 2 2 3" xfId="3064" xr:uid="{00000000-0005-0000-0000-0000DE0D0000}"/>
    <cellStyle name="Normal 3 5 4 2 2 3 2" xfId="5432" xr:uid="{00000000-0005-0000-0000-0000DF0D0000}"/>
    <cellStyle name="Normal 3 5 4 2 2 4" xfId="2182" xr:uid="{00000000-0005-0000-0000-0000E00D0000}"/>
    <cellStyle name="Normal 3 5 4 2 2 4 2" xfId="5433" xr:uid="{00000000-0005-0000-0000-0000E10D0000}"/>
    <cellStyle name="Normal 3 5 4 2 2 5" xfId="3946" xr:uid="{00000000-0005-0000-0000-0000E20D0000}"/>
    <cellStyle name="Normal 3 5 4 2 2 6" xfId="1299" xr:uid="{00000000-0005-0000-0000-0000E30D0000}"/>
    <cellStyle name="Normal 3 5 4 2 3" xfId="637" xr:uid="{00000000-0005-0000-0000-0000E40D0000}"/>
    <cellStyle name="Normal 3 5 4 2 3 2" xfId="3285" xr:uid="{00000000-0005-0000-0000-0000E50D0000}"/>
    <cellStyle name="Normal 3 5 4 2 3 2 2" xfId="5434" xr:uid="{00000000-0005-0000-0000-0000E60D0000}"/>
    <cellStyle name="Normal 3 5 4 2 3 3" xfId="2403" xr:uid="{00000000-0005-0000-0000-0000E70D0000}"/>
    <cellStyle name="Normal 3 5 4 2 3 3 2" xfId="5435" xr:uid="{00000000-0005-0000-0000-0000E80D0000}"/>
    <cellStyle name="Normal 3 5 4 2 3 4" xfId="4167" xr:uid="{00000000-0005-0000-0000-0000E90D0000}"/>
    <cellStyle name="Normal 3 5 4 2 3 5" xfId="1520" xr:uid="{00000000-0005-0000-0000-0000EA0D0000}"/>
    <cellStyle name="Normal 3 5 4 2 4" xfId="2844" xr:uid="{00000000-0005-0000-0000-0000EB0D0000}"/>
    <cellStyle name="Normal 3 5 4 2 4 2" xfId="5436" xr:uid="{00000000-0005-0000-0000-0000EC0D0000}"/>
    <cellStyle name="Normal 3 5 4 2 5" xfId="1962" xr:uid="{00000000-0005-0000-0000-0000ED0D0000}"/>
    <cellStyle name="Normal 3 5 4 2 5 2" xfId="5437" xr:uid="{00000000-0005-0000-0000-0000EE0D0000}"/>
    <cellStyle name="Normal 3 5 4 2 6" xfId="3726" xr:uid="{00000000-0005-0000-0000-0000EF0D0000}"/>
    <cellStyle name="Normal 3 5 4 2 7" xfId="1079" xr:uid="{00000000-0005-0000-0000-0000F00D0000}"/>
    <cellStyle name="Normal 3 5 4 3" xfId="306" xr:uid="{00000000-0005-0000-0000-0000F10D0000}"/>
    <cellStyle name="Normal 3 5 4 3 2" xfId="747" xr:uid="{00000000-0005-0000-0000-0000F20D0000}"/>
    <cellStyle name="Normal 3 5 4 3 2 2" xfId="3395" xr:uid="{00000000-0005-0000-0000-0000F30D0000}"/>
    <cellStyle name="Normal 3 5 4 3 2 2 2" xfId="5438" xr:uid="{00000000-0005-0000-0000-0000F40D0000}"/>
    <cellStyle name="Normal 3 5 4 3 2 3" xfId="2513" xr:uid="{00000000-0005-0000-0000-0000F50D0000}"/>
    <cellStyle name="Normal 3 5 4 3 2 3 2" xfId="5439" xr:uid="{00000000-0005-0000-0000-0000F60D0000}"/>
    <cellStyle name="Normal 3 5 4 3 2 4" xfId="4277" xr:uid="{00000000-0005-0000-0000-0000F70D0000}"/>
    <cellStyle name="Normal 3 5 4 3 2 5" xfId="1630" xr:uid="{00000000-0005-0000-0000-0000F80D0000}"/>
    <cellStyle name="Normal 3 5 4 3 3" xfId="2954" xr:uid="{00000000-0005-0000-0000-0000F90D0000}"/>
    <cellStyle name="Normal 3 5 4 3 3 2" xfId="5440" xr:uid="{00000000-0005-0000-0000-0000FA0D0000}"/>
    <cellStyle name="Normal 3 5 4 3 4" xfId="2072" xr:uid="{00000000-0005-0000-0000-0000FB0D0000}"/>
    <cellStyle name="Normal 3 5 4 3 4 2" xfId="5441" xr:uid="{00000000-0005-0000-0000-0000FC0D0000}"/>
    <cellStyle name="Normal 3 5 4 3 5" xfId="3836" xr:uid="{00000000-0005-0000-0000-0000FD0D0000}"/>
    <cellStyle name="Normal 3 5 4 3 6" xfId="1189" xr:uid="{00000000-0005-0000-0000-0000FE0D0000}"/>
    <cellStyle name="Normal 3 5 4 4" xfId="527" xr:uid="{00000000-0005-0000-0000-0000FF0D0000}"/>
    <cellStyle name="Normal 3 5 4 4 2" xfId="3175" xr:uid="{00000000-0005-0000-0000-0000000E0000}"/>
    <cellStyle name="Normal 3 5 4 4 2 2" xfId="5442" xr:uid="{00000000-0005-0000-0000-0000010E0000}"/>
    <cellStyle name="Normal 3 5 4 4 3" xfId="2293" xr:uid="{00000000-0005-0000-0000-0000020E0000}"/>
    <cellStyle name="Normal 3 5 4 4 3 2" xfId="5443" xr:uid="{00000000-0005-0000-0000-0000030E0000}"/>
    <cellStyle name="Normal 3 5 4 4 4" xfId="4057" xr:uid="{00000000-0005-0000-0000-0000040E0000}"/>
    <cellStyle name="Normal 3 5 4 4 5" xfId="1410" xr:uid="{00000000-0005-0000-0000-0000050E0000}"/>
    <cellStyle name="Normal 3 5 4 5" xfId="2734" xr:uid="{00000000-0005-0000-0000-0000060E0000}"/>
    <cellStyle name="Normal 3 5 4 5 2" xfId="5444" xr:uid="{00000000-0005-0000-0000-0000070E0000}"/>
    <cellStyle name="Normal 3 5 4 6" xfId="1852" xr:uid="{00000000-0005-0000-0000-0000080E0000}"/>
    <cellStyle name="Normal 3 5 4 6 2" xfId="5445" xr:uid="{00000000-0005-0000-0000-0000090E0000}"/>
    <cellStyle name="Normal 3 5 4 7" xfId="3616" xr:uid="{00000000-0005-0000-0000-00000A0E0000}"/>
    <cellStyle name="Normal 3 5 4 8" xfId="969" xr:uid="{00000000-0005-0000-0000-00000B0E0000}"/>
    <cellStyle name="Normal 3 5 5" xfId="130" xr:uid="{00000000-0005-0000-0000-00000C0E0000}"/>
    <cellStyle name="Normal 3 5 5 2" xfId="350" xr:uid="{00000000-0005-0000-0000-00000D0E0000}"/>
    <cellStyle name="Normal 3 5 5 2 2" xfId="791" xr:uid="{00000000-0005-0000-0000-00000E0E0000}"/>
    <cellStyle name="Normal 3 5 5 2 2 2" xfId="3439" xr:uid="{00000000-0005-0000-0000-00000F0E0000}"/>
    <cellStyle name="Normal 3 5 5 2 2 2 2" xfId="5446" xr:uid="{00000000-0005-0000-0000-0000100E0000}"/>
    <cellStyle name="Normal 3 5 5 2 2 3" xfId="2557" xr:uid="{00000000-0005-0000-0000-0000110E0000}"/>
    <cellStyle name="Normal 3 5 5 2 2 3 2" xfId="5447" xr:uid="{00000000-0005-0000-0000-0000120E0000}"/>
    <cellStyle name="Normal 3 5 5 2 2 4" xfId="4321" xr:uid="{00000000-0005-0000-0000-0000130E0000}"/>
    <cellStyle name="Normal 3 5 5 2 2 5" xfId="1674" xr:uid="{00000000-0005-0000-0000-0000140E0000}"/>
    <cellStyle name="Normal 3 5 5 2 3" xfId="2998" xr:uid="{00000000-0005-0000-0000-0000150E0000}"/>
    <cellStyle name="Normal 3 5 5 2 3 2" xfId="5448" xr:uid="{00000000-0005-0000-0000-0000160E0000}"/>
    <cellStyle name="Normal 3 5 5 2 4" xfId="2116" xr:uid="{00000000-0005-0000-0000-0000170E0000}"/>
    <cellStyle name="Normal 3 5 5 2 4 2" xfId="5449" xr:uid="{00000000-0005-0000-0000-0000180E0000}"/>
    <cellStyle name="Normal 3 5 5 2 5" xfId="3880" xr:uid="{00000000-0005-0000-0000-0000190E0000}"/>
    <cellStyle name="Normal 3 5 5 2 6" xfId="1233" xr:uid="{00000000-0005-0000-0000-00001A0E0000}"/>
    <cellStyle name="Normal 3 5 5 3" xfId="571" xr:uid="{00000000-0005-0000-0000-00001B0E0000}"/>
    <cellStyle name="Normal 3 5 5 3 2" xfId="3219" xr:uid="{00000000-0005-0000-0000-00001C0E0000}"/>
    <cellStyle name="Normal 3 5 5 3 2 2" xfId="5450" xr:uid="{00000000-0005-0000-0000-00001D0E0000}"/>
    <cellStyle name="Normal 3 5 5 3 3" xfId="2337" xr:uid="{00000000-0005-0000-0000-00001E0E0000}"/>
    <cellStyle name="Normal 3 5 5 3 3 2" xfId="5451" xr:uid="{00000000-0005-0000-0000-00001F0E0000}"/>
    <cellStyle name="Normal 3 5 5 3 4" xfId="4101" xr:uid="{00000000-0005-0000-0000-0000200E0000}"/>
    <cellStyle name="Normal 3 5 5 3 5" xfId="1454" xr:uid="{00000000-0005-0000-0000-0000210E0000}"/>
    <cellStyle name="Normal 3 5 5 4" xfId="2778" xr:uid="{00000000-0005-0000-0000-0000220E0000}"/>
    <cellStyle name="Normal 3 5 5 4 2" xfId="5452" xr:uid="{00000000-0005-0000-0000-0000230E0000}"/>
    <cellStyle name="Normal 3 5 5 5" xfId="1896" xr:uid="{00000000-0005-0000-0000-0000240E0000}"/>
    <cellStyle name="Normal 3 5 5 5 2" xfId="5453" xr:uid="{00000000-0005-0000-0000-0000250E0000}"/>
    <cellStyle name="Normal 3 5 5 6" xfId="3660" xr:uid="{00000000-0005-0000-0000-0000260E0000}"/>
    <cellStyle name="Normal 3 5 5 7" xfId="1013" xr:uid="{00000000-0005-0000-0000-0000270E0000}"/>
    <cellStyle name="Normal 3 5 6" xfId="240" xr:uid="{00000000-0005-0000-0000-0000280E0000}"/>
    <cellStyle name="Normal 3 5 6 2" xfId="681" xr:uid="{00000000-0005-0000-0000-0000290E0000}"/>
    <cellStyle name="Normal 3 5 6 2 2" xfId="3329" xr:uid="{00000000-0005-0000-0000-00002A0E0000}"/>
    <cellStyle name="Normal 3 5 6 2 2 2" xfId="5454" xr:uid="{00000000-0005-0000-0000-00002B0E0000}"/>
    <cellStyle name="Normal 3 5 6 2 3" xfId="2447" xr:uid="{00000000-0005-0000-0000-00002C0E0000}"/>
    <cellStyle name="Normal 3 5 6 2 3 2" xfId="5455" xr:uid="{00000000-0005-0000-0000-00002D0E0000}"/>
    <cellStyle name="Normal 3 5 6 2 4" xfId="4211" xr:uid="{00000000-0005-0000-0000-00002E0E0000}"/>
    <cellStyle name="Normal 3 5 6 2 5" xfId="1564" xr:uid="{00000000-0005-0000-0000-00002F0E0000}"/>
    <cellStyle name="Normal 3 5 6 3" xfId="2888" xr:uid="{00000000-0005-0000-0000-0000300E0000}"/>
    <cellStyle name="Normal 3 5 6 3 2" xfId="5456" xr:uid="{00000000-0005-0000-0000-0000310E0000}"/>
    <cellStyle name="Normal 3 5 6 4" xfId="2006" xr:uid="{00000000-0005-0000-0000-0000320E0000}"/>
    <cellStyle name="Normal 3 5 6 4 2" xfId="5457" xr:uid="{00000000-0005-0000-0000-0000330E0000}"/>
    <cellStyle name="Normal 3 5 6 5" xfId="3770" xr:uid="{00000000-0005-0000-0000-0000340E0000}"/>
    <cellStyle name="Normal 3 5 6 6" xfId="1123" xr:uid="{00000000-0005-0000-0000-0000350E0000}"/>
    <cellStyle name="Normal 3 5 7" xfId="461" xr:uid="{00000000-0005-0000-0000-0000360E0000}"/>
    <cellStyle name="Normal 3 5 7 2" xfId="3109" xr:uid="{00000000-0005-0000-0000-0000370E0000}"/>
    <cellStyle name="Normal 3 5 7 2 2" xfId="5458" xr:uid="{00000000-0005-0000-0000-0000380E0000}"/>
    <cellStyle name="Normal 3 5 7 3" xfId="2227" xr:uid="{00000000-0005-0000-0000-0000390E0000}"/>
    <cellStyle name="Normal 3 5 7 3 2" xfId="5459" xr:uid="{00000000-0005-0000-0000-00003A0E0000}"/>
    <cellStyle name="Normal 3 5 7 4" xfId="3991" xr:uid="{00000000-0005-0000-0000-00003B0E0000}"/>
    <cellStyle name="Normal 3 5 7 5" xfId="1344" xr:uid="{00000000-0005-0000-0000-00003C0E0000}"/>
    <cellStyle name="Normal 3 5 8" xfId="2668" xr:uid="{00000000-0005-0000-0000-00003D0E0000}"/>
    <cellStyle name="Normal 3 5 8 2" xfId="5460" xr:uid="{00000000-0005-0000-0000-00003E0E0000}"/>
    <cellStyle name="Normal 3 5 9" xfId="1786" xr:uid="{00000000-0005-0000-0000-00003F0E0000}"/>
    <cellStyle name="Normal 3 5 9 2" xfId="5461" xr:uid="{00000000-0005-0000-0000-0000400E0000}"/>
    <cellStyle name="Normal 3 6" xfId="23" xr:uid="{00000000-0005-0000-0000-0000410E0000}"/>
    <cellStyle name="Normal 3 6 10" xfId="3553" xr:uid="{00000000-0005-0000-0000-0000420E0000}"/>
    <cellStyle name="Normal 3 6 11" xfId="906" xr:uid="{00000000-0005-0000-0000-0000430E0000}"/>
    <cellStyle name="Normal 3 6 2" xfId="57" xr:uid="{00000000-0005-0000-0000-0000440E0000}"/>
    <cellStyle name="Normal 3 6 2 2" xfId="167" xr:uid="{00000000-0005-0000-0000-0000450E0000}"/>
    <cellStyle name="Normal 3 6 2 2 2" xfId="387" xr:uid="{00000000-0005-0000-0000-0000460E0000}"/>
    <cellStyle name="Normal 3 6 2 2 2 2" xfId="828" xr:uid="{00000000-0005-0000-0000-0000470E0000}"/>
    <cellStyle name="Normal 3 6 2 2 2 2 2" xfId="3476" xr:uid="{00000000-0005-0000-0000-0000480E0000}"/>
    <cellStyle name="Normal 3 6 2 2 2 2 2 2" xfId="5462" xr:uid="{00000000-0005-0000-0000-0000490E0000}"/>
    <cellStyle name="Normal 3 6 2 2 2 2 3" xfId="2594" xr:uid="{00000000-0005-0000-0000-00004A0E0000}"/>
    <cellStyle name="Normal 3 6 2 2 2 2 3 2" xfId="5463" xr:uid="{00000000-0005-0000-0000-00004B0E0000}"/>
    <cellStyle name="Normal 3 6 2 2 2 2 4" xfId="4358" xr:uid="{00000000-0005-0000-0000-00004C0E0000}"/>
    <cellStyle name="Normal 3 6 2 2 2 2 5" xfId="1711" xr:uid="{00000000-0005-0000-0000-00004D0E0000}"/>
    <cellStyle name="Normal 3 6 2 2 2 3" xfId="3035" xr:uid="{00000000-0005-0000-0000-00004E0E0000}"/>
    <cellStyle name="Normal 3 6 2 2 2 3 2" xfId="5464" xr:uid="{00000000-0005-0000-0000-00004F0E0000}"/>
    <cellStyle name="Normal 3 6 2 2 2 4" xfId="2153" xr:uid="{00000000-0005-0000-0000-0000500E0000}"/>
    <cellStyle name="Normal 3 6 2 2 2 4 2" xfId="5465" xr:uid="{00000000-0005-0000-0000-0000510E0000}"/>
    <cellStyle name="Normal 3 6 2 2 2 5" xfId="3917" xr:uid="{00000000-0005-0000-0000-0000520E0000}"/>
    <cellStyle name="Normal 3 6 2 2 2 6" xfId="1270" xr:uid="{00000000-0005-0000-0000-0000530E0000}"/>
    <cellStyle name="Normal 3 6 2 2 3" xfId="608" xr:uid="{00000000-0005-0000-0000-0000540E0000}"/>
    <cellStyle name="Normal 3 6 2 2 3 2" xfId="3256" xr:uid="{00000000-0005-0000-0000-0000550E0000}"/>
    <cellStyle name="Normal 3 6 2 2 3 2 2" xfId="5466" xr:uid="{00000000-0005-0000-0000-0000560E0000}"/>
    <cellStyle name="Normal 3 6 2 2 3 3" xfId="2374" xr:uid="{00000000-0005-0000-0000-0000570E0000}"/>
    <cellStyle name="Normal 3 6 2 2 3 3 2" xfId="5467" xr:uid="{00000000-0005-0000-0000-0000580E0000}"/>
    <cellStyle name="Normal 3 6 2 2 3 4" xfId="4138" xr:uid="{00000000-0005-0000-0000-0000590E0000}"/>
    <cellStyle name="Normal 3 6 2 2 3 5" xfId="1491" xr:uid="{00000000-0005-0000-0000-00005A0E0000}"/>
    <cellStyle name="Normal 3 6 2 2 4" xfId="2815" xr:uid="{00000000-0005-0000-0000-00005B0E0000}"/>
    <cellStyle name="Normal 3 6 2 2 4 2" xfId="5468" xr:uid="{00000000-0005-0000-0000-00005C0E0000}"/>
    <cellStyle name="Normal 3 6 2 2 5" xfId="1933" xr:uid="{00000000-0005-0000-0000-00005D0E0000}"/>
    <cellStyle name="Normal 3 6 2 2 5 2" xfId="5469" xr:uid="{00000000-0005-0000-0000-00005E0E0000}"/>
    <cellStyle name="Normal 3 6 2 2 6" xfId="3697" xr:uid="{00000000-0005-0000-0000-00005F0E0000}"/>
    <cellStyle name="Normal 3 6 2 2 7" xfId="1050" xr:uid="{00000000-0005-0000-0000-0000600E0000}"/>
    <cellStyle name="Normal 3 6 2 3" xfId="277" xr:uid="{00000000-0005-0000-0000-0000610E0000}"/>
    <cellStyle name="Normal 3 6 2 3 2" xfId="718" xr:uid="{00000000-0005-0000-0000-0000620E0000}"/>
    <cellStyle name="Normal 3 6 2 3 2 2" xfId="3366" xr:uid="{00000000-0005-0000-0000-0000630E0000}"/>
    <cellStyle name="Normal 3 6 2 3 2 2 2" xfId="5470" xr:uid="{00000000-0005-0000-0000-0000640E0000}"/>
    <cellStyle name="Normal 3 6 2 3 2 3" xfId="2484" xr:uid="{00000000-0005-0000-0000-0000650E0000}"/>
    <cellStyle name="Normal 3 6 2 3 2 3 2" xfId="5471" xr:uid="{00000000-0005-0000-0000-0000660E0000}"/>
    <cellStyle name="Normal 3 6 2 3 2 4" xfId="4248" xr:uid="{00000000-0005-0000-0000-0000670E0000}"/>
    <cellStyle name="Normal 3 6 2 3 2 5" xfId="1601" xr:uid="{00000000-0005-0000-0000-0000680E0000}"/>
    <cellStyle name="Normal 3 6 2 3 3" xfId="2925" xr:uid="{00000000-0005-0000-0000-0000690E0000}"/>
    <cellStyle name="Normal 3 6 2 3 3 2" xfId="5472" xr:uid="{00000000-0005-0000-0000-00006A0E0000}"/>
    <cellStyle name="Normal 3 6 2 3 4" xfId="2043" xr:uid="{00000000-0005-0000-0000-00006B0E0000}"/>
    <cellStyle name="Normal 3 6 2 3 4 2" xfId="5473" xr:uid="{00000000-0005-0000-0000-00006C0E0000}"/>
    <cellStyle name="Normal 3 6 2 3 5" xfId="3807" xr:uid="{00000000-0005-0000-0000-00006D0E0000}"/>
    <cellStyle name="Normal 3 6 2 3 6" xfId="1160" xr:uid="{00000000-0005-0000-0000-00006E0E0000}"/>
    <cellStyle name="Normal 3 6 2 4" xfId="498" xr:uid="{00000000-0005-0000-0000-00006F0E0000}"/>
    <cellStyle name="Normal 3 6 2 4 2" xfId="3146" xr:uid="{00000000-0005-0000-0000-0000700E0000}"/>
    <cellStyle name="Normal 3 6 2 4 2 2" xfId="5474" xr:uid="{00000000-0005-0000-0000-0000710E0000}"/>
    <cellStyle name="Normal 3 6 2 4 3" xfId="2264" xr:uid="{00000000-0005-0000-0000-0000720E0000}"/>
    <cellStyle name="Normal 3 6 2 4 3 2" xfId="5475" xr:uid="{00000000-0005-0000-0000-0000730E0000}"/>
    <cellStyle name="Normal 3 6 2 4 4" xfId="4028" xr:uid="{00000000-0005-0000-0000-0000740E0000}"/>
    <cellStyle name="Normal 3 6 2 4 5" xfId="1381" xr:uid="{00000000-0005-0000-0000-0000750E0000}"/>
    <cellStyle name="Normal 3 6 2 5" xfId="2705" xr:uid="{00000000-0005-0000-0000-0000760E0000}"/>
    <cellStyle name="Normal 3 6 2 5 2" xfId="5476" xr:uid="{00000000-0005-0000-0000-0000770E0000}"/>
    <cellStyle name="Normal 3 6 2 6" xfId="1823" xr:uid="{00000000-0005-0000-0000-0000780E0000}"/>
    <cellStyle name="Normal 3 6 2 6 2" xfId="5477" xr:uid="{00000000-0005-0000-0000-0000790E0000}"/>
    <cellStyle name="Normal 3 6 2 7" xfId="3587" xr:uid="{00000000-0005-0000-0000-00007A0E0000}"/>
    <cellStyle name="Normal 3 6 2 8" xfId="940" xr:uid="{00000000-0005-0000-0000-00007B0E0000}"/>
    <cellStyle name="Normal 3 6 3" xfId="73" xr:uid="{00000000-0005-0000-0000-00007C0E0000}"/>
    <cellStyle name="Normal 3 6 3 2" xfId="183" xr:uid="{00000000-0005-0000-0000-00007D0E0000}"/>
    <cellStyle name="Normal 3 6 3 2 2" xfId="403" xr:uid="{00000000-0005-0000-0000-00007E0E0000}"/>
    <cellStyle name="Normal 3 6 3 2 2 2" xfId="844" xr:uid="{00000000-0005-0000-0000-00007F0E0000}"/>
    <cellStyle name="Normal 3 6 3 2 2 2 2" xfId="3492" xr:uid="{00000000-0005-0000-0000-0000800E0000}"/>
    <cellStyle name="Normal 3 6 3 2 2 2 2 2" xfId="5478" xr:uid="{00000000-0005-0000-0000-0000810E0000}"/>
    <cellStyle name="Normal 3 6 3 2 2 2 3" xfId="2610" xr:uid="{00000000-0005-0000-0000-0000820E0000}"/>
    <cellStyle name="Normal 3 6 3 2 2 2 3 2" xfId="5479" xr:uid="{00000000-0005-0000-0000-0000830E0000}"/>
    <cellStyle name="Normal 3 6 3 2 2 2 4" xfId="4374" xr:uid="{00000000-0005-0000-0000-0000840E0000}"/>
    <cellStyle name="Normal 3 6 3 2 2 2 5" xfId="1727" xr:uid="{00000000-0005-0000-0000-0000850E0000}"/>
    <cellStyle name="Normal 3 6 3 2 2 3" xfId="3051" xr:uid="{00000000-0005-0000-0000-0000860E0000}"/>
    <cellStyle name="Normal 3 6 3 2 2 3 2" xfId="5480" xr:uid="{00000000-0005-0000-0000-0000870E0000}"/>
    <cellStyle name="Normal 3 6 3 2 2 4" xfId="2169" xr:uid="{00000000-0005-0000-0000-0000880E0000}"/>
    <cellStyle name="Normal 3 6 3 2 2 4 2" xfId="5481" xr:uid="{00000000-0005-0000-0000-0000890E0000}"/>
    <cellStyle name="Normal 3 6 3 2 2 5" xfId="3933" xr:uid="{00000000-0005-0000-0000-00008A0E0000}"/>
    <cellStyle name="Normal 3 6 3 2 2 6" xfId="1286" xr:uid="{00000000-0005-0000-0000-00008B0E0000}"/>
    <cellStyle name="Normal 3 6 3 2 3" xfId="624" xr:uid="{00000000-0005-0000-0000-00008C0E0000}"/>
    <cellStyle name="Normal 3 6 3 2 3 2" xfId="3272" xr:uid="{00000000-0005-0000-0000-00008D0E0000}"/>
    <cellStyle name="Normal 3 6 3 2 3 2 2" xfId="5482" xr:uid="{00000000-0005-0000-0000-00008E0E0000}"/>
    <cellStyle name="Normal 3 6 3 2 3 3" xfId="2390" xr:uid="{00000000-0005-0000-0000-00008F0E0000}"/>
    <cellStyle name="Normal 3 6 3 2 3 3 2" xfId="5483" xr:uid="{00000000-0005-0000-0000-0000900E0000}"/>
    <cellStyle name="Normal 3 6 3 2 3 4" xfId="4154" xr:uid="{00000000-0005-0000-0000-0000910E0000}"/>
    <cellStyle name="Normal 3 6 3 2 3 5" xfId="1507" xr:uid="{00000000-0005-0000-0000-0000920E0000}"/>
    <cellStyle name="Normal 3 6 3 2 4" xfId="2831" xr:uid="{00000000-0005-0000-0000-0000930E0000}"/>
    <cellStyle name="Normal 3 6 3 2 4 2" xfId="5484" xr:uid="{00000000-0005-0000-0000-0000940E0000}"/>
    <cellStyle name="Normal 3 6 3 2 5" xfId="1949" xr:uid="{00000000-0005-0000-0000-0000950E0000}"/>
    <cellStyle name="Normal 3 6 3 2 5 2" xfId="5485" xr:uid="{00000000-0005-0000-0000-0000960E0000}"/>
    <cellStyle name="Normal 3 6 3 2 6" xfId="3713" xr:uid="{00000000-0005-0000-0000-0000970E0000}"/>
    <cellStyle name="Normal 3 6 3 2 7" xfId="1066" xr:uid="{00000000-0005-0000-0000-0000980E0000}"/>
    <cellStyle name="Normal 3 6 3 3" xfId="293" xr:uid="{00000000-0005-0000-0000-0000990E0000}"/>
    <cellStyle name="Normal 3 6 3 3 2" xfId="734" xr:uid="{00000000-0005-0000-0000-00009A0E0000}"/>
    <cellStyle name="Normal 3 6 3 3 2 2" xfId="3382" xr:uid="{00000000-0005-0000-0000-00009B0E0000}"/>
    <cellStyle name="Normal 3 6 3 3 2 2 2" xfId="5486" xr:uid="{00000000-0005-0000-0000-00009C0E0000}"/>
    <cellStyle name="Normal 3 6 3 3 2 3" xfId="2500" xr:uid="{00000000-0005-0000-0000-00009D0E0000}"/>
    <cellStyle name="Normal 3 6 3 3 2 3 2" xfId="5487" xr:uid="{00000000-0005-0000-0000-00009E0E0000}"/>
    <cellStyle name="Normal 3 6 3 3 2 4" xfId="4264" xr:uid="{00000000-0005-0000-0000-00009F0E0000}"/>
    <cellStyle name="Normal 3 6 3 3 2 5" xfId="1617" xr:uid="{00000000-0005-0000-0000-0000A00E0000}"/>
    <cellStyle name="Normal 3 6 3 3 3" xfId="2941" xr:uid="{00000000-0005-0000-0000-0000A10E0000}"/>
    <cellStyle name="Normal 3 6 3 3 3 2" xfId="5488" xr:uid="{00000000-0005-0000-0000-0000A20E0000}"/>
    <cellStyle name="Normal 3 6 3 3 4" xfId="2059" xr:uid="{00000000-0005-0000-0000-0000A30E0000}"/>
    <cellStyle name="Normal 3 6 3 3 4 2" xfId="5489" xr:uid="{00000000-0005-0000-0000-0000A40E0000}"/>
    <cellStyle name="Normal 3 6 3 3 5" xfId="3823" xr:uid="{00000000-0005-0000-0000-0000A50E0000}"/>
    <cellStyle name="Normal 3 6 3 3 6" xfId="1176" xr:uid="{00000000-0005-0000-0000-0000A60E0000}"/>
    <cellStyle name="Normal 3 6 3 4" xfId="514" xr:uid="{00000000-0005-0000-0000-0000A70E0000}"/>
    <cellStyle name="Normal 3 6 3 4 2" xfId="3162" xr:uid="{00000000-0005-0000-0000-0000A80E0000}"/>
    <cellStyle name="Normal 3 6 3 4 2 2" xfId="5490" xr:uid="{00000000-0005-0000-0000-0000A90E0000}"/>
    <cellStyle name="Normal 3 6 3 4 3" xfId="2280" xr:uid="{00000000-0005-0000-0000-0000AA0E0000}"/>
    <cellStyle name="Normal 3 6 3 4 3 2" xfId="5491" xr:uid="{00000000-0005-0000-0000-0000AB0E0000}"/>
    <cellStyle name="Normal 3 6 3 4 4" xfId="4044" xr:uid="{00000000-0005-0000-0000-0000AC0E0000}"/>
    <cellStyle name="Normal 3 6 3 4 5" xfId="1397" xr:uid="{00000000-0005-0000-0000-0000AD0E0000}"/>
    <cellStyle name="Normal 3 6 3 5" xfId="2721" xr:uid="{00000000-0005-0000-0000-0000AE0E0000}"/>
    <cellStyle name="Normal 3 6 3 5 2" xfId="5492" xr:uid="{00000000-0005-0000-0000-0000AF0E0000}"/>
    <cellStyle name="Normal 3 6 3 6" xfId="1839" xr:uid="{00000000-0005-0000-0000-0000B00E0000}"/>
    <cellStyle name="Normal 3 6 3 6 2" xfId="5493" xr:uid="{00000000-0005-0000-0000-0000B10E0000}"/>
    <cellStyle name="Normal 3 6 3 7" xfId="3603" xr:uid="{00000000-0005-0000-0000-0000B20E0000}"/>
    <cellStyle name="Normal 3 6 3 8" xfId="956" xr:uid="{00000000-0005-0000-0000-0000B30E0000}"/>
    <cellStyle name="Normal 3 6 4" xfId="89" xr:uid="{00000000-0005-0000-0000-0000B40E0000}"/>
    <cellStyle name="Normal 3 6 4 2" xfId="199" xr:uid="{00000000-0005-0000-0000-0000B50E0000}"/>
    <cellStyle name="Normal 3 6 4 2 2" xfId="419" xr:uid="{00000000-0005-0000-0000-0000B60E0000}"/>
    <cellStyle name="Normal 3 6 4 2 2 2" xfId="860" xr:uid="{00000000-0005-0000-0000-0000B70E0000}"/>
    <cellStyle name="Normal 3 6 4 2 2 2 2" xfId="3508" xr:uid="{00000000-0005-0000-0000-0000B80E0000}"/>
    <cellStyle name="Normal 3 6 4 2 2 2 2 2" xfId="5494" xr:uid="{00000000-0005-0000-0000-0000B90E0000}"/>
    <cellStyle name="Normal 3 6 4 2 2 2 3" xfId="2626" xr:uid="{00000000-0005-0000-0000-0000BA0E0000}"/>
    <cellStyle name="Normal 3 6 4 2 2 2 3 2" xfId="5495" xr:uid="{00000000-0005-0000-0000-0000BB0E0000}"/>
    <cellStyle name="Normal 3 6 4 2 2 2 4" xfId="4390" xr:uid="{00000000-0005-0000-0000-0000BC0E0000}"/>
    <cellStyle name="Normal 3 6 4 2 2 2 5" xfId="1743" xr:uid="{00000000-0005-0000-0000-0000BD0E0000}"/>
    <cellStyle name="Normal 3 6 4 2 2 3" xfId="3067" xr:uid="{00000000-0005-0000-0000-0000BE0E0000}"/>
    <cellStyle name="Normal 3 6 4 2 2 3 2" xfId="5496" xr:uid="{00000000-0005-0000-0000-0000BF0E0000}"/>
    <cellStyle name="Normal 3 6 4 2 2 4" xfId="2185" xr:uid="{00000000-0005-0000-0000-0000C00E0000}"/>
    <cellStyle name="Normal 3 6 4 2 2 4 2" xfId="5497" xr:uid="{00000000-0005-0000-0000-0000C10E0000}"/>
    <cellStyle name="Normal 3 6 4 2 2 5" xfId="3949" xr:uid="{00000000-0005-0000-0000-0000C20E0000}"/>
    <cellStyle name="Normal 3 6 4 2 2 6" xfId="1302" xr:uid="{00000000-0005-0000-0000-0000C30E0000}"/>
    <cellStyle name="Normal 3 6 4 2 3" xfId="640" xr:uid="{00000000-0005-0000-0000-0000C40E0000}"/>
    <cellStyle name="Normal 3 6 4 2 3 2" xfId="3288" xr:uid="{00000000-0005-0000-0000-0000C50E0000}"/>
    <cellStyle name="Normal 3 6 4 2 3 2 2" xfId="5498" xr:uid="{00000000-0005-0000-0000-0000C60E0000}"/>
    <cellStyle name="Normal 3 6 4 2 3 3" xfId="2406" xr:uid="{00000000-0005-0000-0000-0000C70E0000}"/>
    <cellStyle name="Normal 3 6 4 2 3 3 2" xfId="5499" xr:uid="{00000000-0005-0000-0000-0000C80E0000}"/>
    <cellStyle name="Normal 3 6 4 2 3 4" xfId="4170" xr:uid="{00000000-0005-0000-0000-0000C90E0000}"/>
    <cellStyle name="Normal 3 6 4 2 3 5" xfId="1523" xr:uid="{00000000-0005-0000-0000-0000CA0E0000}"/>
    <cellStyle name="Normal 3 6 4 2 4" xfId="2847" xr:uid="{00000000-0005-0000-0000-0000CB0E0000}"/>
    <cellStyle name="Normal 3 6 4 2 4 2" xfId="5500" xr:uid="{00000000-0005-0000-0000-0000CC0E0000}"/>
    <cellStyle name="Normal 3 6 4 2 5" xfId="1965" xr:uid="{00000000-0005-0000-0000-0000CD0E0000}"/>
    <cellStyle name="Normal 3 6 4 2 5 2" xfId="5501" xr:uid="{00000000-0005-0000-0000-0000CE0E0000}"/>
    <cellStyle name="Normal 3 6 4 2 6" xfId="3729" xr:uid="{00000000-0005-0000-0000-0000CF0E0000}"/>
    <cellStyle name="Normal 3 6 4 2 7" xfId="1082" xr:uid="{00000000-0005-0000-0000-0000D00E0000}"/>
    <cellStyle name="Normal 3 6 4 3" xfId="309" xr:uid="{00000000-0005-0000-0000-0000D10E0000}"/>
    <cellStyle name="Normal 3 6 4 3 2" xfId="750" xr:uid="{00000000-0005-0000-0000-0000D20E0000}"/>
    <cellStyle name="Normal 3 6 4 3 2 2" xfId="3398" xr:uid="{00000000-0005-0000-0000-0000D30E0000}"/>
    <cellStyle name="Normal 3 6 4 3 2 2 2" xfId="5502" xr:uid="{00000000-0005-0000-0000-0000D40E0000}"/>
    <cellStyle name="Normal 3 6 4 3 2 3" xfId="2516" xr:uid="{00000000-0005-0000-0000-0000D50E0000}"/>
    <cellStyle name="Normal 3 6 4 3 2 3 2" xfId="5503" xr:uid="{00000000-0005-0000-0000-0000D60E0000}"/>
    <cellStyle name="Normal 3 6 4 3 2 4" xfId="4280" xr:uid="{00000000-0005-0000-0000-0000D70E0000}"/>
    <cellStyle name="Normal 3 6 4 3 2 5" xfId="1633" xr:uid="{00000000-0005-0000-0000-0000D80E0000}"/>
    <cellStyle name="Normal 3 6 4 3 3" xfId="2957" xr:uid="{00000000-0005-0000-0000-0000D90E0000}"/>
    <cellStyle name="Normal 3 6 4 3 3 2" xfId="5504" xr:uid="{00000000-0005-0000-0000-0000DA0E0000}"/>
    <cellStyle name="Normal 3 6 4 3 4" xfId="2075" xr:uid="{00000000-0005-0000-0000-0000DB0E0000}"/>
    <cellStyle name="Normal 3 6 4 3 4 2" xfId="5505" xr:uid="{00000000-0005-0000-0000-0000DC0E0000}"/>
    <cellStyle name="Normal 3 6 4 3 5" xfId="3839" xr:uid="{00000000-0005-0000-0000-0000DD0E0000}"/>
    <cellStyle name="Normal 3 6 4 3 6" xfId="1192" xr:uid="{00000000-0005-0000-0000-0000DE0E0000}"/>
    <cellStyle name="Normal 3 6 4 4" xfId="530" xr:uid="{00000000-0005-0000-0000-0000DF0E0000}"/>
    <cellStyle name="Normal 3 6 4 4 2" xfId="3178" xr:uid="{00000000-0005-0000-0000-0000E00E0000}"/>
    <cellStyle name="Normal 3 6 4 4 2 2" xfId="5506" xr:uid="{00000000-0005-0000-0000-0000E10E0000}"/>
    <cellStyle name="Normal 3 6 4 4 3" xfId="2296" xr:uid="{00000000-0005-0000-0000-0000E20E0000}"/>
    <cellStyle name="Normal 3 6 4 4 3 2" xfId="5507" xr:uid="{00000000-0005-0000-0000-0000E30E0000}"/>
    <cellStyle name="Normal 3 6 4 4 4" xfId="4060" xr:uid="{00000000-0005-0000-0000-0000E40E0000}"/>
    <cellStyle name="Normal 3 6 4 4 5" xfId="1413" xr:uid="{00000000-0005-0000-0000-0000E50E0000}"/>
    <cellStyle name="Normal 3 6 4 5" xfId="2737" xr:uid="{00000000-0005-0000-0000-0000E60E0000}"/>
    <cellStyle name="Normal 3 6 4 5 2" xfId="5508" xr:uid="{00000000-0005-0000-0000-0000E70E0000}"/>
    <cellStyle name="Normal 3 6 4 6" xfId="1855" xr:uid="{00000000-0005-0000-0000-0000E80E0000}"/>
    <cellStyle name="Normal 3 6 4 6 2" xfId="5509" xr:uid="{00000000-0005-0000-0000-0000E90E0000}"/>
    <cellStyle name="Normal 3 6 4 7" xfId="3619" xr:uid="{00000000-0005-0000-0000-0000EA0E0000}"/>
    <cellStyle name="Normal 3 6 4 8" xfId="972" xr:uid="{00000000-0005-0000-0000-0000EB0E0000}"/>
    <cellStyle name="Normal 3 6 5" xfId="133" xr:uid="{00000000-0005-0000-0000-0000EC0E0000}"/>
    <cellStyle name="Normal 3 6 5 2" xfId="353" xr:uid="{00000000-0005-0000-0000-0000ED0E0000}"/>
    <cellStyle name="Normal 3 6 5 2 2" xfId="794" xr:uid="{00000000-0005-0000-0000-0000EE0E0000}"/>
    <cellStyle name="Normal 3 6 5 2 2 2" xfId="3442" xr:uid="{00000000-0005-0000-0000-0000EF0E0000}"/>
    <cellStyle name="Normal 3 6 5 2 2 2 2" xfId="5510" xr:uid="{00000000-0005-0000-0000-0000F00E0000}"/>
    <cellStyle name="Normal 3 6 5 2 2 3" xfId="2560" xr:uid="{00000000-0005-0000-0000-0000F10E0000}"/>
    <cellStyle name="Normal 3 6 5 2 2 3 2" xfId="5511" xr:uid="{00000000-0005-0000-0000-0000F20E0000}"/>
    <cellStyle name="Normal 3 6 5 2 2 4" xfId="4324" xr:uid="{00000000-0005-0000-0000-0000F30E0000}"/>
    <cellStyle name="Normal 3 6 5 2 2 5" xfId="1677" xr:uid="{00000000-0005-0000-0000-0000F40E0000}"/>
    <cellStyle name="Normal 3 6 5 2 3" xfId="3001" xr:uid="{00000000-0005-0000-0000-0000F50E0000}"/>
    <cellStyle name="Normal 3 6 5 2 3 2" xfId="5512" xr:uid="{00000000-0005-0000-0000-0000F60E0000}"/>
    <cellStyle name="Normal 3 6 5 2 4" xfId="2119" xr:uid="{00000000-0005-0000-0000-0000F70E0000}"/>
    <cellStyle name="Normal 3 6 5 2 4 2" xfId="5513" xr:uid="{00000000-0005-0000-0000-0000F80E0000}"/>
    <cellStyle name="Normal 3 6 5 2 5" xfId="3883" xr:uid="{00000000-0005-0000-0000-0000F90E0000}"/>
    <cellStyle name="Normal 3 6 5 2 6" xfId="1236" xr:uid="{00000000-0005-0000-0000-0000FA0E0000}"/>
    <cellStyle name="Normal 3 6 5 3" xfId="574" xr:uid="{00000000-0005-0000-0000-0000FB0E0000}"/>
    <cellStyle name="Normal 3 6 5 3 2" xfId="3222" xr:uid="{00000000-0005-0000-0000-0000FC0E0000}"/>
    <cellStyle name="Normal 3 6 5 3 2 2" xfId="5514" xr:uid="{00000000-0005-0000-0000-0000FD0E0000}"/>
    <cellStyle name="Normal 3 6 5 3 3" xfId="2340" xr:uid="{00000000-0005-0000-0000-0000FE0E0000}"/>
    <cellStyle name="Normal 3 6 5 3 3 2" xfId="5515" xr:uid="{00000000-0005-0000-0000-0000FF0E0000}"/>
    <cellStyle name="Normal 3 6 5 3 4" xfId="4104" xr:uid="{00000000-0005-0000-0000-0000000F0000}"/>
    <cellStyle name="Normal 3 6 5 3 5" xfId="1457" xr:uid="{00000000-0005-0000-0000-0000010F0000}"/>
    <cellStyle name="Normal 3 6 5 4" xfId="2781" xr:uid="{00000000-0005-0000-0000-0000020F0000}"/>
    <cellStyle name="Normal 3 6 5 4 2" xfId="5516" xr:uid="{00000000-0005-0000-0000-0000030F0000}"/>
    <cellStyle name="Normal 3 6 5 5" xfId="1899" xr:uid="{00000000-0005-0000-0000-0000040F0000}"/>
    <cellStyle name="Normal 3 6 5 5 2" xfId="5517" xr:uid="{00000000-0005-0000-0000-0000050F0000}"/>
    <cellStyle name="Normal 3 6 5 6" xfId="3663" xr:uid="{00000000-0005-0000-0000-0000060F0000}"/>
    <cellStyle name="Normal 3 6 5 7" xfId="1016" xr:uid="{00000000-0005-0000-0000-0000070F0000}"/>
    <cellStyle name="Normal 3 6 6" xfId="243" xr:uid="{00000000-0005-0000-0000-0000080F0000}"/>
    <cellStyle name="Normal 3 6 6 2" xfId="684" xr:uid="{00000000-0005-0000-0000-0000090F0000}"/>
    <cellStyle name="Normal 3 6 6 2 2" xfId="3332" xr:uid="{00000000-0005-0000-0000-00000A0F0000}"/>
    <cellStyle name="Normal 3 6 6 2 2 2" xfId="5518" xr:uid="{00000000-0005-0000-0000-00000B0F0000}"/>
    <cellStyle name="Normal 3 6 6 2 3" xfId="2450" xr:uid="{00000000-0005-0000-0000-00000C0F0000}"/>
    <cellStyle name="Normal 3 6 6 2 3 2" xfId="5519" xr:uid="{00000000-0005-0000-0000-00000D0F0000}"/>
    <cellStyle name="Normal 3 6 6 2 4" xfId="4214" xr:uid="{00000000-0005-0000-0000-00000E0F0000}"/>
    <cellStyle name="Normal 3 6 6 2 5" xfId="1567" xr:uid="{00000000-0005-0000-0000-00000F0F0000}"/>
    <cellStyle name="Normal 3 6 6 3" xfId="2891" xr:uid="{00000000-0005-0000-0000-0000100F0000}"/>
    <cellStyle name="Normal 3 6 6 3 2" xfId="5520" xr:uid="{00000000-0005-0000-0000-0000110F0000}"/>
    <cellStyle name="Normal 3 6 6 4" xfId="2009" xr:uid="{00000000-0005-0000-0000-0000120F0000}"/>
    <cellStyle name="Normal 3 6 6 4 2" xfId="5521" xr:uid="{00000000-0005-0000-0000-0000130F0000}"/>
    <cellStyle name="Normal 3 6 6 5" xfId="3773" xr:uid="{00000000-0005-0000-0000-0000140F0000}"/>
    <cellStyle name="Normal 3 6 6 6" xfId="1126" xr:uid="{00000000-0005-0000-0000-0000150F0000}"/>
    <cellStyle name="Normal 3 6 7" xfId="464" xr:uid="{00000000-0005-0000-0000-0000160F0000}"/>
    <cellStyle name="Normal 3 6 7 2" xfId="3112" xr:uid="{00000000-0005-0000-0000-0000170F0000}"/>
    <cellStyle name="Normal 3 6 7 2 2" xfId="5522" xr:uid="{00000000-0005-0000-0000-0000180F0000}"/>
    <cellStyle name="Normal 3 6 7 3" xfId="2230" xr:uid="{00000000-0005-0000-0000-0000190F0000}"/>
    <cellStyle name="Normal 3 6 7 3 2" xfId="5523" xr:uid="{00000000-0005-0000-0000-00001A0F0000}"/>
    <cellStyle name="Normal 3 6 7 4" xfId="3994" xr:uid="{00000000-0005-0000-0000-00001B0F0000}"/>
    <cellStyle name="Normal 3 6 7 5" xfId="1347" xr:uid="{00000000-0005-0000-0000-00001C0F0000}"/>
    <cellStyle name="Normal 3 6 8" xfId="2671" xr:uid="{00000000-0005-0000-0000-00001D0F0000}"/>
    <cellStyle name="Normal 3 6 8 2" xfId="5524" xr:uid="{00000000-0005-0000-0000-00001E0F0000}"/>
    <cellStyle name="Normal 3 6 9" xfId="1789" xr:uid="{00000000-0005-0000-0000-00001F0F0000}"/>
    <cellStyle name="Normal 3 6 9 2" xfId="5525" xr:uid="{00000000-0005-0000-0000-0000200F0000}"/>
    <cellStyle name="Normal 3 7" xfId="26" xr:uid="{00000000-0005-0000-0000-0000210F0000}"/>
    <cellStyle name="Normal 3 7 2" xfId="92" xr:uid="{00000000-0005-0000-0000-0000220F0000}"/>
    <cellStyle name="Normal 3 7 2 2" xfId="202" xr:uid="{00000000-0005-0000-0000-0000230F0000}"/>
    <cellStyle name="Normal 3 7 2 2 2" xfId="422" xr:uid="{00000000-0005-0000-0000-0000240F0000}"/>
    <cellStyle name="Normal 3 7 2 2 2 2" xfId="863" xr:uid="{00000000-0005-0000-0000-0000250F0000}"/>
    <cellStyle name="Normal 3 7 2 2 2 2 2" xfId="3511" xr:uid="{00000000-0005-0000-0000-0000260F0000}"/>
    <cellStyle name="Normal 3 7 2 2 2 2 2 2" xfId="5526" xr:uid="{00000000-0005-0000-0000-0000270F0000}"/>
    <cellStyle name="Normal 3 7 2 2 2 2 3" xfId="2629" xr:uid="{00000000-0005-0000-0000-0000280F0000}"/>
    <cellStyle name="Normal 3 7 2 2 2 2 3 2" xfId="5527" xr:uid="{00000000-0005-0000-0000-0000290F0000}"/>
    <cellStyle name="Normal 3 7 2 2 2 2 4" xfId="4393" xr:uid="{00000000-0005-0000-0000-00002A0F0000}"/>
    <cellStyle name="Normal 3 7 2 2 2 2 5" xfId="1746" xr:uid="{00000000-0005-0000-0000-00002B0F0000}"/>
    <cellStyle name="Normal 3 7 2 2 2 3" xfId="3070" xr:uid="{00000000-0005-0000-0000-00002C0F0000}"/>
    <cellStyle name="Normal 3 7 2 2 2 3 2" xfId="5528" xr:uid="{00000000-0005-0000-0000-00002D0F0000}"/>
    <cellStyle name="Normal 3 7 2 2 2 4" xfId="2188" xr:uid="{00000000-0005-0000-0000-00002E0F0000}"/>
    <cellStyle name="Normal 3 7 2 2 2 4 2" xfId="5529" xr:uid="{00000000-0005-0000-0000-00002F0F0000}"/>
    <cellStyle name="Normal 3 7 2 2 2 5" xfId="3952" xr:uid="{00000000-0005-0000-0000-0000300F0000}"/>
    <cellStyle name="Normal 3 7 2 2 2 6" xfId="1305" xr:uid="{00000000-0005-0000-0000-0000310F0000}"/>
    <cellStyle name="Normal 3 7 2 2 3" xfId="643" xr:uid="{00000000-0005-0000-0000-0000320F0000}"/>
    <cellStyle name="Normal 3 7 2 2 3 2" xfId="3291" xr:uid="{00000000-0005-0000-0000-0000330F0000}"/>
    <cellStyle name="Normal 3 7 2 2 3 2 2" xfId="5530" xr:uid="{00000000-0005-0000-0000-0000340F0000}"/>
    <cellStyle name="Normal 3 7 2 2 3 3" xfId="2409" xr:uid="{00000000-0005-0000-0000-0000350F0000}"/>
    <cellStyle name="Normal 3 7 2 2 3 3 2" xfId="5531" xr:uid="{00000000-0005-0000-0000-0000360F0000}"/>
    <cellStyle name="Normal 3 7 2 2 3 4" xfId="4173" xr:uid="{00000000-0005-0000-0000-0000370F0000}"/>
    <cellStyle name="Normal 3 7 2 2 3 5" xfId="1526" xr:uid="{00000000-0005-0000-0000-0000380F0000}"/>
    <cellStyle name="Normal 3 7 2 2 4" xfId="2850" xr:uid="{00000000-0005-0000-0000-0000390F0000}"/>
    <cellStyle name="Normal 3 7 2 2 4 2" xfId="5532" xr:uid="{00000000-0005-0000-0000-00003A0F0000}"/>
    <cellStyle name="Normal 3 7 2 2 5" xfId="1968" xr:uid="{00000000-0005-0000-0000-00003B0F0000}"/>
    <cellStyle name="Normal 3 7 2 2 5 2" xfId="5533" xr:uid="{00000000-0005-0000-0000-00003C0F0000}"/>
    <cellStyle name="Normal 3 7 2 2 6" xfId="3732" xr:uid="{00000000-0005-0000-0000-00003D0F0000}"/>
    <cellStyle name="Normal 3 7 2 2 7" xfId="1085" xr:uid="{00000000-0005-0000-0000-00003E0F0000}"/>
    <cellStyle name="Normal 3 7 2 3" xfId="312" xr:uid="{00000000-0005-0000-0000-00003F0F0000}"/>
    <cellStyle name="Normal 3 7 2 3 2" xfId="753" xr:uid="{00000000-0005-0000-0000-0000400F0000}"/>
    <cellStyle name="Normal 3 7 2 3 2 2" xfId="3401" xr:uid="{00000000-0005-0000-0000-0000410F0000}"/>
    <cellStyle name="Normal 3 7 2 3 2 2 2" xfId="5534" xr:uid="{00000000-0005-0000-0000-0000420F0000}"/>
    <cellStyle name="Normal 3 7 2 3 2 3" xfId="2519" xr:uid="{00000000-0005-0000-0000-0000430F0000}"/>
    <cellStyle name="Normal 3 7 2 3 2 3 2" xfId="5535" xr:uid="{00000000-0005-0000-0000-0000440F0000}"/>
    <cellStyle name="Normal 3 7 2 3 2 4" xfId="4283" xr:uid="{00000000-0005-0000-0000-0000450F0000}"/>
    <cellStyle name="Normal 3 7 2 3 2 5" xfId="1636" xr:uid="{00000000-0005-0000-0000-0000460F0000}"/>
    <cellStyle name="Normal 3 7 2 3 3" xfId="2960" xr:uid="{00000000-0005-0000-0000-0000470F0000}"/>
    <cellStyle name="Normal 3 7 2 3 3 2" xfId="5536" xr:uid="{00000000-0005-0000-0000-0000480F0000}"/>
    <cellStyle name="Normal 3 7 2 3 4" xfId="2078" xr:uid="{00000000-0005-0000-0000-0000490F0000}"/>
    <cellStyle name="Normal 3 7 2 3 4 2" xfId="5537" xr:uid="{00000000-0005-0000-0000-00004A0F0000}"/>
    <cellStyle name="Normal 3 7 2 3 5" xfId="3842" xr:uid="{00000000-0005-0000-0000-00004B0F0000}"/>
    <cellStyle name="Normal 3 7 2 3 6" xfId="1195" xr:uid="{00000000-0005-0000-0000-00004C0F0000}"/>
    <cellStyle name="Normal 3 7 2 4" xfId="533" xr:uid="{00000000-0005-0000-0000-00004D0F0000}"/>
    <cellStyle name="Normal 3 7 2 4 2" xfId="3181" xr:uid="{00000000-0005-0000-0000-00004E0F0000}"/>
    <cellStyle name="Normal 3 7 2 4 2 2" xfId="5538" xr:uid="{00000000-0005-0000-0000-00004F0F0000}"/>
    <cellStyle name="Normal 3 7 2 4 3" xfId="2299" xr:uid="{00000000-0005-0000-0000-0000500F0000}"/>
    <cellStyle name="Normal 3 7 2 4 3 2" xfId="5539" xr:uid="{00000000-0005-0000-0000-0000510F0000}"/>
    <cellStyle name="Normal 3 7 2 4 4" xfId="4063" xr:uid="{00000000-0005-0000-0000-0000520F0000}"/>
    <cellStyle name="Normal 3 7 2 4 5" xfId="1416" xr:uid="{00000000-0005-0000-0000-0000530F0000}"/>
    <cellStyle name="Normal 3 7 2 5" xfId="2740" xr:uid="{00000000-0005-0000-0000-0000540F0000}"/>
    <cellStyle name="Normal 3 7 2 5 2" xfId="5540" xr:uid="{00000000-0005-0000-0000-0000550F0000}"/>
    <cellStyle name="Normal 3 7 2 6" xfId="1858" xr:uid="{00000000-0005-0000-0000-0000560F0000}"/>
    <cellStyle name="Normal 3 7 2 6 2" xfId="5541" xr:uid="{00000000-0005-0000-0000-0000570F0000}"/>
    <cellStyle name="Normal 3 7 2 7" xfId="3622" xr:uid="{00000000-0005-0000-0000-0000580F0000}"/>
    <cellStyle name="Normal 3 7 2 8" xfId="975" xr:uid="{00000000-0005-0000-0000-0000590F0000}"/>
    <cellStyle name="Normal 3 7 3" xfId="136" xr:uid="{00000000-0005-0000-0000-00005A0F0000}"/>
    <cellStyle name="Normal 3 7 3 2" xfId="356" xr:uid="{00000000-0005-0000-0000-00005B0F0000}"/>
    <cellStyle name="Normal 3 7 3 2 2" xfId="797" xr:uid="{00000000-0005-0000-0000-00005C0F0000}"/>
    <cellStyle name="Normal 3 7 3 2 2 2" xfId="3445" xr:uid="{00000000-0005-0000-0000-00005D0F0000}"/>
    <cellStyle name="Normal 3 7 3 2 2 2 2" xfId="5542" xr:uid="{00000000-0005-0000-0000-00005E0F0000}"/>
    <cellStyle name="Normal 3 7 3 2 2 3" xfId="2563" xr:uid="{00000000-0005-0000-0000-00005F0F0000}"/>
    <cellStyle name="Normal 3 7 3 2 2 3 2" xfId="5543" xr:uid="{00000000-0005-0000-0000-0000600F0000}"/>
    <cellStyle name="Normal 3 7 3 2 2 4" xfId="4327" xr:uid="{00000000-0005-0000-0000-0000610F0000}"/>
    <cellStyle name="Normal 3 7 3 2 2 5" xfId="1680" xr:uid="{00000000-0005-0000-0000-0000620F0000}"/>
    <cellStyle name="Normal 3 7 3 2 3" xfId="3004" xr:uid="{00000000-0005-0000-0000-0000630F0000}"/>
    <cellStyle name="Normal 3 7 3 2 3 2" xfId="5544" xr:uid="{00000000-0005-0000-0000-0000640F0000}"/>
    <cellStyle name="Normal 3 7 3 2 4" xfId="2122" xr:uid="{00000000-0005-0000-0000-0000650F0000}"/>
    <cellStyle name="Normal 3 7 3 2 4 2" xfId="5545" xr:uid="{00000000-0005-0000-0000-0000660F0000}"/>
    <cellStyle name="Normal 3 7 3 2 5" xfId="3886" xr:uid="{00000000-0005-0000-0000-0000670F0000}"/>
    <cellStyle name="Normal 3 7 3 2 6" xfId="1239" xr:uid="{00000000-0005-0000-0000-0000680F0000}"/>
    <cellStyle name="Normal 3 7 3 3" xfId="577" xr:uid="{00000000-0005-0000-0000-0000690F0000}"/>
    <cellStyle name="Normal 3 7 3 3 2" xfId="3225" xr:uid="{00000000-0005-0000-0000-00006A0F0000}"/>
    <cellStyle name="Normal 3 7 3 3 2 2" xfId="5546" xr:uid="{00000000-0005-0000-0000-00006B0F0000}"/>
    <cellStyle name="Normal 3 7 3 3 3" xfId="2343" xr:uid="{00000000-0005-0000-0000-00006C0F0000}"/>
    <cellStyle name="Normal 3 7 3 3 3 2" xfId="5547" xr:uid="{00000000-0005-0000-0000-00006D0F0000}"/>
    <cellStyle name="Normal 3 7 3 3 4" xfId="4107" xr:uid="{00000000-0005-0000-0000-00006E0F0000}"/>
    <cellStyle name="Normal 3 7 3 3 5" xfId="1460" xr:uid="{00000000-0005-0000-0000-00006F0F0000}"/>
    <cellStyle name="Normal 3 7 3 4" xfId="2784" xr:uid="{00000000-0005-0000-0000-0000700F0000}"/>
    <cellStyle name="Normal 3 7 3 4 2" xfId="5548" xr:uid="{00000000-0005-0000-0000-0000710F0000}"/>
    <cellStyle name="Normal 3 7 3 5" xfId="1902" xr:uid="{00000000-0005-0000-0000-0000720F0000}"/>
    <cellStyle name="Normal 3 7 3 5 2" xfId="5549" xr:uid="{00000000-0005-0000-0000-0000730F0000}"/>
    <cellStyle name="Normal 3 7 3 6" xfId="3666" xr:uid="{00000000-0005-0000-0000-0000740F0000}"/>
    <cellStyle name="Normal 3 7 3 7" xfId="1019" xr:uid="{00000000-0005-0000-0000-0000750F0000}"/>
    <cellStyle name="Normal 3 7 4" xfId="246" xr:uid="{00000000-0005-0000-0000-0000760F0000}"/>
    <cellStyle name="Normal 3 7 4 2" xfId="687" xr:uid="{00000000-0005-0000-0000-0000770F0000}"/>
    <cellStyle name="Normal 3 7 4 2 2" xfId="3335" xr:uid="{00000000-0005-0000-0000-0000780F0000}"/>
    <cellStyle name="Normal 3 7 4 2 2 2" xfId="5550" xr:uid="{00000000-0005-0000-0000-0000790F0000}"/>
    <cellStyle name="Normal 3 7 4 2 3" xfId="2453" xr:uid="{00000000-0005-0000-0000-00007A0F0000}"/>
    <cellStyle name="Normal 3 7 4 2 3 2" xfId="5551" xr:uid="{00000000-0005-0000-0000-00007B0F0000}"/>
    <cellStyle name="Normal 3 7 4 2 4" xfId="4217" xr:uid="{00000000-0005-0000-0000-00007C0F0000}"/>
    <cellStyle name="Normal 3 7 4 2 5" xfId="1570" xr:uid="{00000000-0005-0000-0000-00007D0F0000}"/>
    <cellStyle name="Normal 3 7 4 3" xfId="2894" xr:uid="{00000000-0005-0000-0000-00007E0F0000}"/>
    <cellStyle name="Normal 3 7 4 3 2" xfId="5552" xr:uid="{00000000-0005-0000-0000-00007F0F0000}"/>
    <cellStyle name="Normal 3 7 4 4" xfId="2012" xr:uid="{00000000-0005-0000-0000-0000800F0000}"/>
    <cellStyle name="Normal 3 7 4 4 2" xfId="5553" xr:uid="{00000000-0005-0000-0000-0000810F0000}"/>
    <cellStyle name="Normal 3 7 4 5" xfId="3776" xr:uid="{00000000-0005-0000-0000-0000820F0000}"/>
    <cellStyle name="Normal 3 7 4 6" xfId="1129" xr:uid="{00000000-0005-0000-0000-0000830F0000}"/>
    <cellStyle name="Normal 3 7 5" xfId="467" xr:uid="{00000000-0005-0000-0000-0000840F0000}"/>
    <cellStyle name="Normal 3 7 5 2" xfId="3115" xr:uid="{00000000-0005-0000-0000-0000850F0000}"/>
    <cellStyle name="Normal 3 7 5 2 2" xfId="5554" xr:uid="{00000000-0005-0000-0000-0000860F0000}"/>
    <cellStyle name="Normal 3 7 5 3" xfId="2233" xr:uid="{00000000-0005-0000-0000-0000870F0000}"/>
    <cellStyle name="Normal 3 7 5 3 2" xfId="5555" xr:uid="{00000000-0005-0000-0000-0000880F0000}"/>
    <cellStyle name="Normal 3 7 5 4" xfId="3997" xr:uid="{00000000-0005-0000-0000-0000890F0000}"/>
    <cellStyle name="Normal 3 7 5 5" xfId="1350" xr:uid="{00000000-0005-0000-0000-00008A0F0000}"/>
    <cellStyle name="Normal 3 7 6" xfId="2674" xr:uid="{00000000-0005-0000-0000-00008B0F0000}"/>
    <cellStyle name="Normal 3 7 6 2" xfId="5556" xr:uid="{00000000-0005-0000-0000-00008C0F0000}"/>
    <cellStyle name="Normal 3 7 7" xfId="1792" xr:uid="{00000000-0005-0000-0000-00008D0F0000}"/>
    <cellStyle name="Normal 3 7 7 2" xfId="5557" xr:uid="{00000000-0005-0000-0000-00008E0F0000}"/>
    <cellStyle name="Normal 3 7 8" xfId="3556" xr:uid="{00000000-0005-0000-0000-00008F0F0000}"/>
    <cellStyle name="Normal 3 7 9" xfId="909" xr:uid="{00000000-0005-0000-0000-0000900F0000}"/>
    <cellStyle name="Normal 3 8" xfId="32" xr:uid="{00000000-0005-0000-0000-0000910F0000}"/>
    <cellStyle name="Normal 3 8 2" xfId="98" xr:uid="{00000000-0005-0000-0000-0000920F0000}"/>
    <cellStyle name="Normal 3 8 2 2" xfId="208" xr:uid="{00000000-0005-0000-0000-0000930F0000}"/>
    <cellStyle name="Normal 3 8 2 2 2" xfId="428" xr:uid="{00000000-0005-0000-0000-0000940F0000}"/>
    <cellStyle name="Normal 3 8 2 2 2 2" xfId="869" xr:uid="{00000000-0005-0000-0000-0000950F0000}"/>
    <cellStyle name="Normal 3 8 2 2 2 2 2" xfId="3517" xr:uid="{00000000-0005-0000-0000-0000960F0000}"/>
    <cellStyle name="Normal 3 8 2 2 2 2 2 2" xfId="5558" xr:uid="{00000000-0005-0000-0000-0000970F0000}"/>
    <cellStyle name="Normal 3 8 2 2 2 2 3" xfId="2635" xr:uid="{00000000-0005-0000-0000-0000980F0000}"/>
    <cellStyle name="Normal 3 8 2 2 2 2 3 2" xfId="5559" xr:uid="{00000000-0005-0000-0000-0000990F0000}"/>
    <cellStyle name="Normal 3 8 2 2 2 2 4" xfId="4399" xr:uid="{00000000-0005-0000-0000-00009A0F0000}"/>
    <cellStyle name="Normal 3 8 2 2 2 2 5" xfId="1752" xr:uid="{00000000-0005-0000-0000-00009B0F0000}"/>
    <cellStyle name="Normal 3 8 2 2 2 3" xfId="3076" xr:uid="{00000000-0005-0000-0000-00009C0F0000}"/>
    <cellStyle name="Normal 3 8 2 2 2 3 2" xfId="5560" xr:uid="{00000000-0005-0000-0000-00009D0F0000}"/>
    <cellStyle name="Normal 3 8 2 2 2 4" xfId="2194" xr:uid="{00000000-0005-0000-0000-00009E0F0000}"/>
    <cellStyle name="Normal 3 8 2 2 2 4 2" xfId="5561" xr:uid="{00000000-0005-0000-0000-00009F0F0000}"/>
    <cellStyle name="Normal 3 8 2 2 2 5" xfId="3958" xr:uid="{00000000-0005-0000-0000-0000A00F0000}"/>
    <cellStyle name="Normal 3 8 2 2 2 6" xfId="1311" xr:uid="{00000000-0005-0000-0000-0000A10F0000}"/>
    <cellStyle name="Normal 3 8 2 2 3" xfId="649" xr:uid="{00000000-0005-0000-0000-0000A20F0000}"/>
    <cellStyle name="Normal 3 8 2 2 3 2" xfId="3297" xr:uid="{00000000-0005-0000-0000-0000A30F0000}"/>
    <cellStyle name="Normal 3 8 2 2 3 2 2" xfId="5562" xr:uid="{00000000-0005-0000-0000-0000A40F0000}"/>
    <cellStyle name="Normal 3 8 2 2 3 3" xfId="2415" xr:uid="{00000000-0005-0000-0000-0000A50F0000}"/>
    <cellStyle name="Normal 3 8 2 2 3 3 2" xfId="5563" xr:uid="{00000000-0005-0000-0000-0000A60F0000}"/>
    <cellStyle name="Normal 3 8 2 2 3 4" xfId="4179" xr:uid="{00000000-0005-0000-0000-0000A70F0000}"/>
    <cellStyle name="Normal 3 8 2 2 3 5" xfId="1532" xr:uid="{00000000-0005-0000-0000-0000A80F0000}"/>
    <cellStyle name="Normal 3 8 2 2 4" xfId="2856" xr:uid="{00000000-0005-0000-0000-0000A90F0000}"/>
    <cellStyle name="Normal 3 8 2 2 4 2" xfId="5564" xr:uid="{00000000-0005-0000-0000-0000AA0F0000}"/>
    <cellStyle name="Normal 3 8 2 2 5" xfId="1974" xr:uid="{00000000-0005-0000-0000-0000AB0F0000}"/>
    <cellStyle name="Normal 3 8 2 2 5 2" xfId="5565" xr:uid="{00000000-0005-0000-0000-0000AC0F0000}"/>
    <cellStyle name="Normal 3 8 2 2 6" xfId="3738" xr:uid="{00000000-0005-0000-0000-0000AD0F0000}"/>
    <cellStyle name="Normal 3 8 2 2 7" xfId="1091" xr:uid="{00000000-0005-0000-0000-0000AE0F0000}"/>
    <cellStyle name="Normal 3 8 2 3" xfId="318" xr:uid="{00000000-0005-0000-0000-0000AF0F0000}"/>
    <cellStyle name="Normal 3 8 2 3 2" xfId="759" xr:uid="{00000000-0005-0000-0000-0000B00F0000}"/>
    <cellStyle name="Normal 3 8 2 3 2 2" xfId="3407" xr:uid="{00000000-0005-0000-0000-0000B10F0000}"/>
    <cellStyle name="Normal 3 8 2 3 2 2 2" xfId="5566" xr:uid="{00000000-0005-0000-0000-0000B20F0000}"/>
    <cellStyle name="Normal 3 8 2 3 2 3" xfId="2525" xr:uid="{00000000-0005-0000-0000-0000B30F0000}"/>
    <cellStyle name="Normal 3 8 2 3 2 3 2" xfId="5567" xr:uid="{00000000-0005-0000-0000-0000B40F0000}"/>
    <cellStyle name="Normal 3 8 2 3 2 4" xfId="4289" xr:uid="{00000000-0005-0000-0000-0000B50F0000}"/>
    <cellStyle name="Normal 3 8 2 3 2 5" xfId="1642" xr:uid="{00000000-0005-0000-0000-0000B60F0000}"/>
    <cellStyle name="Normal 3 8 2 3 3" xfId="2966" xr:uid="{00000000-0005-0000-0000-0000B70F0000}"/>
    <cellStyle name="Normal 3 8 2 3 3 2" xfId="5568" xr:uid="{00000000-0005-0000-0000-0000B80F0000}"/>
    <cellStyle name="Normal 3 8 2 3 4" xfId="2084" xr:uid="{00000000-0005-0000-0000-0000B90F0000}"/>
    <cellStyle name="Normal 3 8 2 3 4 2" xfId="5569" xr:uid="{00000000-0005-0000-0000-0000BA0F0000}"/>
    <cellStyle name="Normal 3 8 2 3 5" xfId="3848" xr:uid="{00000000-0005-0000-0000-0000BB0F0000}"/>
    <cellStyle name="Normal 3 8 2 3 6" xfId="1201" xr:uid="{00000000-0005-0000-0000-0000BC0F0000}"/>
    <cellStyle name="Normal 3 8 2 4" xfId="539" xr:uid="{00000000-0005-0000-0000-0000BD0F0000}"/>
    <cellStyle name="Normal 3 8 2 4 2" xfId="3187" xr:uid="{00000000-0005-0000-0000-0000BE0F0000}"/>
    <cellStyle name="Normal 3 8 2 4 2 2" xfId="5570" xr:uid="{00000000-0005-0000-0000-0000BF0F0000}"/>
    <cellStyle name="Normal 3 8 2 4 3" xfId="2305" xr:uid="{00000000-0005-0000-0000-0000C00F0000}"/>
    <cellStyle name="Normal 3 8 2 4 3 2" xfId="5571" xr:uid="{00000000-0005-0000-0000-0000C10F0000}"/>
    <cellStyle name="Normal 3 8 2 4 4" xfId="4069" xr:uid="{00000000-0005-0000-0000-0000C20F0000}"/>
    <cellStyle name="Normal 3 8 2 4 5" xfId="1422" xr:uid="{00000000-0005-0000-0000-0000C30F0000}"/>
    <cellStyle name="Normal 3 8 2 5" xfId="2746" xr:uid="{00000000-0005-0000-0000-0000C40F0000}"/>
    <cellStyle name="Normal 3 8 2 5 2" xfId="5572" xr:uid="{00000000-0005-0000-0000-0000C50F0000}"/>
    <cellStyle name="Normal 3 8 2 6" xfId="1864" xr:uid="{00000000-0005-0000-0000-0000C60F0000}"/>
    <cellStyle name="Normal 3 8 2 6 2" xfId="5573" xr:uid="{00000000-0005-0000-0000-0000C70F0000}"/>
    <cellStyle name="Normal 3 8 2 7" xfId="3628" xr:uid="{00000000-0005-0000-0000-0000C80F0000}"/>
    <cellStyle name="Normal 3 8 2 8" xfId="981" xr:uid="{00000000-0005-0000-0000-0000C90F0000}"/>
    <cellStyle name="Normal 3 8 3" xfId="142" xr:uid="{00000000-0005-0000-0000-0000CA0F0000}"/>
    <cellStyle name="Normal 3 8 3 2" xfId="362" xr:uid="{00000000-0005-0000-0000-0000CB0F0000}"/>
    <cellStyle name="Normal 3 8 3 2 2" xfId="803" xr:uid="{00000000-0005-0000-0000-0000CC0F0000}"/>
    <cellStyle name="Normal 3 8 3 2 2 2" xfId="3451" xr:uid="{00000000-0005-0000-0000-0000CD0F0000}"/>
    <cellStyle name="Normal 3 8 3 2 2 2 2" xfId="5574" xr:uid="{00000000-0005-0000-0000-0000CE0F0000}"/>
    <cellStyle name="Normal 3 8 3 2 2 3" xfId="2569" xr:uid="{00000000-0005-0000-0000-0000CF0F0000}"/>
    <cellStyle name="Normal 3 8 3 2 2 3 2" xfId="5575" xr:uid="{00000000-0005-0000-0000-0000D00F0000}"/>
    <cellStyle name="Normal 3 8 3 2 2 4" xfId="4333" xr:uid="{00000000-0005-0000-0000-0000D10F0000}"/>
    <cellStyle name="Normal 3 8 3 2 2 5" xfId="1686" xr:uid="{00000000-0005-0000-0000-0000D20F0000}"/>
    <cellStyle name="Normal 3 8 3 2 3" xfId="3010" xr:uid="{00000000-0005-0000-0000-0000D30F0000}"/>
    <cellStyle name="Normal 3 8 3 2 3 2" xfId="5576" xr:uid="{00000000-0005-0000-0000-0000D40F0000}"/>
    <cellStyle name="Normal 3 8 3 2 4" xfId="2128" xr:uid="{00000000-0005-0000-0000-0000D50F0000}"/>
    <cellStyle name="Normal 3 8 3 2 4 2" xfId="5577" xr:uid="{00000000-0005-0000-0000-0000D60F0000}"/>
    <cellStyle name="Normal 3 8 3 2 5" xfId="3892" xr:uid="{00000000-0005-0000-0000-0000D70F0000}"/>
    <cellStyle name="Normal 3 8 3 2 6" xfId="1245" xr:uid="{00000000-0005-0000-0000-0000D80F0000}"/>
    <cellStyle name="Normal 3 8 3 3" xfId="583" xr:uid="{00000000-0005-0000-0000-0000D90F0000}"/>
    <cellStyle name="Normal 3 8 3 3 2" xfId="3231" xr:uid="{00000000-0005-0000-0000-0000DA0F0000}"/>
    <cellStyle name="Normal 3 8 3 3 2 2" xfId="5578" xr:uid="{00000000-0005-0000-0000-0000DB0F0000}"/>
    <cellStyle name="Normal 3 8 3 3 3" xfId="2349" xr:uid="{00000000-0005-0000-0000-0000DC0F0000}"/>
    <cellStyle name="Normal 3 8 3 3 3 2" xfId="5579" xr:uid="{00000000-0005-0000-0000-0000DD0F0000}"/>
    <cellStyle name="Normal 3 8 3 3 4" xfId="4113" xr:uid="{00000000-0005-0000-0000-0000DE0F0000}"/>
    <cellStyle name="Normal 3 8 3 3 5" xfId="1466" xr:uid="{00000000-0005-0000-0000-0000DF0F0000}"/>
    <cellStyle name="Normal 3 8 3 4" xfId="2790" xr:uid="{00000000-0005-0000-0000-0000E00F0000}"/>
    <cellStyle name="Normal 3 8 3 4 2" xfId="5580" xr:uid="{00000000-0005-0000-0000-0000E10F0000}"/>
    <cellStyle name="Normal 3 8 3 5" xfId="1908" xr:uid="{00000000-0005-0000-0000-0000E20F0000}"/>
    <cellStyle name="Normal 3 8 3 5 2" xfId="5581" xr:uid="{00000000-0005-0000-0000-0000E30F0000}"/>
    <cellStyle name="Normal 3 8 3 6" xfId="3672" xr:uid="{00000000-0005-0000-0000-0000E40F0000}"/>
    <cellStyle name="Normal 3 8 3 7" xfId="1025" xr:uid="{00000000-0005-0000-0000-0000E50F0000}"/>
    <cellStyle name="Normal 3 8 4" xfId="252" xr:uid="{00000000-0005-0000-0000-0000E60F0000}"/>
    <cellStyle name="Normal 3 8 4 2" xfId="693" xr:uid="{00000000-0005-0000-0000-0000E70F0000}"/>
    <cellStyle name="Normal 3 8 4 2 2" xfId="3341" xr:uid="{00000000-0005-0000-0000-0000E80F0000}"/>
    <cellStyle name="Normal 3 8 4 2 2 2" xfId="5582" xr:uid="{00000000-0005-0000-0000-0000E90F0000}"/>
    <cellStyle name="Normal 3 8 4 2 3" xfId="2459" xr:uid="{00000000-0005-0000-0000-0000EA0F0000}"/>
    <cellStyle name="Normal 3 8 4 2 3 2" xfId="5583" xr:uid="{00000000-0005-0000-0000-0000EB0F0000}"/>
    <cellStyle name="Normal 3 8 4 2 4" xfId="4223" xr:uid="{00000000-0005-0000-0000-0000EC0F0000}"/>
    <cellStyle name="Normal 3 8 4 2 5" xfId="1576" xr:uid="{00000000-0005-0000-0000-0000ED0F0000}"/>
    <cellStyle name="Normal 3 8 4 3" xfId="2900" xr:uid="{00000000-0005-0000-0000-0000EE0F0000}"/>
    <cellStyle name="Normal 3 8 4 3 2" xfId="5584" xr:uid="{00000000-0005-0000-0000-0000EF0F0000}"/>
    <cellStyle name="Normal 3 8 4 4" xfId="2018" xr:uid="{00000000-0005-0000-0000-0000F00F0000}"/>
    <cellStyle name="Normal 3 8 4 4 2" xfId="5585" xr:uid="{00000000-0005-0000-0000-0000F10F0000}"/>
    <cellStyle name="Normal 3 8 4 5" xfId="3782" xr:uid="{00000000-0005-0000-0000-0000F20F0000}"/>
    <cellStyle name="Normal 3 8 4 6" xfId="1135" xr:uid="{00000000-0005-0000-0000-0000F30F0000}"/>
    <cellStyle name="Normal 3 8 5" xfId="473" xr:uid="{00000000-0005-0000-0000-0000F40F0000}"/>
    <cellStyle name="Normal 3 8 5 2" xfId="3121" xr:uid="{00000000-0005-0000-0000-0000F50F0000}"/>
    <cellStyle name="Normal 3 8 5 2 2" xfId="5586" xr:uid="{00000000-0005-0000-0000-0000F60F0000}"/>
    <cellStyle name="Normal 3 8 5 3" xfId="2239" xr:uid="{00000000-0005-0000-0000-0000F70F0000}"/>
    <cellStyle name="Normal 3 8 5 3 2" xfId="5587" xr:uid="{00000000-0005-0000-0000-0000F80F0000}"/>
    <cellStyle name="Normal 3 8 5 4" xfId="4003" xr:uid="{00000000-0005-0000-0000-0000F90F0000}"/>
    <cellStyle name="Normal 3 8 5 5" xfId="1356" xr:uid="{00000000-0005-0000-0000-0000FA0F0000}"/>
    <cellStyle name="Normal 3 8 6" xfId="2680" xr:uid="{00000000-0005-0000-0000-0000FB0F0000}"/>
    <cellStyle name="Normal 3 8 6 2" xfId="5588" xr:uid="{00000000-0005-0000-0000-0000FC0F0000}"/>
    <cellStyle name="Normal 3 8 7" xfId="1798" xr:uid="{00000000-0005-0000-0000-0000FD0F0000}"/>
    <cellStyle name="Normal 3 8 7 2" xfId="5589" xr:uid="{00000000-0005-0000-0000-0000FE0F0000}"/>
    <cellStyle name="Normal 3 8 8" xfId="3562" xr:uid="{00000000-0005-0000-0000-0000FF0F0000}"/>
    <cellStyle name="Normal 3 8 9" xfId="915" xr:uid="{00000000-0005-0000-0000-000000100000}"/>
    <cellStyle name="Normal 3 9" xfId="38" xr:uid="{00000000-0005-0000-0000-000001100000}"/>
    <cellStyle name="Normal 3 9 2" xfId="104" xr:uid="{00000000-0005-0000-0000-000002100000}"/>
    <cellStyle name="Normal 3 9 2 2" xfId="214" xr:uid="{00000000-0005-0000-0000-000003100000}"/>
    <cellStyle name="Normal 3 9 2 2 2" xfId="434" xr:uid="{00000000-0005-0000-0000-000004100000}"/>
    <cellStyle name="Normal 3 9 2 2 2 2" xfId="875" xr:uid="{00000000-0005-0000-0000-000005100000}"/>
    <cellStyle name="Normal 3 9 2 2 2 2 2" xfId="3523" xr:uid="{00000000-0005-0000-0000-000006100000}"/>
    <cellStyle name="Normal 3 9 2 2 2 2 2 2" xfId="5590" xr:uid="{00000000-0005-0000-0000-000007100000}"/>
    <cellStyle name="Normal 3 9 2 2 2 2 3" xfId="2641" xr:uid="{00000000-0005-0000-0000-000008100000}"/>
    <cellStyle name="Normal 3 9 2 2 2 2 3 2" xfId="5591" xr:uid="{00000000-0005-0000-0000-000009100000}"/>
    <cellStyle name="Normal 3 9 2 2 2 2 4" xfId="4405" xr:uid="{00000000-0005-0000-0000-00000A100000}"/>
    <cellStyle name="Normal 3 9 2 2 2 2 5" xfId="1758" xr:uid="{00000000-0005-0000-0000-00000B100000}"/>
    <cellStyle name="Normal 3 9 2 2 2 3" xfId="3082" xr:uid="{00000000-0005-0000-0000-00000C100000}"/>
    <cellStyle name="Normal 3 9 2 2 2 3 2" xfId="5592" xr:uid="{00000000-0005-0000-0000-00000D100000}"/>
    <cellStyle name="Normal 3 9 2 2 2 4" xfId="2200" xr:uid="{00000000-0005-0000-0000-00000E100000}"/>
    <cellStyle name="Normal 3 9 2 2 2 4 2" xfId="5593" xr:uid="{00000000-0005-0000-0000-00000F100000}"/>
    <cellStyle name="Normal 3 9 2 2 2 5" xfId="3964" xr:uid="{00000000-0005-0000-0000-000010100000}"/>
    <cellStyle name="Normal 3 9 2 2 2 6" xfId="1317" xr:uid="{00000000-0005-0000-0000-000011100000}"/>
    <cellStyle name="Normal 3 9 2 2 3" xfId="655" xr:uid="{00000000-0005-0000-0000-000012100000}"/>
    <cellStyle name="Normal 3 9 2 2 3 2" xfId="3303" xr:uid="{00000000-0005-0000-0000-000013100000}"/>
    <cellStyle name="Normal 3 9 2 2 3 2 2" xfId="5594" xr:uid="{00000000-0005-0000-0000-000014100000}"/>
    <cellStyle name="Normal 3 9 2 2 3 3" xfId="2421" xr:uid="{00000000-0005-0000-0000-000015100000}"/>
    <cellStyle name="Normal 3 9 2 2 3 3 2" xfId="5595" xr:uid="{00000000-0005-0000-0000-000016100000}"/>
    <cellStyle name="Normal 3 9 2 2 3 4" xfId="4185" xr:uid="{00000000-0005-0000-0000-000017100000}"/>
    <cellStyle name="Normal 3 9 2 2 3 5" xfId="1538" xr:uid="{00000000-0005-0000-0000-000018100000}"/>
    <cellStyle name="Normal 3 9 2 2 4" xfId="2862" xr:uid="{00000000-0005-0000-0000-000019100000}"/>
    <cellStyle name="Normal 3 9 2 2 4 2" xfId="5596" xr:uid="{00000000-0005-0000-0000-00001A100000}"/>
    <cellStyle name="Normal 3 9 2 2 5" xfId="1980" xr:uid="{00000000-0005-0000-0000-00001B100000}"/>
    <cellStyle name="Normal 3 9 2 2 5 2" xfId="5597" xr:uid="{00000000-0005-0000-0000-00001C100000}"/>
    <cellStyle name="Normal 3 9 2 2 6" xfId="3744" xr:uid="{00000000-0005-0000-0000-00001D100000}"/>
    <cellStyle name="Normal 3 9 2 2 7" xfId="1097" xr:uid="{00000000-0005-0000-0000-00001E100000}"/>
    <cellStyle name="Normal 3 9 2 3" xfId="324" xr:uid="{00000000-0005-0000-0000-00001F100000}"/>
    <cellStyle name="Normal 3 9 2 3 2" xfId="765" xr:uid="{00000000-0005-0000-0000-000020100000}"/>
    <cellStyle name="Normal 3 9 2 3 2 2" xfId="3413" xr:uid="{00000000-0005-0000-0000-000021100000}"/>
    <cellStyle name="Normal 3 9 2 3 2 2 2" xfId="5598" xr:uid="{00000000-0005-0000-0000-000022100000}"/>
    <cellStyle name="Normal 3 9 2 3 2 3" xfId="2531" xr:uid="{00000000-0005-0000-0000-000023100000}"/>
    <cellStyle name="Normal 3 9 2 3 2 3 2" xfId="5599" xr:uid="{00000000-0005-0000-0000-000024100000}"/>
    <cellStyle name="Normal 3 9 2 3 2 4" xfId="4295" xr:uid="{00000000-0005-0000-0000-000025100000}"/>
    <cellStyle name="Normal 3 9 2 3 2 5" xfId="1648" xr:uid="{00000000-0005-0000-0000-000026100000}"/>
    <cellStyle name="Normal 3 9 2 3 3" xfId="2972" xr:uid="{00000000-0005-0000-0000-000027100000}"/>
    <cellStyle name="Normal 3 9 2 3 3 2" xfId="5600" xr:uid="{00000000-0005-0000-0000-000028100000}"/>
    <cellStyle name="Normal 3 9 2 3 4" xfId="2090" xr:uid="{00000000-0005-0000-0000-000029100000}"/>
    <cellStyle name="Normal 3 9 2 3 4 2" xfId="5601" xr:uid="{00000000-0005-0000-0000-00002A100000}"/>
    <cellStyle name="Normal 3 9 2 3 5" xfId="3854" xr:uid="{00000000-0005-0000-0000-00002B100000}"/>
    <cellStyle name="Normal 3 9 2 3 6" xfId="1207" xr:uid="{00000000-0005-0000-0000-00002C100000}"/>
    <cellStyle name="Normal 3 9 2 4" xfId="545" xr:uid="{00000000-0005-0000-0000-00002D100000}"/>
    <cellStyle name="Normal 3 9 2 4 2" xfId="3193" xr:uid="{00000000-0005-0000-0000-00002E100000}"/>
    <cellStyle name="Normal 3 9 2 4 2 2" xfId="5602" xr:uid="{00000000-0005-0000-0000-00002F100000}"/>
    <cellStyle name="Normal 3 9 2 4 3" xfId="2311" xr:uid="{00000000-0005-0000-0000-000030100000}"/>
    <cellStyle name="Normal 3 9 2 4 3 2" xfId="5603" xr:uid="{00000000-0005-0000-0000-000031100000}"/>
    <cellStyle name="Normal 3 9 2 4 4" xfId="4075" xr:uid="{00000000-0005-0000-0000-000032100000}"/>
    <cellStyle name="Normal 3 9 2 4 5" xfId="1428" xr:uid="{00000000-0005-0000-0000-000033100000}"/>
    <cellStyle name="Normal 3 9 2 5" xfId="2752" xr:uid="{00000000-0005-0000-0000-000034100000}"/>
    <cellStyle name="Normal 3 9 2 5 2" xfId="5604" xr:uid="{00000000-0005-0000-0000-000035100000}"/>
    <cellStyle name="Normal 3 9 2 6" xfId="1870" xr:uid="{00000000-0005-0000-0000-000036100000}"/>
    <cellStyle name="Normal 3 9 2 6 2" xfId="5605" xr:uid="{00000000-0005-0000-0000-000037100000}"/>
    <cellStyle name="Normal 3 9 2 7" xfId="3634" xr:uid="{00000000-0005-0000-0000-000038100000}"/>
    <cellStyle name="Normal 3 9 2 8" xfId="987" xr:uid="{00000000-0005-0000-0000-000039100000}"/>
    <cellStyle name="Normal 3 9 3" xfId="148" xr:uid="{00000000-0005-0000-0000-00003A100000}"/>
    <cellStyle name="Normal 3 9 3 2" xfId="368" xr:uid="{00000000-0005-0000-0000-00003B100000}"/>
    <cellStyle name="Normal 3 9 3 2 2" xfId="809" xr:uid="{00000000-0005-0000-0000-00003C100000}"/>
    <cellStyle name="Normal 3 9 3 2 2 2" xfId="3457" xr:uid="{00000000-0005-0000-0000-00003D100000}"/>
    <cellStyle name="Normal 3 9 3 2 2 2 2" xfId="5606" xr:uid="{00000000-0005-0000-0000-00003E100000}"/>
    <cellStyle name="Normal 3 9 3 2 2 3" xfId="2575" xr:uid="{00000000-0005-0000-0000-00003F100000}"/>
    <cellStyle name="Normal 3 9 3 2 2 3 2" xfId="5607" xr:uid="{00000000-0005-0000-0000-000040100000}"/>
    <cellStyle name="Normal 3 9 3 2 2 4" xfId="4339" xr:uid="{00000000-0005-0000-0000-000041100000}"/>
    <cellStyle name="Normal 3 9 3 2 2 5" xfId="1692" xr:uid="{00000000-0005-0000-0000-000042100000}"/>
    <cellStyle name="Normal 3 9 3 2 3" xfId="3016" xr:uid="{00000000-0005-0000-0000-000043100000}"/>
    <cellStyle name="Normal 3 9 3 2 3 2" xfId="5608" xr:uid="{00000000-0005-0000-0000-000044100000}"/>
    <cellStyle name="Normal 3 9 3 2 4" xfId="2134" xr:uid="{00000000-0005-0000-0000-000045100000}"/>
    <cellStyle name="Normal 3 9 3 2 4 2" xfId="5609" xr:uid="{00000000-0005-0000-0000-000046100000}"/>
    <cellStyle name="Normal 3 9 3 2 5" xfId="3898" xr:uid="{00000000-0005-0000-0000-000047100000}"/>
    <cellStyle name="Normal 3 9 3 2 6" xfId="1251" xr:uid="{00000000-0005-0000-0000-000048100000}"/>
    <cellStyle name="Normal 3 9 3 3" xfId="589" xr:uid="{00000000-0005-0000-0000-000049100000}"/>
    <cellStyle name="Normal 3 9 3 3 2" xfId="3237" xr:uid="{00000000-0005-0000-0000-00004A100000}"/>
    <cellStyle name="Normal 3 9 3 3 2 2" xfId="5610" xr:uid="{00000000-0005-0000-0000-00004B100000}"/>
    <cellStyle name="Normal 3 9 3 3 3" xfId="2355" xr:uid="{00000000-0005-0000-0000-00004C100000}"/>
    <cellStyle name="Normal 3 9 3 3 3 2" xfId="5611" xr:uid="{00000000-0005-0000-0000-00004D100000}"/>
    <cellStyle name="Normal 3 9 3 3 4" xfId="4119" xr:uid="{00000000-0005-0000-0000-00004E100000}"/>
    <cellStyle name="Normal 3 9 3 3 5" xfId="1472" xr:uid="{00000000-0005-0000-0000-00004F100000}"/>
    <cellStyle name="Normal 3 9 3 4" xfId="2796" xr:uid="{00000000-0005-0000-0000-000050100000}"/>
    <cellStyle name="Normal 3 9 3 4 2" xfId="5612" xr:uid="{00000000-0005-0000-0000-000051100000}"/>
    <cellStyle name="Normal 3 9 3 5" xfId="1914" xr:uid="{00000000-0005-0000-0000-000052100000}"/>
    <cellStyle name="Normal 3 9 3 5 2" xfId="5613" xr:uid="{00000000-0005-0000-0000-000053100000}"/>
    <cellStyle name="Normal 3 9 3 6" xfId="3678" xr:uid="{00000000-0005-0000-0000-000054100000}"/>
    <cellStyle name="Normal 3 9 3 7" xfId="1031" xr:uid="{00000000-0005-0000-0000-000055100000}"/>
    <cellStyle name="Normal 3 9 4" xfId="258" xr:uid="{00000000-0005-0000-0000-000056100000}"/>
    <cellStyle name="Normal 3 9 4 2" xfId="699" xr:uid="{00000000-0005-0000-0000-000057100000}"/>
    <cellStyle name="Normal 3 9 4 2 2" xfId="3347" xr:uid="{00000000-0005-0000-0000-000058100000}"/>
    <cellStyle name="Normal 3 9 4 2 2 2" xfId="5614" xr:uid="{00000000-0005-0000-0000-000059100000}"/>
    <cellStyle name="Normal 3 9 4 2 3" xfId="2465" xr:uid="{00000000-0005-0000-0000-00005A100000}"/>
    <cellStyle name="Normal 3 9 4 2 3 2" xfId="5615" xr:uid="{00000000-0005-0000-0000-00005B100000}"/>
    <cellStyle name="Normal 3 9 4 2 4" xfId="4229" xr:uid="{00000000-0005-0000-0000-00005C100000}"/>
    <cellStyle name="Normal 3 9 4 2 5" xfId="1582" xr:uid="{00000000-0005-0000-0000-00005D100000}"/>
    <cellStyle name="Normal 3 9 4 3" xfId="2906" xr:uid="{00000000-0005-0000-0000-00005E100000}"/>
    <cellStyle name="Normal 3 9 4 3 2" xfId="5616" xr:uid="{00000000-0005-0000-0000-00005F100000}"/>
    <cellStyle name="Normal 3 9 4 4" xfId="2024" xr:uid="{00000000-0005-0000-0000-000060100000}"/>
    <cellStyle name="Normal 3 9 4 4 2" xfId="5617" xr:uid="{00000000-0005-0000-0000-000061100000}"/>
    <cellStyle name="Normal 3 9 4 5" xfId="3788" xr:uid="{00000000-0005-0000-0000-000062100000}"/>
    <cellStyle name="Normal 3 9 4 6" xfId="1141" xr:uid="{00000000-0005-0000-0000-000063100000}"/>
    <cellStyle name="Normal 3 9 5" xfId="479" xr:uid="{00000000-0005-0000-0000-000064100000}"/>
    <cellStyle name="Normal 3 9 5 2" xfId="3127" xr:uid="{00000000-0005-0000-0000-000065100000}"/>
    <cellStyle name="Normal 3 9 5 2 2" xfId="5618" xr:uid="{00000000-0005-0000-0000-000066100000}"/>
    <cellStyle name="Normal 3 9 5 3" xfId="2245" xr:uid="{00000000-0005-0000-0000-000067100000}"/>
    <cellStyle name="Normal 3 9 5 3 2" xfId="5619" xr:uid="{00000000-0005-0000-0000-000068100000}"/>
    <cellStyle name="Normal 3 9 5 4" xfId="4009" xr:uid="{00000000-0005-0000-0000-000069100000}"/>
    <cellStyle name="Normal 3 9 5 5" xfId="1362" xr:uid="{00000000-0005-0000-0000-00006A100000}"/>
    <cellStyle name="Normal 3 9 6" xfId="2686" xr:uid="{00000000-0005-0000-0000-00006B100000}"/>
    <cellStyle name="Normal 3 9 6 2" xfId="5620" xr:uid="{00000000-0005-0000-0000-00006C100000}"/>
    <cellStyle name="Normal 3 9 7" xfId="1804" xr:uid="{00000000-0005-0000-0000-00006D100000}"/>
    <cellStyle name="Normal 3 9 7 2" xfId="5621" xr:uid="{00000000-0005-0000-0000-00006E100000}"/>
    <cellStyle name="Normal 3 9 8" xfId="3568" xr:uid="{00000000-0005-0000-0000-00006F100000}"/>
    <cellStyle name="Normal 3 9 9" xfId="921" xr:uid="{00000000-0005-0000-0000-000070100000}"/>
    <cellStyle name="Normal 3_2013 Universal Input Prices" xfId="14" xr:uid="{00000000-0005-0000-0000-000071100000}"/>
    <cellStyle name="Normal 4" xfId="116" xr:uid="{00000000-0005-0000-0000-000072100000}"/>
    <cellStyle name="Normal 4 2" xfId="226" xr:uid="{00000000-0005-0000-0000-000073100000}"/>
    <cellStyle name="Normal 4 2 2" xfId="446" xr:uid="{00000000-0005-0000-0000-000074100000}"/>
    <cellStyle name="Normal 4 2 2 2" xfId="887" xr:uid="{00000000-0005-0000-0000-000075100000}"/>
    <cellStyle name="Normal 4 2 2 2 2" xfId="3535" xr:uid="{00000000-0005-0000-0000-000076100000}"/>
    <cellStyle name="Normal 4 2 2 2 2 2" xfId="5622" xr:uid="{00000000-0005-0000-0000-000077100000}"/>
    <cellStyle name="Normal 4 2 2 2 3" xfId="2653" xr:uid="{00000000-0005-0000-0000-000078100000}"/>
    <cellStyle name="Normal 4 2 2 2 3 2" xfId="5623" xr:uid="{00000000-0005-0000-0000-000079100000}"/>
    <cellStyle name="Normal 4 2 2 2 4" xfId="4417" xr:uid="{00000000-0005-0000-0000-00007A100000}"/>
    <cellStyle name="Normal 4 2 2 2 5" xfId="1770" xr:uid="{00000000-0005-0000-0000-00007B100000}"/>
    <cellStyle name="Normal 4 2 2 3" xfId="3094" xr:uid="{00000000-0005-0000-0000-00007C100000}"/>
    <cellStyle name="Normal 4 2 2 3 2" xfId="5624" xr:uid="{00000000-0005-0000-0000-00007D100000}"/>
    <cellStyle name="Normal 4 2 2 4" xfId="2212" xr:uid="{00000000-0005-0000-0000-00007E100000}"/>
    <cellStyle name="Normal 4 2 2 4 2" xfId="5625" xr:uid="{00000000-0005-0000-0000-00007F100000}"/>
    <cellStyle name="Normal 4 2 2 5" xfId="3976" xr:uid="{00000000-0005-0000-0000-000080100000}"/>
    <cellStyle name="Normal 4 2 2 6" xfId="1329" xr:uid="{00000000-0005-0000-0000-000081100000}"/>
    <cellStyle name="Normal 4 2 3" xfId="667" xr:uid="{00000000-0005-0000-0000-000082100000}"/>
    <cellStyle name="Normal 4 2 3 2" xfId="3315" xr:uid="{00000000-0005-0000-0000-000083100000}"/>
    <cellStyle name="Normal 4 2 3 2 2" xfId="5626" xr:uid="{00000000-0005-0000-0000-000084100000}"/>
    <cellStyle name="Normal 4 2 3 3" xfId="2433" xr:uid="{00000000-0005-0000-0000-000085100000}"/>
    <cellStyle name="Normal 4 2 3 3 2" xfId="5627" xr:uid="{00000000-0005-0000-0000-000086100000}"/>
    <cellStyle name="Normal 4 2 3 4" xfId="4197" xr:uid="{00000000-0005-0000-0000-000087100000}"/>
    <cellStyle name="Normal 4 2 3 5" xfId="1550" xr:uid="{00000000-0005-0000-0000-000088100000}"/>
    <cellStyle name="Normal 4 2 4" xfId="2874" xr:uid="{00000000-0005-0000-0000-000089100000}"/>
    <cellStyle name="Normal 4 2 4 2" xfId="5628" xr:uid="{00000000-0005-0000-0000-00008A100000}"/>
    <cellStyle name="Normal 4 2 5" xfId="1992" xr:uid="{00000000-0005-0000-0000-00008B100000}"/>
    <cellStyle name="Normal 4 2 5 2" xfId="5629" xr:uid="{00000000-0005-0000-0000-00008C100000}"/>
    <cellStyle name="Normal 4 2 6" xfId="3756" xr:uid="{00000000-0005-0000-0000-00008D100000}"/>
    <cellStyle name="Normal 4 2 7" xfId="1109" xr:uid="{00000000-0005-0000-0000-00008E100000}"/>
    <cellStyle name="Normal 4 3" xfId="336" xr:uid="{00000000-0005-0000-0000-00008F100000}"/>
    <cellStyle name="Normal 4 3 2" xfId="777" xr:uid="{00000000-0005-0000-0000-000090100000}"/>
    <cellStyle name="Normal 4 3 2 2" xfId="3425" xr:uid="{00000000-0005-0000-0000-000091100000}"/>
    <cellStyle name="Normal 4 3 2 2 2" xfId="5630" xr:uid="{00000000-0005-0000-0000-000092100000}"/>
    <cellStyle name="Normal 4 3 2 3" xfId="2543" xr:uid="{00000000-0005-0000-0000-000093100000}"/>
    <cellStyle name="Normal 4 3 2 3 2" xfId="5631" xr:uid="{00000000-0005-0000-0000-000094100000}"/>
    <cellStyle name="Normal 4 3 2 4" xfId="4307" xr:uid="{00000000-0005-0000-0000-000095100000}"/>
    <cellStyle name="Normal 4 3 2 5" xfId="1660" xr:uid="{00000000-0005-0000-0000-000096100000}"/>
    <cellStyle name="Normal 4 3 3" xfId="2984" xr:uid="{00000000-0005-0000-0000-000097100000}"/>
    <cellStyle name="Normal 4 3 3 2" xfId="5632" xr:uid="{00000000-0005-0000-0000-000098100000}"/>
    <cellStyle name="Normal 4 3 4" xfId="2102" xr:uid="{00000000-0005-0000-0000-000099100000}"/>
    <cellStyle name="Normal 4 3 4 2" xfId="5633" xr:uid="{00000000-0005-0000-0000-00009A100000}"/>
    <cellStyle name="Normal 4 3 5" xfId="3866" xr:uid="{00000000-0005-0000-0000-00009B100000}"/>
    <cellStyle name="Normal 4 3 6" xfId="1219" xr:uid="{00000000-0005-0000-0000-00009C100000}"/>
    <cellStyle name="Normal 4 4" xfId="557" xr:uid="{00000000-0005-0000-0000-00009D100000}"/>
    <cellStyle name="Normal 4 4 2" xfId="3205" xr:uid="{00000000-0005-0000-0000-00009E100000}"/>
    <cellStyle name="Normal 4 4 2 2" xfId="5634" xr:uid="{00000000-0005-0000-0000-00009F100000}"/>
    <cellStyle name="Normal 4 4 3" xfId="2323" xr:uid="{00000000-0005-0000-0000-0000A0100000}"/>
    <cellStyle name="Normal 4 4 3 2" xfId="5635" xr:uid="{00000000-0005-0000-0000-0000A1100000}"/>
    <cellStyle name="Normal 4 4 4" xfId="4087" xr:uid="{00000000-0005-0000-0000-0000A2100000}"/>
    <cellStyle name="Normal 4 4 5" xfId="1440" xr:uid="{00000000-0005-0000-0000-0000A3100000}"/>
    <cellStyle name="Normal 4 5" xfId="2764" xr:uid="{00000000-0005-0000-0000-0000A4100000}"/>
    <cellStyle name="Normal 4 5 2" xfId="5636" xr:uid="{00000000-0005-0000-0000-0000A5100000}"/>
    <cellStyle name="Normal 4 6" xfId="1882" xr:uid="{00000000-0005-0000-0000-0000A6100000}"/>
    <cellStyle name="Normal 4 6 2" xfId="5637" xr:uid="{00000000-0005-0000-0000-0000A7100000}"/>
    <cellStyle name="Normal 4 7" xfId="3646" xr:uid="{00000000-0005-0000-0000-0000A8100000}"/>
    <cellStyle name="Normal 4 8" xfId="999" xr:uid="{00000000-0005-0000-0000-0000A9100000}"/>
    <cellStyle name="Normal 5" xfId="117" xr:uid="{00000000-0005-0000-0000-0000AA100000}"/>
    <cellStyle name="Normal 5 2" xfId="227" xr:uid="{00000000-0005-0000-0000-0000AB100000}"/>
    <cellStyle name="Normal 5 2 2" xfId="447" xr:uid="{00000000-0005-0000-0000-0000AC100000}"/>
    <cellStyle name="Normal 5 2 2 2" xfId="888" xr:uid="{00000000-0005-0000-0000-0000AD100000}"/>
    <cellStyle name="Normal 5 2 2 2 2" xfId="3536" xr:uid="{00000000-0005-0000-0000-0000AE100000}"/>
    <cellStyle name="Normal 5 2 2 2 2 2" xfId="5638" xr:uid="{00000000-0005-0000-0000-0000AF100000}"/>
    <cellStyle name="Normal 5 2 2 2 3" xfId="2654" xr:uid="{00000000-0005-0000-0000-0000B0100000}"/>
    <cellStyle name="Normal 5 2 2 2 3 2" xfId="5639" xr:uid="{00000000-0005-0000-0000-0000B1100000}"/>
    <cellStyle name="Normal 5 2 2 2 4" xfId="4418" xr:uid="{00000000-0005-0000-0000-0000B2100000}"/>
    <cellStyle name="Normal 5 2 2 2 5" xfId="1771" xr:uid="{00000000-0005-0000-0000-0000B3100000}"/>
    <cellStyle name="Normal 5 2 2 3" xfId="3095" xr:uid="{00000000-0005-0000-0000-0000B4100000}"/>
    <cellStyle name="Normal 5 2 2 3 2" xfId="5640" xr:uid="{00000000-0005-0000-0000-0000B5100000}"/>
    <cellStyle name="Normal 5 2 2 4" xfId="2213" xr:uid="{00000000-0005-0000-0000-0000B6100000}"/>
    <cellStyle name="Normal 5 2 2 4 2" xfId="5641" xr:uid="{00000000-0005-0000-0000-0000B7100000}"/>
    <cellStyle name="Normal 5 2 2 5" xfId="3977" xr:uid="{00000000-0005-0000-0000-0000B8100000}"/>
    <cellStyle name="Normal 5 2 2 6" xfId="1330" xr:uid="{00000000-0005-0000-0000-0000B9100000}"/>
    <cellStyle name="Normal 5 2 3" xfId="668" xr:uid="{00000000-0005-0000-0000-0000BA100000}"/>
    <cellStyle name="Normal 5 2 3 2" xfId="3316" xr:uid="{00000000-0005-0000-0000-0000BB100000}"/>
    <cellStyle name="Normal 5 2 3 2 2" xfId="5642" xr:uid="{00000000-0005-0000-0000-0000BC100000}"/>
    <cellStyle name="Normal 5 2 3 3" xfId="2434" xr:uid="{00000000-0005-0000-0000-0000BD100000}"/>
    <cellStyle name="Normal 5 2 3 3 2" xfId="5643" xr:uid="{00000000-0005-0000-0000-0000BE100000}"/>
    <cellStyle name="Normal 5 2 3 4" xfId="4198" xr:uid="{00000000-0005-0000-0000-0000BF100000}"/>
    <cellStyle name="Normal 5 2 3 5" xfId="1551" xr:uid="{00000000-0005-0000-0000-0000C0100000}"/>
    <cellStyle name="Normal 5 2 4" xfId="2875" xr:uid="{00000000-0005-0000-0000-0000C1100000}"/>
    <cellStyle name="Normal 5 2 4 2" xfId="5644" xr:uid="{00000000-0005-0000-0000-0000C2100000}"/>
    <cellStyle name="Normal 5 2 5" xfId="1993" xr:uid="{00000000-0005-0000-0000-0000C3100000}"/>
    <cellStyle name="Normal 5 2 5 2" xfId="5645" xr:uid="{00000000-0005-0000-0000-0000C4100000}"/>
    <cellStyle name="Normal 5 2 6" xfId="3757" xr:uid="{00000000-0005-0000-0000-0000C5100000}"/>
    <cellStyle name="Normal 5 2 7" xfId="1110" xr:uid="{00000000-0005-0000-0000-0000C6100000}"/>
    <cellStyle name="Normal 5 3" xfId="337" xr:uid="{00000000-0005-0000-0000-0000C7100000}"/>
    <cellStyle name="Normal 5 3 2" xfId="778" xr:uid="{00000000-0005-0000-0000-0000C8100000}"/>
    <cellStyle name="Normal 5 3 2 2" xfId="3426" xr:uid="{00000000-0005-0000-0000-0000C9100000}"/>
    <cellStyle name="Normal 5 3 2 2 2" xfId="5646" xr:uid="{00000000-0005-0000-0000-0000CA100000}"/>
    <cellStyle name="Normal 5 3 2 3" xfId="2544" xr:uid="{00000000-0005-0000-0000-0000CB100000}"/>
    <cellStyle name="Normal 5 3 2 3 2" xfId="5647" xr:uid="{00000000-0005-0000-0000-0000CC100000}"/>
    <cellStyle name="Normal 5 3 2 4" xfId="4308" xr:uid="{00000000-0005-0000-0000-0000CD100000}"/>
    <cellStyle name="Normal 5 3 2 5" xfId="1661" xr:uid="{00000000-0005-0000-0000-0000CE100000}"/>
    <cellStyle name="Normal 5 3 3" xfId="2985" xr:uid="{00000000-0005-0000-0000-0000CF100000}"/>
    <cellStyle name="Normal 5 3 3 2" xfId="5648" xr:uid="{00000000-0005-0000-0000-0000D0100000}"/>
    <cellStyle name="Normal 5 3 4" xfId="2103" xr:uid="{00000000-0005-0000-0000-0000D1100000}"/>
    <cellStyle name="Normal 5 3 4 2" xfId="5649" xr:uid="{00000000-0005-0000-0000-0000D2100000}"/>
    <cellStyle name="Normal 5 3 5" xfId="3867" xr:uid="{00000000-0005-0000-0000-0000D3100000}"/>
    <cellStyle name="Normal 5 3 6" xfId="1220" xr:uid="{00000000-0005-0000-0000-0000D4100000}"/>
    <cellStyle name="Normal 5 4" xfId="558" xr:uid="{00000000-0005-0000-0000-0000D5100000}"/>
    <cellStyle name="Normal 5 4 2" xfId="3206" xr:uid="{00000000-0005-0000-0000-0000D6100000}"/>
    <cellStyle name="Normal 5 4 2 2" xfId="5650" xr:uid="{00000000-0005-0000-0000-0000D7100000}"/>
    <cellStyle name="Normal 5 4 3" xfId="2324" xr:uid="{00000000-0005-0000-0000-0000D8100000}"/>
    <cellStyle name="Normal 5 4 3 2" xfId="5651" xr:uid="{00000000-0005-0000-0000-0000D9100000}"/>
    <cellStyle name="Normal 5 4 4" xfId="4088" xr:uid="{00000000-0005-0000-0000-0000DA100000}"/>
    <cellStyle name="Normal 5 4 5" xfId="1441" xr:uid="{00000000-0005-0000-0000-0000DB100000}"/>
    <cellStyle name="Normal 5 5" xfId="2765" xr:uid="{00000000-0005-0000-0000-0000DC100000}"/>
    <cellStyle name="Normal 5 5 2" xfId="5652" xr:uid="{00000000-0005-0000-0000-0000DD100000}"/>
    <cellStyle name="Normal 5 6" xfId="1883" xr:uid="{00000000-0005-0000-0000-0000DE100000}"/>
    <cellStyle name="Normal 5 6 2" xfId="5653" xr:uid="{00000000-0005-0000-0000-0000DF100000}"/>
    <cellStyle name="Normal 5 7" xfId="3647" xr:uid="{00000000-0005-0000-0000-0000E0100000}"/>
    <cellStyle name="Normal 5 8" xfId="1000" xr:uid="{00000000-0005-0000-0000-0000E1100000}"/>
    <cellStyle name="Normal 6" xfId="118" xr:uid="{00000000-0005-0000-0000-0000E2100000}"/>
    <cellStyle name="Normal 6 2" xfId="228" xr:uid="{00000000-0005-0000-0000-0000E3100000}"/>
    <cellStyle name="Normal 6 2 2" xfId="448" xr:uid="{00000000-0005-0000-0000-0000E4100000}"/>
    <cellStyle name="Normal 6 2 2 2" xfId="889" xr:uid="{00000000-0005-0000-0000-0000E5100000}"/>
    <cellStyle name="Normal 6 2 2 2 2" xfId="3537" xr:uid="{00000000-0005-0000-0000-0000E6100000}"/>
    <cellStyle name="Normal 6 2 2 2 2 2" xfId="5654" xr:uid="{00000000-0005-0000-0000-0000E7100000}"/>
    <cellStyle name="Normal 6 2 2 2 3" xfId="2655" xr:uid="{00000000-0005-0000-0000-0000E8100000}"/>
    <cellStyle name="Normal 6 2 2 2 3 2" xfId="5655" xr:uid="{00000000-0005-0000-0000-0000E9100000}"/>
    <cellStyle name="Normal 6 2 2 2 4" xfId="4419" xr:uid="{00000000-0005-0000-0000-0000EA100000}"/>
    <cellStyle name="Normal 6 2 2 2 5" xfId="1772" xr:uid="{00000000-0005-0000-0000-0000EB100000}"/>
    <cellStyle name="Normal 6 2 2 3" xfId="3096" xr:uid="{00000000-0005-0000-0000-0000EC100000}"/>
    <cellStyle name="Normal 6 2 2 3 2" xfId="5656" xr:uid="{00000000-0005-0000-0000-0000ED100000}"/>
    <cellStyle name="Normal 6 2 2 4" xfId="2214" xr:uid="{00000000-0005-0000-0000-0000EE100000}"/>
    <cellStyle name="Normal 6 2 2 4 2" xfId="5657" xr:uid="{00000000-0005-0000-0000-0000EF100000}"/>
    <cellStyle name="Normal 6 2 2 5" xfId="3978" xr:uid="{00000000-0005-0000-0000-0000F0100000}"/>
    <cellStyle name="Normal 6 2 2 6" xfId="1331" xr:uid="{00000000-0005-0000-0000-0000F1100000}"/>
    <cellStyle name="Normal 6 2 3" xfId="669" xr:uid="{00000000-0005-0000-0000-0000F2100000}"/>
    <cellStyle name="Normal 6 2 3 2" xfId="3317" xr:uid="{00000000-0005-0000-0000-0000F3100000}"/>
    <cellStyle name="Normal 6 2 3 2 2" xfId="5658" xr:uid="{00000000-0005-0000-0000-0000F4100000}"/>
    <cellStyle name="Normal 6 2 3 3" xfId="2435" xr:uid="{00000000-0005-0000-0000-0000F5100000}"/>
    <cellStyle name="Normal 6 2 3 3 2" xfId="5659" xr:uid="{00000000-0005-0000-0000-0000F6100000}"/>
    <cellStyle name="Normal 6 2 3 4" xfId="4199" xr:uid="{00000000-0005-0000-0000-0000F7100000}"/>
    <cellStyle name="Normal 6 2 3 5" xfId="1552" xr:uid="{00000000-0005-0000-0000-0000F8100000}"/>
    <cellStyle name="Normal 6 2 4" xfId="2876" xr:uid="{00000000-0005-0000-0000-0000F9100000}"/>
    <cellStyle name="Normal 6 2 4 2" xfId="5660" xr:uid="{00000000-0005-0000-0000-0000FA100000}"/>
    <cellStyle name="Normal 6 2 5" xfId="1994" xr:uid="{00000000-0005-0000-0000-0000FB100000}"/>
    <cellStyle name="Normal 6 2 5 2" xfId="5661" xr:uid="{00000000-0005-0000-0000-0000FC100000}"/>
    <cellStyle name="Normal 6 2 6" xfId="3758" xr:uid="{00000000-0005-0000-0000-0000FD100000}"/>
    <cellStyle name="Normal 6 2 7" xfId="1111" xr:uid="{00000000-0005-0000-0000-0000FE100000}"/>
    <cellStyle name="Normal 6 3" xfId="338" xr:uid="{00000000-0005-0000-0000-0000FF100000}"/>
    <cellStyle name="Normal 6 3 2" xfId="779" xr:uid="{00000000-0005-0000-0000-000000110000}"/>
    <cellStyle name="Normal 6 3 2 2" xfId="3427" xr:uid="{00000000-0005-0000-0000-000001110000}"/>
    <cellStyle name="Normal 6 3 2 2 2" xfId="5662" xr:uid="{00000000-0005-0000-0000-000002110000}"/>
    <cellStyle name="Normal 6 3 2 3" xfId="2545" xr:uid="{00000000-0005-0000-0000-000003110000}"/>
    <cellStyle name="Normal 6 3 2 3 2" xfId="5663" xr:uid="{00000000-0005-0000-0000-000004110000}"/>
    <cellStyle name="Normal 6 3 2 4" xfId="4309" xr:uid="{00000000-0005-0000-0000-000005110000}"/>
    <cellStyle name="Normal 6 3 2 5" xfId="1662" xr:uid="{00000000-0005-0000-0000-000006110000}"/>
    <cellStyle name="Normal 6 3 3" xfId="2986" xr:uid="{00000000-0005-0000-0000-000007110000}"/>
    <cellStyle name="Normal 6 3 3 2" xfId="5664" xr:uid="{00000000-0005-0000-0000-000008110000}"/>
    <cellStyle name="Normal 6 3 4" xfId="2104" xr:uid="{00000000-0005-0000-0000-000009110000}"/>
    <cellStyle name="Normal 6 3 4 2" xfId="5665" xr:uid="{00000000-0005-0000-0000-00000A110000}"/>
    <cellStyle name="Normal 6 3 5" xfId="3868" xr:uid="{00000000-0005-0000-0000-00000B110000}"/>
    <cellStyle name="Normal 6 3 6" xfId="1221" xr:uid="{00000000-0005-0000-0000-00000C110000}"/>
    <cellStyle name="Normal 6 4" xfId="559" xr:uid="{00000000-0005-0000-0000-00000D110000}"/>
    <cellStyle name="Normal 6 4 2" xfId="3207" xr:uid="{00000000-0005-0000-0000-00000E110000}"/>
    <cellStyle name="Normal 6 4 2 2" xfId="5666" xr:uid="{00000000-0005-0000-0000-00000F110000}"/>
    <cellStyle name="Normal 6 4 3" xfId="2325" xr:uid="{00000000-0005-0000-0000-000010110000}"/>
    <cellStyle name="Normal 6 4 3 2" xfId="5667" xr:uid="{00000000-0005-0000-0000-000011110000}"/>
    <cellStyle name="Normal 6 4 4" xfId="4089" xr:uid="{00000000-0005-0000-0000-000012110000}"/>
    <cellStyle name="Normal 6 4 5" xfId="1442" xr:uid="{00000000-0005-0000-0000-000013110000}"/>
    <cellStyle name="Normal 6 5" xfId="2766" xr:uid="{00000000-0005-0000-0000-000014110000}"/>
    <cellStyle name="Normal 6 5 2" xfId="5668" xr:uid="{00000000-0005-0000-0000-000015110000}"/>
    <cellStyle name="Normal 6 6" xfId="1884" xr:uid="{00000000-0005-0000-0000-000016110000}"/>
    <cellStyle name="Normal 6 6 2" xfId="5669" xr:uid="{00000000-0005-0000-0000-000017110000}"/>
    <cellStyle name="Normal 6 7" xfId="3648" xr:uid="{00000000-0005-0000-0000-000018110000}"/>
    <cellStyle name="Normal 6 8" xfId="1001" xr:uid="{00000000-0005-0000-0000-000019110000}"/>
    <cellStyle name="Normal 7" xfId="449" xr:uid="{00000000-0005-0000-0000-00001A110000}"/>
    <cellStyle name="Normal 7 2" xfId="890" xr:uid="{00000000-0005-0000-0000-00001B110000}"/>
    <cellStyle name="Normal 7 2 2" xfId="3538" xr:uid="{00000000-0005-0000-0000-00001C110000}"/>
    <cellStyle name="Normal 7 2 2 2" xfId="5670" xr:uid="{00000000-0005-0000-0000-00001D110000}"/>
    <cellStyle name="Normal 7 2 3" xfId="2656" xr:uid="{00000000-0005-0000-0000-00001E110000}"/>
    <cellStyle name="Normal 7 2 3 2" xfId="5671" xr:uid="{00000000-0005-0000-0000-00001F110000}"/>
    <cellStyle name="Normal 7 2 4" xfId="4420" xr:uid="{00000000-0005-0000-0000-000020110000}"/>
    <cellStyle name="Normal 7 2 5" xfId="1773" xr:uid="{00000000-0005-0000-0000-000021110000}"/>
    <cellStyle name="Normal 7 3" xfId="3097" xr:uid="{00000000-0005-0000-0000-000022110000}"/>
    <cellStyle name="Normal 7 3 2" xfId="5672" xr:uid="{00000000-0005-0000-0000-000023110000}"/>
    <cellStyle name="Normal 7 4" xfId="2215" xr:uid="{00000000-0005-0000-0000-000024110000}"/>
    <cellStyle name="Normal 7 4 2" xfId="5673" xr:uid="{00000000-0005-0000-0000-000025110000}"/>
    <cellStyle name="Normal 7 5" xfId="3979" xr:uid="{00000000-0005-0000-0000-000026110000}"/>
    <cellStyle name="Normal 7 6" xfId="1332" xr:uid="{00000000-0005-0000-0000-000027110000}"/>
    <cellStyle name="Percent" xfId="8" builtinId="5"/>
    <cellStyle name="Percent 2" xfId="9" xr:uid="{00000000-0005-0000-0000-000029110000}"/>
    <cellStyle name="Percent 2 2" xfId="10" xr:uid="{00000000-0005-0000-0000-00002A110000}"/>
    <cellStyle name="Percent 2 2 10" xfId="61" xr:uid="{00000000-0005-0000-0000-00002B110000}"/>
    <cellStyle name="Percent 2 2 10 2" xfId="171" xr:uid="{00000000-0005-0000-0000-00002C110000}"/>
    <cellStyle name="Percent 2 2 10 2 2" xfId="391" xr:uid="{00000000-0005-0000-0000-00002D110000}"/>
    <cellStyle name="Percent 2 2 10 2 2 2" xfId="832" xr:uid="{00000000-0005-0000-0000-00002E110000}"/>
    <cellStyle name="Percent 2 2 10 2 2 2 2" xfId="3480" xr:uid="{00000000-0005-0000-0000-00002F110000}"/>
    <cellStyle name="Percent 2 2 10 2 2 2 2 2" xfId="5674" xr:uid="{00000000-0005-0000-0000-000030110000}"/>
    <cellStyle name="Percent 2 2 10 2 2 2 3" xfId="2598" xr:uid="{00000000-0005-0000-0000-000031110000}"/>
    <cellStyle name="Percent 2 2 10 2 2 2 3 2" xfId="5675" xr:uid="{00000000-0005-0000-0000-000032110000}"/>
    <cellStyle name="Percent 2 2 10 2 2 2 4" xfId="4362" xr:uid="{00000000-0005-0000-0000-000033110000}"/>
    <cellStyle name="Percent 2 2 10 2 2 2 5" xfId="1715" xr:uid="{00000000-0005-0000-0000-000034110000}"/>
    <cellStyle name="Percent 2 2 10 2 2 3" xfId="3039" xr:uid="{00000000-0005-0000-0000-000035110000}"/>
    <cellStyle name="Percent 2 2 10 2 2 3 2" xfId="5676" xr:uid="{00000000-0005-0000-0000-000036110000}"/>
    <cellStyle name="Percent 2 2 10 2 2 4" xfId="2157" xr:uid="{00000000-0005-0000-0000-000037110000}"/>
    <cellStyle name="Percent 2 2 10 2 2 4 2" xfId="5677" xr:uid="{00000000-0005-0000-0000-000038110000}"/>
    <cellStyle name="Percent 2 2 10 2 2 5" xfId="3921" xr:uid="{00000000-0005-0000-0000-000039110000}"/>
    <cellStyle name="Percent 2 2 10 2 2 6" xfId="1274" xr:uid="{00000000-0005-0000-0000-00003A110000}"/>
    <cellStyle name="Percent 2 2 10 2 3" xfId="612" xr:uid="{00000000-0005-0000-0000-00003B110000}"/>
    <cellStyle name="Percent 2 2 10 2 3 2" xfId="3260" xr:uid="{00000000-0005-0000-0000-00003C110000}"/>
    <cellStyle name="Percent 2 2 10 2 3 2 2" xfId="5678" xr:uid="{00000000-0005-0000-0000-00003D110000}"/>
    <cellStyle name="Percent 2 2 10 2 3 3" xfId="2378" xr:uid="{00000000-0005-0000-0000-00003E110000}"/>
    <cellStyle name="Percent 2 2 10 2 3 3 2" xfId="5679" xr:uid="{00000000-0005-0000-0000-00003F110000}"/>
    <cellStyle name="Percent 2 2 10 2 3 4" xfId="4142" xr:uid="{00000000-0005-0000-0000-000040110000}"/>
    <cellStyle name="Percent 2 2 10 2 3 5" xfId="1495" xr:uid="{00000000-0005-0000-0000-000041110000}"/>
    <cellStyle name="Percent 2 2 10 2 4" xfId="2819" xr:uid="{00000000-0005-0000-0000-000042110000}"/>
    <cellStyle name="Percent 2 2 10 2 4 2" xfId="5680" xr:uid="{00000000-0005-0000-0000-000043110000}"/>
    <cellStyle name="Percent 2 2 10 2 5" xfId="1937" xr:uid="{00000000-0005-0000-0000-000044110000}"/>
    <cellStyle name="Percent 2 2 10 2 5 2" xfId="5681" xr:uid="{00000000-0005-0000-0000-000045110000}"/>
    <cellStyle name="Percent 2 2 10 2 6" xfId="3701" xr:uid="{00000000-0005-0000-0000-000046110000}"/>
    <cellStyle name="Percent 2 2 10 2 7" xfId="1054" xr:uid="{00000000-0005-0000-0000-000047110000}"/>
    <cellStyle name="Percent 2 2 10 3" xfId="281" xr:uid="{00000000-0005-0000-0000-000048110000}"/>
    <cellStyle name="Percent 2 2 10 3 2" xfId="722" xr:uid="{00000000-0005-0000-0000-000049110000}"/>
    <cellStyle name="Percent 2 2 10 3 2 2" xfId="3370" xr:uid="{00000000-0005-0000-0000-00004A110000}"/>
    <cellStyle name="Percent 2 2 10 3 2 2 2" xfId="5682" xr:uid="{00000000-0005-0000-0000-00004B110000}"/>
    <cellStyle name="Percent 2 2 10 3 2 3" xfId="2488" xr:uid="{00000000-0005-0000-0000-00004C110000}"/>
    <cellStyle name="Percent 2 2 10 3 2 3 2" xfId="5683" xr:uid="{00000000-0005-0000-0000-00004D110000}"/>
    <cellStyle name="Percent 2 2 10 3 2 4" xfId="4252" xr:uid="{00000000-0005-0000-0000-00004E110000}"/>
    <cellStyle name="Percent 2 2 10 3 2 5" xfId="1605" xr:uid="{00000000-0005-0000-0000-00004F110000}"/>
    <cellStyle name="Percent 2 2 10 3 3" xfId="2929" xr:uid="{00000000-0005-0000-0000-000050110000}"/>
    <cellStyle name="Percent 2 2 10 3 3 2" xfId="5684" xr:uid="{00000000-0005-0000-0000-000051110000}"/>
    <cellStyle name="Percent 2 2 10 3 4" xfId="2047" xr:uid="{00000000-0005-0000-0000-000052110000}"/>
    <cellStyle name="Percent 2 2 10 3 4 2" xfId="5685" xr:uid="{00000000-0005-0000-0000-000053110000}"/>
    <cellStyle name="Percent 2 2 10 3 5" xfId="3811" xr:uid="{00000000-0005-0000-0000-000054110000}"/>
    <cellStyle name="Percent 2 2 10 3 6" xfId="1164" xr:uid="{00000000-0005-0000-0000-000055110000}"/>
    <cellStyle name="Percent 2 2 10 4" xfId="502" xr:uid="{00000000-0005-0000-0000-000056110000}"/>
    <cellStyle name="Percent 2 2 10 4 2" xfId="3150" xr:uid="{00000000-0005-0000-0000-000057110000}"/>
    <cellStyle name="Percent 2 2 10 4 2 2" xfId="5686" xr:uid="{00000000-0005-0000-0000-000058110000}"/>
    <cellStyle name="Percent 2 2 10 4 3" xfId="2268" xr:uid="{00000000-0005-0000-0000-000059110000}"/>
    <cellStyle name="Percent 2 2 10 4 3 2" xfId="5687" xr:uid="{00000000-0005-0000-0000-00005A110000}"/>
    <cellStyle name="Percent 2 2 10 4 4" xfId="4032" xr:uid="{00000000-0005-0000-0000-00005B110000}"/>
    <cellStyle name="Percent 2 2 10 4 5" xfId="1385" xr:uid="{00000000-0005-0000-0000-00005C110000}"/>
    <cellStyle name="Percent 2 2 10 5" xfId="2709" xr:uid="{00000000-0005-0000-0000-00005D110000}"/>
    <cellStyle name="Percent 2 2 10 5 2" xfId="5688" xr:uid="{00000000-0005-0000-0000-00005E110000}"/>
    <cellStyle name="Percent 2 2 10 6" xfId="1827" xr:uid="{00000000-0005-0000-0000-00005F110000}"/>
    <cellStyle name="Percent 2 2 10 6 2" xfId="5689" xr:uid="{00000000-0005-0000-0000-000060110000}"/>
    <cellStyle name="Percent 2 2 10 7" xfId="3591" xr:uid="{00000000-0005-0000-0000-000061110000}"/>
    <cellStyle name="Percent 2 2 10 8" xfId="944" xr:uid="{00000000-0005-0000-0000-000062110000}"/>
    <cellStyle name="Percent 2 2 11" xfId="77" xr:uid="{00000000-0005-0000-0000-000063110000}"/>
    <cellStyle name="Percent 2 2 11 2" xfId="187" xr:uid="{00000000-0005-0000-0000-000064110000}"/>
    <cellStyle name="Percent 2 2 11 2 2" xfId="407" xr:uid="{00000000-0005-0000-0000-000065110000}"/>
    <cellStyle name="Percent 2 2 11 2 2 2" xfId="848" xr:uid="{00000000-0005-0000-0000-000066110000}"/>
    <cellStyle name="Percent 2 2 11 2 2 2 2" xfId="3496" xr:uid="{00000000-0005-0000-0000-000067110000}"/>
    <cellStyle name="Percent 2 2 11 2 2 2 2 2" xfId="5690" xr:uid="{00000000-0005-0000-0000-000068110000}"/>
    <cellStyle name="Percent 2 2 11 2 2 2 3" xfId="2614" xr:uid="{00000000-0005-0000-0000-000069110000}"/>
    <cellStyle name="Percent 2 2 11 2 2 2 3 2" xfId="5691" xr:uid="{00000000-0005-0000-0000-00006A110000}"/>
    <cellStyle name="Percent 2 2 11 2 2 2 4" xfId="4378" xr:uid="{00000000-0005-0000-0000-00006B110000}"/>
    <cellStyle name="Percent 2 2 11 2 2 2 5" xfId="1731" xr:uid="{00000000-0005-0000-0000-00006C110000}"/>
    <cellStyle name="Percent 2 2 11 2 2 3" xfId="3055" xr:uid="{00000000-0005-0000-0000-00006D110000}"/>
    <cellStyle name="Percent 2 2 11 2 2 3 2" xfId="5692" xr:uid="{00000000-0005-0000-0000-00006E110000}"/>
    <cellStyle name="Percent 2 2 11 2 2 4" xfId="2173" xr:uid="{00000000-0005-0000-0000-00006F110000}"/>
    <cellStyle name="Percent 2 2 11 2 2 4 2" xfId="5693" xr:uid="{00000000-0005-0000-0000-000070110000}"/>
    <cellStyle name="Percent 2 2 11 2 2 5" xfId="3937" xr:uid="{00000000-0005-0000-0000-000071110000}"/>
    <cellStyle name="Percent 2 2 11 2 2 6" xfId="1290" xr:uid="{00000000-0005-0000-0000-000072110000}"/>
    <cellStyle name="Percent 2 2 11 2 3" xfId="628" xr:uid="{00000000-0005-0000-0000-000073110000}"/>
    <cellStyle name="Percent 2 2 11 2 3 2" xfId="3276" xr:uid="{00000000-0005-0000-0000-000074110000}"/>
    <cellStyle name="Percent 2 2 11 2 3 2 2" xfId="5694" xr:uid="{00000000-0005-0000-0000-000075110000}"/>
    <cellStyle name="Percent 2 2 11 2 3 3" xfId="2394" xr:uid="{00000000-0005-0000-0000-000076110000}"/>
    <cellStyle name="Percent 2 2 11 2 3 3 2" xfId="5695" xr:uid="{00000000-0005-0000-0000-000077110000}"/>
    <cellStyle name="Percent 2 2 11 2 3 4" xfId="4158" xr:uid="{00000000-0005-0000-0000-000078110000}"/>
    <cellStyle name="Percent 2 2 11 2 3 5" xfId="1511" xr:uid="{00000000-0005-0000-0000-000079110000}"/>
    <cellStyle name="Percent 2 2 11 2 4" xfId="2835" xr:uid="{00000000-0005-0000-0000-00007A110000}"/>
    <cellStyle name="Percent 2 2 11 2 4 2" xfId="5696" xr:uid="{00000000-0005-0000-0000-00007B110000}"/>
    <cellStyle name="Percent 2 2 11 2 5" xfId="1953" xr:uid="{00000000-0005-0000-0000-00007C110000}"/>
    <cellStyle name="Percent 2 2 11 2 5 2" xfId="5697" xr:uid="{00000000-0005-0000-0000-00007D110000}"/>
    <cellStyle name="Percent 2 2 11 2 6" xfId="3717" xr:uid="{00000000-0005-0000-0000-00007E110000}"/>
    <cellStyle name="Percent 2 2 11 2 7" xfId="1070" xr:uid="{00000000-0005-0000-0000-00007F110000}"/>
    <cellStyle name="Percent 2 2 11 3" xfId="297" xr:uid="{00000000-0005-0000-0000-000080110000}"/>
    <cellStyle name="Percent 2 2 11 3 2" xfId="738" xr:uid="{00000000-0005-0000-0000-000081110000}"/>
    <cellStyle name="Percent 2 2 11 3 2 2" xfId="3386" xr:uid="{00000000-0005-0000-0000-000082110000}"/>
    <cellStyle name="Percent 2 2 11 3 2 2 2" xfId="5698" xr:uid="{00000000-0005-0000-0000-000083110000}"/>
    <cellStyle name="Percent 2 2 11 3 2 3" xfId="2504" xr:uid="{00000000-0005-0000-0000-000084110000}"/>
    <cellStyle name="Percent 2 2 11 3 2 3 2" xfId="5699" xr:uid="{00000000-0005-0000-0000-000085110000}"/>
    <cellStyle name="Percent 2 2 11 3 2 4" xfId="4268" xr:uid="{00000000-0005-0000-0000-000086110000}"/>
    <cellStyle name="Percent 2 2 11 3 2 5" xfId="1621" xr:uid="{00000000-0005-0000-0000-000087110000}"/>
    <cellStyle name="Percent 2 2 11 3 3" xfId="2945" xr:uid="{00000000-0005-0000-0000-000088110000}"/>
    <cellStyle name="Percent 2 2 11 3 3 2" xfId="5700" xr:uid="{00000000-0005-0000-0000-000089110000}"/>
    <cellStyle name="Percent 2 2 11 3 4" xfId="2063" xr:uid="{00000000-0005-0000-0000-00008A110000}"/>
    <cellStyle name="Percent 2 2 11 3 4 2" xfId="5701" xr:uid="{00000000-0005-0000-0000-00008B110000}"/>
    <cellStyle name="Percent 2 2 11 3 5" xfId="3827" xr:uid="{00000000-0005-0000-0000-00008C110000}"/>
    <cellStyle name="Percent 2 2 11 3 6" xfId="1180" xr:uid="{00000000-0005-0000-0000-00008D110000}"/>
    <cellStyle name="Percent 2 2 11 4" xfId="518" xr:uid="{00000000-0005-0000-0000-00008E110000}"/>
    <cellStyle name="Percent 2 2 11 4 2" xfId="3166" xr:uid="{00000000-0005-0000-0000-00008F110000}"/>
    <cellStyle name="Percent 2 2 11 4 2 2" xfId="5702" xr:uid="{00000000-0005-0000-0000-000090110000}"/>
    <cellStyle name="Percent 2 2 11 4 3" xfId="2284" xr:uid="{00000000-0005-0000-0000-000091110000}"/>
    <cellStyle name="Percent 2 2 11 4 3 2" xfId="5703" xr:uid="{00000000-0005-0000-0000-000092110000}"/>
    <cellStyle name="Percent 2 2 11 4 4" xfId="4048" xr:uid="{00000000-0005-0000-0000-000093110000}"/>
    <cellStyle name="Percent 2 2 11 4 5" xfId="1401" xr:uid="{00000000-0005-0000-0000-000094110000}"/>
    <cellStyle name="Percent 2 2 11 5" xfId="2725" xr:uid="{00000000-0005-0000-0000-000095110000}"/>
    <cellStyle name="Percent 2 2 11 5 2" xfId="5704" xr:uid="{00000000-0005-0000-0000-000096110000}"/>
    <cellStyle name="Percent 2 2 11 6" xfId="1843" xr:uid="{00000000-0005-0000-0000-000097110000}"/>
    <cellStyle name="Percent 2 2 11 6 2" xfId="5705" xr:uid="{00000000-0005-0000-0000-000098110000}"/>
    <cellStyle name="Percent 2 2 11 7" xfId="3607" xr:uid="{00000000-0005-0000-0000-000099110000}"/>
    <cellStyle name="Percent 2 2 11 8" xfId="960" xr:uid="{00000000-0005-0000-0000-00009A110000}"/>
    <cellStyle name="Percent 2 2 12" xfId="121" xr:uid="{00000000-0005-0000-0000-00009B110000}"/>
    <cellStyle name="Percent 2 2 12 2" xfId="341" xr:uid="{00000000-0005-0000-0000-00009C110000}"/>
    <cellStyle name="Percent 2 2 12 2 2" xfId="782" xr:uid="{00000000-0005-0000-0000-00009D110000}"/>
    <cellStyle name="Percent 2 2 12 2 2 2" xfId="3430" xr:uid="{00000000-0005-0000-0000-00009E110000}"/>
    <cellStyle name="Percent 2 2 12 2 2 2 2" xfId="5706" xr:uid="{00000000-0005-0000-0000-00009F110000}"/>
    <cellStyle name="Percent 2 2 12 2 2 3" xfId="2548" xr:uid="{00000000-0005-0000-0000-0000A0110000}"/>
    <cellStyle name="Percent 2 2 12 2 2 3 2" xfId="5707" xr:uid="{00000000-0005-0000-0000-0000A1110000}"/>
    <cellStyle name="Percent 2 2 12 2 2 4" xfId="4312" xr:uid="{00000000-0005-0000-0000-0000A2110000}"/>
    <cellStyle name="Percent 2 2 12 2 2 5" xfId="1665" xr:uid="{00000000-0005-0000-0000-0000A3110000}"/>
    <cellStyle name="Percent 2 2 12 2 3" xfId="2989" xr:uid="{00000000-0005-0000-0000-0000A4110000}"/>
    <cellStyle name="Percent 2 2 12 2 3 2" xfId="5708" xr:uid="{00000000-0005-0000-0000-0000A5110000}"/>
    <cellStyle name="Percent 2 2 12 2 4" xfId="2107" xr:uid="{00000000-0005-0000-0000-0000A6110000}"/>
    <cellStyle name="Percent 2 2 12 2 4 2" xfId="5709" xr:uid="{00000000-0005-0000-0000-0000A7110000}"/>
    <cellStyle name="Percent 2 2 12 2 5" xfId="3871" xr:uid="{00000000-0005-0000-0000-0000A8110000}"/>
    <cellStyle name="Percent 2 2 12 2 6" xfId="1224" xr:uid="{00000000-0005-0000-0000-0000A9110000}"/>
    <cellStyle name="Percent 2 2 12 3" xfId="562" xr:uid="{00000000-0005-0000-0000-0000AA110000}"/>
    <cellStyle name="Percent 2 2 12 3 2" xfId="3210" xr:uid="{00000000-0005-0000-0000-0000AB110000}"/>
    <cellStyle name="Percent 2 2 12 3 2 2" xfId="5710" xr:uid="{00000000-0005-0000-0000-0000AC110000}"/>
    <cellStyle name="Percent 2 2 12 3 3" xfId="2328" xr:uid="{00000000-0005-0000-0000-0000AD110000}"/>
    <cellStyle name="Percent 2 2 12 3 3 2" xfId="5711" xr:uid="{00000000-0005-0000-0000-0000AE110000}"/>
    <cellStyle name="Percent 2 2 12 3 4" xfId="4092" xr:uid="{00000000-0005-0000-0000-0000AF110000}"/>
    <cellStyle name="Percent 2 2 12 3 5" xfId="1445" xr:uid="{00000000-0005-0000-0000-0000B0110000}"/>
    <cellStyle name="Percent 2 2 12 4" xfId="2769" xr:uid="{00000000-0005-0000-0000-0000B1110000}"/>
    <cellStyle name="Percent 2 2 12 4 2" xfId="5712" xr:uid="{00000000-0005-0000-0000-0000B2110000}"/>
    <cellStyle name="Percent 2 2 12 5" xfId="1887" xr:uid="{00000000-0005-0000-0000-0000B3110000}"/>
    <cellStyle name="Percent 2 2 12 5 2" xfId="5713" xr:uid="{00000000-0005-0000-0000-0000B4110000}"/>
    <cellStyle name="Percent 2 2 12 6" xfId="3651" xr:uid="{00000000-0005-0000-0000-0000B5110000}"/>
    <cellStyle name="Percent 2 2 12 7" xfId="1004" xr:uid="{00000000-0005-0000-0000-0000B6110000}"/>
    <cellStyle name="Percent 2 2 13" xfId="231" xr:uid="{00000000-0005-0000-0000-0000B7110000}"/>
    <cellStyle name="Percent 2 2 13 2" xfId="672" xr:uid="{00000000-0005-0000-0000-0000B8110000}"/>
    <cellStyle name="Percent 2 2 13 2 2" xfId="3320" xr:uid="{00000000-0005-0000-0000-0000B9110000}"/>
    <cellStyle name="Percent 2 2 13 2 2 2" xfId="5714" xr:uid="{00000000-0005-0000-0000-0000BA110000}"/>
    <cellStyle name="Percent 2 2 13 2 3" xfId="2438" xr:uid="{00000000-0005-0000-0000-0000BB110000}"/>
    <cellStyle name="Percent 2 2 13 2 3 2" xfId="5715" xr:uid="{00000000-0005-0000-0000-0000BC110000}"/>
    <cellStyle name="Percent 2 2 13 2 4" xfId="4202" xr:uid="{00000000-0005-0000-0000-0000BD110000}"/>
    <cellStyle name="Percent 2 2 13 2 5" xfId="1555" xr:uid="{00000000-0005-0000-0000-0000BE110000}"/>
    <cellStyle name="Percent 2 2 13 3" xfId="2879" xr:uid="{00000000-0005-0000-0000-0000BF110000}"/>
    <cellStyle name="Percent 2 2 13 3 2" xfId="5716" xr:uid="{00000000-0005-0000-0000-0000C0110000}"/>
    <cellStyle name="Percent 2 2 13 4" xfId="1997" xr:uid="{00000000-0005-0000-0000-0000C1110000}"/>
    <cellStyle name="Percent 2 2 13 4 2" xfId="5717" xr:uid="{00000000-0005-0000-0000-0000C2110000}"/>
    <cellStyle name="Percent 2 2 13 5" xfId="3761" xr:uid="{00000000-0005-0000-0000-0000C3110000}"/>
    <cellStyle name="Percent 2 2 13 6" xfId="1114" xr:uid="{00000000-0005-0000-0000-0000C4110000}"/>
    <cellStyle name="Percent 2 2 14" xfId="452" xr:uid="{00000000-0005-0000-0000-0000C5110000}"/>
    <cellStyle name="Percent 2 2 14 2" xfId="3100" xr:uid="{00000000-0005-0000-0000-0000C6110000}"/>
    <cellStyle name="Percent 2 2 14 2 2" xfId="5718" xr:uid="{00000000-0005-0000-0000-0000C7110000}"/>
    <cellStyle name="Percent 2 2 14 3" xfId="2218" xr:uid="{00000000-0005-0000-0000-0000C8110000}"/>
    <cellStyle name="Percent 2 2 14 3 2" xfId="5719" xr:uid="{00000000-0005-0000-0000-0000C9110000}"/>
    <cellStyle name="Percent 2 2 14 4" xfId="3982" xr:uid="{00000000-0005-0000-0000-0000CA110000}"/>
    <cellStyle name="Percent 2 2 14 5" xfId="1335" xr:uid="{00000000-0005-0000-0000-0000CB110000}"/>
    <cellStyle name="Percent 2 2 15" xfId="2659" xr:uid="{00000000-0005-0000-0000-0000CC110000}"/>
    <cellStyle name="Percent 2 2 15 2" xfId="5720" xr:uid="{00000000-0005-0000-0000-0000CD110000}"/>
    <cellStyle name="Percent 2 2 16" xfId="1777" xr:uid="{00000000-0005-0000-0000-0000CE110000}"/>
    <cellStyle name="Percent 2 2 16 2" xfId="5721" xr:uid="{00000000-0005-0000-0000-0000CF110000}"/>
    <cellStyle name="Percent 2 2 17" xfId="3541" xr:uid="{00000000-0005-0000-0000-0000D0110000}"/>
    <cellStyle name="Percent 2 2 18" xfId="894" xr:uid="{00000000-0005-0000-0000-0000D1110000}"/>
    <cellStyle name="Percent 2 2 2" xfId="13" xr:uid="{00000000-0005-0000-0000-0000D2110000}"/>
    <cellStyle name="Percent 2 2 2 10" xfId="455" xr:uid="{00000000-0005-0000-0000-0000D3110000}"/>
    <cellStyle name="Percent 2 2 2 10 2" xfId="3103" xr:uid="{00000000-0005-0000-0000-0000D4110000}"/>
    <cellStyle name="Percent 2 2 2 10 2 2" xfId="5722" xr:uid="{00000000-0005-0000-0000-0000D5110000}"/>
    <cellStyle name="Percent 2 2 2 10 3" xfId="2221" xr:uid="{00000000-0005-0000-0000-0000D6110000}"/>
    <cellStyle name="Percent 2 2 2 10 3 2" xfId="5723" xr:uid="{00000000-0005-0000-0000-0000D7110000}"/>
    <cellStyle name="Percent 2 2 2 10 4" xfId="3985" xr:uid="{00000000-0005-0000-0000-0000D8110000}"/>
    <cellStyle name="Percent 2 2 2 10 5" xfId="1338" xr:uid="{00000000-0005-0000-0000-0000D9110000}"/>
    <cellStyle name="Percent 2 2 2 11" xfId="2662" xr:uid="{00000000-0005-0000-0000-0000DA110000}"/>
    <cellStyle name="Percent 2 2 2 11 2" xfId="5724" xr:uid="{00000000-0005-0000-0000-0000DB110000}"/>
    <cellStyle name="Percent 2 2 2 12" xfId="1780" xr:uid="{00000000-0005-0000-0000-0000DC110000}"/>
    <cellStyle name="Percent 2 2 2 12 2" xfId="5725" xr:uid="{00000000-0005-0000-0000-0000DD110000}"/>
    <cellStyle name="Percent 2 2 2 13" xfId="3544" xr:uid="{00000000-0005-0000-0000-0000DE110000}"/>
    <cellStyle name="Percent 2 2 2 14" xfId="897" xr:uid="{00000000-0005-0000-0000-0000DF110000}"/>
    <cellStyle name="Percent 2 2 2 2" xfId="30" xr:uid="{00000000-0005-0000-0000-0000E0110000}"/>
    <cellStyle name="Percent 2 2 2 2 2" xfId="96" xr:uid="{00000000-0005-0000-0000-0000E1110000}"/>
    <cellStyle name="Percent 2 2 2 2 2 2" xfId="206" xr:uid="{00000000-0005-0000-0000-0000E2110000}"/>
    <cellStyle name="Percent 2 2 2 2 2 2 2" xfId="426" xr:uid="{00000000-0005-0000-0000-0000E3110000}"/>
    <cellStyle name="Percent 2 2 2 2 2 2 2 2" xfId="867" xr:uid="{00000000-0005-0000-0000-0000E4110000}"/>
    <cellStyle name="Percent 2 2 2 2 2 2 2 2 2" xfId="3515" xr:uid="{00000000-0005-0000-0000-0000E5110000}"/>
    <cellStyle name="Percent 2 2 2 2 2 2 2 2 2 2" xfId="5726" xr:uid="{00000000-0005-0000-0000-0000E6110000}"/>
    <cellStyle name="Percent 2 2 2 2 2 2 2 2 3" xfId="2633" xr:uid="{00000000-0005-0000-0000-0000E7110000}"/>
    <cellStyle name="Percent 2 2 2 2 2 2 2 2 3 2" xfId="5727" xr:uid="{00000000-0005-0000-0000-0000E8110000}"/>
    <cellStyle name="Percent 2 2 2 2 2 2 2 2 4" xfId="4397" xr:uid="{00000000-0005-0000-0000-0000E9110000}"/>
    <cellStyle name="Percent 2 2 2 2 2 2 2 2 5" xfId="1750" xr:uid="{00000000-0005-0000-0000-0000EA110000}"/>
    <cellStyle name="Percent 2 2 2 2 2 2 2 3" xfId="3074" xr:uid="{00000000-0005-0000-0000-0000EB110000}"/>
    <cellStyle name="Percent 2 2 2 2 2 2 2 3 2" xfId="5728" xr:uid="{00000000-0005-0000-0000-0000EC110000}"/>
    <cellStyle name="Percent 2 2 2 2 2 2 2 4" xfId="2192" xr:uid="{00000000-0005-0000-0000-0000ED110000}"/>
    <cellStyle name="Percent 2 2 2 2 2 2 2 4 2" xfId="5729" xr:uid="{00000000-0005-0000-0000-0000EE110000}"/>
    <cellStyle name="Percent 2 2 2 2 2 2 2 5" xfId="3956" xr:uid="{00000000-0005-0000-0000-0000EF110000}"/>
    <cellStyle name="Percent 2 2 2 2 2 2 2 6" xfId="1309" xr:uid="{00000000-0005-0000-0000-0000F0110000}"/>
    <cellStyle name="Percent 2 2 2 2 2 2 3" xfId="647" xr:uid="{00000000-0005-0000-0000-0000F1110000}"/>
    <cellStyle name="Percent 2 2 2 2 2 2 3 2" xfId="3295" xr:uid="{00000000-0005-0000-0000-0000F2110000}"/>
    <cellStyle name="Percent 2 2 2 2 2 2 3 2 2" xfId="5730" xr:uid="{00000000-0005-0000-0000-0000F3110000}"/>
    <cellStyle name="Percent 2 2 2 2 2 2 3 3" xfId="2413" xr:uid="{00000000-0005-0000-0000-0000F4110000}"/>
    <cellStyle name="Percent 2 2 2 2 2 2 3 3 2" xfId="5731" xr:uid="{00000000-0005-0000-0000-0000F5110000}"/>
    <cellStyle name="Percent 2 2 2 2 2 2 3 4" xfId="4177" xr:uid="{00000000-0005-0000-0000-0000F6110000}"/>
    <cellStyle name="Percent 2 2 2 2 2 2 3 5" xfId="1530" xr:uid="{00000000-0005-0000-0000-0000F7110000}"/>
    <cellStyle name="Percent 2 2 2 2 2 2 4" xfId="2854" xr:uid="{00000000-0005-0000-0000-0000F8110000}"/>
    <cellStyle name="Percent 2 2 2 2 2 2 4 2" xfId="5732" xr:uid="{00000000-0005-0000-0000-0000F9110000}"/>
    <cellStyle name="Percent 2 2 2 2 2 2 5" xfId="1972" xr:uid="{00000000-0005-0000-0000-0000FA110000}"/>
    <cellStyle name="Percent 2 2 2 2 2 2 5 2" xfId="5733" xr:uid="{00000000-0005-0000-0000-0000FB110000}"/>
    <cellStyle name="Percent 2 2 2 2 2 2 6" xfId="3736" xr:uid="{00000000-0005-0000-0000-0000FC110000}"/>
    <cellStyle name="Percent 2 2 2 2 2 2 7" xfId="1089" xr:uid="{00000000-0005-0000-0000-0000FD110000}"/>
    <cellStyle name="Percent 2 2 2 2 2 3" xfId="316" xr:uid="{00000000-0005-0000-0000-0000FE110000}"/>
    <cellStyle name="Percent 2 2 2 2 2 3 2" xfId="757" xr:uid="{00000000-0005-0000-0000-0000FF110000}"/>
    <cellStyle name="Percent 2 2 2 2 2 3 2 2" xfId="3405" xr:uid="{00000000-0005-0000-0000-000000120000}"/>
    <cellStyle name="Percent 2 2 2 2 2 3 2 2 2" xfId="5734" xr:uid="{00000000-0005-0000-0000-000001120000}"/>
    <cellStyle name="Percent 2 2 2 2 2 3 2 3" xfId="2523" xr:uid="{00000000-0005-0000-0000-000002120000}"/>
    <cellStyle name="Percent 2 2 2 2 2 3 2 3 2" xfId="5735" xr:uid="{00000000-0005-0000-0000-000003120000}"/>
    <cellStyle name="Percent 2 2 2 2 2 3 2 4" xfId="4287" xr:uid="{00000000-0005-0000-0000-000004120000}"/>
    <cellStyle name="Percent 2 2 2 2 2 3 2 5" xfId="1640" xr:uid="{00000000-0005-0000-0000-000005120000}"/>
    <cellStyle name="Percent 2 2 2 2 2 3 3" xfId="2964" xr:uid="{00000000-0005-0000-0000-000006120000}"/>
    <cellStyle name="Percent 2 2 2 2 2 3 3 2" xfId="5736" xr:uid="{00000000-0005-0000-0000-000007120000}"/>
    <cellStyle name="Percent 2 2 2 2 2 3 4" xfId="2082" xr:uid="{00000000-0005-0000-0000-000008120000}"/>
    <cellStyle name="Percent 2 2 2 2 2 3 4 2" xfId="5737" xr:uid="{00000000-0005-0000-0000-000009120000}"/>
    <cellStyle name="Percent 2 2 2 2 2 3 5" xfId="3846" xr:uid="{00000000-0005-0000-0000-00000A120000}"/>
    <cellStyle name="Percent 2 2 2 2 2 3 6" xfId="1199" xr:uid="{00000000-0005-0000-0000-00000B120000}"/>
    <cellStyle name="Percent 2 2 2 2 2 4" xfId="537" xr:uid="{00000000-0005-0000-0000-00000C120000}"/>
    <cellStyle name="Percent 2 2 2 2 2 4 2" xfId="3185" xr:uid="{00000000-0005-0000-0000-00000D120000}"/>
    <cellStyle name="Percent 2 2 2 2 2 4 2 2" xfId="5738" xr:uid="{00000000-0005-0000-0000-00000E120000}"/>
    <cellStyle name="Percent 2 2 2 2 2 4 3" xfId="2303" xr:uid="{00000000-0005-0000-0000-00000F120000}"/>
    <cellStyle name="Percent 2 2 2 2 2 4 3 2" xfId="5739" xr:uid="{00000000-0005-0000-0000-000010120000}"/>
    <cellStyle name="Percent 2 2 2 2 2 4 4" xfId="4067" xr:uid="{00000000-0005-0000-0000-000011120000}"/>
    <cellStyle name="Percent 2 2 2 2 2 4 5" xfId="1420" xr:uid="{00000000-0005-0000-0000-000012120000}"/>
    <cellStyle name="Percent 2 2 2 2 2 5" xfId="2744" xr:uid="{00000000-0005-0000-0000-000013120000}"/>
    <cellStyle name="Percent 2 2 2 2 2 5 2" xfId="5740" xr:uid="{00000000-0005-0000-0000-000014120000}"/>
    <cellStyle name="Percent 2 2 2 2 2 6" xfId="1862" xr:uid="{00000000-0005-0000-0000-000015120000}"/>
    <cellStyle name="Percent 2 2 2 2 2 6 2" xfId="5741" xr:uid="{00000000-0005-0000-0000-000016120000}"/>
    <cellStyle name="Percent 2 2 2 2 2 7" xfId="3626" xr:uid="{00000000-0005-0000-0000-000017120000}"/>
    <cellStyle name="Percent 2 2 2 2 2 8" xfId="979" xr:uid="{00000000-0005-0000-0000-000018120000}"/>
    <cellStyle name="Percent 2 2 2 2 3" xfId="140" xr:uid="{00000000-0005-0000-0000-000019120000}"/>
    <cellStyle name="Percent 2 2 2 2 3 2" xfId="360" xr:uid="{00000000-0005-0000-0000-00001A120000}"/>
    <cellStyle name="Percent 2 2 2 2 3 2 2" xfId="801" xr:uid="{00000000-0005-0000-0000-00001B120000}"/>
    <cellStyle name="Percent 2 2 2 2 3 2 2 2" xfId="3449" xr:uid="{00000000-0005-0000-0000-00001C120000}"/>
    <cellStyle name="Percent 2 2 2 2 3 2 2 2 2" xfId="5742" xr:uid="{00000000-0005-0000-0000-00001D120000}"/>
    <cellStyle name="Percent 2 2 2 2 3 2 2 3" xfId="2567" xr:uid="{00000000-0005-0000-0000-00001E120000}"/>
    <cellStyle name="Percent 2 2 2 2 3 2 2 3 2" xfId="5743" xr:uid="{00000000-0005-0000-0000-00001F120000}"/>
    <cellStyle name="Percent 2 2 2 2 3 2 2 4" xfId="4331" xr:uid="{00000000-0005-0000-0000-000020120000}"/>
    <cellStyle name="Percent 2 2 2 2 3 2 2 5" xfId="1684" xr:uid="{00000000-0005-0000-0000-000021120000}"/>
    <cellStyle name="Percent 2 2 2 2 3 2 3" xfId="3008" xr:uid="{00000000-0005-0000-0000-000022120000}"/>
    <cellStyle name="Percent 2 2 2 2 3 2 3 2" xfId="5744" xr:uid="{00000000-0005-0000-0000-000023120000}"/>
    <cellStyle name="Percent 2 2 2 2 3 2 4" xfId="2126" xr:uid="{00000000-0005-0000-0000-000024120000}"/>
    <cellStyle name="Percent 2 2 2 2 3 2 4 2" xfId="5745" xr:uid="{00000000-0005-0000-0000-000025120000}"/>
    <cellStyle name="Percent 2 2 2 2 3 2 5" xfId="3890" xr:uid="{00000000-0005-0000-0000-000026120000}"/>
    <cellStyle name="Percent 2 2 2 2 3 2 6" xfId="1243" xr:uid="{00000000-0005-0000-0000-000027120000}"/>
    <cellStyle name="Percent 2 2 2 2 3 3" xfId="581" xr:uid="{00000000-0005-0000-0000-000028120000}"/>
    <cellStyle name="Percent 2 2 2 2 3 3 2" xfId="3229" xr:uid="{00000000-0005-0000-0000-000029120000}"/>
    <cellStyle name="Percent 2 2 2 2 3 3 2 2" xfId="5746" xr:uid="{00000000-0005-0000-0000-00002A120000}"/>
    <cellStyle name="Percent 2 2 2 2 3 3 3" xfId="2347" xr:uid="{00000000-0005-0000-0000-00002B120000}"/>
    <cellStyle name="Percent 2 2 2 2 3 3 3 2" xfId="5747" xr:uid="{00000000-0005-0000-0000-00002C120000}"/>
    <cellStyle name="Percent 2 2 2 2 3 3 4" xfId="4111" xr:uid="{00000000-0005-0000-0000-00002D120000}"/>
    <cellStyle name="Percent 2 2 2 2 3 3 5" xfId="1464" xr:uid="{00000000-0005-0000-0000-00002E120000}"/>
    <cellStyle name="Percent 2 2 2 2 3 4" xfId="2788" xr:uid="{00000000-0005-0000-0000-00002F120000}"/>
    <cellStyle name="Percent 2 2 2 2 3 4 2" xfId="5748" xr:uid="{00000000-0005-0000-0000-000030120000}"/>
    <cellStyle name="Percent 2 2 2 2 3 5" xfId="1906" xr:uid="{00000000-0005-0000-0000-000031120000}"/>
    <cellStyle name="Percent 2 2 2 2 3 5 2" xfId="5749" xr:uid="{00000000-0005-0000-0000-000032120000}"/>
    <cellStyle name="Percent 2 2 2 2 3 6" xfId="3670" xr:uid="{00000000-0005-0000-0000-000033120000}"/>
    <cellStyle name="Percent 2 2 2 2 3 7" xfId="1023" xr:uid="{00000000-0005-0000-0000-000034120000}"/>
    <cellStyle name="Percent 2 2 2 2 4" xfId="250" xr:uid="{00000000-0005-0000-0000-000035120000}"/>
    <cellStyle name="Percent 2 2 2 2 4 2" xfId="691" xr:uid="{00000000-0005-0000-0000-000036120000}"/>
    <cellStyle name="Percent 2 2 2 2 4 2 2" xfId="3339" xr:uid="{00000000-0005-0000-0000-000037120000}"/>
    <cellStyle name="Percent 2 2 2 2 4 2 2 2" xfId="5750" xr:uid="{00000000-0005-0000-0000-000038120000}"/>
    <cellStyle name="Percent 2 2 2 2 4 2 3" xfId="2457" xr:uid="{00000000-0005-0000-0000-000039120000}"/>
    <cellStyle name="Percent 2 2 2 2 4 2 3 2" xfId="5751" xr:uid="{00000000-0005-0000-0000-00003A120000}"/>
    <cellStyle name="Percent 2 2 2 2 4 2 4" xfId="4221" xr:uid="{00000000-0005-0000-0000-00003B120000}"/>
    <cellStyle name="Percent 2 2 2 2 4 2 5" xfId="1574" xr:uid="{00000000-0005-0000-0000-00003C120000}"/>
    <cellStyle name="Percent 2 2 2 2 4 3" xfId="2898" xr:uid="{00000000-0005-0000-0000-00003D120000}"/>
    <cellStyle name="Percent 2 2 2 2 4 3 2" xfId="5752" xr:uid="{00000000-0005-0000-0000-00003E120000}"/>
    <cellStyle name="Percent 2 2 2 2 4 4" xfId="2016" xr:uid="{00000000-0005-0000-0000-00003F120000}"/>
    <cellStyle name="Percent 2 2 2 2 4 4 2" xfId="5753" xr:uid="{00000000-0005-0000-0000-000040120000}"/>
    <cellStyle name="Percent 2 2 2 2 4 5" xfId="3780" xr:uid="{00000000-0005-0000-0000-000041120000}"/>
    <cellStyle name="Percent 2 2 2 2 4 6" xfId="1133" xr:uid="{00000000-0005-0000-0000-000042120000}"/>
    <cellStyle name="Percent 2 2 2 2 5" xfId="471" xr:uid="{00000000-0005-0000-0000-000043120000}"/>
    <cellStyle name="Percent 2 2 2 2 5 2" xfId="3119" xr:uid="{00000000-0005-0000-0000-000044120000}"/>
    <cellStyle name="Percent 2 2 2 2 5 2 2" xfId="5754" xr:uid="{00000000-0005-0000-0000-000045120000}"/>
    <cellStyle name="Percent 2 2 2 2 5 3" xfId="2237" xr:uid="{00000000-0005-0000-0000-000046120000}"/>
    <cellStyle name="Percent 2 2 2 2 5 3 2" xfId="5755" xr:uid="{00000000-0005-0000-0000-000047120000}"/>
    <cellStyle name="Percent 2 2 2 2 5 4" xfId="4001" xr:uid="{00000000-0005-0000-0000-000048120000}"/>
    <cellStyle name="Percent 2 2 2 2 5 5" xfId="1354" xr:uid="{00000000-0005-0000-0000-000049120000}"/>
    <cellStyle name="Percent 2 2 2 2 6" xfId="2678" xr:uid="{00000000-0005-0000-0000-00004A120000}"/>
    <cellStyle name="Percent 2 2 2 2 6 2" xfId="5756" xr:uid="{00000000-0005-0000-0000-00004B120000}"/>
    <cellStyle name="Percent 2 2 2 2 7" xfId="1796" xr:uid="{00000000-0005-0000-0000-00004C120000}"/>
    <cellStyle name="Percent 2 2 2 2 7 2" xfId="5757" xr:uid="{00000000-0005-0000-0000-00004D120000}"/>
    <cellStyle name="Percent 2 2 2 2 8" xfId="3560" xr:uid="{00000000-0005-0000-0000-00004E120000}"/>
    <cellStyle name="Percent 2 2 2 2 9" xfId="913" xr:uid="{00000000-0005-0000-0000-00004F120000}"/>
    <cellStyle name="Percent 2 2 2 3" xfId="36" xr:uid="{00000000-0005-0000-0000-000050120000}"/>
    <cellStyle name="Percent 2 2 2 3 2" xfId="102" xr:uid="{00000000-0005-0000-0000-000051120000}"/>
    <cellStyle name="Percent 2 2 2 3 2 2" xfId="212" xr:uid="{00000000-0005-0000-0000-000052120000}"/>
    <cellStyle name="Percent 2 2 2 3 2 2 2" xfId="432" xr:uid="{00000000-0005-0000-0000-000053120000}"/>
    <cellStyle name="Percent 2 2 2 3 2 2 2 2" xfId="873" xr:uid="{00000000-0005-0000-0000-000054120000}"/>
    <cellStyle name="Percent 2 2 2 3 2 2 2 2 2" xfId="3521" xr:uid="{00000000-0005-0000-0000-000055120000}"/>
    <cellStyle name="Percent 2 2 2 3 2 2 2 2 2 2" xfId="5758" xr:uid="{00000000-0005-0000-0000-000056120000}"/>
    <cellStyle name="Percent 2 2 2 3 2 2 2 2 3" xfId="2639" xr:uid="{00000000-0005-0000-0000-000057120000}"/>
    <cellStyle name="Percent 2 2 2 3 2 2 2 2 3 2" xfId="5759" xr:uid="{00000000-0005-0000-0000-000058120000}"/>
    <cellStyle name="Percent 2 2 2 3 2 2 2 2 4" xfId="4403" xr:uid="{00000000-0005-0000-0000-000059120000}"/>
    <cellStyle name="Percent 2 2 2 3 2 2 2 2 5" xfId="1756" xr:uid="{00000000-0005-0000-0000-00005A120000}"/>
    <cellStyle name="Percent 2 2 2 3 2 2 2 3" xfId="3080" xr:uid="{00000000-0005-0000-0000-00005B120000}"/>
    <cellStyle name="Percent 2 2 2 3 2 2 2 3 2" xfId="5760" xr:uid="{00000000-0005-0000-0000-00005C120000}"/>
    <cellStyle name="Percent 2 2 2 3 2 2 2 4" xfId="2198" xr:uid="{00000000-0005-0000-0000-00005D120000}"/>
    <cellStyle name="Percent 2 2 2 3 2 2 2 4 2" xfId="5761" xr:uid="{00000000-0005-0000-0000-00005E120000}"/>
    <cellStyle name="Percent 2 2 2 3 2 2 2 5" xfId="3962" xr:uid="{00000000-0005-0000-0000-00005F120000}"/>
    <cellStyle name="Percent 2 2 2 3 2 2 2 6" xfId="1315" xr:uid="{00000000-0005-0000-0000-000060120000}"/>
    <cellStyle name="Percent 2 2 2 3 2 2 3" xfId="653" xr:uid="{00000000-0005-0000-0000-000061120000}"/>
    <cellStyle name="Percent 2 2 2 3 2 2 3 2" xfId="3301" xr:uid="{00000000-0005-0000-0000-000062120000}"/>
    <cellStyle name="Percent 2 2 2 3 2 2 3 2 2" xfId="5762" xr:uid="{00000000-0005-0000-0000-000063120000}"/>
    <cellStyle name="Percent 2 2 2 3 2 2 3 3" xfId="2419" xr:uid="{00000000-0005-0000-0000-000064120000}"/>
    <cellStyle name="Percent 2 2 2 3 2 2 3 3 2" xfId="5763" xr:uid="{00000000-0005-0000-0000-000065120000}"/>
    <cellStyle name="Percent 2 2 2 3 2 2 3 4" xfId="4183" xr:uid="{00000000-0005-0000-0000-000066120000}"/>
    <cellStyle name="Percent 2 2 2 3 2 2 3 5" xfId="1536" xr:uid="{00000000-0005-0000-0000-000067120000}"/>
    <cellStyle name="Percent 2 2 2 3 2 2 4" xfId="2860" xr:uid="{00000000-0005-0000-0000-000068120000}"/>
    <cellStyle name="Percent 2 2 2 3 2 2 4 2" xfId="5764" xr:uid="{00000000-0005-0000-0000-000069120000}"/>
    <cellStyle name="Percent 2 2 2 3 2 2 5" xfId="1978" xr:uid="{00000000-0005-0000-0000-00006A120000}"/>
    <cellStyle name="Percent 2 2 2 3 2 2 5 2" xfId="5765" xr:uid="{00000000-0005-0000-0000-00006B120000}"/>
    <cellStyle name="Percent 2 2 2 3 2 2 6" xfId="3742" xr:uid="{00000000-0005-0000-0000-00006C120000}"/>
    <cellStyle name="Percent 2 2 2 3 2 2 7" xfId="1095" xr:uid="{00000000-0005-0000-0000-00006D120000}"/>
    <cellStyle name="Percent 2 2 2 3 2 3" xfId="322" xr:uid="{00000000-0005-0000-0000-00006E120000}"/>
    <cellStyle name="Percent 2 2 2 3 2 3 2" xfId="763" xr:uid="{00000000-0005-0000-0000-00006F120000}"/>
    <cellStyle name="Percent 2 2 2 3 2 3 2 2" xfId="3411" xr:uid="{00000000-0005-0000-0000-000070120000}"/>
    <cellStyle name="Percent 2 2 2 3 2 3 2 2 2" xfId="5766" xr:uid="{00000000-0005-0000-0000-000071120000}"/>
    <cellStyle name="Percent 2 2 2 3 2 3 2 3" xfId="2529" xr:uid="{00000000-0005-0000-0000-000072120000}"/>
    <cellStyle name="Percent 2 2 2 3 2 3 2 3 2" xfId="5767" xr:uid="{00000000-0005-0000-0000-000073120000}"/>
    <cellStyle name="Percent 2 2 2 3 2 3 2 4" xfId="4293" xr:uid="{00000000-0005-0000-0000-000074120000}"/>
    <cellStyle name="Percent 2 2 2 3 2 3 2 5" xfId="1646" xr:uid="{00000000-0005-0000-0000-000075120000}"/>
    <cellStyle name="Percent 2 2 2 3 2 3 3" xfId="2970" xr:uid="{00000000-0005-0000-0000-000076120000}"/>
    <cellStyle name="Percent 2 2 2 3 2 3 3 2" xfId="5768" xr:uid="{00000000-0005-0000-0000-000077120000}"/>
    <cellStyle name="Percent 2 2 2 3 2 3 4" xfId="2088" xr:uid="{00000000-0005-0000-0000-000078120000}"/>
    <cellStyle name="Percent 2 2 2 3 2 3 4 2" xfId="5769" xr:uid="{00000000-0005-0000-0000-000079120000}"/>
    <cellStyle name="Percent 2 2 2 3 2 3 5" xfId="3852" xr:uid="{00000000-0005-0000-0000-00007A120000}"/>
    <cellStyle name="Percent 2 2 2 3 2 3 6" xfId="1205" xr:uid="{00000000-0005-0000-0000-00007B120000}"/>
    <cellStyle name="Percent 2 2 2 3 2 4" xfId="543" xr:uid="{00000000-0005-0000-0000-00007C120000}"/>
    <cellStyle name="Percent 2 2 2 3 2 4 2" xfId="3191" xr:uid="{00000000-0005-0000-0000-00007D120000}"/>
    <cellStyle name="Percent 2 2 2 3 2 4 2 2" xfId="5770" xr:uid="{00000000-0005-0000-0000-00007E120000}"/>
    <cellStyle name="Percent 2 2 2 3 2 4 3" xfId="2309" xr:uid="{00000000-0005-0000-0000-00007F120000}"/>
    <cellStyle name="Percent 2 2 2 3 2 4 3 2" xfId="5771" xr:uid="{00000000-0005-0000-0000-000080120000}"/>
    <cellStyle name="Percent 2 2 2 3 2 4 4" xfId="4073" xr:uid="{00000000-0005-0000-0000-000081120000}"/>
    <cellStyle name="Percent 2 2 2 3 2 4 5" xfId="1426" xr:uid="{00000000-0005-0000-0000-000082120000}"/>
    <cellStyle name="Percent 2 2 2 3 2 5" xfId="2750" xr:uid="{00000000-0005-0000-0000-000083120000}"/>
    <cellStyle name="Percent 2 2 2 3 2 5 2" xfId="5772" xr:uid="{00000000-0005-0000-0000-000084120000}"/>
    <cellStyle name="Percent 2 2 2 3 2 6" xfId="1868" xr:uid="{00000000-0005-0000-0000-000085120000}"/>
    <cellStyle name="Percent 2 2 2 3 2 6 2" xfId="5773" xr:uid="{00000000-0005-0000-0000-000086120000}"/>
    <cellStyle name="Percent 2 2 2 3 2 7" xfId="3632" xr:uid="{00000000-0005-0000-0000-000087120000}"/>
    <cellStyle name="Percent 2 2 2 3 2 8" xfId="985" xr:uid="{00000000-0005-0000-0000-000088120000}"/>
    <cellStyle name="Percent 2 2 2 3 3" xfId="146" xr:uid="{00000000-0005-0000-0000-000089120000}"/>
    <cellStyle name="Percent 2 2 2 3 3 2" xfId="366" xr:uid="{00000000-0005-0000-0000-00008A120000}"/>
    <cellStyle name="Percent 2 2 2 3 3 2 2" xfId="807" xr:uid="{00000000-0005-0000-0000-00008B120000}"/>
    <cellStyle name="Percent 2 2 2 3 3 2 2 2" xfId="3455" xr:uid="{00000000-0005-0000-0000-00008C120000}"/>
    <cellStyle name="Percent 2 2 2 3 3 2 2 2 2" xfId="5774" xr:uid="{00000000-0005-0000-0000-00008D120000}"/>
    <cellStyle name="Percent 2 2 2 3 3 2 2 3" xfId="2573" xr:uid="{00000000-0005-0000-0000-00008E120000}"/>
    <cellStyle name="Percent 2 2 2 3 3 2 2 3 2" xfId="5775" xr:uid="{00000000-0005-0000-0000-00008F120000}"/>
    <cellStyle name="Percent 2 2 2 3 3 2 2 4" xfId="4337" xr:uid="{00000000-0005-0000-0000-000090120000}"/>
    <cellStyle name="Percent 2 2 2 3 3 2 2 5" xfId="1690" xr:uid="{00000000-0005-0000-0000-000091120000}"/>
    <cellStyle name="Percent 2 2 2 3 3 2 3" xfId="3014" xr:uid="{00000000-0005-0000-0000-000092120000}"/>
    <cellStyle name="Percent 2 2 2 3 3 2 3 2" xfId="5776" xr:uid="{00000000-0005-0000-0000-000093120000}"/>
    <cellStyle name="Percent 2 2 2 3 3 2 4" xfId="2132" xr:uid="{00000000-0005-0000-0000-000094120000}"/>
    <cellStyle name="Percent 2 2 2 3 3 2 4 2" xfId="5777" xr:uid="{00000000-0005-0000-0000-000095120000}"/>
    <cellStyle name="Percent 2 2 2 3 3 2 5" xfId="3896" xr:uid="{00000000-0005-0000-0000-000096120000}"/>
    <cellStyle name="Percent 2 2 2 3 3 2 6" xfId="1249" xr:uid="{00000000-0005-0000-0000-000097120000}"/>
    <cellStyle name="Percent 2 2 2 3 3 3" xfId="587" xr:uid="{00000000-0005-0000-0000-000098120000}"/>
    <cellStyle name="Percent 2 2 2 3 3 3 2" xfId="3235" xr:uid="{00000000-0005-0000-0000-000099120000}"/>
    <cellStyle name="Percent 2 2 2 3 3 3 2 2" xfId="5778" xr:uid="{00000000-0005-0000-0000-00009A120000}"/>
    <cellStyle name="Percent 2 2 2 3 3 3 3" xfId="2353" xr:uid="{00000000-0005-0000-0000-00009B120000}"/>
    <cellStyle name="Percent 2 2 2 3 3 3 3 2" xfId="5779" xr:uid="{00000000-0005-0000-0000-00009C120000}"/>
    <cellStyle name="Percent 2 2 2 3 3 3 4" xfId="4117" xr:uid="{00000000-0005-0000-0000-00009D120000}"/>
    <cellStyle name="Percent 2 2 2 3 3 3 5" xfId="1470" xr:uid="{00000000-0005-0000-0000-00009E120000}"/>
    <cellStyle name="Percent 2 2 2 3 3 4" xfId="2794" xr:uid="{00000000-0005-0000-0000-00009F120000}"/>
    <cellStyle name="Percent 2 2 2 3 3 4 2" xfId="5780" xr:uid="{00000000-0005-0000-0000-0000A0120000}"/>
    <cellStyle name="Percent 2 2 2 3 3 5" xfId="1912" xr:uid="{00000000-0005-0000-0000-0000A1120000}"/>
    <cellStyle name="Percent 2 2 2 3 3 5 2" xfId="5781" xr:uid="{00000000-0005-0000-0000-0000A2120000}"/>
    <cellStyle name="Percent 2 2 2 3 3 6" xfId="3676" xr:uid="{00000000-0005-0000-0000-0000A3120000}"/>
    <cellStyle name="Percent 2 2 2 3 3 7" xfId="1029" xr:uid="{00000000-0005-0000-0000-0000A4120000}"/>
    <cellStyle name="Percent 2 2 2 3 4" xfId="256" xr:uid="{00000000-0005-0000-0000-0000A5120000}"/>
    <cellStyle name="Percent 2 2 2 3 4 2" xfId="697" xr:uid="{00000000-0005-0000-0000-0000A6120000}"/>
    <cellStyle name="Percent 2 2 2 3 4 2 2" xfId="3345" xr:uid="{00000000-0005-0000-0000-0000A7120000}"/>
    <cellStyle name="Percent 2 2 2 3 4 2 2 2" xfId="5782" xr:uid="{00000000-0005-0000-0000-0000A8120000}"/>
    <cellStyle name="Percent 2 2 2 3 4 2 3" xfId="2463" xr:uid="{00000000-0005-0000-0000-0000A9120000}"/>
    <cellStyle name="Percent 2 2 2 3 4 2 3 2" xfId="5783" xr:uid="{00000000-0005-0000-0000-0000AA120000}"/>
    <cellStyle name="Percent 2 2 2 3 4 2 4" xfId="4227" xr:uid="{00000000-0005-0000-0000-0000AB120000}"/>
    <cellStyle name="Percent 2 2 2 3 4 2 5" xfId="1580" xr:uid="{00000000-0005-0000-0000-0000AC120000}"/>
    <cellStyle name="Percent 2 2 2 3 4 3" xfId="2904" xr:uid="{00000000-0005-0000-0000-0000AD120000}"/>
    <cellStyle name="Percent 2 2 2 3 4 3 2" xfId="5784" xr:uid="{00000000-0005-0000-0000-0000AE120000}"/>
    <cellStyle name="Percent 2 2 2 3 4 4" xfId="2022" xr:uid="{00000000-0005-0000-0000-0000AF120000}"/>
    <cellStyle name="Percent 2 2 2 3 4 4 2" xfId="5785" xr:uid="{00000000-0005-0000-0000-0000B0120000}"/>
    <cellStyle name="Percent 2 2 2 3 4 5" xfId="3786" xr:uid="{00000000-0005-0000-0000-0000B1120000}"/>
    <cellStyle name="Percent 2 2 2 3 4 6" xfId="1139" xr:uid="{00000000-0005-0000-0000-0000B2120000}"/>
    <cellStyle name="Percent 2 2 2 3 5" xfId="477" xr:uid="{00000000-0005-0000-0000-0000B3120000}"/>
    <cellStyle name="Percent 2 2 2 3 5 2" xfId="3125" xr:uid="{00000000-0005-0000-0000-0000B4120000}"/>
    <cellStyle name="Percent 2 2 2 3 5 2 2" xfId="5786" xr:uid="{00000000-0005-0000-0000-0000B5120000}"/>
    <cellStyle name="Percent 2 2 2 3 5 3" xfId="2243" xr:uid="{00000000-0005-0000-0000-0000B6120000}"/>
    <cellStyle name="Percent 2 2 2 3 5 3 2" xfId="5787" xr:uid="{00000000-0005-0000-0000-0000B7120000}"/>
    <cellStyle name="Percent 2 2 2 3 5 4" xfId="4007" xr:uid="{00000000-0005-0000-0000-0000B8120000}"/>
    <cellStyle name="Percent 2 2 2 3 5 5" xfId="1360" xr:uid="{00000000-0005-0000-0000-0000B9120000}"/>
    <cellStyle name="Percent 2 2 2 3 6" xfId="2684" xr:uid="{00000000-0005-0000-0000-0000BA120000}"/>
    <cellStyle name="Percent 2 2 2 3 6 2" xfId="5788" xr:uid="{00000000-0005-0000-0000-0000BB120000}"/>
    <cellStyle name="Percent 2 2 2 3 7" xfId="1802" xr:uid="{00000000-0005-0000-0000-0000BC120000}"/>
    <cellStyle name="Percent 2 2 2 3 7 2" xfId="5789" xr:uid="{00000000-0005-0000-0000-0000BD120000}"/>
    <cellStyle name="Percent 2 2 2 3 8" xfId="3566" xr:uid="{00000000-0005-0000-0000-0000BE120000}"/>
    <cellStyle name="Percent 2 2 2 3 9" xfId="919" xr:uid="{00000000-0005-0000-0000-0000BF120000}"/>
    <cellStyle name="Percent 2 2 2 4" xfId="42" xr:uid="{00000000-0005-0000-0000-0000C0120000}"/>
    <cellStyle name="Percent 2 2 2 4 2" xfId="108" xr:uid="{00000000-0005-0000-0000-0000C1120000}"/>
    <cellStyle name="Percent 2 2 2 4 2 2" xfId="218" xr:uid="{00000000-0005-0000-0000-0000C2120000}"/>
    <cellStyle name="Percent 2 2 2 4 2 2 2" xfId="438" xr:uid="{00000000-0005-0000-0000-0000C3120000}"/>
    <cellStyle name="Percent 2 2 2 4 2 2 2 2" xfId="879" xr:uid="{00000000-0005-0000-0000-0000C4120000}"/>
    <cellStyle name="Percent 2 2 2 4 2 2 2 2 2" xfId="3527" xr:uid="{00000000-0005-0000-0000-0000C5120000}"/>
    <cellStyle name="Percent 2 2 2 4 2 2 2 2 2 2" xfId="5790" xr:uid="{00000000-0005-0000-0000-0000C6120000}"/>
    <cellStyle name="Percent 2 2 2 4 2 2 2 2 3" xfId="2645" xr:uid="{00000000-0005-0000-0000-0000C7120000}"/>
    <cellStyle name="Percent 2 2 2 4 2 2 2 2 3 2" xfId="5791" xr:uid="{00000000-0005-0000-0000-0000C8120000}"/>
    <cellStyle name="Percent 2 2 2 4 2 2 2 2 4" xfId="4409" xr:uid="{00000000-0005-0000-0000-0000C9120000}"/>
    <cellStyle name="Percent 2 2 2 4 2 2 2 2 5" xfId="1762" xr:uid="{00000000-0005-0000-0000-0000CA120000}"/>
    <cellStyle name="Percent 2 2 2 4 2 2 2 3" xfId="3086" xr:uid="{00000000-0005-0000-0000-0000CB120000}"/>
    <cellStyle name="Percent 2 2 2 4 2 2 2 3 2" xfId="5792" xr:uid="{00000000-0005-0000-0000-0000CC120000}"/>
    <cellStyle name="Percent 2 2 2 4 2 2 2 4" xfId="2204" xr:uid="{00000000-0005-0000-0000-0000CD120000}"/>
    <cellStyle name="Percent 2 2 2 4 2 2 2 4 2" xfId="5793" xr:uid="{00000000-0005-0000-0000-0000CE120000}"/>
    <cellStyle name="Percent 2 2 2 4 2 2 2 5" xfId="3968" xr:uid="{00000000-0005-0000-0000-0000CF120000}"/>
    <cellStyle name="Percent 2 2 2 4 2 2 2 6" xfId="1321" xr:uid="{00000000-0005-0000-0000-0000D0120000}"/>
    <cellStyle name="Percent 2 2 2 4 2 2 3" xfId="659" xr:uid="{00000000-0005-0000-0000-0000D1120000}"/>
    <cellStyle name="Percent 2 2 2 4 2 2 3 2" xfId="3307" xr:uid="{00000000-0005-0000-0000-0000D2120000}"/>
    <cellStyle name="Percent 2 2 2 4 2 2 3 2 2" xfId="5794" xr:uid="{00000000-0005-0000-0000-0000D3120000}"/>
    <cellStyle name="Percent 2 2 2 4 2 2 3 3" xfId="2425" xr:uid="{00000000-0005-0000-0000-0000D4120000}"/>
    <cellStyle name="Percent 2 2 2 4 2 2 3 3 2" xfId="5795" xr:uid="{00000000-0005-0000-0000-0000D5120000}"/>
    <cellStyle name="Percent 2 2 2 4 2 2 3 4" xfId="4189" xr:uid="{00000000-0005-0000-0000-0000D6120000}"/>
    <cellStyle name="Percent 2 2 2 4 2 2 3 5" xfId="1542" xr:uid="{00000000-0005-0000-0000-0000D7120000}"/>
    <cellStyle name="Percent 2 2 2 4 2 2 4" xfId="2866" xr:uid="{00000000-0005-0000-0000-0000D8120000}"/>
    <cellStyle name="Percent 2 2 2 4 2 2 4 2" xfId="5796" xr:uid="{00000000-0005-0000-0000-0000D9120000}"/>
    <cellStyle name="Percent 2 2 2 4 2 2 5" xfId="1984" xr:uid="{00000000-0005-0000-0000-0000DA120000}"/>
    <cellStyle name="Percent 2 2 2 4 2 2 5 2" xfId="5797" xr:uid="{00000000-0005-0000-0000-0000DB120000}"/>
    <cellStyle name="Percent 2 2 2 4 2 2 6" xfId="3748" xr:uid="{00000000-0005-0000-0000-0000DC120000}"/>
    <cellStyle name="Percent 2 2 2 4 2 2 7" xfId="1101" xr:uid="{00000000-0005-0000-0000-0000DD120000}"/>
    <cellStyle name="Percent 2 2 2 4 2 3" xfId="328" xr:uid="{00000000-0005-0000-0000-0000DE120000}"/>
    <cellStyle name="Percent 2 2 2 4 2 3 2" xfId="769" xr:uid="{00000000-0005-0000-0000-0000DF120000}"/>
    <cellStyle name="Percent 2 2 2 4 2 3 2 2" xfId="3417" xr:uid="{00000000-0005-0000-0000-0000E0120000}"/>
    <cellStyle name="Percent 2 2 2 4 2 3 2 2 2" xfId="5798" xr:uid="{00000000-0005-0000-0000-0000E1120000}"/>
    <cellStyle name="Percent 2 2 2 4 2 3 2 3" xfId="2535" xr:uid="{00000000-0005-0000-0000-0000E2120000}"/>
    <cellStyle name="Percent 2 2 2 4 2 3 2 3 2" xfId="5799" xr:uid="{00000000-0005-0000-0000-0000E3120000}"/>
    <cellStyle name="Percent 2 2 2 4 2 3 2 4" xfId="4299" xr:uid="{00000000-0005-0000-0000-0000E4120000}"/>
    <cellStyle name="Percent 2 2 2 4 2 3 2 5" xfId="1652" xr:uid="{00000000-0005-0000-0000-0000E5120000}"/>
    <cellStyle name="Percent 2 2 2 4 2 3 3" xfId="2976" xr:uid="{00000000-0005-0000-0000-0000E6120000}"/>
    <cellStyle name="Percent 2 2 2 4 2 3 3 2" xfId="5800" xr:uid="{00000000-0005-0000-0000-0000E7120000}"/>
    <cellStyle name="Percent 2 2 2 4 2 3 4" xfId="2094" xr:uid="{00000000-0005-0000-0000-0000E8120000}"/>
    <cellStyle name="Percent 2 2 2 4 2 3 4 2" xfId="5801" xr:uid="{00000000-0005-0000-0000-0000E9120000}"/>
    <cellStyle name="Percent 2 2 2 4 2 3 5" xfId="3858" xr:uid="{00000000-0005-0000-0000-0000EA120000}"/>
    <cellStyle name="Percent 2 2 2 4 2 3 6" xfId="1211" xr:uid="{00000000-0005-0000-0000-0000EB120000}"/>
    <cellStyle name="Percent 2 2 2 4 2 4" xfId="549" xr:uid="{00000000-0005-0000-0000-0000EC120000}"/>
    <cellStyle name="Percent 2 2 2 4 2 4 2" xfId="3197" xr:uid="{00000000-0005-0000-0000-0000ED120000}"/>
    <cellStyle name="Percent 2 2 2 4 2 4 2 2" xfId="5802" xr:uid="{00000000-0005-0000-0000-0000EE120000}"/>
    <cellStyle name="Percent 2 2 2 4 2 4 3" xfId="2315" xr:uid="{00000000-0005-0000-0000-0000EF120000}"/>
    <cellStyle name="Percent 2 2 2 4 2 4 3 2" xfId="5803" xr:uid="{00000000-0005-0000-0000-0000F0120000}"/>
    <cellStyle name="Percent 2 2 2 4 2 4 4" xfId="4079" xr:uid="{00000000-0005-0000-0000-0000F1120000}"/>
    <cellStyle name="Percent 2 2 2 4 2 4 5" xfId="1432" xr:uid="{00000000-0005-0000-0000-0000F2120000}"/>
    <cellStyle name="Percent 2 2 2 4 2 5" xfId="2756" xr:uid="{00000000-0005-0000-0000-0000F3120000}"/>
    <cellStyle name="Percent 2 2 2 4 2 5 2" xfId="5804" xr:uid="{00000000-0005-0000-0000-0000F4120000}"/>
    <cellStyle name="Percent 2 2 2 4 2 6" xfId="1874" xr:uid="{00000000-0005-0000-0000-0000F5120000}"/>
    <cellStyle name="Percent 2 2 2 4 2 6 2" xfId="5805" xr:uid="{00000000-0005-0000-0000-0000F6120000}"/>
    <cellStyle name="Percent 2 2 2 4 2 7" xfId="3638" xr:uid="{00000000-0005-0000-0000-0000F7120000}"/>
    <cellStyle name="Percent 2 2 2 4 2 8" xfId="991" xr:uid="{00000000-0005-0000-0000-0000F8120000}"/>
    <cellStyle name="Percent 2 2 2 4 3" xfId="152" xr:uid="{00000000-0005-0000-0000-0000F9120000}"/>
    <cellStyle name="Percent 2 2 2 4 3 2" xfId="372" xr:uid="{00000000-0005-0000-0000-0000FA120000}"/>
    <cellStyle name="Percent 2 2 2 4 3 2 2" xfId="813" xr:uid="{00000000-0005-0000-0000-0000FB120000}"/>
    <cellStyle name="Percent 2 2 2 4 3 2 2 2" xfId="3461" xr:uid="{00000000-0005-0000-0000-0000FC120000}"/>
    <cellStyle name="Percent 2 2 2 4 3 2 2 2 2" xfId="5806" xr:uid="{00000000-0005-0000-0000-0000FD120000}"/>
    <cellStyle name="Percent 2 2 2 4 3 2 2 3" xfId="2579" xr:uid="{00000000-0005-0000-0000-0000FE120000}"/>
    <cellStyle name="Percent 2 2 2 4 3 2 2 3 2" xfId="5807" xr:uid="{00000000-0005-0000-0000-0000FF120000}"/>
    <cellStyle name="Percent 2 2 2 4 3 2 2 4" xfId="4343" xr:uid="{00000000-0005-0000-0000-000000130000}"/>
    <cellStyle name="Percent 2 2 2 4 3 2 2 5" xfId="1696" xr:uid="{00000000-0005-0000-0000-000001130000}"/>
    <cellStyle name="Percent 2 2 2 4 3 2 3" xfId="3020" xr:uid="{00000000-0005-0000-0000-000002130000}"/>
    <cellStyle name="Percent 2 2 2 4 3 2 3 2" xfId="5808" xr:uid="{00000000-0005-0000-0000-000003130000}"/>
    <cellStyle name="Percent 2 2 2 4 3 2 4" xfId="2138" xr:uid="{00000000-0005-0000-0000-000004130000}"/>
    <cellStyle name="Percent 2 2 2 4 3 2 4 2" xfId="5809" xr:uid="{00000000-0005-0000-0000-000005130000}"/>
    <cellStyle name="Percent 2 2 2 4 3 2 5" xfId="3902" xr:uid="{00000000-0005-0000-0000-000006130000}"/>
    <cellStyle name="Percent 2 2 2 4 3 2 6" xfId="1255" xr:uid="{00000000-0005-0000-0000-000007130000}"/>
    <cellStyle name="Percent 2 2 2 4 3 3" xfId="593" xr:uid="{00000000-0005-0000-0000-000008130000}"/>
    <cellStyle name="Percent 2 2 2 4 3 3 2" xfId="3241" xr:uid="{00000000-0005-0000-0000-000009130000}"/>
    <cellStyle name="Percent 2 2 2 4 3 3 2 2" xfId="5810" xr:uid="{00000000-0005-0000-0000-00000A130000}"/>
    <cellStyle name="Percent 2 2 2 4 3 3 3" xfId="2359" xr:uid="{00000000-0005-0000-0000-00000B130000}"/>
    <cellStyle name="Percent 2 2 2 4 3 3 3 2" xfId="5811" xr:uid="{00000000-0005-0000-0000-00000C130000}"/>
    <cellStyle name="Percent 2 2 2 4 3 3 4" xfId="4123" xr:uid="{00000000-0005-0000-0000-00000D130000}"/>
    <cellStyle name="Percent 2 2 2 4 3 3 5" xfId="1476" xr:uid="{00000000-0005-0000-0000-00000E130000}"/>
    <cellStyle name="Percent 2 2 2 4 3 4" xfId="2800" xr:uid="{00000000-0005-0000-0000-00000F130000}"/>
    <cellStyle name="Percent 2 2 2 4 3 4 2" xfId="5812" xr:uid="{00000000-0005-0000-0000-000010130000}"/>
    <cellStyle name="Percent 2 2 2 4 3 5" xfId="1918" xr:uid="{00000000-0005-0000-0000-000011130000}"/>
    <cellStyle name="Percent 2 2 2 4 3 5 2" xfId="5813" xr:uid="{00000000-0005-0000-0000-000012130000}"/>
    <cellStyle name="Percent 2 2 2 4 3 6" xfId="3682" xr:uid="{00000000-0005-0000-0000-000013130000}"/>
    <cellStyle name="Percent 2 2 2 4 3 7" xfId="1035" xr:uid="{00000000-0005-0000-0000-000014130000}"/>
    <cellStyle name="Percent 2 2 2 4 4" xfId="262" xr:uid="{00000000-0005-0000-0000-000015130000}"/>
    <cellStyle name="Percent 2 2 2 4 4 2" xfId="703" xr:uid="{00000000-0005-0000-0000-000016130000}"/>
    <cellStyle name="Percent 2 2 2 4 4 2 2" xfId="3351" xr:uid="{00000000-0005-0000-0000-000017130000}"/>
    <cellStyle name="Percent 2 2 2 4 4 2 2 2" xfId="5814" xr:uid="{00000000-0005-0000-0000-000018130000}"/>
    <cellStyle name="Percent 2 2 2 4 4 2 3" xfId="2469" xr:uid="{00000000-0005-0000-0000-000019130000}"/>
    <cellStyle name="Percent 2 2 2 4 4 2 3 2" xfId="5815" xr:uid="{00000000-0005-0000-0000-00001A130000}"/>
    <cellStyle name="Percent 2 2 2 4 4 2 4" xfId="4233" xr:uid="{00000000-0005-0000-0000-00001B130000}"/>
    <cellStyle name="Percent 2 2 2 4 4 2 5" xfId="1586" xr:uid="{00000000-0005-0000-0000-00001C130000}"/>
    <cellStyle name="Percent 2 2 2 4 4 3" xfId="2910" xr:uid="{00000000-0005-0000-0000-00001D130000}"/>
    <cellStyle name="Percent 2 2 2 4 4 3 2" xfId="5816" xr:uid="{00000000-0005-0000-0000-00001E130000}"/>
    <cellStyle name="Percent 2 2 2 4 4 4" xfId="2028" xr:uid="{00000000-0005-0000-0000-00001F130000}"/>
    <cellStyle name="Percent 2 2 2 4 4 4 2" xfId="5817" xr:uid="{00000000-0005-0000-0000-000020130000}"/>
    <cellStyle name="Percent 2 2 2 4 4 5" xfId="3792" xr:uid="{00000000-0005-0000-0000-000021130000}"/>
    <cellStyle name="Percent 2 2 2 4 4 6" xfId="1145" xr:uid="{00000000-0005-0000-0000-000022130000}"/>
    <cellStyle name="Percent 2 2 2 4 5" xfId="483" xr:uid="{00000000-0005-0000-0000-000023130000}"/>
    <cellStyle name="Percent 2 2 2 4 5 2" xfId="3131" xr:uid="{00000000-0005-0000-0000-000024130000}"/>
    <cellStyle name="Percent 2 2 2 4 5 2 2" xfId="5818" xr:uid="{00000000-0005-0000-0000-000025130000}"/>
    <cellStyle name="Percent 2 2 2 4 5 3" xfId="2249" xr:uid="{00000000-0005-0000-0000-000026130000}"/>
    <cellStyle name="Percent 2 2 2 4 5 3 2" xfId="5819" xr:uid="{00000000-0005-0000-0000-000027130000}"/>
    <cellStyle name="Percent 2 2 2 4 5 4" xfId="4013" xr:uid="{00000000-0005-0000-0000-000028130000}"/>
    <cellStyle name="Percent 2 2 2 4 5 5" xfId="1366" xr:uid="{00000000-0005-0000-0000-000029130000}"/>
    <cellStyle name="Percent 2 2 2 4 6" xfId="2690" xr:uid="{00000000-0005-0000-0000-00002A130000}"/>
    <cellStyle name="Percent 2 2 2 4 6 2" xfId="5820" xr:uid="{00000000-0005-0000-0000-00002B130000}"/>
    <cellStyle name="Percent 2 2 2 4 7" xfId="1808" xr:uid="{00000000-0005-0000-0000-00002C130000}"/>
    <cellStyle name="Percent 2 2 2 4 7 2" xfId="5821" xr:uid="{00000000-0005-0000-0000-00002D130000}"/>
    <cellStyle name="Percent 2 2 2 4 8" xfId="3572" xr:uid="{00000000-0005-0000-0000-00002E130000}"/>
    <cellStyle name="Percent 2 2 2 4 9" xfId="925" xr:uid="{00000000-0005-0000-0000-00002F130000}"/>
    <cellStyle name="Percent 2 2 2 5" xfId="48" xr:uid="{00000000-0005-0000-0000-000030130000}"/>
    <cellStyle name="Percent 2 2 2 5 2" xfId="158" xr:uid="{00000000-0005-0000-0000-000031130000}"/>
    <cellStyle name="Percent 2 2 2 5 2 2" xfId="378" xr:uid="{00000000-0005-0000-0000-000032130000}"/>
    <cellStyle name="Percent 2 2 2 5 2 2 2" xfId="819" xr:uid="{00000000-0005-0000-0000-000033130000}"/>
    <cellStyle name="Percent 2 2 2 5 2 2 2 2" xfId="3467" xr:uid="{00000000-0005-0000-0000-000034130000}"/>
    <cellStyle name="Percent 2 2 2 5 2 2 2 2 2" xfId="5822" xr:uid="{00000000-0005-0000-0000-000035130000}"/>
    <cellStyle name="Percent 2 2 2 5 2 2 2 3" xfId="2585" xr:uid="{00000000-0005-0000-0000-000036130000}"/>
    <cellStyle name="Percent 2 2 2 5 2 2 2 3 2" xfId="5823" xr:uid="{00000000-0005-0000-0000-000037130000}"/>
    <cellStyle name="Percent 2 2 2 5 2 2 2 4" xfId="4349" xr:uid="{00000000-0005-0000-0000-000038130000}"/>
    <cellStyle name="Percent 2 2 2 5 2 2 2 5" xfId="1702" xr:uid="{00000000-0005-0000-0000-000039130000}"/>
    <cellStyle name="Percent 2 2 2 5 2 2 3" xfId="3026" xr:uid="{00000000-0005-0000-0000-00003A130000}"/>
    <cellStyle name="Percent 2 2 2 5 2 2 3 2" xfId="5824" xr:uid="{00000000-0005-0000-0000-00003B130000}"/>
    <cellStyle name="Percent 2 2 2 5 2 2 4" xfId="2144" xr:uid="{00000000-0005-0000-0000-00003C130000}"/>
    <cellStyle name="Percent 2 2 2 5 2 2 4 2" xfId="5825" xr:uid="{00000000-0005-0000-0000-00003D130000}"/>
    <cellStyle name="Percent 2 2 2 5 2 2 5" xfId="3908" xr:uid="{00000000-0005-0000-0000-00003E130000}"/>
    <cellStyle name="Percent 2 2 2 5 2 2 6" xfId="1261" xr:uid="{00000000-0005-0000-0000-00003F130000}"/>
    <cellStyle name="Percent 2 2 2 5 2 3" xfId="599" xr:uid="{00000000-0005-0000-0000-000040130000}"/>
    <cellStyle name="Percent 2 2 2 5 2 3 2" xfId="3247" xr:uid="{00000000-0005-0000-0000-000041130000}"/>
    <cellStyle name="Percent 2 2 2 5 2 3 2 2" xfId="5826" xr:uid="{00000000-0005-0000-0000-000042130000}"/>
    <cellStyle name="Percent 2 2 2 5 2 3 3" xfId="2365" xr:uid="{00000000-0005-0000-0000-000043130000}"/>
    <cellStyle name="Percent 2 2 2 5 2 3 3 2" xfId="5827" xr:uid="{00000000-0005-0000-0000-000044130000}"/>
    <cellStyle name="Percent 2 2 2 5 2 3 4" xfId="4129" xr:uid="{00000000-0005-0000-0000-000045130000}"/>
    <cellStyle name="Percent 2 2 2 5 2 3 5" xfId="1482" xr:uid="{00000000-0005-0000-0000-000046130000}"/>
    <cellStyle name="Percent 2 2 2 5 2 4" xfId="2806" xr:uid="{00000000-0005-0000-0000-000047130000}"/>
    <cellStyle name="Percent 2 2 2 5 2 4 2" xfId="5828" xr:uid="{00000000-0005-0000-0000-000048130000}"/>
    <cellStyle name="Percent 2 2 2 5 2 5" xfId="1924" xr:uid="{00000000-0005-0000-0000-000049130000}"/>
    <cellStyle name="Percent 2 2 2 5 2 5 2" xfId="5829" xr:uid="{00000000-0005-0000-0000-00004A130000}"/>
    <cellStyle name="Percent 2 2 2 5 2 6" xfId="3688" xr:uid="{00000000-0005-0000-0000-00004B130000}"/>
    <cellStyle name="Percent 2 2 2 5 2 7" xfId="1041" xr:uid="{00000000-0005-0000-0000-00004C130000}"/>
    <cellStyle name="Percent 2 2 2 5 3" xfId="268" xr:uid="{00000000-0005-0000-0000-00004D130000}"/>
    <cellStyle name="Percent 2 2 2 5 3 2" xfId="709" xr:uid="{00000000-0005-0000-0000-00004E130000}"/>
    <cellStyle name="Percent 2 2 2 5 3 2 2" xfId="3357" xr:uid="{00000000-0005-0000-0000-00004F130000}"/>
    <cellStyle name="Percent 2 2 2 5 3 2 2 2" xfId="5830" xr:uid="{00000000-0005-0000-0000-000050130000}"/>
    <cellStyle name="Percent 2 2 2 5 3 2 3" xfId="2475" xr:uid="{00000000-0005-0000-0000-000051130000}"/>
    <cellStyle name="Percent 2 2 2 5 3 2 3 2" xfId="5831" xr:uid="{00000000-0005-0000-0000-000052130000}"/>
    <cellStyle name="Percent 2 2 2 5 3 2 4" xfId="4239" xr:uid="{00000000-0005-0000-0000-000053130000}"/>
    <cellStyle name="Percent 2 2 2 5 3 2 5" xfId="1592" xr:uid="{00000000-0005-0000-0000-000054130000}"/>
    <cellStyle name="Percent 2 2 2 5 3 3" xfId="2916" xr:uid="{00000000-0005-0000-0000-000055130000}"/>
    <cellStyle name="Percent 2 2 2 5 3 3 2" xfId="5832" xr:uid="{00000000-0005-0000-0000-000056130000}"/>
    <cellStyle name="Percent 2 2 2 5 3 4" xfId="2034" xr:uid="{00000000-0005-0000-0000-000057130000}"/>
    <cellStyle name="Percent 2 2 2 5 3 4 2" xfId="5833" xr:uid="{00000000-0005-0000-0000-000058130000}"/>
    <cellStyle name="Percent 2 2 2 5 3 5" xfId="3798" xr:uid="{00000000-0005-0000-0000-000059130000}"/>
    <cellStyle name="Percent 2 2 2 5 3 6" xfId="1151" xr:uid="{00000000-0005-0000-0000-00005A130000}"/>
    <cellStyle name="Percent 2 2 2 5 4" xfId="489" xr:uid="{00000000-0005-0000-0000-00005B130000}"/>
    <cellStyle name="Percent 2 2 2 5 4 2" xfId="3137" xr:uid="{00000000-0005-0000-0000-00005C130000}"/>
    <cellStyle name="Percent 2 2 2 5 4 2 2" xfId="5834" xr:uid="{00000000-0005-0000-0000-00005D130000}"/>
    <cellStyle name="Percent 2 2 2 5 4 3" xfId="2255" xr:uid="{00000000-0005-0000-0000-00005E130000}"/>
    <cellStyle name="Percent 2 2 2 5 4 3 2" xfId="5835" xr:uid="{00000000-0005-0000-0000-00005F130000}"/>
    <cellStyle name="Percent 2 2 2 5 4 4" xfId="4019" xr:uid="{00000000-0005-0000-0000-000060130000}"/>
    <cellStyle name="Percent 2 2 2 5 4 5" xfId="1372" xr:uid="{00000000-0005-0000-0000-000061130000}"/>
    <cellStyle name="Percent 2 2 2 5 5" xfId="2696" xr:uid="{00000000-0005-0000-0000-000062130000}"/>
    <cellStyle name="Percent 2 2 2 5 5 2" xfId="5836" xr:uid="{00000000-0005-0000-0000-000063130000}"/>
    <cellStyle name="Percent 2 2 2 5 6" xfId="1814" xr:uid="{00000000-0005-0000-0000-000064130000}"/>
    <cellStyle name="Percent 2 2 2 5 6 2" xfId="5837" xr:uid="{00000000-0005-0000-0000-000065130000}"/>
    <cellStyle name="Percent 2 2 2 5 7" xfId="3578" xr:uid="{00000000-0005-0000-0000-000066130000}"/>
    <cellStyle name="Percent 2 2 2 5 8" xfId="931" xr:uid="{00000000-0005-0000-0000-000067130000}"/>
    <cellStyle name="Percent 2 2 2 6" xfId="64" xr:uid="{00000000-0005-0000-0000-000068130000}"/>
    <cellStyle name="Percent 2 2 2 6 2" xfId="174" xr:uid="{00000000-0005-0000-0000-000069130000}"/>
    <cellStyle name="Percent 2 2 2 6 2 2" xfId="394" xr:uid="{00000000-0005-0000-0000-00006A130000}"/>
    <cellStyle name="Percent 2 2 2 6 2 2 2" xfId="835" xr:uid="{00000000-0005-0000-0000-00006B130000}"/>
    <cellStyle name="Percent 2 2 2 6 2 2 2 2" xfId="3483" xr:uid="{00000000-0005-0000-0000-00006C130000}"/>
    <cellStyle name="Percent 2 2 2 6 2 2 2 2 2" xfId="5838" xr:uid="{00000000-0005-0000-0000-00006D130000}"/>
    <cellStyle name="Percent 2 2 2 6 2 2 2 3" xfId="2601" xr:uid="{00000000-0005-0000-0000-00006E130000}"/>
    <cellStyle name="Percent 2 2 2 6 2 2 2 3 2" xfId="5839" xr:uid="{00000000-0005-0000-0000-00006F130000}"/>
    <cellStyle name="Percent 2 2 2 6 2 2 2 4" xfId="4365" xr:uid="{00000000-0005-0000-0000-000070130000}"/>
    <cellStyle name="Percent 2 2 2 6 2 2 2 5" xfId="1718" xr:uid="{00000000-0005-0000-0000-000071130000}"/>
    <cellStyle name="Percent 2 2 2 6 2 2 3" xfId="3042" xr:uid="{00000000-0005-0000-0000-000072130000}"/>
    <cellStyle name="Percent 2 2 2 6 2 2 3 2" xfId="5840" xr:uid="{00000000-0005-0000-0000-000073130000}"/>
    <cellStyle name="Percent 2 2 2 6 2 2 4" xfId="2160" xr:uid="{00000000-0005-0000-0000-000074130000}"/>
    <cellStyle name="Percent 2 2 2 6 2 2 4 2" xfId="5841" xr:uid="{00000000-0005-0000-0000-000075130000}"/>
    <cellStyle name="Percent 2 2 2 6 2 2 5" xfId="3924" xr:uid="{00000000-0005-0000-0000-000076130000}"/>
    <cellStyle name="Percent 2 2 2 6 2 2 6" xfId="1277" xr:uid="{00000000-0005-0000-0000-000077130000}"/>
    <cellStyle name="Percent 2 2 2 6 2 3" xfId="615" xr:uid="{00000000-0005-0000-0000-000078130000}"/>
    <cellStyle name="Percent 2 2 2 6 2 3 2" xfId="3263" xr:uid="{00000000-0005-0000-0000-000079130000}"/>
    <cellStyle name="Percent 2 2 2 6 2 3 2 2" xfId="5842" xr:uid="{00000000-0005-0000-0000-00007A130000}"/>
    <cellStyle name="Percent 2 2 2 6 2 3 3" xfId="2381" xr:uid="{00000000-0005-0000-0000-00007B130000}"/>
    <cellStyle name="Percent 2 2 2 6 2 3 3 2" xfId="5843" xr:uid="{00000000-0005-0000-0000-00007C130000}"/>
    <cellStyle name="Percent 2 2 2 6 2 3 4" xfId="4145" xr:uid="{00000000-0005-0000-0000-00007D130000}"/>
    <cellStyle name="Percent 2 2 2 6 2 3 5" xfId="1498" xr:uid="{00000000-0005-0000-0000-00007E130000}"/>
    <cellStyle name="Percent 2 2 2 6 2 4" xfId="2822" xr:uid="{00000000-0005-0000-0000-00007F130000}"/>
    <cellStyle name="Percent 2 2 2 6 2 4 2" xfId="5844" xr:uid="{00000000-0005-0000-0000-000080130000}"/>
    <cellStyle name="Percent 2 2 2 6 2 5" xfId="1940" xr:uid="{00000000-0005-0000-0000-000081130000}"/>
    <cellStyle name="Percent 2 2 2 6 2 5 2" xfId="5845" xr:uid="{00000000-0005-0000-0000-000082130000}"/>
    <cellStyle name="Percent 2 2 2 6 2 6" xfId="3704" xr:uid="{00000000-0005-0000-0000-000083130000}"/>
    <cellStyle name="Percent 2 2 2 6 2 7" xfId="1057" xr:uid="{00000000-0005-0000-0000-000084130000}"/>
    <cellStyle name="Percent 2 2 2 6 3" xfId="284" xr:uid="{00000000-0005-0000-0000-000085130000}"/>
    <cellStyle name="Percent 2 2 2 6 3 2" xfId="725" xr:uid="{00000000-0005-0000-0000-000086130000}"/>
    <cellStyle name="Percent 2 2 2 6 3 2 2" xfId="3373" xr:uid="{00000000-0005-0000-0000-000087130000}"/>
    <cellStyle name="Percent 2 2 2 6 3 2 2 2" xfId="5846" xr:uid="{00000000-0005-0000-0000-000088130000}"/>
    <cellStyle name="Percent 2 2 2 6 3 2 3" xfId="2491" xr:uid="{00000000-0005-0000-0000-000089130000}"/>
    <cellStyle name="Percent 2 2 2 6 3 2 3 2" xfId="5847" xr:uid="{00000000-0005-0000-0000-00008A130000}"/>
    <cellStyle name="Percent 2 2 2 6 3 2 4" xfId="4255" xr:uid="{00000000-0005-0000-0000-00008B130000}"/>
    <cellStyle name="Percent 2 2 2 6 3 2 5" xfId="1608" xr:uid="{00000000-0005-0000-0000-00008C130000}"/>
    <cellStyle name="Percent 2 2 2 6 3 3" xfId="2932" xr:uid="{00000000-0005-0000-0000-00008D130000}"/>
    <cellStyle name="Percent 2 2 2 6 3 3 2" xfId="5848" xr:uid="{00000000-0005-0000-0000-00008E130000}"/>
    <cellStyle name="Percent 2 2 2 6 3 4" xfId="2050" xr:uid="{00000000-0005-0000-0000-00008F130000}"/>
    <cellStyle name="Percent 2 2 2 6 3 4 2" xfId="5849" xr:uid="{00000000-0005-0000-0000-000090130000}"/>
    <cellStyle name="Percent 2 2 2 6 3 5" xfId="3814" xr:uid="{00000000-0005-0000-0000-000091130000}"/>
    <cellStyle name="Percent 2 2 2 6 3 6" xfId="1167" xr:uid="{00000000-0005-0000-0000-000092130000}"/>
    <cellStyle name="Percent 2 2 2 6 4" xfId="505" xr:uid="{00000000-0005-0000-0000-000093130000}"/>
    <cellStyle name="Percent 2 2 2 6 4 2" xfId="3153" xr:uid="{00000000-0005-0000-0000-000094130000}"/>
    <cellStyle name="Percent 2 2 2 6 4 2 2" xfId="5850" xr:uid="{00000000-0005-0000-0000-000095130000}"/>
    <cellStyle name="Percent 2 2 2 6 4 3" xfId="2271" xr:uid="{00000000-0005-0000-0000-000096130000}"/>
    <cellStyle name="Percent 2 2 2 6 4 3 2" xfId="5851" xr:uid="{00000000-0005-0000-0000-000097130000}"/>
    <cellStyle name="Percent 2 2 2 6 4 4" xfId="4035" xr:uid="{00000000-0005-0000-0000-000098130000}"/>
    <cellStyle name="Percent 2 2 2 6 4 5" xfId="1388" xr:uid="{00000000-0005-0000-0000-000099130000}"/>
    <cellStyle name="Percent 2 2 2 6 5" xfId="2712" xr:uid="{00000000-0005-0000-0000-00009A130000}"/>
    <cellStyle name="Percent 2 2 2 6 5 2" xfId="5852" xr:uid="{00000000-0005-0000-0000-00009B130000}"/>
    <cellStyle name="Percent 2 2 2 6 6" xfId="1830" xr:uid="{00000000-0005-0000-0000-00009C130000}"/>
    <cellStyle name="Percent 2 2 2 6 6 2" xfId="5853" xr:uid="{00000000-0005-0000-0000-00009D130000}"/>
    <cellStyle name="Percent 2 2 2 6 7" xfId="3594" xr:uid="{00000000-0005-0000-0000-00009E130000}"/>
    <cellStyle name="Percent 2 2 2 6 8" xfId="947" xr:uid="{00000000-0005-0000-0000-00009F130000}"/>
    <cellStyle name="Percent 2 2 2 7" xfId="80" xr:uid="{00000000-0005-0000-0000-0000A0130000}"/>
    <cellStyle name="Percent 2 2 2 7 2" xfId="190" xr:uid="{00000000-0005-0000-0000-0000A1130000}"/>
    <cellStyle name="Percent 2 2 2 7 2 2" xfId="410" xr:uid="{00000000-0005-0000-0000-0000A2130000}"/>
    <cellStyle name="Percent 2 2 2 7 2 2 2" xfId="851" xr:uid="{00000000-0005-0000-0000-0000A3130000}"/>
    <cellStyle name="Percent 2 2 2 7 2 2 2 2" xfId="3499" xr:uid="{00000000-0005-0000-0000-0000A4130000}"/>
    <cellStyle name="Percent 2 2 2 7 2 2 2 2 2" xfId="5854" xr:uid="{00000000-0005-0000-0000-0000A5130000}"/>
    <cellStyle name="Percent 2 2 2 7 2 2 2 3" xfId="2617" xr:uid="{00000000-0005-0000-0000-0000A6130000}"/>
    <cellStyle name="Percent 2 2 2 7 2 2 2 3 2" xfId="5855" xr:uid="{00000000-0005-0000-0000-0000A7130000}"/>
    <cellStyle name="Percent 2 2 2 7 2 2 2 4" xfId="4381" xr:uid="{00000000-0005-0000-0000-0000A8130000}"/>
    <cellStyle name="Percent 2 2 2 7 2 2 2 5" xfId="1734" xr:uid="{00000000-0005-0000-0000-0000A9130000}"/>
    <cellStyle name="Percent 2 2 2 7 2 2 3" xfId="3058" xr:uid="{00000000-0005-0000-0000-0000AA130000}"/>
    <cellStyle name="Percent 2 2 2 7 2 2 3 2" xfId="5856" xr:uid="{00000000-0005-0000-0000-0000AB130000}"/>
    <cellStyle name="Percent 2 2 2 7 2 2 4" xfId="2176" xr:uid="{00000000-0005-0000-0000-0000AC130000}"/>
    <cellStyle name="Percent 2 2 2 7 2 2 4 2" xfId="5857" xr:uid="{00000000-0005-0000-0000-0000AD130000}"/>
    <cellStyle name="Percent 2 2 2 7 2 2 5" xfId="3940" xr:uid="{00000000-0005-0000-0000-0000AE130000}"/>
    <cellStyle name="Percent 2 2 2 7 2 2 6" xfId="1293" xr:uid="{00000000-0005-0000-0000-0000AF130000}"/>
    <cellStyle name="Percent 2 2 2 7 2 3" xfId="631" xr:uid="{00000000-0005-0000-0000-0000B0130000}"/>
    <cellStyle name="Percent 2 2 2 7 2 3 2" xfId="3279" xr:uid="{00000000-0005-0000-0000-0000B1130000}"/>
    <cellStyle name="Percent 2 2 2 7 2 3 2 2" xfId="5858" xr:uid="{00000000-0005-0000-0000-0000B2130000}"/>
    <cellStyle name="Percent 2 2 2 7 2 3 3" xfId="2397" xr:uid="{00000000-0005-0000-0000-0000B3130000}"/>
    <cellStyle name="Percent 2 2 2 7 2 3 3 2" xfId="5859" xr:uid="{00000000-0005-0000-0000-0000B4130000}"/>
    <cellStyle name="Percent 2 2 2 7 2 3 4" xfId="4161" xr:uid="{00000000-0005-0000-0000-0000B5130000}"/>
    <cellStyle name="Percent 2 2 2 7 2 3 5" xfId="1514" xr:uid="{00000000-0005-0000-0000-0000B6130000}"/>
    <cellStyle name="Percent 2 2 2 7 2 4" xfId="2838" xr:uid="{00000000-0005-0000-0000-0000B7130000}"/>
    <cellStyle name="Percent 2 2 2 7 2 4 2" xfId="5860" xr:uid="{00000000-0005-0000-0000-0000B8130000}"/>
    <cellStyle name="Percent 2 2 2 7 2 5" xfId="1956" xr:uid="{00000000-0005-0000-0000-0000B9130000}"/>
    <cellStyle name="Percent 2 2 2 7 2 5 2" xfId="5861" xr:uid="{00000000-0005-0000-0000-0000BA130000}"/>
    <cellStyle name="Percent 2 2 2 7 2 6" xfId="3720" xr:uid="{00000000-0005-0000-0000-0000BB130000}"/>
    <cellStyle name="Percent 2 2 2 7 2 7" xfId="1073" xr:uid="{00000000-0005-0000-0000-0000BC130000}"/>
    <cellStyle name="Percent 2 2 2 7 3" xfId="300" xr:uid="{00000000-0005-0000-0000-0000BD130000}"/>
    <cellStyle name="Percent 2 2 2 7 3 2" xfId="741" xr:uid="{00000000-0005-0000-0000-0000BE130000}"/>
    <cellStyle name="Percent 2 2 2 7 3 2 2" xfId="3389" xr:uid="{00000000-0005-0000-0000-0000BF130000}"/>
    <cellStyle name="Percent 2 2 2 7 3 2 2 2" xfId="5862" xr:uid="{00000000-0005-0000-0000-0000C0130000}"/>
    <cellStyle name="Percent 2 2 2 7 3 2 3" xfId="2507" xr:uid="{00000000-0005-0000-0000-0000C1130000}"/>
    <cellStyle name="Percent 2 2 2 7 3 2 3 2" xfId="5863" xr:uid="{00000000-0005-0000-0000-0000C2130000}"/>
    <cellStyle name="Percent 2 2 2 7 3 2 4" xfId="4271" xr:uid="{00000000-0005-0000-0000-0000C3130000}"/>
    <cellStyle name="Percent 2 2 2 7 3 2 5" xfId="1624" xr:uid="{00000000-0005-0000-0000-0000C4130000}"/>
    <cellStyle name="Percent 2 2 2 7 3 3" xfId="2948" xr:uid="{00000000-0005-0000-0000-0000C5130000}"/>
    <cellStyle name="Percent 2 2 2 7 3 3 2" xfId="5864" xr:uid="{00000000-0005-0000-0000-0000C6130000}"/>
    <cellStyle name="Percent 2 2 2 7 3 4" xfId="2066" xr:uid="{00000000-0005-0000-0000-0000C7130000}"/>
    <cellStyle name="Percent 2 2 2 7 3 4 2" xfId="5865" xr:uid="{00000000-0005-0000-0000-0000C8130000}"/>
    <cellStyle name="Percent 2 2 2 7 3 5" xfId="3830" xr:uid="{00000000-0005-0000-0000-0000C9130000}"/>
    <cellStyle name="Percent 2 2 2 7 3 6" xfId="1183" xr:uid="{00000000-0005-0000-0000-0000CA130000}"/>
    <cellStyle name="Percent 2 2 2 7 4" xfId="521" xr:uid="{00000000-0005-0000-0000-0000CB130000}"/>
    <cellStyle name="Percent 2 2 2 7 4 2" xfId="3169" xr:uid="{00000000-0005-0000-0000-0000CC130000}"/>
    <cellStyle name="Percent 2 2 2 7 4 2 2" xfId="5866" xr:uid="{00000000-0005-0000-0000-0000CD130000}"/>
    <cellStyle name="Percent 2 2 2 7 4 3" xfId="2287" xr:uid="{00000000-0005-0000-0000-0000CE130000}"/>
    <cellStyle name="Percent 2 2 2 7 4 3 2" xfId="5867" xr:uid="{00000000-0005-0000-0000-0000CF130000}"/>
    <cellStyle name="Percent 2 2 2 7 4 4" xfId="4051" xr:uid="{00000000-0005-0000-0000-0000D0130000}"/>
    <cellStyle name="Percent 2 2 2 7 4 5" xfId="1404" xr:uid="{00000000-0005-0000-0000-0000D1130000}"/>
    <cellStyle name="Percent 2 2 2 7 5" xfId="2728" xr:uid="{00000000-0005-0000-0000-0000D2130000}"/>
    <cellStyle name="Percent 2 2 2 7 5 2" xfId="5868" xr:uid="{00000000-0005-0000-0000-0000D3130000}"/>
    <cellStyle name="Percent 2 2 2 7 6" xfId="1846" xr:uid="{00000000-0005-0000-0000-0000D4130000}"/>
    <cellStyle name="Percent 2 2 2 7 6 2" xfId="5869" xr:uid="{00000000-0005-0000-0000-0000D5130000}"/>
    <cellStyle name="Percent 2 2 2 7 7" xfId="3610" xr:uid="{00000000-0005-0000-0000-0000D6130000}"/>
    <cellStyle name="Percent 2 2 2 7 8" xfId="963" xr:uid="{00000000-0005-0000-0000-0000D7130000}"/>
    <cellStyle name="Percent 2 2 2 8" xfId="124" xr:uid="{00000000-0005-0000-0000-0000D8130000}"/>
    <cellStyle name="Percent 2 2 2 8 2" xfId="344" xr:uid="{00000000-0005-0000-0000-0000D9130000}"/>
    <cellStyle name="Percent 2 2 2 8 2 2" xfId="785" xr:uid="{00000000-0005-0000-0000-0000DA130000}"/>
    <cellStyle name="Percent 2 2 2 8 2 2 2" xfId="3433" xr:uid="{00000000-0005-0000-0000-0000DB130000}"/>
    <cellStyle name="Percent 2 2 2 8 2 2 2 2" xfId="5870" xr:uid="{00000000-0005-0000-0000-0000DC130000}"/>
    <cellStyle name="Percent 2 2 2 8 2 2 3" xfId="2551" xr:uid="{00000000-0005-0000-0000-0000DD130000}"/>
    <cellStyle name="Percent 2 2 2 8 2 2 3 2" xfId="5871" xr:uid="{00000000-0005-0000-0000-0000DE130000}"/>
    <cellStyle name="Percent 2 2 2 8 2 2 4" xfId="4315" xr:uid="{00000000-0005-0000-0000-0000DF130000}"/>
    <cellStyle name="Percent 2 2 2 8 2 2 5" xfId="1668" xr:uid="{00000000-0005-0000-0000-0000E0130000}"/>
    <cellStyle name="Percent 2 2 2 8 2 3" xfId="2992" xr:uid="{00000000-0005-0000-0000-0000E1130000}"/>
    <cellStyle name="Percent 2 2 2 8 2 3 2" xfId="5872" xr:uid="{00000000-0005-0000-0000-0000E2130000}"/>
    <cellStyle name="Percent 2 2 2 8 2 4" xfId="2110" xr:uid="{00000000-0005-0000-0000-0000E3130000}"/>
    <cellStyle name="Percent 2 2 2 8 2 4 2" xfId="5873" xr:uid="{00000000-0005-0000-0000-0000E4130000}"/>
    <cellStyle name="Percent 2 2 2 8 2 5" xfId="3874" xr:uid="{00000000-0005-0000-0000-0000E5130000}"/>
    <cellStyle name="Percent 2 2 2 8 2 6" xfId="1227" xr:uid="{00000000-0005-0000-0000-0000E6130000}"/>
    <cellStyle name="Percent 2 2 2 8 3" xfId="565" xr:uid="{00000000-0005-0000-0000-0000E7130000}"/>
    <cellStyle name="Percent 2 2 2 8 3 2" xfId="3213" xr:uid="{00000000-0005-0000-0000-0000E8130000}"/>
    <cellStyle name="Percent 2 2 2 8 3 2 2" xfId="5874" xr:uid="{00000000-0005-0000-0000-0000E9130000}"/>
    <cellStyle name="Percent 2 2 2 8 3 3" xfId="2331" xr:uid="{00000000-0005-0000-0000-0000EA130000}"/>
    <cellStyle name="Percent 2 2 2 8 3 3 2" xfId="5875" xr:uid="{00000000-0005-0000-0000-0000EB130000}"/>
    <cellStyle name="Percent 2 2 2 8 3 4" xfId="4095" xr:uid="{00000000-0005-0000-0000-0000EC130000}"/>
    <cellStyle name="Percent 2 2 2 8 3 5" xfId="1448" xr:uid="{00000000-0005-0000-0000-0000ED130000}"/>
    <cellStyle name="Percent 2 2 2 8 4" xfId="2772" xr:uid="{00000000-0005-0000-0000-0000EE130000}"/>
    <cellStyle name="Percent 2 2 2 8 4 2" xfId="5876" xr:uid="{00000000-0005-0000-0000-0000EF130000}"/>
    <cellStyle name="Percent 2 2 2 8 5" xfId="1890" xr:uid="{00000000-0005-0000-0000-0000F0130000}"/>
    <cellStyle name="Percent 2 2 2 8 5 2" xfId="5877" xr:uid="{00000000-0005-0000-0000-0000F1130000}"/>
    <cellStyle name="Percent 2 2 2 8 6" xfId="3654" xr:uid="{00000000-0005-0000-0000-0000F2130000}"/>
    <cellStyle name="Percent 2 2 2 8 7" xfId="1007" xr:uid="{00000000-0005-0000-0000-0000F3130000}"/>
    <cellStyle name="Percent 2 2 2 9" xfId="234" xr:uid="{00000000-0005-0000-0000-0000F4130000}"/>
    <cellStyle name="Percent 2 2 2 9 2" xfId="675" xr:uid="{00000000-0005-0000-0000-0000F5130000}"/>
    <cellStyle name="Percent 2 2 2 9 2 2" xfId="3323" xr:uid="{00000000-0005-0000-0000-0000F6130000}"/>
    <cellStyle name="Percent 2 2 2 9 2 2 2" xfId="5878" xr:uid="{00000000-0005-0000-0000-0000F7130000}"/>
    <cellStyle name="Percent 2 2 2 9 2 3" xfId="2441" xr:uid="{00000000-0005-0000-0000-0000F8130000}"/>
    <cellStyle name="Percent 2 2 2 9 2 3 2" xfId="5879" xr:uid="{00000000-0005-0000-0000-0000F9130000}"/>
    <cellStyle name="Percent 2 2 2 9 2 4" xfId="4205" xr:uid="{00000000-0005-0000-0000-0000FA130000}"/>
    <cellStyle name="Percent 2 2 2 9 2 5" xfId="1558" xr:uid="{00000000-0005-0000-0000-0000FB130000}"/>
    <cellStyle name="Percent 2 2 2 9 3" xfId="2882" xr:uid="{00000000-0005-0000-0000-0000FC130000}"/>
    <cellStyle name="Percent 2 2 2 9 3 2" xfId="5880" xr:uid="{00000000-0005-0000-0000-0000FD130000}"/>
    <cellStyle name="Percent 2 2 2 9 4" xfId="2000" xr:uid="{00000000-0005-0000-0000-0000FE130000}"/>
    <cellStyle name="Percent 2 2 2 9 4 2" xfId="5881" xr:uid="{00000000-0005-0000-0000-0000FF130000}"/>
    <cellStyle name="Percent 2 2 2 9 5" xfId="3764" xr:uid="{00000000-0005-0000-0000-000000140000}"/>
    <cellStyle name="Percent 2 2 2 9 6" xfId="1117" xr:uid="{00000000-0005-0000-0000-000001140000}"/>
    <cellStyle name="Percent 2 2 3" xfId="18" xr:uid="{00000000-0005-0000-0000-000002140000}"/>
    <cellStyle name="Percent 2 2 3 10" xfId="3548" xr:uid="{00000000-0005-0000-0000-000003140000}"/>
    <cellStyle name="Percent 2 2 3 11" xfId="901" xr:uid="{00000000-0005-0000-0000-000004140000}"/>
    <cellStyle name="Percent 2 2 3 2" xfId="52" xr:uid="{00000000-0005-0000-0000-000005140000}"/>
    <cellStyle name="Percent 2 2 3 2 2" xfId="162" xr:uid="{00000000-0005-0000-0000-000006140000}"/>
    <cellStyle name="Percent 2 2 3 2 2 2" xfId="382" xr:uid="{00000000-0005-0000-0000-000007140000}"/>
    <cellStyle name="Percent 2 2 3 2 2 2 2" xfId="823" xr:uid="{00000000-0005-0000-0000-000008140000}"/>
    <cellStyle name="Percent 2 2 3 2 2 2 2 2" xfId="3471" xr:uid="{00000000-0005-0000-0000-000009140000}"/>
    <cellStyle name="Percent 2 2 3 2 2 2 2 2 2" xfId="5882" xr:uid="{00000000-0005-0000-0000-00000A140000}"/>
    <cellStyle name="Percent 2 2 3 2 2 2 2 3" xfId="2589" xr:uid="{00000000-0005-0000-0000-00000B140000}"/>
    <cellStyle name="Percent 2 2 3 2 2 2 2 3 2" xfId="5883" xr:uid="{00000000-0005-0000-0000-00000C140000}"/>
    <cellStyle name="Percent 2 2 3 2 2 2 2 4" xfId="4353" xr:uid="{00000000-0005-0000-0000-00000D140000}"/>
    <cellStyle name="Percent 2 2 3 2 2 2 2 5" xfId="1706" xr:uid="{00000000-0005-0000-0000-00000E140000}"/>
    <cellStyle name="Percent 2 2 3 2 2 2 3" xfId="3030" xr:uid="{00000000-0005-0000-0000-00000F140000}"/>
    <cellStyle name="Percent 2 2 3 2 2 2 3 2" xfId="5884" xr:uid="{00000000-0005-0000-0000-000010140000}"/>
    <cellStyle name="Percent 2 2 3 2 2 2 4" xfId="2148" xr:uid="{00000000-0005-0000-0000-000011140000}"/>
    <cellStyle name="Percent 2 2 3 2 2 2 4 2" xfId="5885" xr:uid="{00000000-0005-0000-0000-000012140000}"/>
    <cellStyle name="Percent 2 2 3 2 2 2 5" xfId="3912" xr:uid="{00000000-0005-0000-0000-000013140000}"/>
    <cellStyle name="Percent 2 2 3 2 2 2 6" xfId="1265" xr:uid="{00000000-0005-0000-0000-000014140000}"/>
    <cellStyle name="Percent 2 2 3 2 2 3" xfId="603" xr:uid="{00000000-0005-0000-0000-000015140000}"/>
    <cellStyle name="Percent 2 2 3 2 2 3 2" xfId="3251" xr:uid="{00000000-0005-0000-0000-000016140000}"/>
    <cellStyle name="Percent 2 2 3 2 2 3 2 2" xfId="5886" xr:uid="{00000000-0005-0000-0000-000017140000}"/>
    <cellStyle name="Percent 2 2 3 2 2 3 3" xfId="2369" xr:uid="{00000000-0005-0000-0000-000018140000}"/>
    <cellStyle name="Percent 2 2 3 2 2 3 3 2" xfId="5887" xr:uid="{00000000-0005-0000-0000-000019140000}"/>
    <cellStyle name="Percent 2 2 3 2 2 3 4" xfId="4133" xr:uid="{00000000-0005-0000-0000-00001A140000}"/>
    <cellStyle name="Percent 2 2 3 2 2 3 5" xfId="1486" xr:uid="{00000000-0005-0000-0000-00001B140000}"/>
    <cellStyle name="Percent 2 2 3 2 2 4" xfId="2810" xr:uid="{00000000-0005-0000-0000-00001C140000}"/>
    <cellStyle name="Percent 2 2 3 2 2 4 2" xfId="5888" xr:uid="{00000000-0005-0000-0000-00001D140000}"/>
    <cellStyle name="Percent 2 2 3 2 2 5" xfId="1928" xr:uid="{00000000-0005-0000-0000-00001E140000}"/>
    <cellStyle name="Percent 2 2 3 2 2 5 2" xfId="5889" xr:uid="{00000000-0005-0000-0000-00001F140000}"/>
    <cellStyle name="Percent 2 2 3 2 2 6" xfId="3692" xr:uid="{00000000-0005-0000-0000-000020140000}"/>
    <cellStyle name="Percent 2 2 3 2 2 7" xfId="1045" xr:uid="{00000000-0005-0000-0000-000021140000}"/>
    <cellStyle name="Percent 2 2 3 2 3" xfId="272" xr:uid="{00000000-0005-0000-0000-000022140000}"/>
    <cellStyle name="Percent 2 2 3 2 3 2" xfId="713" xr:uid="{00000000-0005-0000-0000-000023140000}"/>
    <cellStyle name="Percent 2 2 3 2 3 2 2" xfId="3361" xr:uid="{00000000-0005-0000-0000-000024140000}"/>
    <cellStyle name="Percent 2 2 3 2 3 2 2 2" xfId="5890" xr:uid="{00000000-0005-0000-0000-000025140000}"/>
    <cellStyle name="Percent 2 2 3 2 3 2 3" xfId="2479" xr:uid="{00000000-0005-0000-0000-000026140000}"/>
    <cellStyle name="Percent 2 2 3 2 3 2 3 2" xfId="5891" xr:uid="{00000000-0005-0000-0000-000027140000}"/>
    <cellStyle name="Percent 2 2 3 2 3 2 4" xfId="4243" xr:uid="{00000000-0005-0000-0000-000028140000}"/>
    <cellStyle name="Percent 2 2 3 2 3 2 5" xfId="1596" xr:uid="{00000000-0005-0000-0000-000029140000}"/>
    <cellStyle name="Percent 2 2 3 2 3 3" xfId="2920" xr:uid="{00000000-0005-0000-0000-00002A140000}"/>
    <cellStyle name="Percent 2 2 3 2 3 3 2" xfId="5892" xr:uid="{00000000-0005-0000-0000-00002B140000}"/>
    <cellStyle name="Percent 2 2 3 2 3 4" xfId="2038" xr:uid="{00000000-0005-0000-0000-00002C140000}"/>
    <cellStyle name="Percent 2 2 3 2 3 4 2" xfId="5893" xr:uid="{00000000-0005-0000-0000-00002D140000}"/>
    <cellStyle name="Percent 2 2 3 2 3 5" xfId="3802" xr:uid="{00000000-0005-0000-0000-00002E140000}"/>
    <cellStyle name="Percent 2 2 3 2 3 6" xfId="1155" xr:uid="{00000000-0005-0000-0000-00002F140000}"/>
    <cellStyle name="Percent 2 2 3 2 4" xfId="493" xr:uid="{00000000-0005-0000-0000-000030140000}"/>
    <cellStyle name="Percent 2 2 3 2 4 2" xfId="3141" xr:uid="{00000000-0005-0000-0000-000031140000}"/>
    <cellStyle name="Percent 2 2 3 2 4 2 2" xfId="5894" xr:uid="{00000000-0005-0000-0000-000032140000}"/>
    <cellStyle name="Percent 2 2 3 2 4 3" xfId="2259" xr:uid="{00000000-0005-0000-0000-000033140000}"/>
    <cellStyle name="Percent 2 2 3 2 4 3 2" xfId="5895" xr:uid="{00000000-0005-0000-0000-000034140000}"/>
    <cellStyle name="Percent 2 2 3 2 4 4" xfId="4023" xr:uid="{00000000-0005-0000-0000-000035140000}"/>
    <cellStyle name="Percent 2 2 3 2 4 5" xfId="1376" xr:uid="{00000000-0005-0000-0000-000036140000}"/>
    <cellStyle name="Percent 2 2 3 2 5" xfId="2700" xr:uid="{00000000-0005-0000-0000-000037140000}"/>
    <cellStyle name="Percent 2 2 3 2 5 2" xfId="5896" xr:uid="{00000000-0005-0000-0000-000038140000}"/>
    <cellStyle name="Percent 2 2 3 2 6" xfId="1818" xr:uid="{00000000-0005-0000-0000-000039140000}"/>
    <cellStyle name="Percent 2 2 3 2 6 2" xfId="5897" xr:uid="{00000000-0005-0000-0000-00003A140000}"/>
    <cellStyle name="Percent 2 2 3 2 7" xfId="3582" xr:uid="{00000000-0005-0000-0000-00003B140000}"/>
    <cellStyle name="Percent 2 2 3 2 8" xfId="935" xr:uid="{00000000-0005-0000-0000-00003C140000}"/>
    <cellStyle name="Percent 2 2 3 3" xfId="68" xr:uid="{00000000-0005-0000-0000-00003D140000}"/>
    <cellStyle name="Percent 2 2 3 3 2" xfId="178" xr:uid="{00000000-0005-0000-0000-00003E140000}"/>
    <cellStyle name="Percent 2 2 3 3 2 2" xfId="398" xr:uid="{00000000-0005-0000-0000-00003F140000}"/>
    <cellStyle name="Percent 2 2 3 3 2 2 2" xfId="839" xr:uid="{00000000-0005-0000-0000-000040140000}"/>
    <cellStyle name="Percent 2 2 3 3 2 2 2 2" xfId="3487" xr:uid="{00000000-0005-0000-0000-000041140000}"/>
    <cellStyle name="Percent 2 2 3 3 2 2 2 2 2" xfId="5898" xr:uid="{00000000-0005-0000-0000-000042140000}"/>
    <cellStyle name="Percent 2 2 3 3 2 2 2 3" xfId="2605" xr:uid="{00000000-0005-0000-0000-000043140000}"/>
    <cellStyle name="Percent 2 2 3 3 2 2 2 3 2" xfId="5899" xr:uid="{00000000-0005-0000-0000-000044140000}"/>
    <cellStyle name="Percent 2 2 3 3 2 2 2 4" xfId="4369" xr:uid="{00000000-0005-0000-0000-000045140000}"/>
    <cellStyle name="Percent 2 2 3 3 2 2 2 5" xfId="1722" xr:uid="{00000000-0005-0000-0000-000046140000}"/>
    <cellStyle name="Percent 2 2 3 3 2 2 3" xfId="3046" xr:uid="{00000000-0005-0000-0000-000047140000}"/>
    <cellStyle name="Percent 2 2 3 3 2 2 3 2" xfId="5900" xr:uid="{00000000-0005-0000-0000-000048140000}"/>
    <cellStyle name="Percent 2 2 3 3 2 2 4" xfId="2164" xr:uid="{00000000-0005-0000-0000-000049140000}"/>
    <cellStyle name="Percent 2 2 3 3 2 2 4 2" xfId="5901" xr:uid="{00000000-0005-0000-0000-00004A140000}"/>
    <cellStyle name="Percent 2 2 3 3 2 2 5" xfId="3928" xr:uid="{00000000-0005-0000-0000-00004B140000}"/>
    <cellStyle name="Percent 2 2 3 3 2 2 6" xfId="1281" xr:uid="{00000000-0005-0000-0000-00004C140000}"/>
    <cellStyle name="Percent 2 2 3 3 2 3" xfId="619" xr:uid="{00000000-0005-0000-0000-00004D140000}"/>
    <cellStyle name="Percent 2 2 3 3 2 3 2" xfId="3267" xr:uid="{00000000-0005-0000-0000-00004E140000}"/>
    <cellStyle name="Percent 2 2 3 3 2 3 2 2" xfId="5902" xr:uid="{00000000-0005-0000-0000-00004F140000}"/>
    <cellStyle name="Percent 2 2 3 3 2 3 3" xfId="2385" xr:uid="{00000000-0005-0000-0000-000050140000}"/>
    <cellStyle name="Percent 2 2 3 3 2 3 3 2" xfId="5903" xr:uid="{00000000-0005-0000-0000-000051140000}"/>
    <cellStyle name="Percent 2 2 3 3 2 3 4" xfId="4149" xr:uid="{00000000-0005-0000-0000-000052140000}"/>
    <cellStyle name="Percent 2 2 3 3 2 3 5" xfId="1502" xr:uid="{00000000-0005-0000-0000-000053140000}"/>
    <cellStyle name="Percent 2 2 3 3 2 4" xfId="2826" xr:uid="{00000000-0005-0000-0000-000054140000}"/>
    <cellStyle name="Percent 2 2 3 3 2 4 2" xfId="5904" xr:uid="{00000000-0005-0000-0000-000055140000}"/>
    <cellStyle name="Percent 2 2 3 3 2 5" xfId="1944" xr:uid="{00000000-0005-0000-0000-000056140000}"/>
    <cellStyle name="Percent 2 2 3 3 2 5 2" xfId="5905" xr:uid="{00000000-0005-0000-0000-000057140000}"/>
    <cellStyle name="Percent 2 2 3 3 2 6" xfId="3708" xr:uid="{00000000-0005-0000-0000-000058140000}"/>
    <cellStyle name="Percent 2 2 3 3 2 7" xfId="1061" xr:uid="{00000000-0005-0000-0000-000059140000}"/>
    <cellStyle name="Percent 2 2 3 3 3" xfId="288" xr:uid="{00000000-0005-0000-0000-00005A140000}"/>
    <cellStyle name="Percent 2 2 3 3 3 2" xfId="729" xr:uid="{00000000-0005-0000-0000-00005B140000}"/>
    <cellStyle name="Percent 2 2 3 3 3 2 2" xfId="3377" xr:uid="{00000000-0005-0000-0000-00005C140000}"/>
    <cellStyle name="Percent 2 2 3 3 3 2 2 2" xfId="5906" xr:uid="{00000000-0005-0000-0000-00005D140000}"/>
    <cellStyle name="Percent 2 2 3 3 3 2 3" xfId="2495" xr:uid="{00000000-0005-0000-0000-00005E140000}"/>
    <cellStyle name="Percent 2 2 3 3 3 2 3 2" xfId="5907" xr:uid="{00000000-0005-0000-0000-00005F140000}"/>
    <cellStyle name="Percent 2 2 3 3 3 2 4" xfId="4259" xr:uid="{00000000-0005-0000-0000-000060140000}"/>
    <cellStyle name="Percent 2 2 3 3 3 2 5" xfId="1612" xr:uid="{00000000-0005-0000-0000-000061140000}"/>
    <cellStyle name="Percent 2 2 3 3 3 3" xfId="2936" xr:uid="{00000000-0005-0000-0000-000062140000}"/>
    <cellStyle name="Percent 2 2 3 3 3 3 2" xfId="5908" xr:uid="{00000000-0005-0000-0000-000063140000}"/>
    <cellStyle name="Percent 2 2 3 3 3 4" xfId="2054" xr:uid="{00000000-0005-0000-0000-000064140000}"/>
    <cellStyle name="Percent 2 2 3 3 3 4 2" xfId="5909" xr:uid="{00000000-0005-0000-0000-000065140000}"/>
    <cellStyle name="Percent 2 2 3 3 3 5" xfId="3818" xr:uid="{00000000-0005-0000-0000-000066140000}"/>
    <cellStyle name="Percent 2 2 3 3 3 6" xfId="1171" xr:uid="{00000000-0005-0000-0000-000067140000}"/>
    <cellStyle name="Percent 2 2 3 3 4" xfId="509" xr:uid="{00000000-0005-0000-0000-000068140000}"/>
    <cellStyle name="Percent 2 2 3 3 4 2" xfId="3157" xr:uid="{00000000-0005-0000-0000-000069140000}"/>
    <cellStyle name="Percent 2 2 3 3 4 2 2" xfId="5910" xr:uid="{00000000-0005-0000-0000-00006A140000}"/>
    <cellStyle name="Percent 2 2 3 3 4 3" xfId="2275" xr:uid="{00000000-0005-0000-0000-00006B140000}"/>
    <cellStyle name="Percent 2 2 3 3 4 3 2" xfId="5911" xr:uid="{00000000-0005-0000-0000-00006C140000}"/>
    <cellStyle name="Percent 2 2 3 3 4 4" xfId="4039" xr:uid="{00000000-0005-0000-0000-00006D140000}"/>
    <cellStyle name="Percent 2 2 3 3 4 5" xfId="1392" xr:uid="{00000000-0005-0000-0000-00006E140000}"/>
    <cellStyle name="Percent 2 2 3 3 5" xfId="2716" xr:uid="{00000000-0005-0000-0000-00006F140000}"/>
    <cellStyle name="Percent 2 2 3 3 5 2" xfId="5912" xr:uid="{00000000-0005-0000-0000-000070140000}"/>
    <cellStyle name="Percent 2 2 3 3 6" xfId="1834" xr:uid="{00000000-0005-0000-0000-000071140000}"/>
    <cellStyle name="Percent 2 2 3 3 6 2" xfId="5913" xr:uid="{00000000-0005-0000-0000-000072140000}"/>
    <cellStyle name="Percent 2 2 3 3 7" xfId="3598" xr:uid="{00000000-0005-0000-0000-000073140000}"/>
    <cellStyle name="Percent 2 2 3 3 8" xfId="951" xr:uid="{00000000-0005-0000-0000-000074140000}"/>
    <cellStyle name="Percent 2 2 3 4" xfId="84" xr:uid="{00000000-0005-0000-0000-000075140000}"/>
    <cellStyle name="Percent 2 2 3 4 2" xfId="194" xr:uid="{00000000-0005-0000-0000-000076140000}"/>
    <cellStyle name="Percent 2 2 3 4 2 2" xfId="414" xr:uid="{00000000-0005-0000-0000-000077140000}"/>
    <cellStyle name="Percent 2 2 3 4 2 2 2" xfId="855" xr:uid="{00000000-0005-0000-0000-000078140000}"/>
    <cellStyle name="Percent 2 2 3 4 2 2 2 2" xfId="3503" xr:uid="{00000000-0005-0000-0000-000079140000}"/>
    <cellStyle name="Percent 2 2 3 4 2 2 2 2 2" xfId="5914" xr:uid="{00000000-0005-0000-0000-00007A140000}"/>
    <cellStyle name="Percent 2 2 3 4 2 2 2 3" xfId="2621" xr:uid="{00000000-0005-0000-0000-00007B140000}"/>
    <cellStyle name="Percent 2 2 3 4 2 2 2 3 2" xfId="5915" xr:uid="{00000000-0005-0000-0000-00007C140000}"/>
    <cellStyle name="Percent 2 2 3 4 2 2 2 4" xfId="4385" xr:uid="{00000000-0005-0000-0000-00007D140000}"/>
    <cellStyle name="Percent 2 2 3 4 2 2 2 5" xfId="1738" xr:uid="{00000000-0005-0000-0000-00007E140000}"/>
    <cellStyle name="Percent 2 2 3 4 2 2 3" xfId="3062" xr:uid="{00000000-0005-0000-0000-00007F140000}"/>
    <cellStyle name="Percent 2 2 3 4 2 2 3 2" xfId="5916" xr:uid="{00000000-0005-0000-0000-000080140000}"/>
    <cellStyle name="Percent 2 2 3 4 2 2 4" xfId="2180" xr:uid="{00000000-0005-0000-0000-000081140000}"/>
    <cellStyle name="Percent 2 2 3 4 2 2 4 2" xfId="5917" xr:uid="{00000000-0005-0000-0000-000082140000}"/>
    <cellStyle name="Percent 2 2 3 4 2 2 5" xfId="3944" xr:uid="{00000000-0005-0000-0000-000083140000}"/>
    <cellStyle name="Percent 2 2 3 4 2 2 6" xfId="1297" xr:uid="{00000000-0005-0000-0000-000084140000}"/>
    <cellStyle name="Percent 2 2 3 4 2 3" xfId="635" xr:uid="{00000000-0005-0000-0000-000085140000}"/>
    <cellStyle name="Percent 2 2 3 4 2 3 2" xfId="3283" xr:uid="{00000000-0005-0000-0000-000086140000}"/>
    <cellStyle name="Percent 2 2 3 4 2 3 2 2" xfId="5918" xr:uid="{00000000-0005-0000-0000-000087140000}"/>
    <cellStyle name="Percent 2 2 3 4 2 3 3" xfId="2401" xr:uid="{00000000-0005-0000-0000-000088140000}"/>
    <cellStyle name="Percent 2 2 3 4 2 3 3 2" xfId="5919" xr:uid="{00000000-0005-0000-0000-000089140000}"/>
    <cellStyle name="Percent 2 2 3 4 2 3 4" xfId="4165" xr:uid="{00000000-0005-0000-0000-00008A140000}"/>
    <cellStyle name="Percent 2 2 3 4 2 3 5" xfId="1518" xr:uid="{00000000-0005-0000-0000-00008B140000}"/>
    <cellStyle name="Percent 2 2 3 4 2 4" xfId="2842" xr:uid="{00000000-0005-0000-0000-00008C140000}"/>
    <cellStyle name="Percent 2 2 3 4 2 4 2" xfId="5920" xr:uid="{00000000-0005-0000-0000-00008D140000}"/>
    <cellStyle name="Percent 2 2 3 4 2 5" xfId="1960" xr:uid="{00000000-0005-0000-0000-00008E140000}"/>
    <cellStyle name="Percent 2 2 3 4 2 5 2" xfId="5921" xr:uid="{00000000-0005-0000-0000-00008F140000}"/>
    <cellStyle name="Percent 2 2 3 4 2 6" xfId="3724" xr:uid="{00000000-0005-0000-0000-000090140000}"/>
    <cellStyle name="Percent 2 2 3 4 2 7" xfId="1077" xr:uid="{00000000-0005-0000-0000-000091140000}"/>
    <cellStyle name="Percent 2 2 3 4 3" xfId="304" xr:uid="{00000000-0005-0000-0000-000092140000}"/>
    <cellStyle name="Percent 2 2 3 4 3 2" xfId="745" xr:uid="{00000000-0005-0000-0000-000093140000}"/>
    <cellStyle name="Percent 2 2 3 4 3 2 2" xfId="3393" xr:uid="{00000000-0005-0000-0000-000094140000}"/>
    <cellStyle name="Percent 2 2 3 4 3 2 2 2" xfId="5922" xr:uid="{00000000-0005-0000-0000-000095140000}"/>
    <cellStyle name="Percent 2 2 3 4 3 2 3" xfId="2511" xr:uid="{00000000-0005-0000-0000-000096140000}"/>
    <cellStyle name="Percent 2 2 3 4 3 2 3 2" xfId="5923" xr:uid="{00000000-0005-0000-0000-000097140000}"/>
    <cellStyle name="Percent 2 2 3 4 3 2 4" xfId="4275" xr:uid="{00000000-0005-0000-0000-000098140000}"/>
    <cellStyle name="Percent 2 2 3 4 3 2 5" xfId="1628" xr:uid="{00000000-0005-0000-0000-000099140000}"/>
    <cellStyle name="Percent 2 2 3 4 3 3" xfId="2952" xr:uid="{00000000-0005-0000-0000-00009A140000}"/>
    <cellStyle name="Percent 2 2 3 4 3 3 2" xfId="5924" xr:uid="{00000000-0005-0000-0000-00009B140000}"/>
    <cellStyle name="Percent 2 2 3 4 3 4" xfId="2070" xr:uid="{00000000-0005-0000-0000-00009C140000}"/>
    <cellStyle name="Percent 2 2 3 4 3 4 2" xfId="5925" xr:uid="{00000000-0005-0000-0000-00009D140000}"/>
    <cellStyle name="Percent 2 2 3 4 3 5" xfId="3834" xr:uid="{00000000-0005-0000-0000-00009E140000}"/>
    <cellStyle name="Percent 2 2 3 4 3 6" xfId="1187" xr:uid="{00000000-0005-0000-0000-00009F140000}"/>
    <cellStyle name="Percent 2 2 3 4 4" xfId="525" xr:uid="{00000000-0005-0000-0000-0000A0140000}"/>
    <cellStyle name="Percent 2 2 3 4 4 2" xfId="3173" xr:uid="{00000000-0005-0000-0000-0000A1140000}"/>
    <cellStyle name="Percent 2 2 3 4 4 2 2" xfId="5926" xr:uid="{00000000-0005-0000-0000-0000A2140000}"/>
    <cellStyle name="Percent 2 2 3 4 4 3" xfId="2291" xr:uid="{00000000-0005-0000-0000-0000A3140000}"/>
    <cellStyle name="Percent 2 2 3 4 4 3 2" xfId="5927" xr:uid="{00000000-0005-0000-0000-0000A4140000}"/>
    <cellStyle name="Percent 2 2 3 4 4 4" xfId="4055" xr:uid="{00000000-0005-0000-0000-0000A5140000}"/>
    <cellStyle name="Percent 2 2 3 4 4 5" xfId="1408" xr:uid="{00000000-0005-0000-0000-0000A6140000}"/>
    <cellStyle name="Percent 2 2 3 4 5" xfId="2732" xr:uid="{00000000-0005-0000-0000-0000A7140000}"/>
    <cellStyle name="Percent 2 2 3 4 5 2" xfId="5928" xr:uid="{00000000-0005-0000-0000-0000A8140000}"/>
    <cellStyle name="Percent 2 2 3 4 6" xfId="1850" xr:uid="{00000000-0005-0000-0000-0000A9140000}"/>
    <cellStyle name="Percent 2 2 3 4 6 2" xfId="5929" xr:uid="{00000000-0005-0000-0000-0000AA140000}"/>
    <cellStyle name="Percent 2 2 3 4 7" xfId="3614" xr:uid="{00000000-0005-0000-0000-0000AB140000}"/>
    <cellStyle name="Percent 2 2 3 4 8" xfId="967" xr:uid="{00000000-0005-0000-0000-0000AC140000}"/>
    <cellStyle name="Percent 2 2 3 5" xfId="128" xr:uid="{00000000-0005-0000-0000-0000AD140000}"/>
    <cellStyle name="Percent 2 2 3 5 2" xfId="348" xr:uid="{00000000-0005-0000-0000-0000AE140000}"/>
    <cellStyle name="Percent 2 2 3 5 2 2" xfId="789" xr:uid="{00000000-0005-0000-0000-0000AF140000}"/>
    <cellStyle name="Percent 2 2 3 5 2 2 2" xfId="3437" xr:uid="{00000000-0005-0000-0000-0000B0140000}"/>
    <cellStyle name="Percent 2 2 3 5 2 2 2 2" xfId="5930" xr:uid="{00000000-0005-0000-0000-0000B1140000}"/>
    <cellStyle name="Percent 2 2 3 5 2 2 3" xfId="2555" xr:uid="{00000000-0005-0000-0000-0000B2140000}"/>
    <cellStyle name="Percent 2 2 3 5 2 2 3 2" xfId="5931" xr:uid="{00000000-0005-0000-0000-0000B3140000}"/>
    <cellStyle name="Percent 2 2 3 5 2 2 4" xfId="4319" xr:uid="{00000000-0005-0000-0000-0000B4140000}"/>
    <cellStyle name="Percent 2 2 3 5 2 2 5" xfId="1672" xr:uid="{00000000-0005-0000-0000-0000B5140000}"/>
    <cellStyle name="Percent 2 2 3 5 2 3" xfId="2996" xr:uid="{00000000-0005-0000-0000-0000B6140000}"/>
    <cellStyle name="Percent 2 2 3 5 2 3 2" xfId="5932" xr:uid="{00000000-0005-0000-0000-0000B7140000}"/>
    <cellStyle name="Percent 2 2 3 5 2 4" xfId="2114" xr:uid="{00000000-0005-0000-0000-0000B8140000}"/>
    <cellStyle name="Percent 2 2 3 5 2 4 2" xfId="5933" xr:uid="{00000000-0005-0000-0000-0000B9140000}"/>
    <cellStyle name="Percent 2 2 3 5 2 5" xfId="3878" xr:uid="{00000000-0005-0000-0000-0000BA140000}"/>
    <cellStyle name="Percent 2 2 3 5 2 6" xfId="1231" xr:uid="{00000000-0005-0000-0000-0000BB140000}"/>
    <cellStyle name="Percent 2 2 3 5 3" xfId="569" xr:uid="{00000000-0005-0000-0000-0000BC140000}"/>
    <cellStyle name="Percent 2 2 3 5 3 2" xfId="3217" xr:uid="{00000000-0005-0000-0000-0000BD140000}"/>
    <cellStyle name="Percent 2 2 3 5 3 2 2" xfId="5934" xr:uid="{00000000-0005-0000-0000-0000BE140000}"/>
    <cellStyle name="Percent 2 2 3 5 3 3" xfId="2335" xr:uid="{00000000-0005-0000-0000-0000BF140000}"/>
    <cellStyle name="Percent 2 2 3 5 3 3 2" xfId="5935" xr:uid="{00000000-0005-0000-0000-0000C0140000}"/>
    <cellStyle name="Percent 2 2 3 5 3 4" xfId="4099" xr:uid="{00000000-0005-0000-0000-0000C1140000}"/>
    <cellStyle name="Percent 2 2 3 5 3 5" xfId="1452" xr:uid="{00000000-0005-0000-0000-0000C2140000}"/>
    <cellStyle name="Percent 2 2 3 5 4" xfId="2776" xr:uid="{00000000-0005-0000-0000-0000C3140000}"/>
    <cellStyle name="Percent 2 2 3 5 4 2" xfId="5936" xr:uid="{00000000-0005-0000-0000-0000C4140000}"/>
    <cellStyle name="Percent 2 2 3 5 5" xfId="1894" xr:uid="{00000000-0005-0000-0000-0000C5140000}"/>
    <cellStyle name="Percent 2 2 3 5 5 2" xfId="5937" xr:uid="{00000000-0005-0000-0000-0000C6140000}"/>
    <cellStyle name="Percent 2 2 3 5 6" xfId="3658" xr:uid="{00000000-0005-0000-0000-0000C7140000}"/>
    <cellStyle name="Percent 2 2 3 5 7" xfId="1011" xr:uid="{00000000-0005-0000-0000-0000C8140000}"/>
    <cellStyle name="Percent 2 2 3 6" xfId="238" xr:uid="{00000000-0005-0000-0000-0000C9140000}"/>
    <cellStyle name="Percent 2 2 3 6 2" xfId="679" xr:uid="{00000000-0005-0000-0000-0000CA140000}"/>
    <cellStyle name="Percent 2 2 3 6 2 2" xfId="3327" xr:uid="{00000000-0005-0000-0000-0000CB140000}"/>
    <cellStyle name="Percent 2 2 3 6 2 2 2" xfId="5938" xr:uid="{00000000-0005-0000-0000-0000CC140000}"/>
    <cellStyle name="Percent 2 2 3 6 2 3" xfId="2445" xr:uid="{00000000-0005-0000-0000-0000CD140000}"/>
    <cellStyle name="Percent 2 2 3 6 2 3 2" xfId="5939" xr:uid="{00000000-0005-0000-0000-0000CE140000}"/>
    <cellStyle name="Percent 2 2 3 6 2 4" xfId="4209" xr:uid="{00000000-0005-0000-0000-0000CF140000}"/>
    <cellStyle name="Percent 2 2 3 6 2 5" xfId="1562" xr:uid="{00000000-0005-0000-0000-0000D0140000}"/>
    <cellStyle name="Percent 2 2 3 6 3" xfId="2886" xr:uid="{00000000-0005-0000-0000-0000D1140000}"/>
    <cellStyle name="Percent 2 2 3 6 3 2" xfId="5940" xr:uid="{00000000-0005-0000-0000-0000D2140000}"/>
    <cellStyle name="Percent 2 2 3 6 4" xfId="2004" xr:uid="{00000000-0005-0000-0000-0000D3140000}"/>
    <cellStyle name="Percent 2 2 3 6 4 2" xfId="5941" xr:uid="{00000000-0005-0000-0000-0000D4140000}"/>
    <cellStyle name="Percent 2 2 3 6 5" xfId="3768" xr:uid="{00000000-0005-0000-0000-0000D5140000}"/>
    <cellStyle name="Percent 2 2 3 6 6" xfId="1121" xr:uid="{00000000-0005-0000-0000-0000D6140000}"/>
    <cellStyle name="Percent 2 2 3 7" xfId="459" xr:uid="{00000000-0005-0000-0000-0000D7140000}"/>
    <cellStyle name="Percent 2 2 3 7 2" xfId="3107" xr:uid="{00000000-0005-0000-0000-0000D8140000}"/>
    <cellStyle name="Percent 2 2 3 7 2 2" xfId="5942" xr:uid="{00000000-0005-0000-0000-0000D9140000}"/>
    <cellStyle name="Percent 2 2 3 7 3" xfId="2225" xr:uid="{00000000-0005-0000-0000-0000DA140000}"/>
    <cellStyle name="Percent 2 2 3 7 3 2" xfId="5943" xr:uid="{00000000-0005-0000-0000-0000DB140000}"/>
    <cellStyle name="Percent 2 2 3 7 4" xfId="3989" xr:uid="{00000000-0005-0000-0000-0000DC140000}"/>
    <cellStyle name="Percent 2 2 3 7 5" xfId="1342" xr:uid="{00000000-0005-0000-0000-0000DD140000}"/>
    <cellStyle name="Percent 2 2 3 8" xfId="2666" xr:uid="{00000000-0005-0000-0000-0000DE140000}"/>
    <cellStyle name="Percent 2 2 3 8 2" xfId="5944" xr:uid="{00000000-0005-0000-0000-0000DF140000}"/>
    <cellStyle name="Percent 2 2 3 9" xfId="1784" xr:uid="{00000000-0005-0000-0000-0000E0140000}"/>
    <cellStyle name="Percent 2 2 3 9 2" xfId="5945" xr:uid="{00000000-0005-0000-0000-0000E1140000}"/>
    <cellStyle name="Percent 2 2 4" xfId="21" xr:uid="{00000000-0005-0000-0000-0000E2140000}"/>
    <cellStyle name="Percent 2 2 4 10" xfId="3551" xr:uid="{00000000-0005-0000-0000-0000E3140000}"/>
    <cellStyle name="Percent 2 2 4 11" xfId="904" xr:uid="{00000000-0005-0000-0000-0000E4140000}"/>
    <cellStyle name="Percent 2 2 4 2" xfId="55" xr:uid="{00000000-0005-0000-0000-0000E5140000}"/>
    <cellStyle name="Percent 2 2 4 2 2" xfId="165" xr:uid="{00000000-0005-0000-0000-0000E6140000}"/>
    <cellStyle name="Percent 2 2 4 2 2 2" xfId="385" xr:uid="{00000000-0005-0000-0000-0000E7140000}"/>
    <cellStyle name="Percent 2 2 4 2 2 2 2" xfId="826" xr:uid="{00000000-0005-0000-0000-0000E8140000}"/>
    <cellStyle name="Percent 2 2 4 2 2 2 2 2" xfId="3474" xr:uid="{00000000-0005-0000-0000-0000E9140000}"/>
    <cellStyle name="Percent 2 2 4 2 2 2 2 2 2" xfId="5946" xr:uid="{00000000-0005-0000-0000-0000EA140000}"/>
    <cellStyle name="Percent 2 2 4 2 2 2 2 3" xfId="2592" xr:uid="{00000000-0005-0000-0000-0000EB140000}"/>
    <cellStyle name="Percent 2 2 4 2 2 2 2 3 2" xfId="5947" xr:uid="{00000000-0005-0000-0000-0000EC140000}"/>
    <cellStyle name="Percent 2 2 4 2 2 2 2 4" xfId="4356" xr:uid="{00000000-0005-0000-0000-0000ED140000}"/>
    <cellStyle name="Percent 2 2 4 2 2 2 2 5" xfId="1709" xr:uid="{00000000-0005-0000-0000-0000EE140000}"/>
    <cellStyle name="Percent 2 2 4 2 2 2 3" xfId="3033" xr:uid="{00000000-0005-0000-0000-0000EF140000}"/>
    <cellStyle name="Percent 2 2 4 2 2 2 3 2" xfId="5948" xr:uid="{00000000-0005-0000-0000-0000F0140000}"/>
    <cellStyle name="Percent 2 2 4 2 2 2 4" xfId="2151" xr:uid="{00000000-0005-0000-0000-0000F1140000}"/>
    <cellStyle name="Percent 2 2 4 2 2 2 4 2" xfId="5949" xr:uid="{00000000-0005-0000-0000-0000F2140000}"/>
    <cellStyle name="Percent 2 2 4 2 2 2 5" xfId="3915" xr:uid="{00000000-0005-0000-0000-0000F3140000}"/>
    <cellStyle name="Percent 2 2 4 2 2 2 6" xfId="1268" xr:uid="{00000000-0005-0000-0000-0000F4140000}"/>
    <cellStyle name="Percent 2 2 4 2 2 3" xfId="606" xr:uid="{00000000-0005-0000-0000-0000F5140000}"/>
    <cellStyle name="Percent 2 2 4 2 2 3 2" xfId="3254" xr:uid="{00000000-0005-0000-0000-0000F6140000}"/>
    <cellStyle name="Percent 2 2 4 2 2 3 2 2" xfId="5950" xr:uid="{00000000-0005-0000-0000-0000F7140000}"/>
    <cellStyle name="Percent 2 2 4 2 2 3 3" xfId="2372" xr:uid="{00000000-0005-0000-0000-0000F8140000}"/>
    <cellStyle name="Percent 2 2 4 2 2 3 3 2" xfId="5951" xr:uid="{00000000-0005-0000-0000-0000F9140000}"/>
    <cellStyle name="Percent 2 2 4 2 2 3 4" xfId="4136" xr:uid="{00000000-0005-0000-0000-0000FA140000}"/>
    <cellStyle name="Percent 2 2 4 2 2 3 5" xfId="1489" xr:uid="{00000000-0005-0000-0000-0000FB140000}"/>
    <cellStyle name="Percent 2 2 4 2 2 4" xfId="2813" xr:uid="{00000000-0005-0000-0000-0000FC140000}"/>
    <cellStyle name="Percent 2 2 4 2 2 4 2" xfId="5952" xr:uid="{00000000-0005-0000-0000-0000FD140000}"/>
    <cellStyle name="Percent 2 2 4 2 2 5" xfId="1931" xr:uid="{00000000-0005-0000-0000-0000FE140000}"/>
    <cellStyle name="Percent 2 2 4 2 2 5 2" xfId="5953" xr:uid="{00000000-0005-0000-0000-0000FF140000}"/>
    <cellStyle name="Percent 2 2 4 2 2 6" xfId="3695" xr:uid="{00000000-0005-0000-0000-000000150000}"/>
    <cellStyle name="Percent 2 2 4 2 2 7" xfId="1048" xr:uid="{00000000-0005-0000-0000-000001150000}"/>
    <cellStyle name="Percent 2 2 4 2 3" xfId="275" xr:uid="{00000000-0005-0000-0000-000002150000}"/>
    <cellStyle name="Percent 2 2 4 2 3 2" xfId="716" xr:uid="{00000000-0005-0000-0000-000003150000}"/>
    <cellStyle name="Percent 2 2 4 2 3 2 2" xfId="3364" xr:uid="{00000000-0005-0000-0000-000004150000}"/>
    <cellStyle name="Percent 2 2 4 2 3 2 2 2" xfId="5954" xr:uid="{00000000-0005-0000-0000-000005150000}"/>
    <cellStyle name="Percent 2 2 4 2 3 2 3" xfId="2482" xr:uid="{00000000-0005-0000-0000-000006150000}"/>
    <cellStyle name="Percent 2 2 4 2 3 2 3 2" xfId="5955" xr:uid="{00000000-0005-0000-0000-000007150000}"/>
    <cellStyle name="Percent 2 2 4 2 3 2 4" xfId="4246" xr:uid="{00000000-0005-0000-0000-000008150000}"/>
    <cellStyle name="Percent 2 2 4 2 3 2 5" xfId="1599" xr:uid="{00000000-0005-0000-0000-000009150000}"/>
    <cellStyle name="Percent 2 2 4 2 3 3" xfId="2923" xr:uid="{00000000-0005-0000-0000-00000A150000}"/>
    <cellStyle name="Percent 2 2 4 2 3 3 2" xfId="5956" xr:uid="{00000000-0005-0000-0000-00000B150000}"/>
    <cellStyle name="Percent 2 2 4 2 3 4" xfId="2041" xr:uid="{00000000-0005-0000-0000-00000C150000}"/>
    <cellStyle name="Percent 2 2 4 2 3 4 2" xfId="5957" xr:uid="{00000000-0005-0000-0000-00000D150000}"/>
    <cellStyle name="Percent 2 2 4 2 3 5" xfId="3805" xr:uid="{00000000-0005-0000-0000-00000E150000}"/>
    <cellStyle name="Percent 2 2 4 2 3 6" xfId="1158" xr:uid="{00000000-0005-0000-0000-00000F150000}"/>
    <cellStyle name="Percent 2 2 4 2 4" xfId="496" xr:uid="{00000000-0005-0000-0000-000010150000}"/>
    <cellStyle name="Percent 2 2 4 2 4 2" xfId="3144" xr:uid="{00000000-0005-0000-0000-000011150000}"/>
    <cellStyle name="Percent 2 2 4 2 4 2 2" xfId="5958" xr:uid="{00000000-0005-0000-0000-000012150000}"/>
    <cellStyle name="Percent 2 2 4 2 4 3" xfId="2262" xr:uid="{00000000-0005-0000-0000-000013150000}"/>
    <cellStyle name="Percent 2 2 4 2 4 3 2" xfId="5959" xr:uid="{00000000-0005-0000-0000-000014150000}"/>
    <cellStyle name="Percent 2 2 4 2 4 4" xfId="4026" xr:uid="{00000000-0005-0000-0000-000015150000}"/>
    <cellStyle name="Percent 2 2 4 2 4 5" xfId="1379" xr:uid="{00000000-0005-0000-0000-000016150000}"/>
    <cellStyle name="Percent 2 2 4 2 5" xfId="2703" xr:uid="{00000000-0005-0000-0000-000017150000}"/>
    <cellStyle name="Percent 2 2 4 2 5 2" xfId="5960" xr:uid="{00000000-0005-0000-0000-000018150000}"/>
    <cellStyle name="Percent 2 2 4 2 6" xfId="1821" xr:uid="{00000000-0005-0000-0000-000019150000}"/>
    <cellStyle name="Percent 2 2 4 2 6 2" xfId="5961" xr:uid="{00000000-0005-0000-0000-00001A150000}"/>
    <cellStyle name="Percent 2 2 4 2 7" xfId="3585" xr:uid="{00000000-0005-0000-0000-00001B150000}"/>
    <cellStyle name="Percent 2 2 4 2 8" xfId="938" xr:uid="{00000000-0005-0000-0000-00001C150000}"/>
    <cellStyle name="Percent 2 2 4 3" xfId="71" xr:uid="{00000000-0005-0000-0000-00001D150000}"/>
    <cellStyle name="Percent 2 2 4 3 2" xfId="181" xr:uid="{00000000-0005-0000-0000-00001E150000}"/>
    <cellStyle name="Percent 2 2 4 3 2 2" xfId="401" xr:uid="{00000000-0005-0000-0000-00001F150000}"/>
    <cellStyle name="Percent 2 2 4 3 2 2 2" xfId="842" xr:uid="{00000000-0005-0000-0000-000020150000}"/>
    <cellStyle name="Percent 2 2 4 3 2 2 2 2" xfId="3490" xr:uid="{00000000-0005-0000-0000-000021150000}"/>
    <cellStyle name="Percent 2 2 4 3 2 2 2 2 2" xfId="5962" xr:uid="{00000000-0005-0000-0000-000022150000}"/>
    <cellStyle name="Percent 2 2 4 3 2 2 2 3" xfId="2608" xr:uid="{00000000-0005-0000-0000-000023150000}"/>
    <cellStyle name="Percent 2 2 4 3 2 2 2 3 2" xfId="5963" xr:uid="{00000000-0005-0000-0000-000024150000}"/>
    <cellStyle name="Percent 2 2 4 3 2 2 2 4" xfId="4372" xr:uid="{00000000-0005-0000-0000-000025150000}"/>
    <cellStyle name="Percent 2 2 4 3 2 2 2 5" xfId="1725" xr:uid="{00000000-0005-0000-0000-000026150000}"/>
    <cellStyle name="Percent 2 2 4 3 2 2 3" xfId="3049" xr:uid="{00000000-0005-0000-0000-000027150000}"/>
    <cellStyle name="Percent 2 2 4 3 2 2 3 2" xfId="5964" xr:uid="{00000000-0005-0000-0000-000028150000}"/>
    <cellStyle name="Percent 2 2 4 3 2 2 4" xfId="2167" xr:uid="{00000000-0005-0000-0000-000029150000}"/>
    <cellStyle name="Percent 2 2 4 3 2 2 4 2" xfId="5965" xr:uid="{00000000-0005-0000-0000-00002A150000}"/>
    <cellStyle name="Percent 2 2 4 3 2 2 5" xfId="3931" xr:uid="{00000000-0005-0000-0000-00002B150000}"/>
    <cellStyle name="Percent 2 2 4 3 2 2 6" xfId="1284" xr:uid="{00000000-0005-0000-0000-00002C150000}"/>
    <cellStyle name="Percent 2 2 4 3 2 3" xfId="622" xr:uid="{00000000-0005-0000-0000-00002D150000}"/>
    <cellStyle name="Percent 2 2 4 3 2 3 2" xfId="3270" xr:uid="{00000000-0005-0000-0000-00002E150000}"/>
    <cellStyle name="Percent 2 2 4 3 2 3 2 2" xfId="5966" xr:uid="{00000000-0005-0000-0000-00002F150000}"/>
    <cellStyle name="Percent 2 2 4 3 2 3 3" xfId="2388" xr:uid="{00000000-0005-0000-0000-000030150000}"/>
    <cellStyle name="Percent 2 2 4 3 2 3 3 2" xfId="5967" xr:uid="{00000000-0005-0000-0000-000031150000}"/>
    <cellStyle name="Percent 2 2 4 3 2 3 4" xfId="4152" xr:uid="{00000000-0005-0000-0000-000032150000}"/>
    <cellStyle name="Percent 2 2 4 3 2 3 5" xfId="1505" xr:uid="{00000000-0005-0000-0000-000033150000}"/>
    <cellStyle name="Percent 2 2 4 3 2 4" xfId="2829" xr:uid="{00000000-0005-0000-0000-000034150000}"/>
    <cellStyle name="Percent 2 2 4 3 2 4 2" xfId="5968" xr:uid="{00000000-0005-0000-0000-000035150000}"/>
    <cellStyle name="Percent 2 2 4 3 2 5" xfId="1947" xr:uid="{00000000-0005-0000-0000-000036150000}"/>
    <cellStyle name="Percent 2 2 4 3 2 5 2" xfId="5969" xr:uid="{00000000-0005-0000-0000-000037150000}"/>
    <cellStyle name="Percent 2 2 4 3 2 6" xfId="3711" xr:uid="{00000000-0005-0000-0000-000038150000}"/>
    <cellStyle name="Percent 2 2 4 3 2 7" xfId="1064" xr:uid="{00000000-0005-0000-0000-000039150000}"/>
    <cellStyle name="Percent 2 2 4 3 3" xfId="291" xr:uid="{00000000-0005-0000-0000-00003A150000}"/>
    <cellStyle name="Percent 2 2 4 3 3 2" xfId="732" xr:uid="{00000000-0005-0000-0000-00003B150000}"/>
    <cellStyle name="Percent 2 2 4 3 3 2 2" xfId="3380" xr:uid="{00000000-0005-0000-0000-00003C150000}"/>
    <cellStyle name="Percent 2 2 4 3 3 2 2 2" xfId="5970" xr:uid="{00000000-0005-0000-0000-00003D150000}"/>
    <cellStyle name="Percent 2 2 4 3 3 2 3" xfId="2498" xr:uid="{00000000-0005-0000-0000-00003E150000}"/>
    <cellStyle name="Percent 2 2 4 3 3 2 3 2" xfId="5971" xr:uid="{00000000-0005-0000-0000-00003F150000}"/>
    <cellStyle name="Percent 2 2 4 3 3 2 4" xfId="4262" xr:uid="{00000000-0005-0000-0000-000040150000}"/>
    <cellStyle name="Percent 2 2 4 3 3 2 5" xfId="1615" xr:uid="{00000000-0005-0000-0000-000041150000}"/>
    <cellStyle name="Percent 2 2 4 3 3 3" xfId="2939" xr:uid="{00000000-0005-0000-0000-000042150000}"/>
    <cellStyle name="Percent 2 2 4 3 3 3 2" xfId="5972" xr:uid="{00000000-0005-0000-0000-000043150000}"/>
    <cellStyle name="Percent 2 2 4 3 3 4" xfId="2057" xr:uid="{00000000-0005-0000-0000-000044150000}"/>
    <cellStyle name="Percent 2 2 4 3 3 4 2" xfId="5973" xr:uid="{00000000-0005-0000-0000-000045150000}"/>
    <cellStyle name="Percent 2 2 4 3 3 5" xfId="3821" xr:uid="{00000000-0005-0000-0000-000046150000}"/>
    <cellStyle name="Percent 2 2 4 3 3 6" xfId="1174" xr:uid="{00000000-0005-0000-0000-000047150000}"/>
    <cellStyle name="Percent 2 2 4 3 4" xfId="512" xr:uid="{00000000-0005-0000-0000-000048150000}"/>
    <cellStyle name="Percent 2 2 4 3 4 2" xfId="3160" xr:uid="{00000000-0005-0000-0000-000049150000}"/>
    <cellStyle name="Percent 2 2 4 3 4 2 2" xfId="5974" xr:uid="{00000000-0005-0000-0000-00004A150000}"/>
    <cellStyle name="Percent 2 2 4 3 4 3" xfId="2278" xr:uid="{00000000-0005-0000-0000-00004B150000}"/>
    <cellStyle name="Percent 2 2 4 3 4 3 2" xfId="5975" xr:uid="{00000000-0005-0000-0000-00004C150000}"/>
    <cellStyle name="Percent 2 2 4 3 4 4" xfId="4042" xr:uid="{00000000-0005-0000-0000-00004D150000}"/>
    <cellStyle name="Percent 2 2 4 3 4 5" xfId="1395" xr:uid="{00000000-0005-0000-0000-00004E150000}"/>
    <cellStyle name="Percent 2 2 4 3 5" xfId="2719" xr:uid="{00000000-0005-0000-0000-00004F150000}"/>
    <cellStyle name="Percent 2 2 4 3 5 2" xfId="5976" xr:uid="{00000000-0005-0000-0000-000050150000}"/>
    <cellStyle name="Percent 2 2 4 3 6" xfId="1837" xr:uid="{00000000-0005-0000-0000-000051150000}"/>
    <cellStyle name="Percent 2 2 4 3 6 2" xfId="5977" xr:uid="{00000000-0005-0000-0000-000052150000}"/>
    <cellStyle name="Percent 2 2 4 3 7" xfId="3601" xr:uid="{00000000-0005-0000-0000-000053150000}"/>
    <cellStyle name="Percent 2 2 4 3 8" xfId="954" xr:uid="{00000000-0005-0000-0000-000054150000}"/>
    <cellStyle name="Percent 2 2 4 4" xfId="87" xr:uid="{00000000-0005-0000-0000-000055150000}"/>
    <cellStyle name="Percent 2 2 4 4 2" xfId="197" xr:uid="{00000000-0005-0000-0000-000056150000}"/>
    <cellStyle name="Percent 2 2 4 4 2 2" xfId="417" xr:uid="{00000000-0005-0000-0000-000057150000}"/>
    <cellStyle name="Percent 2 2 4 4 2 2 2" xfId="858" xr:uid="{00000000-0005-0000-0000-000058150000}"/>
    <cellStyle name="Percent 2 2 4 4 2 2 2 2" xfId="3506" xr:uid="{00000000-0005-0000-0000-000059150000}"/>
    <cellStyle name="Percent 2 2 4 4 2 2 2 2 2" xfId="5978" xr:uid="{00000000-0005-0000-0000-00005A150000}"/>
    <cellStyle name="Percent 2 2 4 4 2 2 2 3" xfId="2624" xr:uid="{00000000-0005-0000-0000-00005B150000}"/>
    <cellStyle name="Percent 2 2 4 4 2 2 2 3 2" xfId="5979" xr:uid="{00000000-0005-0000-0000-00005C150000}"/>
    <cellStyle name="Percent 2 2 4 4 2 2 2 4" xfId="4388" xr:uid="{00000000-0005-0000-0000-00005D150000}"/>
    <cellStyle name="Percent 2 2 4 4 2 2 2 5" xfId="1741" xr:uid="{00000000-0005-0000-0000-00005E150000}"/>
    <cellStyle name="Percent 2 2 4 4 2 2 3" xfId="3065" xr:uid="{00000000-0005-0000-0000-00005F150000}"/>
    <cellStyle name="Percent 2 2 4 4 2 2 3 2" xfId="5980" xr:uid="{00000000-0005-0000-0000-000060150000}"/>
    <cellStyle name="Percent 2 2 4 4 2 2 4" xfId="2183" xr:uid="{00000000-0005-0000-0000-000061150000}"/>
    <cellStyle name="Percent 2 2 4 4 2 2 4 2" xfId="5981" xr:uid="{00000000-0005-0000-0000-000062150000}"/>
    <cellStyle name="Percent 2 2 4 4 2 2 5" xfId="3947" xr:uid="{00000000-0005-0000-0000-000063150000}"/>
    <cellStyle name="Percent 2 2 4 4 2 2 6" xfId="1300" xr:uid="{00000000-0005-0000-0000-000064150000}"/>
    <cellStyle name="Percent 2 2 4 4 2 3" xfId="638" xr:uid="{00000000-0005-0000-0000-000065150000}"/>
    <cellStyle name="Percent 2 2 4 4 2 3 2" xfId="3286" xr:uid="{00000000-0005-0000-0000-000066150000}"/>
    <cellStyle name="Percent 2 2 4 4 2 3 2 2" xfId="5982" xr:uid="{00000000-0005-0000-0000-000067150000}"/>
    <cellStyle name="Percent 2 2 4 4 2 3 3" xfId="2404" xr:uid="{00000000-0005-0000-0000-000068150000}"/>
    <cellStyle name="Percent 2 2 4 4 2 3 3 2" xfId="5983" xr:uid="{00000000-0005-0000-0000-000069150000}"/>
    <cellStyle name="Percent 2 2 4 4 2 3 4" xfId="4168" xr:uid="{00000000-0005-0000-0000-00006A150000}"/>
    <cellStyle name="Percent 2 2 4 4 2 3 5" xfId="1521" xr:uid="{00000000-0005-0000-0000-00006B150000}"/>
    <cellStyle name="Percent 2 2 4 4 2 4" xfId="2845" xr:uid="{00000000-0005-0000-0000-00006C150000}"/>
    <cellStyle name="Percent 2 2 4 4 2 4 2" xfId="5984" xr:uid="{00000000-0005-0000-0000-00006D150000}"/>
    <cellStyle name="Percent 2 2 4 4 2 5" xfId="1963" xr:uid="{00000000-0005-0000-0000-00006E150000}"/>
    <cellStyle name="Percent 2 2 4 4 2 5 2" xfId="5985" xr:uid="{00000000-0005-0000-0000-00006F150000}"/>
    <cellStyle name="Percent 2 2 4 4 2 6" xfId="3727" xr:uid="{00000000-0005-0000-0000-000070150000}"/>
    <cellStyle name="Percent 2 2 4 4 2 7" xfId="1080" xr:uid="{00000000-0005-0000-0000-000071150000}"/>
    <cellStyle name="Percent 2 2 4 4 3" xfId="307" xr:uid="{00000000-0005-0000-0000-000072150000}"/>
    <cellStyle name="Percent 2 2 4 4 3 2" xfId="748" xr:uid="{00000000-0005-0000-0000-000073150000}"/>
    <cellStyle name="Percent 2 2 4 4 3 2 2" xfId="3396" xr:uid="{00000000-0005-0000-0000-000074150000}"/>
    <cellStyle name="Percent 2 2 4 4 3 2 2 2" xfId="5986" xr:uid="{00000000-0005-0000-0000-000075150000}"/>
    <cellStyle name="Percent 2 2 4 4 3 2 3" xfId="2514" xr:uid="{00000000-0005-0000-0000-000076150000}"/>
    <cellStyle name="Percent 2 2 4 4 3 2 3 2" xfId="5987" xr:uid="{00000000-0005-0000-0000-000077150000}"/>
    <cellStyle name="Percent 2 2 4 4 3 2 4" xfId="4278" xr:uid="{00000000-0005-0000-0000-000078150000}"/>
    <cellStyle name="Percent 2 2 4 4 3 2 5" xfId="1631" xr:uid="{00000000-0005-0000-0000-000079150000}"/>
    <cellStyle name="Percent 2 2 4 4 3 3" xfId="2955" xr:uid="{00000000-0005-0000-0000-00007A150000}"/>
    <cellStyle name="Percent 2 2 4 4 3 3 2" xfId="5988" xr:uid="{00000000-0005-0000-0000-00007B150000}"/>
    <cellStyle name="Percent 2 2 4 4 3 4" xfId="2073" xr:uid="{00000000-0005-0000-0000-00007C150000}"/>
    <cellStyle name="Percent 2 2 4 4 3 4 2" xfId="5989" xr:uid="{00000000-0005-0000-0000-00007D150000}"/>
    <cellStyle name="Percent 2 2 4 4 3 5" xfId="3837" xr:uid="{00000000-0005-0000-0000-00007E150000}"/>
    <cellStyle name="Percent 2 2 4 4 3 6" xfId="1190" xr:uid="{00000000-0005-0000-0000-00007F150000}"/>
    <cellStyle name="Percent 2 2 4 4 4" xfId="528" xr:uid="{00000000-0005-0000-0000-000080150000}"/>
    <cellStyle name="Percent 2 2 4 4 4 2" xfId="3176" xr:uid="{00000000-0005-0000-0000-000081150000}"/>
    <cellStyle name="Percent 2 2 4 4 4 2 2" xfId="5990" xr:uid="{00000000-0005-0000-0000-000082150000}"/>
    <cellStyle name="Percent 2 2 4 4 4 3" xfId="2294" xr:uid="{00000000-0005-0000-0000-000083150000}"/>
    <cellStyle name="Percent 2 2 4 4 4 3 2" xfId="5991" xr:uid="{00000000-0005-0000-0000-000084150000}"/>
    <cellStyle name="Percent 2 2 4 4 4 4" xfId="4058" xr:uid="{00000000-0005-0000-0000-000085150000}"/>
    <cellStyle name="Percent 2 2 4 4 4 5" xfId="1411" xr:uid="{00000000-0005-0000-0000-000086150000}"/>
    <cellStyle name="Percent 2 2 4 4 5" xfId="2735" xr:uid="{00000000-0005-0000-0000-000087150000}"/>
    <cellStyle name="Percent 2 2 4 4 5 2" xfId="5992" xr:uid="{00000000-0005-0000-0000-000088150000}"/>
    <cellStyle name="Percent 2 2 4 4 6" xfId="1853" xr:uid="{00000000-0005-0000-0000-000089150000}"/>
    <cellStyle name="Percent 2 2 4 4 6 2" xfId="5993" xr:uid="{00000000-0005-0000-0000-00008A150000}"/>
    <cellStyle name="Percent 2 2 4 4 7" xfId="3617" xr:uid="{00000000-0005-0000-0000-00008B150000}"/>
    <cellStyle name="Percent 2 2 4 4 8" xfId="970" xr:uid="{00000000-0005-0000-0000-00008C150000}"/>
    <cellStyle name="Percent 2 2 4 5" xfId="131" xr:uid="{00000000-0005-0000-0000-00008D150000}"/>
    <cellStyle name="Percent 2 2 4 5 2" xfId="351" xr:uid="{00000000-0005-0000-0000-00008E150000}"/>
    <cellStyle name="Percent 2 2 4 5 2 2" xfId="792" xr:uid="{00000000-0005-0000-0000-00008F150000}"/>
    <cellStyle name="Percent 2 2 4 5 2 2 2" xfId="3440" xr:uid="{00000000-0005-0000-0000-000090150000}"/>
    <cellStyle name="Percent 2 2 4 5 2 2 2 2" xfId="5994" xr:uid="{00000000-0005-0000-0000-000091150000}"/>
    <cellStyle name="Percent 2 2 4 5 2 2 3" xfId="2558" xr:uid="{00000000-0005-0000-0000-000092150000}"/>
    <cellStyle name="Percent 2 2 4 5 2 2 3 2" xfId="5995" xr:uid="{00000000-0005-0000-0000-000093150000}"/>
    <cellStyle name="Percent 2 2 4 5 2 2 4" xfId="4322" xr:uid="{00000000-0005-0000-0000-000094150000}"/>
    <cellStyle name="Percent 2 2 4 5 2 2 5" xfId="1675" xr:uid="{00000000-0005-0000-0000-000095150000}"/>
    <cellStyle name="Percent 2 2 4 5 2 3" xfId="2999" xr:uid="{00000000-0005-0000-0000-000096150000}"/>
    <cellStyle name="Percent 2 2 4 5 2 3 2" xfId="5996" xr:uid="{00000000-0005-0000-0000-000097150000}"/>
    <cellStyle name="Percent 2 2 4 5 2 4" xfId="2117" xr:uid="{00000000-0005-0000-0000-000098150000}"/>
    <cellStyle name="Percent 2 2 4 5 2 4 2" xfId="5997" xr:uid="{00000000-0005-0000-0000-000099150000}"/>
    <cellStyle name="Percent 2 2 4 5 2 5" xfId="3881" xr:uid="{00000000-0005-0000-0000-00009A150000}"/>
    <cellStyle name="Percent 2 2 4 5 2 6" xfId="1234" xr:uid="{00000000-0005-0000-0000-00009B150000}"/>
    <cellStyle name="Percent 2 2 4 5 3" xfId="572" xr:uid="{00000000-0005-0000-0000-00009C150000}"/>
    <cellStyle name="Percent 2 2 4 5 3 2" xfId="3220" xr:uid="{00000000-0005-0000-0000-00009D150000}"/>
    <cellStyle name="Percent 2 2 4 5 3 2 2" xfId="5998" xr:uid="{00000000-0005-0000-0000-00009E150000}"/>
    <cellStyle name="Percent 2 2 4 5 3 3" xfId="2338" xr:uid="{00000000-0005-0000-0000-00009F150000}"/>
    <cellStyle name="Percent 2 2 4 5 3 3 2" xfId="5999" xr:uid="{00000000-0005-0000-0000-0000A0150000}"/>
    <cellStyle name="Percent 2 2 4 5 3 4" xfId="4102" xr:uid="{00000000-0005-0000-0000-0000A1150000}"/>
    <cellStyle name="Percent 2 2 4 5 3 5" xfId="1455" xr:uid="{00000000-0005-0000-0000-0000A2150000}"/>
    <cellStyle name="Percent 2 2 4 5 4" xfId="2779" xr:uid="{00000000-0005-0000-0000-0000A3150000}"/>
    <cellStyle name="Percent 2 2 4 5 4 2" xfId="6000" xr:uid="{00000000-0005-0000-0000-0000A4150000}"/>
    <cellStyle name="Percent 2 2 4 5 5" xfId="1897" xr:uid="{00000000-0005-0000-0000-0000A5150000}"/>
    <cellStyle name="Percent 2 2 4 5 5 2" xfId="6001" xr:uid="{00000000-0005-0000-0000-0000A6150000}"/>
    <cellStyle name="Percent 2 2 4 5 6" xfId="3661" xr:uid="{00000000-0005-0000-0000-0000A7150000}"/>
    <cellStyle name="Percent 2 2 4 5 7" xfId="1014" xr:uid="{00000000-0005-0000-0000-0000A8150000}"/>
    <cellStyle name="Percent 2 2 4 6" xfId="241" xr:uid="{00000000-0005-0000-0000-0000A9150000}"/>
    <cellStyle name="Percent 2 2 4 6 2" xfId="682" xr:uid="{00000000-0005-0000-0000-0000AA150000}"/>
    <cellStyle name="Percent 2 2 4 6 2 2" xfId="3330" xr:uid="{00000000-0005-0000-0000-0000AB150000}"/>
    <cellStyle name="Percent 2 2 4 6 2 2 2" xfId="6002" xr:uid="{00000000-0005-0000-0000-0000AC150000}"/>
    <cellStyle name="Percent 2 2 4 6 2 3" xfId="2448" xr:uid="{00000000-0005-0000-0000-0000AD150000}"/>
    <cellStyle name="Percent 2 2 4 6 2 3 2" xfId="6003" xr:uid="{00000000-0005-0000-0000-0000AE150000}"/>
    <cellStyle name="Percent 2 2 4 6 2 4" xfId="4212" xr:uid="{00000000-0005-0000-0000-0000AF150000}"/>
    <cellStyle name="Percent 2 2 4 6 2 5" xfId="1565" xr:uid="{00000000-0005-0000-0000-0000B0150000}"/>
    <cellStyle name="Percent 2 2 4 6 3" xfId="2889" xr:uid="{00000000-0005-0000-0000-0000B1150000}"/>
    <cellStyle name="Percent 2 2 4 6 3 2" xfId="6004" xr:uid="{00000000-0005-0000-0000-0000B2150000}"/>
    <cellStyle name="Percent 2 2 4 6 4" xfId="2007" xr:uid="{00000000-0005-0000-0000-0000B3150000}"/>
    <cellStyle name="Percent 2 2 4 6 4 2" xfId="6005" xr:uid="{00000000-0005-0000-0000-0000B4150000}"/>
    <cellStyle name="Percent 2 2 4 6 5" xfId="3771" xr:uid="{00000000-0005-0000-0000-0000B5150000}"/>
    <cellStyle name="Percent 2 2 4 6 6" xfId="1124" xr:uid="{00000000-0005-0000-0000-0000B6150000}"/>
    <cellStyle name="Percent 2 2 4 7" xfId="462" xr:uid="{00000000-0005-0000-0000-0000B7150000}"/>
    <cellStyle name="Percent 2 2 4 7 2" xfId="3110" xr:uid="{00000000-0005-0000-0000-0000B8150000}"/>
    <cellStyle name="Percent 2 2 4 7 2 2" xfId="6006" xr:uid="{00000000-0005-0000-0000-0000B9150000}"/>
    <cellStyle name="Percent 2 2 4 7 3" xfId="2228" xr:uid="{00000000-0005-0000-0000-0000BA150000}"/>
    <cellStyle name="Percent 2 2 4 7 3 2" xfId="6007" xr:uid="{00000000-0005-0000-0000-0000BB150000}"/>
    <cellStyle name="Percent 2 2 4 7 4" xfId="3992" xr:uid="{00000000-0005-0000-0000-0000BC150000}"/>
    <cellStyle name="Percent 2 2 4 7 5" xfId="1345" xr:uid="{00000000-0005-0000-0000-0000BD150000}"/>
    <cellStyle name="Percent 2 2 4 8" xfId="2669" xr:uid="{00000000-0005-0000-0000-0000BE150000}"/>
    <cellStyle name="Percent 2 2 4 8 2" xfId="6008" xr:uid="{00000000-0005-0000-0000-0000BF150000}"/>
    <cellStyle name="Percent 2 2 4 9" xfId="1787" xr:uid="{00000000-0005-0000-0000-0000C0150000}"/>
    <cellStyle name="Percent 2 2 4 9 2" xfId="6009" xr:uid="{00000000-0005-0000-0000-0000C1150000}"/>
    <cellStyle name="Percent 2 2 5" xfId="24" xr:uid="{00000000-0005-0000-0000-0000C2150000}"/>
    <cellStyle name="Percent 2 2 5 10" xfId="3554" xr:uid="{00000000-0005-0000-0000-0000C3150000}"/>
    <cellStyle name="Percent 2 2 5 11" xfId="907" xr:uid="{00000000-0005-0000-0000-0000C4150000}"/>
    <cellStyle name="Percent 2 2 5 2" xfId="58" xr:uid="{00000000-0005-0000-0000-0000C5150000}"/>
    <cellStyle name="Percent 2 2 5 2 2" xfId="168" xr:uid="{00000000-0005-0000-0000-0000C6150000}"/>
    <cellStyle name="Percent 2 2 5 2 2 2" xfId="388" xr:uid="{00000000-0005-0000-0000-0000C7150000}"/>
    <cellStyle name="Percent 2 2 5 2 2 2 2" xfId="829" xr:uid="{00000000-0005-0000-0000-0000C8150000}"/>
    <cellStyle name="Percent 2 2 5 2 2 2 2 2" xfId="3477" xr:uid="{00000000-0005-0000-0000-0000C9150000}"/>
    <cellStyle name="Percent 2 2 5 2 2 2 2 2 2" xfId="6010" xr:uid="{00000000-0005-0000-0000-0000CA150000}"/>
    <cellStyle name="Percent 2 2 5 2 2 2 2 3" xfId="2595" xr:uid="{00000000-0005-0000-0000-0000CB150000}"/>
    <cellStyle name="Percent 2 2 5 2 2 2 2 3 2" xfId="6011" xr:uid="{00000000-0005-0000-0000-0000CC150000}"/>
    <cellStyle name="Percent 2 2 5 2 2 2 2 4" xfId="4359" xr:uid="{00000000-0005-0000-0000-0000CD150000}"/>
    <cellStyle name="Percent 2 2 5 2 2 2 2 5" xfId="1712" xr:uid="{00000000-0005-0000-0000-0000CE150000}"/>
    <cellStyle name="Percent 2 2 5 2 2 2 3" xfId="3036" xr:uid="{00000000-0005-0000-0000-0000CF150000}"/>
    <cellStyle name="Percent 2 2 5 2 2 2 3 2" xfId="6012" xr:uid="{00000000-0005-0000-0000-0000D0150000}"/>
    <cellStyle name="Percent 2 2 5 2 2 2 4" xfId="2154" xr:uid="{00000000-0005-0000-0000-0000D1150000}"/>
    <cellStyle name="Percent 2 2 5 2 2 2 4 2" xfId="6013" xr:uid="{00000000-0005-0000-0000-0000D2150000}"/>
    <cellStyle name="Percent 2 2 5 2 2 2 5" xfId="3918" xr:uid="{00000000-0005-0000-0000-0000D3150000}"/>
    <cellStyle name="Percent 2 2 5 2 2 2 6" xfId="1271" xr:uid="{00000000-0005-0000-0000-0000D4150000}"/>
    <cellStyle name="Percent 2 2 5 2 2 3" xfId="609" xr:uid="{00000000-0005-0000-0000-0000D5150000}"/>
    <cellStyle name="Percent 2 2 5 2 2 3 2" xfId="3257" xr:uid="{00000000-0005-0000-0000-0000D6150000}"/>
    <cellStyle name="Percent 2 2 5 2 2 3 2 2" xfId="6014" xr:uid="{00000000-0005-0000-0000-0000D7150000}"/>
    <cellStyle name="Percent 2 2 5 2 2 3 3" xfId="2375" xr:uid="{00000000-0005-0000-0000-0000D8150000}"/>
    <cellStyle name="Percent 2 2 5 2 2 3 3 2" xfId="6015" xr:uid="{00000000-0005-0000-0000-0000D9150000}"/>
    <cellStyle name="Percent 2 2 5 2 2 3 4" xfId="4139" xr:uid="{00000000-0005-0000-0000-0000DA150000}"/>
    <cellStyle name="Percent 2 2 5 2 2 3 5" xfId="1492" xr:uid="{00000000-0005-0000-0000-0000DB150000}"/>
    <cellStyle name="Percent 2 2 5 2 2 4" xfId="2816" xr:uid="{00000000-0005-0000-0000-0000DC150000}"/>
    <cellStyle name="Percent 2 2 5 2 2 4 2" xfId="6016" xr:uid="{00000000-0005-0000-0000-0000DD150000}"/>
    <cellStyle name="Percent 2 2 5 2 2 5" xfId="1934" xr:uid="{00000000-0005-0000-0000-0000DE150000}"/>
    <cellStyle name="Percent 2 2 5 2 2 5 2" xfId="6017" xr:uid="{00000000-0005-0000-0000-0000DF150000}"/>
    <cellStyle name="Percent 2 2 5 2 2 6" xfId="3698" xr:uid="{00000000-0005-0000-0000-0000E0150000}"/>
    <cellStyle name="Percent 2 2 5 2 2 7" xfId="1051" xr:uid="{00000000-0005-0000-0000-0000E1150000}"/>
    <cellStyle name="Percent 2 2 5 2 3" xfId="278" xr:uid="{00000000-0005-0000-0000-0000E2150000}"/>
    <cellStyle name="Percent 2 2 5 2 3 2" xfId="719" xr:uid="{00000000-0005-0000-0000-0000E3150000}"/>
    <cellStyle name="Percent 2 2 5 2 3 2 2" xfId="3367" xr:uid="{00000000-0005-0000-0000-0000E4150000}"/>
    <cellStyle name="Percent 2 2 5 2 3 2 2 2" xfId="6018" xr:uid="{00000000-0005-0000-0000-0000E5150000}"/>
    <cellStyle name="Percent 2 2 5 2 3 2 3" xfId="2485" xr:uid="{00000000-0005-0000-0000-0000E6150000}"/>
    <cellStyle name="Percent 2 2 5 2 3 2 3 2" xfId="6019" xr:uid="{00000000-0005-0000-0000-0000E7150000}"/>
    <cellStyle name="Percent 2 2 5 2 3 2 4" xfId="4249" xr:uid="{00000000-0005-0000-0000-0000E8150000}"/>
    <cellStyle name="Percent 2 2 5 2 3 2 5" xfId="1602" xr:uid="{00000000-0005-0000-0000-0000E9150000}"/>
    <cellStyle name="Percent 2 2 5 2 3 3" xfId="2926" xr:uid="{00000000-0005-0000-0000-0000EA150000}"/>
    <cellStyle name="Percent 2 2 5 2 3 3 2" xfId="6020" xr:uid="{00000000-0005-0000-0000-0000EB150000}"/>
    <cellStyle name="Percent 2 2 5 2 3 4" xfId="2044" xr:uid="{00000000-0005-0000-0000-0000EC150000}"/>
    <cellStyle name="Percent 2 2 5 2 3 4 2" xfId="6021" xr:uid="{00000000-0005-0000-0000-0000ED150000}"/>
    <cellStyle name="Percent 2 2 5 2 3 5" xfId="3808" xr:uid="{00000000-0005-0000-0000-0000EE150000}"/>
    <cellStyle name="Percent 2 2 5 2 3 6" xfId="1161" xr:uid="{00000000-0005-0000-0000-0000EF150000}"/>
    <cellStyle name="Percent 2 2 5 2 4" xfId="499" xr:uid="{00000000-0005-0000-0000-0000F0150000}"/>
    <cellStyle name="Percent 2 2 5 2 4 2" xfId="3147" xr:uid="{00000000-0005-0000-0000-0000F1150000}"/>
    <cellStyle name="Percent 2 2 5 2 4 2 2" xfId="6022" xr:uid="{00000000-0005-0000-0000-0000F2150000}"/>
    <cellStyle name="Percent 2 2 5 2 4 3" xfId="2265" xr:uid="{00000000-0005-0000-0000-0000F3150000}"/>
    <cellStyle name="Percent 2 2 5 2 4 3 2" xfId="6023" xr:uid="{00000000-0005-0000-0000-0000F4150000}"/>
    <cellStyle name="Percent 2 2 5 2 4 4" xfId="4029" xr:uid="{00000000-0005-0000-0000-0000F5150000}"/>
    <cellStyle name="Percent 2 2 5 2 4 5" xfId="1382" xr:uid="{00000000-0005-0000-0000-0000F6150000}"/>
    <cellStyle name="Percent 2 2 5 2 5" xfId="2706" xr:uid="{00000000-0005-0000-0000-0000F7150000}"/>
    <cellStyle name="Percent 2 2 5 2 5 2" xfId="6024" xr:uid="{00000000-0005-0000-0000-0000F8150000}"/>
    <cellStyle name="Percent 2 2 5 2 6" xfId="1824" xr:uid="{00000000-0005-0000-0000-0000F9150000}"/>
    <cellStyle name="Percent 2 2 5 2 6 2" xfId="6025" xr:uid="{00000000-0005-0000-0000-0000FA150000}"/>
    <cellStyle name="Percent 2 2 5 2 7" xfId="3588" xr:uid="{00000000-0005-0000-0000-0000FB150000}"/>
    <cellStyle name="Percent 2 2 5 2 8" xfId="941" xr:uid="{00000000-0005-0000-0000-0000FC150000}"/>
    <cellStyle name="Percent 2 2 5 3" xfId="74" xr:uid="{00000000-0005-0000-0000-0000FD150000}"/>
    <cellStyle name="Percent 2 2 5 3 2" xfId="184" xr:uid="{00000000-0005-0000-0000-0000FE150000}"/>
    <cellStyle name="Percent 2 2 5 3 2 2" xfId="404" xr:uid="{00000000-0005-0000-0000-0000FF150000}"/>
    <cellStyle name="Percent 2 2 5 3 2 2 2" xfId="845" xr:uid="{00000000-0005-0000-0000-000000160000}"/>
    <cellStyle name="Percent 2 2 5 3 2 2 2 2" xfId="3493" xr:uid="{00000000-0005-0000-0000-000001160000}"/>
    <cellStyle name="Percent 2 2 5 3 2 2 2 2 2" xfId="6026" xr:uid="{00000000-0005-0000-0000-000002160000}"/>
    <cellStyle name="Percent 2 2 5 3 2 2 2 3" xfId="2611" xr:uid="{00000000-0005-0000-0000-000003160000}"/>
    <cellStyle name="Percent 2 2 5 3 2 2 2 3 2" xfId="6027" xr:uid="{00000000-0005-0000-0000-000004160000}"/>
    <cellStyle name="Percent 2 2 5 3 2 2 2 4" xfId="4375" xr:uid="{00000000-0005-0000-0000-000005160000}"/>
    <cellStyle name="Percent 2 2 5 3 2 2 2 5" xfId="1728" xr:uid="{00000000-0005-0000-0000-000006160000}"/>
    <cellStyle name="Percent 2 2 5 3 2 2 3" xfId="3052" xr:uid="{00000000-0005-0000-0000-000007160000}"/>
    <cellStyle name="Percent 2 2 5 3 2 2 3 2" xfId="6028" xr:uid="{00000000-0005-0000-0000-000008160000}"/>
    <cellStyle name="Percent 2 2 5 3 2 2 4" xfId="2170" xr:uid="{00000000-0005-0000-0000-000009160000}"/>
    <cellStyle name="Percent 2 2 5 3 2 2 4 2" xfId="6029" xr:uid="{00000000-0005-0000-0000-00000A160000}"/>
    <cellStyle name="Percent 2 2 5 3 2 2 5" xfId="3934" xr:uid="{00000000-0005-0000-0000-00000B160000}"/>
    <cellStyle name="Percent 2 2 5 3 2 2 6" xfId="1287" xr:uid="{00000000-0005-0000-0000-00000C160000}"/>
    <cellStyle name="Percent 2 2 5 3 2 3" xfId="625" xr:uid="{00000000-0005-0000-0000-00000D160000}"/>
    <cellStyle name="Percent 2 2 5 3 2 3 2" xfId="3273" xr:uid="{00000000-0005-0000-0000-00000E160000}"/>
    <cellStyle name="Percent 2 2 5 3 2 3 2 2" xfId="6030" xr:uid="{00000000-0005-0000-0000-00000F160000}"/>
    <cellStyle name="Percent 2 2 5 3 2 3 3" xfId="2391" xr:uid="{00000000-0005-0000-0000-000010160000}"/>
    <cellStyle name="Percent 2 2 5 3 2 3 3 2" xfId="6031" xr:uid="{00000000-0005-0000-0000-000011160000}"/>
    <cellStyle name="Percent 2 2 5 3 2 3 4" xfId="4155" xr:uid="{00000000-0005-0000-0000-000012160000}"/>
    <cellStyle name="Percent 2 2 5 3 2 3 5" xfId="1508" xr:uid="{00000000-0005-0000-0000-000013160000}"/>
    <cellStyle name="Percent 2 2 5 3 2 4" xfId="2832" xr:uid="{00000000-0005-0000-0000-000014160000}"/>
    <cellStyle name="Percent 2 2 5 3 2 4 2" xfId="6032" xr:uid="{00000000-0005-0000-0000-000015160000}"/>
    <cellStyle name="Percent 2 2 5 3 2 5" xfId="1950" xr:uid="{00000000-0005-0000-0000-000016160000}"/>
    <cellStyle name="Percent 2 2 5 3 2 5 2" xfId="6033" xr:uid="{00000000-0005-0000-0000-000017160000}"/>
    <cellStyle name="Percent 2 2 5 3 2 6" xfId="3714" xr:uid="{00000000-0005-0000-0000-000018160000}"/>
    <cellStyle name="Percent 2 2 5 3 2 7" xfId="1067" xr:uid="{00000000-0005-0000-0000-000019160000}"/>
    <cellStyle name="Percent 2 2 5 3 3" xfId="294" xr:uid="{00000000-0005-0000-0000-00001A160000}"/>
    <cellStyle name="Percent 2 2 5 3 3 2" xfId="735" xr:uid="{00000000-0005-0000-0000-00001B160000}"/>
    <cellStyle name="Percent 2 2 5 3 3 2 2" xfId="3383" xr:uid="{00000000-0005-0000-0000-00001C160000}"/>
    <cellStyle name="Percent 2 2 5 3 3 2 2 2" xfId="6034" xr:uid="{00000000-0005-0000-0000-00001D160000}"/>
    <cellStyle name="Percent 2 2 5 3 3 2 3" xfId="2501" xr:uid="{00000000-0005-0000-0000-00001E160000}"/>
    <cellStyle name="Percent 2 2 5 3 3 2 3 2" xfId="6035" xr:uid="{00000000-0005-0000-0000-00001F160000}"/>
    <cellStyle name="Percent 2 2 5 3 3 2 4" xfId="4265" xr:uid="{00000000-0005-0000-0000-000020160000}"/>
    <cellStyle name="Percent 2 2 5 3 3 2 5" xfId="1618" xr:uid="{00000000-0005-0000-0000-000021160000}"/>
    <cellStyle name="Percent 2 2 5 3 3 3" xfId="2942" xr:uid="{00000000-0005-0000-0000-000022160000}"/>
    <cellStyle name="Percent 2 2 5 3 3 3 2" xfId="6036" xr:uid="{00000000-0005-0000-0000-000023160000}"/>
    <cellStyle name="Percent 2 2 5 3 3 4" xfId="2060" xr:uid="{00000000-0005-0000-0000-000024160000}"/>
    <cellStyle name="Percent 2 2 5 3 3 4 2" xfId="6037" xr:uid="{00000000-0005-0000-0000-000025160000}"/>
    <cellStyle name="Percent 2 2 5 3 3 5" xfId="3824" xr:uid="{00000000-0005-0000-0000-000026160000}"/>
    <cellStyle name="Percent 2 2 5 3 3 6" xfId="1177" xr:uid="{00000000-0005-0000-0000-000027160000}"/>
    <cellStyle name="Percent 2 2 5 3 4" xfId="515" xr:uid="{00000000-0005-0000-0000-000028160000}"/>
    <cellStyle name="Percent 2 2 5 3 4 2" xfId="3163" xr:uid="{00000000-0005-0000-0000-000029160000}"/>
    <cellStyle name="Percent 2 2 5 3 4 2 2" xfId="6038" xr:uid="{00000000-0005-0000-0000-00002A160000}"/>
    <cellStyle name="Percent 2 2 5 3 4 3" xfId="2281" xr:uid="{00000000-0005-0000-0000-00002B160000}"/>
    <cellStyle name="Percent 2 2 5 3 4 3 2" xfId="6039" xr:uid="{00000000-0005-0000-0000-00002C160000}"/>
    <cellStyle name="Percent 2 2 5 3 4 4" xfId="4045" xr:uid="{00000000-0005-0000-0000-00002D160000}"/>
    <cellStyle name="Percent 2 2 5 3 4 5" xfId="1398" xr:uid="{00000000-0005-0000-0000-00002E160000}"/>
    <cellStyle name="Percent 2 2 5 3 5" xfId="2722" xr:uid="{00000000-0005-0000-0000-00002F160000}"/>
    <cellStyle name="Percent 2 2 5 3 5 2" xfId="6040" xr:uid="{00000000-0005-0000-0000-000030160000}"/>
    <cellStyle name="Percent 2 2 5 3 6" xfId="1840" xr:uid="{00000000-0005-0000-0000-000031160000}"/>
    <cellStyle name="Percent 2 2 5 3 6 2" xfId="6041" xr:uid="{00000000-0005-0000-0000-000032160000}"/>
    <cellStyle name="Percent 2 2 5 3 7" xfId="3604" xr:uid="{00000000-0005-0000-0000-000033160000}"/>
    <cellStyle name="Percent 2 2 5 3 8" xfId="957" xr:uid="{00000000-0005-0000-0000-000034160000}"/>
    <cellStyle name="Percent 2 2 5 4" xfId="90" xr:uid="{00000000-0005-0000-0000-000035160000}"/>
    <cellStyle name="Percent 2 2 5 4 2" xfId="200" xr:uid="{00000000-0005-0000-0000-000036160000}"/>
    <cellStyle name="Percent 2 2 5 4 2 2" xfId="420" xr:uid="{00000000-0005-0000-0000-000037160000}"/>
    <cellStyle name="Percent 2 2 5 4 2 2 2" xfId="861" xr:uid="{00000000-0005-0000-0000-000038160000}"/>
    <cellStyle name="Percent 2 2 5 4 2 2 2 2" xfId="3509" xr:uid="{00000000-0005-0000-0000-000039160000}"/>
    <cellStyle name="Percent 2 2 5 4 2 2 2 2 2" xfId="6042" xr:uid="{00000000-0005-0000-0000-00003A160000}"/>
    <cellStyle name="Percent 2 2 5 4 2 2 2 3" xfId="2627" xr:uid="{00000000-0005-0000-0000-00003B160000}"/>
    <cellStyle name="Percent 2 2 5 4 2 2 2 3 2" xfId="6043" xr:uid="{00000000-0005-0000-0000-00003C160000}"/>
    <cellStyle name="Percent 2 2 5 4 2 2 2 4" xfId="4391" xr:uid="{00000000-0005-0000-0000-00003D160000}"/>
    <cellStyle name="Percent 2 2 5 4 2 2 2 5" xfId="1744" xr:uid="{00000000-0005-0000-0000-00003E160000}"/>
    <cellStyle name="Percent 2 2 5 4 2 2 3" xfId="3068" xr:uid="{00000000-0005-0000-0000-00003F160000}"/>
    <cellStyle name="Percent 2 2 5 4 2 2 3 2" xfId="6044" xr:uid="{00000000-0005-0000-0000-000040160000}"/>
    <cellStyle name="Percent 2 2 5 4 2 2 4" xfId="2186" xr:uid="{00000000-0005-0000-0000-000041160000}"/>
    <cellStyle name="Percent 2 2 5 4 2 2 4 2" xfId="6045" xr:uid="{00000000-0005-0000-0000-000042160000}"/>
    <cellStyle name="Percent 2 2 5 4 2 2 5" xfId="3950" xr:uid="{00000000-0005-0000-0000-000043160000}"/>
    <cellStyle name="Percent 2 2 5 4 2 2 6" xfId="1303" xr:uid="{00000000-0005-0000-0000-000044160000}"/>
    <cellStyle name="Percent 2 2 5 4 2 3" xfId="641" xr:uid="{00000000-0005-0000-0000-000045160000}"/>
    <cellStyle name="Percent 2 2 5 4 2 3 2" xfId="3289" xr:uid="{00000000-0005-0000-0000-000046160000}"/>
    <cellStyle name="Percent 2 2 5 4 2 3 2 2" xfId="6046" xr:uid="{00000000-0005-0000-0000-000047160000}"/>
    <cellStyle name="Percent 2 2 5 4 2 3 3" xfId="2407" xr:uid="{00000000-0005-0000-0000-000048160000}"/>
    <cellStyle name="Percent 2 2 5 4 2 3 3 2" xfId="6047" xr:uid="{00000000-0005-0000-0000-000049160000}"/>
    <cellStyle name="Percent 2 2 5 4 2 3 4" xfId="4171" xr:uid="{00000000-0005-0000-0000-00004A160000}"/>
    <cellStyle name="Percent 2 2 5 4 2 3 5" xfId="1524" xr:uid="{00000000-0005-0000-0000-00004B160000}"/>
    <cellStyle name="Percent 2 2 5 4 2 4" xfId="2848" xr:uid="{00000000-0005-0000-0000-00004C160000}"/>
    <cellStyle name="Percent 2 2 5 4 2 4 2" xfId="6048" xr:uid="{00000000-0005-0000-0000-00004D160000}"/>
    <cellStyle name="Percent 2 2 5 4 2 5" xfId="1966" xr:uid="{00000000-0005-0000-0000-00004E160000}"/>
    <cellStyle name="Percent 2 2 5 4 2 5 2" xfId="6049" xr:uid="{00000000-0005-0000-0000-00004F160000}"/>
    <cellStyle name="Percent 2 2 5 4 2 6" xfId="3730" xr:uid="{00000000-0005-0000-0000-000050160000}"/>
    <cellStyle name="Percent 2 2 5 4 2 7" xfId="1083" xr:uid="{00000000-0005-0000-0000-000051160000}"/>
    <cellStyle name="Percent 2 2 5 4 3" xfId="310" xr:uid="{00000000-0005-0000-0000-000052160000}"/>
    <cellStyle name="Percent 2 2 5 4 3 2" xfId="751" xr:uid="{00000000-0005-0000-0000-000053160000}"/>
    <cellStyle name="Percent 2 2 5 4 3 2 2" xfId="3399" xr:uid="{00000000-0005-0000-0000-000054160000}"/>
    <cellStyle name="Percent 2 2 5 4 3 2 2 2" xfId="6050" xr:uid="{00000000-0005-0000-0000-000055160000}"/>
    <cellStyle name="Percent 2 2 5 4 3 2 3" xfId="2517" xr:uid="{00000000-0005-0000-0000-000056160000}"/>
    <cellStyle name="Percent 2 2 5 4 3 2 3 2" xfId="6051" xr:uid="{00000000-0005-0000-0000-000057160000}"/>
    <cellStyle name="Percent 2 2 5 4 3 2 4" xfId="4281" xr:uid="{00000000-0005-0000-0000-000058160000}"/>
    <cellStyle name="Percent 2 2 5 4 3 2 5" xfId="1634" xr:uid="{00000000-0005-0000-0000-000059160000}"/>
    <cellStyle name="Percent 2 2 5 4 3 3" xfId="2958" xr:uid="{00000000-0005-0000-0000-00005A160000}"/>
    <cellStyle name="Percent 2 2 5 4 3 3 2" xfId="6052" xr:uid="{00000000-0005-0000-0000-00005B160000}"/>
    <cellStyle name="Percent 2 2 5 4 3 4" xfId="2076" xr:uid="{00000000-0005-0000-0000-00005C160000}"/>
    <cellStyle name="Percent 2 2 5 4 3 4 2" xfId="6053" xr:uid="{00000000-0005-0000-0000-00005D160000}"/>
    <cellStyle name="Percent 2 2 5 4 3 5" xfId="3840" xr:uid="{00000000-0005-0000-0000-00005E160000}"/>
    <cellStyle name="Percent 2 2 5 4 3 6" xfId="1193" xr:uid="{00000000-0005-0000-0000-00005F160000}"/>
    <cellStyle name="Percent 2 2 5 4 4" xfId="531" xr:uid="{00000000-0005-0000-0000-000060160000}"/>
    <cellStyle name="Percent 2 2 5 4 4 2" xfId="3179" xr:uid="{00000000-0005-0000-0000-000061160000}"/>
    <cellStyle name="Percent 2 2 5 4 4 2 2" xfId="6054" xr:uid="{00000000-0005-0000-0000-000062160000}"/>
    <cellStyle name="Percent 2 2 5 4 4 3" xfId="2297" xr:uid="{00000000-0005-0000-0000-000063160000}"/>
    <cellStyle name="Percent 2 2 5 4 4 3 2" xfId="6055" xr:uid="{00000000-0005-0000-0000-000064160000}"/>
    <cellStyle name="Percent 2 2 5 4 4 4" xfId="4061" xr:uid="{00000000-0005-0000-0000-000065160000}"/>
    <cellStyle name="Percent 2 2 5 4 4 5" xfId="1414" xr:uid="{00000000-0005-0000-0000-000066160000}"/>
    <cellStyle name="Percent 2 2 5 4 5" xfId="2738" xr:uid="{00000000-0005-0000-0000-000067160000}"/>
    <cellStyle name="Percent 2 2 5 4 5 2" xfId="6056" xr:uid="{00000000-0005-0000-0000-000068160000}"/>
    <cellStyle name="Percent 2 2 5 4 6" xfId="1856" xr:uid="{00000000-0005-0000-0000-000069160000}"/>
    <cellStyle name="Percent 2 2 5 4 6 2" xfId="6057" xr:uid="{00000000-0005-0000-0000-00006A160000}"/>
    <cellStyle name="Percent 2 2 5 4 7" xfId="3620" xr:uid="{00000000-0005-0000-0000-00006B160000}"/>
    <cellStyle name="Percent 2 2 5 4 8" xfId="973" xr:uid="{00000000-0005-0000-0000-00006C160000}"/>
    <cellStyle name="Percent 2 2 5 5" xfId="134" xr:uid="{00000000-0005-0000-0000-00006D160000}"/>
    <cellStyle name="Percent 2 2 5 5 2" xfId="354" xr:uid="{00000000-0005-0000-0000-00006E160000}"/>
    <cellStyle name="Percent 2 2 5 5 2 2" xfId="795" xr:uid="{00000000-0005-0000-0000-00006F160000}"/>
    <cellStyle name="Percent 2 2 5 5 2 2 2" xfId="3443" xr:uid="{00000000-0005-0000-0000-000070160000}"/>
    <cellStyle name="Percent 2 2 5 5 2 2 2 2" xfId="6058" xr:uid="{00000000-0005-0000-0000-000071160000}"/>
    <cellStyle name="Percent 2 2 5 5 2 2 3" xfId="2561" xr:uid="{00000000-0005-0000-0000-000072160000}"/>
    <cellStyle name="Percent 2 2 5 5 2 2 3 2" xfId="6059" xr:uid="{00000000-0005-0000-0000-000073160000}"/>
    <cellStyle name="Percent 2 2 5 5 2 2 4" xfId="4325" xr:uid="{00000000-0005-0000-0000-000074160000}"/>
    <cellStyle name="Percent 2 2 5 5 2 2 5" xfId="1678" xr:uid="{00000000-0005-0000-0000-000075160000}"/>
    <cellStyle name="Percent 2 2 5 5 2 3" xfId="3002" xr:uid="{00000000-0005-0000-0000-000076160000}"/>
    <cellStyle name="Percent 2 2 5 5 2 3 2" xfId="6060" xr:uid="{00000000-0005-0000-0000-000077160000}"/>
    <cellStyle name="Percent 2 2 5 5 2 4" xfId="2120" xr:uid="{00000000-0005-0000-0000-000078160000}"/>
    <cellStyle name="Percent 2 2 5 5 2 4 2" xfId="6061" xr:uid="{00000000-0005-0000-0000-000079160000}"/>
    <cellStyle name="Percent 2 2 5 5 2 5" xfId="3884" xr:uid="{00000000-0005-0000-0000-00007A160000}"/>
    <cellStyle name="Percent 2 2 5 5 2 6" xfId="1237" xr:uid="{00000000-0005-0000-0000-00007B160000}"/>
    <cellStyle name="Percent 2 2 5 5 3" xfId="575" xr:uid="{00000000-0005-0000-0000-00007C160000}"/>
    <cellStyle name="Percent 2 2 5 5 3 2" xfId="3223" xr:uid="{00000000-0005-0000-0000-00007D160000}"/>
    <cellStyle name="Percent 2 2 5 5 3 2 2" xfId="6062" xr:uid="{00000000-0005-0000-0000-00007E160000}"/>
    <cellStyle name="Percent 2 2 5 5 3 3" xfId="2341" xr:uid="{00000000-0005-0000-0000-00007F160000}"/>
    <cellStyle name="Percent 2 2 5 5 3 3 2" xfId="6063" xr:uid="{00000000-0005-0000-0000-000080160000}"/>
    <cellStyle name="Percent 2 2 5 5 3 4" xfId="4105" xr:uid="{00000000-0005-0000-0000-000081160000}"/>
    <cellStyle name="Percent 2 2 5 5 3 5" xfId="1458" xr:uid="{00000000-0005-0000-0000-000082160000}"/>
    <cellStyle name="Percent 2 2 5 5 4" xfId="2782" xr:uid="{00000000-0005-0000-0000-000083160000}"/>
    <cellStyle name="Percent 2 2 5 5 4 2" xfId="6064" xr:uid="{00000000-0005-0000-0000-000084160000}"/>
    <cellStyle name="Percent 2 2 5 5 5" xfId="1900" xr:uid="{00000000-0005-0000-0000-000085160000}"/>
    <cellStyle name="Percent 2 2 5 5 5 2" xfId="6065" xr:uid="{00000000-0005-0000-0000-000086160000}"/>
    <cellStyle name="Percent 2 2 5 5 6" xfId="3664" xr:uid="{00000000-0005-0000-0000-000087160000}"/>
    <cellStyle name="Percent 2 2 5 5 7" xfId="1017" xr:uid="{00000000-0005-0000-0000-000088160000}"/>
    <cellStyle name="Percent 2 2 5 6" xfId="244" xr:uid="{00000000-0005-0000-0000-000089160000}"/>
    <cellStyle name="Percent 2 2 5 6 2" xfId="685" xr:uid="{00000000-0005-0000-0000-00008A160000}"/>
    <cellStyle name="Percent 2 2 5 6 2 2" xfId="3333" xr:uid="{00000000-0005-0000-0000-00008B160000}"/>
    <cellStyle name="Percent 2 2 5 6 2 2 2" xfId="6066" xr:uid="{00000000-0005-0000-0000-00008C160000}"/>
    <cellStyle name="Percent 2 2 5 6 2 3" xfId="2451" xr:uid="{00000000-0005-0000-0000-00008D160000}"/>
    <cellStyle name="Percent 2 2 5 6 2 3 2" xfId="6067" xr:uid="{00000000-0005-0000-0000-00008E160000}"/>
    <cellStyle name="Percent 2 2 5 6 2 4" xfId="4215" xr:uid="{00000000-0005-0000-0000-00008F160000}"/>
    <cellStyle name="Percent 2 2 5 6 2 5" xfId="1568" xr:uid="{00000000-0005-0000-0000-000090160000}"/>
    <cellStyle name="Percent 2 2 5 6 3" xfId="2892" xr:uid="{00000000-0005-0000-0000-000091160000}"/>
    <cellStyle name="Percent 2 2 5 6 3 2" xfId="6068" xr:uid="{00000000-0005-0000-0000-000092160000}"/>
    <cellStyle name="Percent 2 2 5 6 4" xfId="2010" xr:uid="{00000000-0005-0000-0000-000093160000}"/>
    <cellStyle name="Percent 2 2 5 6 4 2" xfId="6069" xr:uid="{00000000-0005-0000-0000-000094160000}"/>
    <cellStyle name="Percent 2 2 5 6 5" xfId="3774" xr:uid="{00000000-0005-0000-0000-000095160000}"/>
    <cellStyle name="Percent 2 2 5 6 6" xfId="1127" xr:uid="{00000000-0005-0000-0000-000096160000}"/>
    <cellStyle name="Percent 2 2 5 7" xfId="465" xr:uid="{00000000-0005-0000-0000-000097160000}"/>
    <cellStyle name="Percent 2 2 5 7 2" xfId="3113" xr:uid="{00000000-0005-0000-0000-000098160000}"/>
    <cellStyle name="Percent 2 2 5 7 2 2" xfId="6070" xr:uid="{00000000-0005-0000-0000-000099160000}"/>
    <cellStyle name="Percent 2 2 5 7 3" xfId="2231" xr:uid="{00000000-0005-0000-0000-00009A160000}"/>
    <cellStyle name="Percent 2 2 5 7 3 2" xfId="6071" xr:uid="{00000000-0005-0000-0000-00009B160000}"/>
    <cellStyle name="Percent 2 2 5 7 4" xfId="3995" xr:uid="{00000000-0005-0000-0000-00009C160000}"/>
    <cellStyle name="Percent 2 2 5 7 5" xfId="1348" xr:uid="{00000000-0005-0000-0000-00009D160000}"/>
    <cellStyle name="Percent 2 2 5 8" xfId="2672" xr:uid="{00000000-0005-0000-0000-00009E160000}"/>
    <cellStyle name="Percent 2 2 5 8 2" xfId="6072" xr:uid="{00000000-0005-0000-0000-00009F160000}"/>
    <cellStyle name="Percent 2 2 5 9" xfId="1790" xr:uid="{00000000-0005-0000-0000-0000A0160000}"/>
    <cellStyle name="Percent 2 2 5 9 2" xfId="6073" xr:uid="{00000000-0005-0000-0000-0000A1160000}"/>
    <cellStyle name="Percent 2 2 6" xfId="27" xr:uid="{00000000-0005-0000-0000-0000A2160000}"/>
    <cellStyle name="Percent 2 2 6 2" xfId="93" xr:uid="{00000000-0005-0000-0000-0000A3160000}"/>
    <cellStyle name="Percent 2 2 6 2 2" xfId="203" xr:uid="{00000000-0005-0000-0000-0000A4160000}"/>
    <cellStyle name="Percent 2 2 6 2 2 2" xfId="423" xr:uid="{00000000-0005-0000-0000-0000A5160000}"/>
    <cellStyle name="Percent 2 2 6 2 2 2 2" xfId="864" xr:uid="{00000000-0005-0000-0000-0000A6160000}"/>
    <cellStyle name="Percent 2 2 6 2 2 2 2 2" xfId="3512" xr:uid="{00000000-0005-0000-0000-0000A7160000}"/>
    <cellStyle name="Percent 2 2 6 2 2 2 2 2 2" xfId="6074" xr:uid="{00000000-0005-0000-0000-0000A8160000}"/>
    <cellStyle name="Percent 2 2 6 2 2 2 2 3" xfId="2630" xr:uid="{00000000-0005-0000-0000-0000A9160000}"/>
    <cellStyle name="Percent 2 2 6 2 2 2 2 3 2" xfId="6075" xr:uid="{00000000-0005-0000-0000-0000AA160000}"/>
    <cellStyle name="Percent 2 2 6 2 2 2 2 4" xfId="4394" xr:uid="{00000000-0005-0000-0000-0000AB160000}"/>
    <cellStyle name="Percent 2 2 6 2 2 2 2 5" xfId="1747" xr:uid="{00000000-0005-0000-0000-0000AC160000}"/>
    <cellStyle name="Percent 2 2 6 2 2 2 3" xfId="3071" xr:uid="{00000000-0005-0000-0000-0000AD160000}"/>
    <cellStyle name="Percent 2 2 6 2 2 2 3 2" xfId="6076" xr:uid="{00000000-0005-0000-0000-0000AE160000}"/>
    <cellStyle name="Percent 2 2 6 2 2 2 4" xfId="2189" xr:uid="{00000000-0005-0000-0000-0000AF160000}"/>
    <cellStyle name="Percent 2 2 6 2 2 2 4 2" xfId="6077" xr:uid="{00000000-0005-0000-0000-0000B0160000}"/>
    <cellStyle name="Percent 2 2 6 2 2 2 5" xfId="3953" xr:uid="{00000000-0005-0000-0000-0000B1160000}"/>
    <cellStyle name="Percent 2 2 6 2 2 2 6" xfId="1306" xr:uid="{00000000-0005-0000-0000-0000B2160000}"/>
    <cellStyle name="Percent 2 2 6 2 2 3" xfId="644" xr:uid="{00000000-0005-0000-0000-0000B3160000}"/>
    <cellStyle name="Percent 2 2 6 2 2 3 2" xfId="3292" xr:uid="{00000000-0005-0000-0000-0000B4160000}"/>
    <cellStyle name="Percent 2 2 6 2 2 3 2 2" xfId="6078" xr:uid="{00000000-0005-0000-0000-0000B5160000}"/>
    <cellStyle name="Percent 2 2 6 2 2 3 3" xfId="2410" xr:uid="{00000000-0005-0000-0000-0000B6160000}"/>
    <cellStyle name="Percent 2 2 6 2 2 3 3 2" xfId="6079" xr:uid="{00000000-0005-0000-0000-0000B7160000}"/>
    <cellStyle name="Percent 2 2 6 2 2 3 4" xfId="4174" xr:uid="{00000000-0005-0000-0000-0000B8160000}"/>
    <cellStyle name="Percent 2 2 6 2 2 3 5" xfId="1527" xr:uid="{00000000-0005-0000-0000-0000B9160000}"/>
    <cellStyle name="Percent 2 2 6 2 2 4" xfId="2851" xr:uid="{00000000-0005-0000-0000-0000BA160000}"/>
    <cellStyle name="Percent 2 2 6 2 2 4 2" xfId="6080" xr:uid="{00000000-0005-0000-0000-0000BB160000}"/>
    <cellStyle name="Percent 2 2 6 2 2 5" xfId="1969" xr:uid="{00000000-0005-0000-0000-0000BC160000}"/>
    <cellStyle name="Percent 2 2 6 2 2 5 2" xfId="6081" xr:uid="{00000000-0005-0000-0000-0000BD160000}"/>
    <cellStyle name="Percent 2 2 6 2 2 6" xfId="3733" xr:uid="{00000000-0005-0000-0000-0000BE160000}"/>
    <cellStyle name="Percent 2 2 6 2 2 7" xfId="1086" xr:uid="{00000000-0005-0000-0000-0000BF160000}"/>
    <cellStyle name="Percent 2 2 6 2 3" xfId="313" xr:uid="{00000000-0005-0000-0000-0000C0160000}"/>
    <cellStyle name="Percent 2 2 6 2 3 2" xfId="754" xr:uid="{00000000-0005-0000-0000-0000C1160000}"/>
    <cellStyle name="Percent 2 2 6 2 3 2 2" xfId="3402" xr:uid="{00000000-0005-0000-0000-0000C2160000}"/>
    <cellStyle name="Percent 2 2 6 2 3 2 2 2" xfId="6082" xr:uid="{00000000-0005-0000-0000-0000C3160000}"/>
    <cellStyle name="Percent 2 2 6 2 3 2 3" xfId="2520" xr:uid="{00000000-0005-0000-0000-0000C4160000}"/>
    <cellStyle name="Percent 2 2 6 2 3 2 3 2" xfId="6083" xr:uid="{00000000-0005-0000-0000-0000C5160000}"/>
    <cellStyle name="Percent 2 2 6 2 3 2 4" xfId="4284" xr:uid="{00000000-0005-0000-0000-0000C6160000}"/>
    <cellStyle name="Percent 2 2 6 2 3 2 5" xfId="1637" xr:uid="{00000000-0005-0000-0000-0000C7160000}"/>
    <cellStyle name="Percent 2 2 6 2 3 3" xfId="2961" xr:uid="{00000000-0005-0000-0000-0000C8160000}"/>
    <cellStyle name="Percent 2 2 6 2 3 3 2" xfId="6084" xr:uid="{00000000-0005-0000-0000-0000C9160000}"/>
    <cellStyle name="Percent 2 2 6 2 3 4" xfId="2079" xr:uid="{00000000-0005-0000-0000-0000CA160000}"/>
    <cellStyle name="Percent 2 2 6 2 3 4 2" xfId="6085" xr:uid="{00000000-0005-0000-0000-0000CB160000}"/>
    <cellStyle name="Percent 2 2 6 2 3 5" xfId="3843" xr:uid="{00000000-0005-0000-0000-0000CC160000}"/>
    <cellStyle name="Percent 2 2 6 2 3 6" xfId="1196" xr:uid="{00000000-0005-0000-0000-0000CD160000}"/>
    <cellStyle name="Percent 2 2 6 2 4" xfId="534" xr:uid="{00000000-0005-0000-0000-0000CE160000}"/>
    <cellStyle name="Percent 2 2 6 2 4 2" xfId="3182" xr:uid="{00000000-0005-0000-0000-0000CF160000}"/>
    <cellStyle name="Percent 2 2 6 2 4 2 2" xfId="6086" xr:uid="{00000000-0005-0000-0000-0000D0160000}"/>
    <cellStyle name="Percent 2 2 6 2 4 3" xfId="2300" xr:uid="{00000000-0005-0000-0000-0000D1160000}"/>
    <cellStyle name="Percent 2 2 6 2 4 3 2" xfId="6087" xr:uid="{00000000-0005-0000-0000-0000D2160000}"/>
    <cellStyle name="Percent 2 2 6 2 4 4" xfId="4064" xr:uid="{00000000-0005-0000-0000-0000D3160000}"/>
    <cellStyle name="Percent 2 2 6 2 4 5" xfId="1417" xr:uid="{00000000-0005-0000-0000-0000D4160000}"/>
    <cellStyle name="Percent 2 2 6 2 5" xfId="2741" xr:uid="{00000000-0005-0000-0000-0000D5160000}"/>
    <cellStyle name="Percent 2 2 6 2 5 2" xfId="6088" xr:uid="{00000000-0005-0000-0000-0000D6160000}"/>
    <cellStyle name="Percent 2 2 6 2 6" xfId="1859" xr:uid="{00000000-0005-0000-0000-0000D7160000}"/>
    <cellStyle name="Percent 2 2 6 2 6 2" xfId="6089" xr:uid="{00000000-0005-0000-0000-0000D8160000}"/>
    <cellStyle name="Percent 2 2 6 2 7" xfId="3623" xr:uid="{00000000-0005-0000-0000-0000D9160000}"/>
    <cellStyle name="Percent 2 2 6 2 8" xfId="976" xr:uid="{00000000-0005-0000-0000-0000DA160000}"/>
    <cellStyle name="Percent 2 2 6 3" xfId="137" xr:uid="{00000000-0005-0000-0000-0000DB160000}"/>
    <cellStyle name="Percent 2 2 6 3 2" xfId="357" xr:uid="{00000000-0005-0000-0000-0000DC160000}"/>
    <cellStyle name="Percent 2 2 6 3 2 2" xfId="798" xr:uid="{00000000-0005-0000-0000-0000DD160000}"/>
    <cellStyle name="Percent 2 2 6 3 2 2 2" xfId="3446" xr:uid="{00000000-0005-0000-0000-0000DE160000}"/>
    <cellStyle name="Percent 2 2 6 3 2 2 2 2" xfId="6090" xr:uid="{00000000-0005-0000-0000-0000DF160000}"/>
    <cellStyle name="Percent 2 2 6 3 2 2 3" xfId="2564" xr:uid="{00000000-0005-0000-0000-0000E0160000}"/>
    <cellStyle name="Percent 2 2 6 3 2 2 3 2" xfId="6091" xr:uid="{00000000-0005-0000-0000-0000E1160000}"/>
    <cellStyle name="Percent 2 2 6 3 2 2 4" xfId="4328" xr:uid="{00000000-0005-0000-0000-0000E2160000}"/>
    <cellStyle name="Percent 2 2 6 3 2 2 5" xfId="1681" xr:uid="{00000000-0005-0000-0000-0000E3160000}"/>
    <cellStyle name="Percent 2 2 6 3 2 3" xfId="3005" xr:uid="{00000000-0005-0000-0000-0000E4160000}"/>
    <cellStyle name="Percent 2 2 6 3 2 3 2" xfId="6092" xr:uid="{00000000-0005-0000-0000-0000E5160000}"/>
    <cellStyle name="Percent 2 2 6 3 2 4" xfId="2123" xr:uid="{00000000-0005-0000-0000-0000E6160000}"/>
    <cellStyle name="Percent 2 2 6 3 2 4 2" xfId="6093" xr:uid="{00000000-0005-0000-0000-0000E7160000}"/>
    <cellStyle name="Percent 2 2 6 3 2 5" xfId="3887" xr:uid="{00000000-0005-0000-0000-0000E8160000}"/>
    <cellStyle name="Percent 2 2 6 3 2 6" xfId="1240" xr:uid="{00000000-0005-0000-0000-0000E9160000}"/>
    <cellStyle name="Percent 2 2 6 3 3" xfId="578" xr:uid="{00000000-0005-0000-0000-0000EA160000}"/>
    <cellStyle name="Percent 2 2 6 3 3 2" xfId="3226" xr:uid="{00000000-0005-0000-0000-0000EB160000}"/>
    <cellStyle name="Percent 2 2 6 3 3 2 2" xfId="6094" xr:uid="{00000000-0005-0000-0000-0000EC160000}"/>
    <cellStyle name="Percent 2 2 6 3 3 3" xfId="2344" xr:uid="{00000000-0005-0000-0000-0000ED160000}"/>
    <cellStyle name="Percent 2 2 6 3 3 3 2" xfId="6095" xr:uid="{00000000-0005-0000-0000-0000EE160000}"/>
    <cellStyle name="Percent 2 2 6 3 3 4" xfId="4108" xr:uid="{00000000-0005-0000-0000-0000EF160000}"/>
    <cellStyle name="Percent 2 2 6 3 3 5" xfId="1461" xr:uid="{00000000-0005-0000-0000-0000F0160000}"/>
    <cellStyle name="Percent 2 2 6 3 4" xfId="2785" xr:uid="{00000000-0005-0000-0000-0000F1160000}"/>
    <cellStyle name="Percent 2 2 6 3 4 2" xfId="6096" xr:uid="{00000000-0005-0000-0000-0000F2160000}"/>
    <cellStyle name="Percent 2 2 6 3 5" xfId="1903" xr:uid="{00000000-0005-0000-0000-0000F3160000}"/>
    <cellStyle name="Percent 2 2 6 3 5 2" xfId="6097" xr:uid="{00000000-0005-0000-0000-0000F4160000}"/>
    <cellStyle name="Percent 2 2 6 3 6" xfId="3667" xr:uid="{00000000-0005-0000-0000-0000F5160000}"/>
    <cellStyle name="Percent 2 2 6 3 7" xfId="1020" xr:uid="{00000000-0005-0000-0000-0000F6160000}"/>
    <cellStyle name="Percent 2 2 6 4" xfId="247" xr:uid="{00000000-0005-0000-0000-0000F7160000}"/>
    <cellStyle name="Percent 2 2 6 4 2" xfId="688" xr:uid="{00000000-0005-0000-0000-0000F8160000}"/>
    <cellStyle name="Percent 2 2 6 4 2 2" xfId="3336" xr:uid="{00000000-0005-0000-0000-0000F9160000}"/>
    <cellStyle name="Percent 2 2 6 4 2 2 2" xfId="6098" xr:uid="{00000000-0005-0000-0000-0000FA160000}"/>
    <cellStyle name="Percent 2 2 6 4 2 3" xfId="2454" xr:uid="{00000000-0005-0000-0000-0000FB160000}"/>
    <cellStyle name="Percent 2 2 6 4 2 3 2" xfId="6099" xr:uid="{00000000-0005-0000-0000-0000FC160000}"/>
    <cellStyle name="Percent 2 2 6 4 2 4" xfId="4218" xr:uid="{00000000-0005-0000-0000-0000FD160000}"/>
    <cellStyle name="Percent 2 2 6 4 2 5" xfId="1571" xr:uid="{00000000-0005-0000-0000-0000FE160000}"/>
    <cellStyle name="Percent 2 2 6 4 3" xfId="2895" xr:uid="{00000000-0005-0000-0000-0000FF160000}"/>
    <cellStyle name="Percent 2 2 6 4 3 2" xfId="6100" xr:uid="{00000000-0005-0000-0000-000000170000}"/>
    <cellStyle name="Percent 2 2 6 4 4" xfId="2013" xr:uid="{00000000-0005-0000-0000-000001170000}"/>
    <cellStyle name="Percent 2 2 6 4 4 2" xfId="6101" xr:uid="{00000000-0005-0000-0000-000002170000}"/>
    <cellStyle name="Percent 2 2 6 4 5" xfId="3777" xr:uid="{00000000-0005-0000-0000-000003170000}"/>
    <cellStyle name="Percent 2 2 6 4 6" xfId="1130" xr:uid="{00000000-0005-0000-0000-000004170000}"/>
    <cellStyle name="Percent 2 2 6 5" xfId="468" xr:uid="{00000000-0005-0000-0000-000005170000}"/>
    <cellStyle name="Percent 2 2 6 5 2" xfId="3116" xr:uid="{00000000-0005-0000-0000-000006170000}"/>
    <cellStyle name="Percent 2 2 6 5 2 2" xfId="6102" xr:uid="{00000000-0005-0000-0000-000007170000}"/>
    <cellStyle name="Percent 2 2 6 5 3" xfId="2234" xr:uid="{00000000-0005-0000-0000-000008170000}"/>
    <cellStyle name="Percent 2 2 6 5 3 2" xfId="6103" xr:uid="{00000000-0005-0000-0000-000009170000}"/>
    <cellStyle name="Percent 2 2 6 5 4" xfId="3998" xr:uid="{00000000-0005-0000-0000-00000A170000}"/>
    <cellStyle name="Percent 2 2 6 5 5" xfId="1351" xr:uid="{00000000-0005-0000-0000-00000B170000}"/>
    <cellStyle name="Percent 2 2 6 6" xfId="2675" xr:uid="{00000000-0005-0000-0000-00000C170000}"/>
    <cellStyle name="Percent 2 2 6 6 2" xfId="6104" xr:uid="{00000000-0005-0000-0000-00000D170000}"/>
    <cellStyle name="Percent 2 2 6 7" xfId="1793" xr:uid="{00000000-0005-0000-0000-00000E170000}"/>
    <cellStyle name="Percent 2 2 6 7 2" xfId="6105" xr:uid="{00000000-0005-0000-0000-00000F170000}"/>
    <cellStyle name="Percent 2 2 6 8" xfId="3557" xr:uid="{00000000-0005-0000-0000-000010170000}"/>
    <cellStyle name="Percent 2 2 6 9" xfId="910" xr:uid="{00000000-0005-0000-0000-000011170000}"/>
    <cellStyle name="Percent 2 2 7" xfId="33" xr:uid="{00000000-0005-0000-0000-000012170000}"/>
    <cellStyle name="Percent 2 2 7 2" xfId="99" xr:uid="{00000000-0005-0000-0000-000013170000}"/>
    <cellStyle name="Percent 2 2 7 2 2" xfId="209" xr:uid="{00000000-0005-0000-0000-000014170000}"/>
    <cellStyle name="Percent 2 2 7 2 2 2" xfId="429" xr:uid="{00000000-0005-0000-0000-000015170000}"/>
    <cellStyle name="Percent 2 2 7 2 2 2 2" xfId="870" xr:uid="{00000000-0005-0000-0000-000016170000}"/>
    <cellStyle name="Percent 2 2 7 2 2 2 2 2" xfId="3518" xr:uid="{00000000-0005-0000-0000-000017170000}"/>
    <cellStyle name="Percent 2 2 7 2 2 2 2 2 2" xfId="6106" xr:uid="{00000000-0005-0000-0000-000018170000}"/>
    <cellStyle name="Percent 2 2 7 2 2 2 2 3" xfId="2636" xr:uid="{00000000-0005-0000-0000-000019170000}"/>
    <cellStyle name="Percent 2 2 7 2 2 2 2 3 2" xfId="6107" xr:uid="{00000000-0005-0000-0000-00001A170000}"/>
    <cellStyle name="Percent 2 2 7 2 2 2 2 4" xfId="4400" xr:uid="{00000000-0005-0000-0000-00001B170000}"/>
    <cellStyle name="Percent 2 2 7 2 2 2 2 5" xfId="1753" xr:uid="{00000000-0005-0000-0000-00001C170000}"/>
    <cellStyle name="Percent 2 2 7 2 2 2 3" xfId="3077" xr:uid="{00000000-0005-0000-0000-00001D170000}"/>
    <cellStyle name="Percent 2 2 7 2 2 2 3 2" xfId="6108" xr:uid="{00000000-0005-0000-0000-00001E170000}"/>
    <cellStyle name="Percent 2 2 7 2 2 2 4" xfId="2195" xr:uid="{00000000-0005-0000-0000-00001F170000}"/>
    <cellStyle name="Percent 2 2 7 2 2 2 4 2" xfId="6109" xr:uid="{00000000-0005-0000-0000-000020170000}"/>
    <cellStyle name="Percent 2 2 7 2 2 2 5" xfId="3959" xr:uid="{00000000-0005-0000-0000-000021170000}"/>
    <cellStyle name="Percent 2 2 7 2 2 2 6" xfId="1312" xr:uid="{00000000-0005-0000-0000-000022170000}"/>
    <cellStyle name="Percent 2 2 7 2 2 3" xfId="650" xr:uid="{00000000-0005-0000-0000-000023170000}"/>
    <cellStyle name="Percent 2 2 7 2 2 3 2" xfId="3298" xr:uid="{00000000-0005-0000-0000-000024170000}"/>
    <cellStyle name="Percent 2 2 7 2 2 3 2 2" xfId="6110" xr:uid="{00000000-0005-0000-0000-000025170000}"/>
    <cellStyle name="Percent 2 2 7 2 2 3 3" xfId="2416" xr:uid="{00000000-0005-0000-0000-000026170000}"/>
    <cellStyle name="Percent 2 2 7 2 2 3 3 2" xfId="6111" xr:uid="{00000000-0005-0000-0000-000027170000}"/>
    <cellStyle name="Percent 2 2 7 2 2 3 4" xfId="4180" xr:uid="{00000000-0005-0000-0000-000028170000}"/>
    <cellStyle name="Percent 2 2 7 2 2 3 5" xfId="1533" xr:uid="{00000000-0005-0000-0000-000029170000}"/>
    <cellStyle name="Percent 2 2 7 2 2 4" xfId="2857" xr:uid="{00000000-0005-0000-0000-00002A170000}"/>
    <cellStyle name="Percent 2 2 7 2 2 4 2" xfId="6112" xr:uid="{00000000-0005-0000-0000-00002B170000}"/>
    <cellStyle name="Percent 2 2 7 2 2 5" xfId="1975" xr:uid="{00000000-0005-0000-0000-00002C170000}"/>
    <cellStyle name="Percent 2 2 7 2 2 5 2" xfId="6113" xr:uid="{00000000-0005-0000-0000-00002D170000}"/>
    <cellStyle name="Percent 2 2 7 2 2 6" xfId="3739" xr:uid="{00000000-0005-0000-0000-00002E170000}"/>
    <cellStyle name="Percent 2 2 7 2 2 7" xfId="1092" xr:uid="{00000000-0005-0000-0000-00002F170000}"/>
    <cellStyle name="Percent 2 2 7 2 3" xfId="319" xr:uid="{00000000-0005-0000-0000-000030170000}"/>
    <cellStyle name="Percent 2 2 7 2 3 2" xfId="760" xr:uid="{00000000-0005-0000-0000-000031170000}"/>
    <cellStyle name="Percent 2 2 7 2 3 2 2" xfId="3408" xr:uid="{00000000-0005-0000-0000-000032170000}"/>
    <cellStyle name="Percent 2 2 7 2 3 2 2 2" xfId="6114" xr:uid="{00000000-0005-0000-0000-000033170000}"/>
    <cellStyle name="Percent 2 2 7 2 3 2 3" xfId="2526" xr:uid="{00000000-0005-0000-0000-000034170000}"/>
    <cellStyle name="Percent 2 2 7 2 3 2 3 2" xfId="6115" xr:uid="{00000000-0005-0000-0000-000035170000}"/>
    <cellStyle name="Percent 2 2 7 2 3 2 4" xfId="4290" xr:uid="{00000000-0005-0000-0000-000036170000}"/>
    <cellStyle name="Percent 2 2 7 2 3 2 5" xfId="1643" xr:uid="{00000000-0005-0000-0000-000037170000}"/>
    <cellStyle name="Percent 2 2 7 2 3 3" xfId="2967" xr:uid="{00000000-0005-0000-0000-000038170000}"/>
    <cellStyle name="Percent 2 2 7 2 3 3 2" xfId="6116" xr:uid="{00000000-0005-0000-0000-000039170000}"/>
    <cellStyle name="Percent 2 2 7 2 3 4" xfId="2085" xr:uid="{00000000-0005-0000-0000-00003A170000}"/>
    <cellStyle name="Percent 2 2 7 2 3 4 2" xfId="6117" xr:uid="{00000000-0005-0000-0000-00003B170000}"/>
    <cellStyle name="Percent 2 2 7 2 3 5" xfId="3849" xr:uid="{00000000-0005-0000-0000-00003C170000}"/>
    <cellStyle name="Percent 2 2 7 2 3 6" xfId="1202" xr:uid="{00000000-0005-0000-0000-00003D170000}"/>
    <cellStyle name="Percent 2 2 7 2 4" xfId="540" xr:uid="{00000000-0005-0000-0000-00003E170000}"/>
    <cellStyle name="Percent 2 2 7 2 4 2" xfId="3188" xr:uid="{00000000-0005-0000-0000-00003F170000}"/>
    <cellStyle name="Percent 2 2 7 2 4 2 2" xfId="6118" xr:uid="{00000000-0005-0000-0000-000040170000}"/>
    <cellStyle name="Percent 2 2 7 2 4 3" xfId="2306" xr:uid="{00000000-0005-0000-0000-000041170000}"/>
    <cellStyle name="Percent 2 2 7 2 4 3 2" xfId="6119" xr:uid="{00000000-0005-0000-0000-000042170000}"/>
    <cellStyle name="Percent 2 2 7 2 4 4" xfId="4070" xr:uid="{00000000-0005-0000-0000-000043170000}"/>
    <cellStyle name="Percent 2 2 7 2 4 5" xfId="1423" xr:uid="{00000000-0005-0000-0000-000044170000}"/>
    <cellStyle name="Percent 2 2 7 2 5" xfId="2747" xr:uid="{00000000-0005-0000-0000-000045170000}"/>
    <cellStyle name="Percent 2 2 7 2 5 2" xfId="6120" xr:uid="{00000000-0005-0000-0000-000046170000}"/>
    <cellStyle name="Percent 2 2 7 2 6" xfId="1865" xr:uid="{00000000-0005-0000-0000-000047170000}"/>
    <cellStyle name="Percent 2 2 7 2 6 2" xfId="6121" xr:uid="{00000000-0005-0000-0000-000048170000}"/>
    <cellStyle name="Percent 2 2 7 2 7" xfId="3629" xr:uid="{00000000-0005-0000-0000-000049170000}"/>
    <cellStyle name="Percent 2 2 7 2 8" xfId="982" xr:uid="{00000000-0005-0000-0000-00004A170000}"/>
    <cellStyle name="Percent 2 2 7 3" xfId="143" xr:uid="{00000000-0005-0000-0000-00004B170000}"/>
    <cellStyle name="Percent 2 2 7 3 2" xfId="363" xr:uid="{00000000-0005-0000-0000-00004C170000}"/>
    <cellStyle name="Percent 2 2 7 3 2 2" xfId="804" xr:uid="{00000000-0005-0000-0000-00004D170000}"/>
    <cellStyle name="Percent 2 2 7 3 2 2 2" xfId="3452" xr:uid="{00000000-0005-0000-0000-00004E170000}"/>
    <cellStyle name="Percent 2 2 7 3 2 2 2 2" xfId="6122" xr:uid="{00000000-0005-0000-0000-00004F170000}"/>
    <cellStyle name="Percent 2 2 7 3 2 2 3" xfId="2570" xr:uid="{00000000-0005-0000-0000-000050170000}"/>
    <cellStyle name="Percent 2 2 7 3 2 2 3 2" xfId="6123" xr:uid="{00000000-0005-0000-0000-000051170000}"/>
    <cellStyle name="Percent 2 2 7 3 2 2 4" xfId="4334" xr:uid="{00000000-0005-0000-0000-000052170000}"/>
    <cellStyle name="Percent 2 2 7 3 2 2 5" xfId="1687" xr:uid="{00000000-0005-0000-0000-000053170000}"/>
    <cellStyle name="Percent 2 2 7 3 2 3" xfId="3011" xr:uid="{00000000-0005-0000-0000-000054170000}"/>
    <cellStyle name="Percent 2 2 7 3 2 3 2" xfId="6124" xr:uid="{00000000-0005-0000-0000-000055170000}"/>
    <cellStyle name="Percent 2 2 7 3 2 4" xfId="2129" xr:uid="{00000000-0005-0000-0000-000056170000}"/>
    <cellStyle name="Percent 2 2 7 3 2 4 2" xfId="6125" xr:uid="{00000000-0005-0000-0000-000057170000}"/>
    <cellStyle name="Percent 2 2 7 3 2 5" xfId="3893" xr:uid="{00000000-0005-0000-0000-000058170000}"/>
    <cellStyle name="Percent 2 2 7 3 2 6" xfId="1246" xr:uid="{00000000-0005-0000-0000-000059170000}"/>
    <cellStyle name="Percent 2 2 7 3 3" xfId="584" xr:uid="{00000000-0005-0000-0000-00005A170000}"/>
    <cellStyle name="Percent 2 2 7 3 3 2" xfId="3232" xr:uid="{00000000-0005-0000-0000-00005B170000}"/>
    <cellStyle name="Percent 2 2 7 3 3 2 2" xfId="6126" xr:uid="{00000000-0005-0000-0000-00005C170000}"/>
    <cellStyle name="Percent 2 2 7 3 3 3" xfId="2350" xr:uid="{00000000-0005-0000-0000-00005D170000}"/>
    <cellStyle name="Percent 2 2 7 3 3 3 2" xfId="6127" xr:uid="{00000000-0005-0000-0000-00005E170000}"/>
    <cellStyle name="Percent 2 2 7 3 3 4" xfId="4114" xr:uid="{00000000-0005-0000-0000-00005F170000}"/>
    <cellStyle name="Percent 2 2 7 3 3 5" xfId="1467" xr:uid="{00000000-0005-0000-0000-000060170000}"/>
    <cellStyle name="Percent 2 2 7 3 4" xfId="2791" xr:uid="{00000000-0005-0000-0000-000061170000}"/>
    <cellStyle name="Percent 2 2 7 3 4 2" xfId="6128" xr:uid="{00000000-0005-0000-0000-000062170000}"/>
    <cellStyle name="Percent 2 2 7 3 5" xfId="1909" xr:uid="{00000000-0005-0000-0000-000063170000}"/>
    <cellStyle name="Percent 2 2 7 3 5 2" xfId="6129" xr:uid="{00000000-0005-0000-0000-000064170000}"/>
    <cellStyle name="Percent 2 2 7 3 6" xfId="3673" xr:uid="{00000000-0005-0000-0000-000065170000}"/>
    <cellStyle name="Percent 2 2 7 3 7" xfId="1026" xr:uid="{00000000-0005-0000-0000-000066170000}"/>
    <cellStyle name="Percent 2 2 7 4" xfId="253" xr:uid="{00000000-0005-0000-0000-000067170000}"/>
    <cellStyle name="Percent 2 2 7 4 2" xfId="694" xr:uid="{00000000-0005-0000-0000-000068170000}"/>
    <cellStyle name="Percent 2 2 7 4 2 2" xfId="3342" xr:uid="{00000000-0005-0000-0000-000069170000}"/>
    <cellStyle name="Percent 2 2 7 4 2 2 2" xfId="6130" xr:uid="{00000000-0005-0000-0000-00006A170000}"/>
    <cellStyle name="Percent 2 2 7 4 2 3" xfId="2460" xr:uid="{00000000-0005-0000-0000-00006B170000}"/>
    <cellStyle name="Percent 2 2 7 4 2 3 2" xfId="6131" xr:uid="{00000000-0005-0000-0000-00006C170000}"/>
    <cellStyle name="Percent 2 2 7 4 2 4" xfId="4224" xr:uid="{00000000-0005-0000-0000-00006D170000}"/>
    <cellStyle name="Percent 2 2 7 4 2 5" xfId="1577" xr:uid="{00000000-0005-0000-0000-00006E170000}"/>
    <cellStyle name="Percent 2 2 7 4 3" xfId="2901" xr:uid="{00000000-0005-0000-0000-00006F170000}"/>
    <cellStyle name="Percent 2 2 7 4 3 2" xfId="6132" xr:uid="{00000000-0005-0000-0000-000070170000}"/>
    <cellStyle name="Percent 2 2 7 4 4" xfId="2019" xr:uid="{00000000-0005-0000-0000-000071170000}"/>
    <cellStyle name="Percent 2 2 7 4 4 2" xfId="6133" xr:uid="{00000000-0005-0000-0000-000072170000}"/>
    <cellStyle name="Percent 2 2 7 4 5" xfId="3783" xr:uid="{00000000-0005-0000-0000-000073170000}"/>
    <cellStyle name="Percent 2 2 7 4 6" xfId="1136" xr:uid="{00000000-0005-0000-0000-000074170000}"/>
    <cellStyle name="Percent 2 2 7 5" xfId="474" xr:uid="{00000000-0005-0000-0000-000075170000}"/>
    <cellStyle name="Percent 2 2 7 5 2" xfId="3122" xr:uid="{00000000-0005-0000-0000-000076170000}"/>
    <cellStyle name="Percent 2 2 7 5 2 2" xfId="6134" xr:uid="{00000000-0005-0000-0000-000077170000}"/>
    <cellStyle name="Percent 2 2 7 5 3" xfId="2240" xr:uid="{00000000-0005-0000-0000-000078170000}"/>
    <cellStyle name="Percent 2 2 7 5 3 2" xfId="6135" xr:uid="{00000000-0005-0000-0000-000079170000}"/>
    <cellStyle name="Percent 2 2 7 5 4" xfId="4004" xr:uid="{00000000-0005-0000-0000-00007A170000}"/>
    <cellStyle name="Percent 2 2 7 5 5" xfId="1357" xr:uid="{00000000-0005-0000-0000-00007B170000}"/>
    <cellStyle name="Percent 2 2 7 6" xfId="2681" xr:uid="{00000000-0005-0000-0000-00007C170000}"/>
    <cellStyle name="Percent 2 2 7 6 2" xfId="6136" xr:uid="{00000000-0005-0000-0000-00007D170000}"/>
    <cellStyle name="Percent 2 2 7 7" xfId="1799" xr:uid="{00000000-0005-0000-0000-00007E170000}"/>
    <cellStyle name="Percent 2 2 7 7 2" xfId="6137" xr:uid="{00000000-0005-0000-0000-00007F170000}"/>
    <cellStyle name="Percent 2 2 7 8" xfId="3563" xr:uid="{00000000-0005-0000-0000-000080170000}"/>
    <cellStyle name="Percent 2 2 7 9" xfId="916" xr:uid="{00000000-0005-0000-0000-000081170000}"/>
    <cellStyle name="Percent 2 2 8" xfId="39" xr:uid="{00000000-0005-0000-0000-000082170000}"/>
    <cellStyle name="Percent 2 2 8 2" xfId="105" xr:uid="{00000000-0005-0000-0000-000083170000}"/>
    <cellStyle name="Percent 2 2 8 2 2" xfId="215" xr:uid="{00000000-0005-0000-0000-000084170000}"/>
    <cellStyle name="Percent 2 2 8 2 2 2" xfId="435" xr:uid="{00000000-0005-0000-0000-000085170000}"/>
    <cellStyle name="Percent 2 2 8 2 2 2 2" xfId="876" xr:uid="{00000000-0005-0000-0000-000086170000}"/>
    <cellStyle name="Percent 2 2 8 2 2 2 2 2" xfId="3524" xr:uid="{00000000-0005-0000-0000-000087170000}"/>
    <cellStyle name="Percent 2 2 8 2 2 2 2 2 2" xfId="6138" xr:uid="{00000000-0005-0000-0000-000088170000}"/>
    <cellStyle name="Percent 2 2 8 2 2 2 2 3" xfId="2642" xr:uid="{00000000-0005-0000-0000-000089170000}"/>
    <cellStyle name="Percent 2 2 8 2 2 2 2 3 2" xfId="6139" xr:uid="{00000000-0005-0000-0000-00008A170000}"/>
    <cellStyle name="Percent 2 2 8 2 2 2 2 4" xfId="4406" xr:uid="{00000000-0005-0000-0000-00008B170000}"/>
    <cellStyle name="Percent 2 2 8 2 2 2 2 5" xfId="1759" xr:uid="{00000000-0005-0000-0000-00008C170000}"/>
    <cellStyle name="Percent 2 2 8 2 2 2 3" xfId="3083" xr:uid="{00000000-0005-0000-0000-00008D170000}"/>
    <cellStyle name="Percent 2 2 8 2 2 2 3 2" xfId="6140" xr:uid="{00000000-0005-0000-0000-00008E170000}"/>
    <cellStyle name="Percent 2 2 8 2 2 2 4" xfId="2201" xr:uid="{00000000-0005-0000-0000-00008F170000}"/>
    <cellStyle name="Percent 2 2 8 2 2 2 4 2" xfId="6141" xr:uid="{00000000-0005-0000-0000-000090170000}"/>
    <cellStyle name="Percent 2 2 8 2 2 2 5" xfId="3965" xr:uid="{00000000-0005-0000-0000-000091170000}"/>
    <cellStyle name="Percent 2 2 8 2 2 2 6" xfId="1318" xr:uid="{00000000-0005-0000-0000-000092170000}"/>
    <cellStyle name="Percent 2 2 8 2 2 3" xfId="656" xr:uid="{00000000-0005-0000-0000-000093170000}"/>
    <cellStyle name="Percent 2 2 8 2 2 3 2" xfId="3304" xr:uid="{00000000-0005-0000-0000-000094170000}"/>
    <cellStyle name="Percent 2 2 8 2 2 3 2 2" xfId="6142" xr:uid="{00000000-0005-0000-0000-000095170000}"/>
    <cellStyle name="Percent 2 2 8 2 2 3 3" xfId="2422" xr:uid="{00000000-0005-0000-0000-000096170000}"/>
    <cellStyle name="Percent 2 2 8 2 2 3 3 2" xfId="6143" xr:uid="{00000000-0005-0000-0000-000097170000}"/>
    <cellStyle name="Percent 2 2 8 2 2 3 4" xfId="4186" xr:uid="{00000000-0005-0000-0000-000098170000}"/>
    <cellStyle name="Percent 2 2 8 2 2 3 5" xfId="1539" xr:uid="{00000000-0005-0000-0000-000099170000}"/>
    <cellStyle name="Percent 2 2 8 2 2 4" xfId="2863" xr:uid="{00000000-0005-0000-0000-00009A170000}"/>
    <cellStyle name="Percent 2 2 8 2 2 4 2" xfId="6144" xr:uid="{00000000-0005-0000-0000-00009B170000}"/>
    <cellStyle name="Percent 2 2 8 2 2 5" xfId="1981" xr:uid="{00000000-0005-0000-0000-00009C170000}"/>
    <cellStyle name="Percent 2 2 8 2 2 5 2" xfId="6145" xr:uid="{00000000-0005-0000-0000-00009D170000}"/>
    <cellStyle name="Percent 2 2 8 2 2 6" xfId="3745" xr:uid="{00000000-0005-0000-0000-00009E170000}"/>
    <cellStyle name="Percent 2 2 8 2 2 7" xfId="1098" xr:uid="{00000000-0005-0000-0000-00009F170000}"/>
    <cellStyle name="Percent 2 2 8 2 3" xfId="325" xr:uid="{00000000-0005-0000-0000-0000A0170000}"/>
    <cellStyle name="Percent 2 2 8 2 3 2" xfId="766" xr:uid="{00000000-0005-0000-0000-0000A1170000}"/>
    <cellStyle name="Percent 2 2 8 2 3 2 2" xfId="3414" xr:uid="{00000000-0005-0000-0000-0000A2170000}"/>
    <cellStyle name="Percent 2 2 8 2 3 2 2 2" xfId="6146" xr:uid="{00000000-0005-0000-0000-0000A3170000}"/>
    <cellStyle name="Percent 2 2 8 2 3 2 3" xfId="2532" xr:uid="{00000000-0005-0000-0000-0000A4170000}"/>
    <cellStyle name="Percent 2 2 8 2 3 2 3 2" xfId="6147" xr:uid="{00000000-0005-0000-0000-0000A5170000}"/>
    <cellStyle name="Percent 2 2 8 2 3 2 4" xfId="4296" xr:uid="{00000000-0005-0000-0000-0000A6170000}"/>
    <cellStyle name="Percent 2 2 8 2 3 2 5" xfId="1649" xr:uid="{00000000-0005-0000-0000-0000A7170000}"/>
    <cellStyle name="Percent 2 2 8 2 3 3" xfId="2973" xr:uid="{00000000-0005-0000-0000-0000A8170000}"/>
    <cellStyle name="Percent 2 2 8 2 3 3 2" xfId="6148" xr:uid="{00000000-0005-0000-0000-0000A9170000}"/>
    <cellStyle name="Percent 2 2 8 2 3 4" xfId="2091" xr:uid="{00000000-0005-0000-0000-0000AA170000}"/>
    <cellStyle name="Percent 2 2 8 2 3 4 2" xfId="6149" xr:uid="{00000000-0005-0000-0000-0000AB170000}"/>
    <cellStyle name="Percent 2 2 8 2 3 5" xfId="3855" xr:uid="{00000000-0005-0000-0000-0000AC170000}"/>
    <cellStyle name="Percent 2 2 8 2 3 6" xfId="1208" xr:uid="{00000000-0005-0000-0000-0000AD170000}"/>
    <cellStyle name="Percent 2 2 8 2 4" xfId="546" xr:uid="{00000000-0005-0000-0000-0000AE170000}"/>
    <cellStyle name="Percent 2 2 8 2 4 2" xfId="3194" xr:uid="{00000000-0005-0000-0000-0000AF170000}"/>
    <cellStyle name="Percent 2 2 8 2 4 2 2" xfId="6150" xr:uid="{00000000-0005-0000-0000-0000B0170000}"/>
    <cellStyle name="Percent 2 2 8 2 4 3" xfId="2312" xr:uid="{00000000-0005-0000-0000-0000B1170000}"/>
    <cellStyle name="Percent 2 2 8 2 4 3 2" xfId="6151" xr:uid="{00000000-0005-0000-0000-0000B2170000}"/>
    <cellStyle name="Percent 2 2 8 2 4 4" xfId="4076" xr:uid="{00000000-0005-0000-0000-0000B3170000}"/>
    <cellStyle name="Percent 2 2 8 2 4 5" xfId="1429" xr:uid="{00000000-0005-0000-0000-0000B4170000}"/>
    <cellStyle name="Percent 2 2 8 2 5" xfId="2753" xr:uid="{00000000-0005-0000-0000-0000B5170000}"/>
    <cellStyle name="Percent 2 2 8 2 5 2" xfId="6152" xr:uid="{00000000-0005-0000-0000-0000B6170000}"/>
    <cellStyle name="Percent 2 2 8 2 6" xfId="1871" xr:uid="{00000000-0005-0000-0000-0000B7170000}"/>
    <cellStyle name="Percent 2 2 8 2 6 2" xfId="6153" xr:uid="{00000000-0005-0000-0000-0000B8170000}"/>
    <cellStyle name="Percent 2 2 8 2 7" xfId="3635" xr:uid="{00000000-0005-0000-0000-0000B9170000}"/>
    <cellStyle name="Percent 2 2 8 2 8" xfId="988" xr:uid="{00000000-0005-0000-0000-0000BA170000}"/>
    <cellStyle name="Percent 2 2 8 3" xfId="149" xr:uid="{00000000-0005-0000-0000-0000BB170000}"/>
    <cellStyle name="Percent 2 2 8 3 2" xfId="369" xr:uid="{00000000-0005-0000-0000-0000BC170000}"/>
    <cellStyle name="Percent 2 2 8 3 2 2" xfId="810" xr:uid="{00000000-0005-0000-0000-0000BD170000}"/>
    <cellStyle name="Percent 2 2 8 3 2 2 2" xfId="3458" xr:uid="{00000000-0005-0000-0000-0000BE170000}"/>
    <cellStyle name="Percent 2 2 8 3 2 2 2 2" xfId="6154" xr:uid="{00000000-0005-0000-0000-0000BF170000}"/>
    <cellStyle name="Percent 2 2 8 3 2 2 3" xfId="2576" xr:uid="{00000000-0005-0000-0000-0000C0170000}"/>
    <cellStyle name="Percent 2 2 8 3 2 2 3 2" xfId="6155" xr:uid="{00000000-0005-0000-0000-0000C1170000}"/>
    <cellStyle name="Percent 2 2 8 3 2 2 4" xfId="4340" xr:uid="{00000000-0005-0000-0000-0000C2170000}"/>
    <cellStyle name="Percent 2 2 8 3 2 2 5" xfId="1693" xr:uid="{00000000-0005-0000-0000-0000C3170000}"/>
    <cellStyle name="Percent 2 2 8 3 2 3" xfId="3017" xr:uid="{00000000-0005-0000-0000-0000C4170000}"/>
    <cellStyle name="Percent 2 2 8 3 2 3 2" xfId="6156" xr:uid="{00000000-0005-0000-0000-0000C5170000}"/>
    <cellStyle name="Percent 2 2 8 3 2 4" xfId="2135" xr:uid="{00000000-0005-0000-0000-0000C6170000}"/>
    <cellStyle name="Percent 2 2 8 3 2 4 2" xfId="6157" xr:uid="{00000000-0005-0000-0000-0000C7170000}"/>
    <cellStyle name="Percent 2 2 8 3 2 5" xfId="3899" xr:uid="{00000000-0005-0000-0000-0000C8170000}"/>
    <cellStyle name="Percent 2 2 8 3 2 6" xfId="1252" xr:uid="{00000000-0005-0000-0000-0000C9170000}"/>
    <cellStyle name="Percent 2 2 8 3 3" xfId="590" xr:uid="{00000000-0005-0000-0000-0000CA170000}"/>
    <cellStyle name="Percent 2 2 8 3 3 2" xfId="3238" xr:uid="{00000000-0005-0000-0000-0000CB170000}"/>
    <cellStyle name="Percent 2 2 8 3 3 2 2" xfId="6158" xr:uid="{00000000-0005-0000-0000-0000CC170000}"/>
    <cellStyle name="Percent 2 2 8 3 3 3" xfId="2356" xr:uid="{00000000-0005-0000-0000-0000CD170000}"/>
    <cellStyle name="Percent 2 2 8 3 3 3 2" xfId="6159" xr:uid="{00000000-0005-0000-0000-0000CE170000}"/>
    <cellStyle name="Percent 2 2 8 3 3 4" xfId="4120" xr:uid="{00000000-0005-0000-0000-0000CF170000}"/>
    <cellStyle name="Percent 2 2 8 3 3 5" xfId="1473" xr:uid="{00000000-0005-0000-0000-0000D0170000}"/>
    <cellStyle name="Percent 2 2 8 3 4" xfId="2797" xr:uid="{00000000-0005-0000-0000-0000D1170000}"/>
    <cellStyle name="Percent 2 2 8 3 4 2" xfId="6160" xr:uid="{00000000-0005-0000-0000-0000D2170000}"/>
    <cellStyle name="Percent 2 2 8 3 5" xfId="1915" xr:uid="{00000000-0005-0000-0000-0000D3170000}"/>
    <cellStyle name="Percent 2 2 8 3 5 2" xfId="6161" xr:uid="{00000000-0005-0000-0000-0000D4170000}"/>
    <cellStyle name="Percent 2 2 8 3 6" xfId="3679" xr:uid="{00000000-0005-0000-0000-0000D5170000}"/>
    <cellStyle name="Percent 2 2 8 3 7" xfId="1032" xr:uid="{00000000-0005-0000-0000-0000D6170000}"/>
    <cellStyle name="Percent 2 2 8 4" xfId="259" xr:uid="{00000000-0005-0000-0000-0000D7170000}"/>
    <cellStyle name="Percent 2 2 8 4 2" xfId="700" xr:uid="{00000000-0005-0000-0000-0000D8170000}"/>
    <cellStyle name="Percent 2 2 8 4 2 2" xfId="3348" xr:uid="{00000000-0005-0000-0000-0000D9170000}"/>
    <cellStyle name="Percent 2 2 8 4 2 2 2" xfId="6162" xr:uid="{00000000-0005-0000-0000-0000DA170000}"/>
    <cellStyle name="Percent 2 2 8 4 2 3" xfId="2466" xr:uid="{00000000-0005-0000-0000-0000DB170000}"/>
    <cellStyle name="Percent 2 2 8 4 2 3 2" xfId="6163" xr:uid="{00000000-0005-0000-0000-0000DC170000}"/>
    <cellStyle name="Percent 2 2 8 4 2 4" xfId="4230" xr:uid="{00000000-0005-0000-0000-0000DD170000}"/>
    <cellStyle name="Percent 2 2 8 4 2 5" xfId="1583" xr:uid="{00000000-0005-0000-0000-0000DE170000}"/>
    <cellStyle name="Percent 2 2 8 4 3" xfId="2907" xr:uid="{00000000-0005-0000-0000-0000DF170000}"/>
    <cellStyle name="Percent 2 2 8 4 3 2" xfId="6164" xr:uid="{00000000-0005-0000-0000-0000E0170000}"/>
    <cellStyle name="Percent 2 2 8 4 4" xfId="2025" xr:uid="{00000000-0005-0000-0000-0000E1170000}"/>
    <cellStyle name="Percent 2 2 8 4 4 2" xfId="6165" xr:uid="{00000000-0005-0000-0000-0000E2170000}"/>
    <cellStyle name="Percent 2 2 8 4 5" xfId="3789" xr:uid="{00000000-0005-0000-0000-0000E3170000}"/>
    <cellStyle name="Percent 2 2 8 4 6" xfId="1142" xr:uid="{00000000-0005-0000-0000-0000E4170000}"/>
    <cellStyle name="Percent 2 2 8 5" xfId="480" xr:uid="{00000000-0005-0000-0000-0000E5170000}"/>
    <cellStyle name="Percent 2 2 8 5 2" xfId="3128" xr:uid="{00000000-0005-0000-0000-0000E6170000}"/>
    <cellStyle name="Percent 2 2 8 5 2 2" xfId="6166" xr:uid="{00000000-0005-0000-0000-0000E7170000}"/>
    <cellStyle name="Percent 2 2 8 5 3" xfId="2246" xr:uid="{00000000-0005-0000-0000-0000E8170000}"/>
    <cellStyle name="Percent 2 2 8 5 3 2" xfId="6167" xr:uid="{00000000-0005-0000-0000-0000E9170000}"/>
    <cellStyle name="Percent 2 2 8 5 4" xfId="4010" xr:uid="{00000000-0005-0000-0000-0000EA170000}"/>
    <cellStyle name="Percent 2 2 8 5 5" xfId="1363" xr:uid="{00000000-0005-0000-0000-0000EB170000}"/>
    <cellStyle name="Percent 2 2 8 6" xfId="2687" xr:uid="{00000000-0005-0000-0000-0000EC170000}"/>
    <cellStyle name="Percent 2 2 8 6 2" xfId="6168" xr:uid="{00000000-0005-0000-0000-0000ED170000}"/>
    <cellStyle name="Percent 2 2 8 7" xfId="1805" xr:uid="{00000000-0005-0000-0000-0000EE170000}"/>
    <cellStyle name="Percent 2 2 8 7 2" xfId="6169" xr:uid="{00000000-0005-0000-0000-0000EF170000}"/>
    <cellStyle name="Percent 2 2 8 8" xfId="3569" xr:uid="{00000000-0005-0000-0000-0000F0170000}"/>
    <cellStyle name="Percent 2 2 8 9" xfId="922" xr:uid="{00000000-0005-0000-0000-0000F1170000}"/>
    <cellStyle name="Percent 2 2 9" xfId="45" xr:uid="{00000000-0005-0000-0000-0000F2170000}"/>
    <cellStyle name="Percent 2 2 9 2" xfId="155" xr:uid="{00000000-0005-0000-0000-0000F3170000}"/>
    <cellStyle name="Percent 2 2 9 2 2" xfId="375" xr:uid="{00000000-0005-0000-0000-0000F4170000}"/>
    <cellStyle name="Percent 2 2 9 2 2 2" xfId="816" xr:uid="{00000000-0005-0000-0000-0000F5170000}"/>
    <cellStyle name="Percent 2 2 9 2 2 2 2" xfId="3464" xr:uid="{00000000-0005-0000-0000-0000F6170000}"/>
    <cellStyle name="Percent 2 2 9 2 2 2 2 2" xfId="6170" xr:uid="{00000000-0005-0000-0000-0000F7170000}"/>
    <cellStyle name="Percent 2 2 9 2 2 2 3" xfId="2582" xr:uid="{00000000-0005-0000-0000-0000F8170000}"/>
    <cellStyle name="Percent 2 2 9 2 2 2 3 2" xfId="6171" xr:uid="{00000000-0005-0000-0000-0000F9170000}"/>
    <cellStyle name="Percent 2 2 9 2 2 2 4" xfId="4346" xr:uid="{00000000-0005-0000-0000-0000FA170000}"/>
    <cellStyle name="Percent 2 2 9 2 2 2 5" xfId="1699" xr:uid="{00000000-0005-0000-0000-0000FB170000}"/>
    <cellStyle name="Percent 2 2 9 2 2 3" xfId="3023" xr:uid="{00000000-0005-0000-0000-0000FC170000}"/>
    <cellStyle name="Percent 2 2 9 2 2 3 2" xfId="6172" xr:uid="{00000000-0005-0000-0000-0000FD170000}"/>
    <cellStyle name="Percent 2 2 9 2 2 4" xfId="2141" xr:uid="{00000000-0005-0000-0000-0000FE170000}"/>
    <cellStyle name="Percent 2 2 9 2 2 4 2" xfId="6173" xr:uid="{00000000-0005-0000-0000-0000FF170000}"/>
    <cellStyle name="Percent 2 2 9 2 2 5" xfId="3905" xr:uid="{00000000-0005-0000-0000-000000180000}"/>
    <cellStyle name="Percent 2 2 9 2 2 6" xfId="1258" xr:uid="{00000000-0005-0000-0000-000001180000}"/>
    <cellStyle name="Percent 2 2 9 2 3" xfId="596" xr:uid="{00000000-0005-0000-0000-000002180000}"/>
    <cellStyle name="Percent 2 2 9 2 3 2" xfId="3244" xr:uid="{00000000-0005-0000-0000-000003180000}"/>
    <cellStyle name="Percent 2 2 9 2 3 2 2" xfId="6174" xr:uid="{00000000-0005-0000-0000-000004180000}"/>
    <cellStyle name="Percent 2 2 9 2 3 3" xfId="2362" xr:uid="{00000000-0005-0000-0000-000005180000}"/>
    <cellStyle name="Percent 2 2 9 2 3 3 2" xfId="6175" xr:uid="{00000000-0005-0000-0000-000006180000}"/>
    <cellStyle name="Percent 2 2 9 2 3 4" xfId="4126" xr:uid="{00000000-0005-0000-0000-000007180000}"/>
    <cellStyle name="Percent 2 2 9 2 3 5" xfId="1479" xr:uid="{00000000-0005-0000-0000-000008180000}"/>
    <cellStyle name="Percent 2 2 9 2 4" xfId="2803" xr:uid="{00000000-0005-0000-0000-000009180000}"/>
    <cellStyle name="Percent 2 2 9 2 4 2" xfId="6176" xr:uid="{00000000-0005-0000-0000-00000A180000}"/>
    <cellStyle name="Percent 2 2 9 2 5" xfId="1921" xr:uid="{00000000-0005-0000-0000-00000B180000}"/>
    <cellStyle name="Percent 2 2 9 2 5 2" xfId="6177" xr:uid="{00000000-0005-0000-0000-00000C180000}"/>
    <cellStyle name="Percent 2 2 9 2 6" xfId="3685" xr:uid="{00000000-0005-0000-0000-00000D180000}"/>
    <cellStyle name="Percent 2 2 9 2 7" xfId="1038" xr:uid="{00000000-0005-0000-0000-00000E180000}"/>
    <cellStyle name="Percent 2 2 9 3" xfId="265" xr:uid="{00000000-0005-0000-0000-00000F180000}"/>
    <cellStyle name="Percent 2 2 9 3 2" xfId="706" xr:uid="{00000000-0005-0000-0000-000010180000}"/>
    <cellStyle name="Percent 2 2 9 3 2 2" xfId="3354" xr:uid="{00000000-0005-0000-0000-000011180000}"/>
    <cellStyle name="Percent 2 2 9 3 2 2 2" xfId="6178" xr:uid="{00000000-0005-0000-0000-000012180000}"/>
    <cellStyle name="Percent 2 2 9 3 2 3" xfId="2472" xr:uid="{00000000-0005-0000-0000-000013180000}"/>
    <cellStyle name="Percent 2 2 9 3 2 3 2" xfId="6179" xr:uid="{00000000-0005-0000-0000-000014180000}"/>
    <cellStyle name="Percent 2 2 9 3 2 4" xfId="4236" xr:uid="{00000000-0005-0000-0000-000015180000}"/>
    <cellStyle name="Percent 2 2 9 3 2 5" xfId="1589" xr:uid="{00000000-0005-0000-0000-000016180000}"/>
    <cellStyle name="Percent 2 2 9 3 3" xfId="2913" xr:uid="{00000000-0005-0000-0000-000017180000}"/>
    <cellStyle name="Percent 2 2 9 3 3 2" xfId="6180" xr:uid="{00000000-0005-0000-0000-000018180000}"/>
    <cellStyle name="Percent 2 2 9 3 4" xfId="2031" xr:uid="{00000000-0005-0000-0000-000019180000}"/>
    <cellStyle name="Percent 2 2 9 3 4 2" xfId="6181" xr:uid="{00000000-0005-0000-0000-00001A180000}"/>
    <cellStyle name="Percent 2 2 9 3 5" xfId="3795" xr:uid="{00000000-0005-0000-0000-00001B180000}"/>
    <cellStyle name="Percent 2 2 9 3 6" xfId="1148" xr:uid="{00000000-0005-0000-0000-00001C180000}"/>
    <cellStyle name="Percent 2 2 9 4" xfId="486" xr:uid="{00000000-0005-0000-0000-00001D180000}"/>
    <cellStyle name="Percent 2 2 9 4 2" xfId="3134" xr:uid="{00000000-0005-0000-0000-00001E180000}"/>
    <cellStyle name="Percent 2 2 9 4 2 2" xfId="6182" xr:uid="{00000000-0005-0000-0000-00001F180000}"/>
    <cellStyle name="Percent 2 2 9 4 3" xfId="2252" xr:uid="{00000000-0005-0000-0000-000020180000}"/>
    <cellStyle name="Percent 2 2 9 4 3 2" xfId="6183" xr:uid="{00000000-0005-0000-0000-000021180000}"/>
    <cellStyle name="Percent 2 2 9 4 4" xfId="4016" xr:uid="{00000000-0005-0000-0000-000022180000}"/>
    <cellStyle name="Percent 2 2 9 4 5" xfId="1369" xr:uid="{00000000-0005-0000-0000-000023180000}"/>
    <cellStyle name="Percent 2 2 9 5" xfId="2693" xr:uid="{00000000-0005-0000-0000-000024180000}"/>
    <cellStyle name="Percent 2 2 9 5 2" xfId="6184" xr:uid="{00000000-0005-0000-0000-000025180000}"/>
    <cellStyle name="Percent 2 2 9 6" xfId="1811" xr:uid="{00000000-0005-0000-0000-000026180000}"/>
    <cellStyle name="Percent 2 2 9 6 2" xfId="6185" xr:uid="{00000000-0005-0000-0000-000027180000}"/>
    <cellStyle name="Percent 2 2 9 7" xfId="3575" xr:uid="{00000000-0005-0000-0000-000028180000}"/>
    <cellStyle name="Percent 2 2 9 8" xfId="928" xr:uid="{00000000-0005-0000-0000-000029180000}"/>
  </cellStyles>
  <dxfs count="88"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92D050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://www.tamu.edu" TargetMode="External"/><Relationship Id="rId7" Type="http://schemas.openxmlformats.org/officeDocument/2006/relationships/hyperlink" Target="http://cnas.tamu.edu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agrilifeextension.tamu.edu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farmassistance.tamu.edu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afpc.tamu.ed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5332E3D9-9102-43C5-85C5-B0467F94FDCA" TargetMode="External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5332E3D9-9102-43C5-85C5-B0467F94FDCA" TargetMode="External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0</xdr:rowOff>
    </xdr:from>
    <xdr:to>
      <xdr:col>3</xdr:col>
      <xdr:colOff>1991868</xdr:colOff>
      <xdr:row>5</xdr:row>
      <xdr:rowOff>22532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1782318" cy="832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6</xdr:col>
      <xdr:colOff>50800</xdr:colOff>
      <xdr:row>11</xdr:row>
      <xdr:rowOff>292100</xdr:rowOff>
    </xdr:to>
    <xdr:pic>
      <xdr:nvPicPr>
        <xdr:cNvPr id="31" name="Pictur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3350" y="1492250"/>
          <a:ext cx="1276350" cy="622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9</xdr:col>
      <xdr:colOff>95250</xdr:colOff>
      <xdr:row>11</xdr:row>
      <xdr:rowOff>304800</xdr:rowOff>
    </xdr:to>
    <xdr:pic>
      <xdr:nvPicPr>
        <xdr:cNvPr id="32" name="Picture 31" descr="https://texasdata.tamu.edu/assets/images/atmfav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150" y="1492250"/>
          <a:ext cx="13017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82550</xdr:colOff>
      <xdr:row>17</xdr:row>
      <xdr:rowOff>114300</xdr:rowOff>
    </xdr:to>
    <xdr:pic>
      <xdr:nvPicPr>
        <xdr:cNvPr id="33" name="Picture 2" descr="october 2005 logo maroo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350" y="2324100"/>
          <a:ext cx="13081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79202</xdr:colOff>
      <xdr:row>22</xdr:row>
      <xdr:rowOff>126999</xdr:rowOff>
    </xdr:to>
    <xdr:pic>
      <xdr:nvPicPr>
        <xdr:cNvPr id="37" name="Picture 3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73350" y="3314700"/>
          <a:ext cx="1304752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69851</xdr:colOff>
      <xdr:row>17</xdr:row>
      <xdr:rowOff>31749</xdr:rowOff>
    </xdr:to>
    <xdr:pic>
      <xdr:nvPicPr>
        <xdr:cNvPr id="38" name="Picture 3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02150" y="2324100"/>
          <a:ext cx="1276351" cy="69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83</xdr:row>
      <xdr:rowOff>1</xdr:rowOff>
    </xdr:from>
    <xdr:to>
      <xdr:col>2</xdr:col>
      <xdr:colOff>619125</xdr:colOff>
      <xdr:row>87</xdr:row>
      <xdr:rowOff>137160</xdr:rowOff>
    </xdr:to>
    <xdr:pic>
      <xdr:nvPicPr>
        <xdr:cNvPr id="2" name="8e801ee9-4b8d-4305-8a21-6d283512a1f6" descr="cid:5332E3D9-9102-43C5-85C5-B0467F94FDCA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914121"/>
          <a:ext cx="2049780" cy="80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138</xdr:row>
      <xdr:rowOff>1</xdr:rowOff>
    </xdr:from>
    <xdr:to>
      <xdr:col>2</xdr:col>
      <xdr:colOff>548640</xdr:colOff>
      <xdr:row>142</xdr:row>
      <xdr:rowOff>68581</xdr:rowOff>
    </xdr:to>
    <xdr:pic>
      <xdr:nvPicPr>
        <xdr:cNvPr id="2" name="8e801ee9-4b8d-4305-8a21-6d283512a1f6" descr="cid:5332E3D9-9102-43C5-85C5-B0467F94FDCA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134321"/>
          <a:ext cx="204978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3108960</xdr:colOff>
      <xdr:row>0</xdr:row>
      <xdr:rowOff>76200</xdr:rowOff>
    </xdr:from>
    <xdr:to>
      <xdr:col>0</xdr:col>
      <xdr:colOff>4891278</xdr:colOff>
      <xdr:row>4</xdr:row>
      <xdr:rowOff>53012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960" y="76200"/>
          <a:ext cx="1782318" cy="8607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3093720</xdr:colOff>
      <xdr:row>0</xdr:row>
      <xdr:rowOff>114300</xdr:rowOff>
    </xdr:from>
    <xdr:to>
      <xdr:col>0</xdr:col>
      <xdr:colOff>4876038</xdr:colOff>
      <xdr:row>4</xdr:row>
      <xdr:rowOff>91112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114300"/>
          <a:ext cx="1782318" cy="8607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3147060</xdr:colOff>
      <xdr:row>0</xdr:row>
      <xdr:rowOff>91440</xdr:rowOff>
    </xdr:from>
    <xdr:to>
      <xdr:col>0</xdr:col>
      <xdr:colOff>4929378</xdr:colOff>
      <xdr:row>3</xdr:row>
      <xdr:rowOff>304472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91440"/>
          <a:ext cx="1782318" cy="8607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3116580</xdr:colOff>
      <xdr:row>0</xdr:row>
      <xdr:rowOff>99060</xdr:rowOff>
    </xdr:from>
    <xdr:to>
      <xdr:col>0</xdr:col>
      <xdr:colOff>4898898</xdr:colOff>
      <xdr:row>3</xdr:row>
      <xdr:rowOff>312092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" y="99060"/>
          <a:ext cx="1782318" cy="860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gecoext.tamu.edu/resources/basis-project/basis-data/" TargetMode="External"/><Relationship Id="rId13" Type="http://schemas.openxmlformats.org/officeDocument/2006/relationships/hyperlink" Target="http://agecon.tamu.edu/" TargetMode="External"/><Relationship Id="rId3" Type="http://schemas.openxmlformats.org/officeDocument/2006/relationships/hyperlink" Target="http://mastermarketer.tamu.edu/" TargetMode="External"/><Relationship Id="rId7" Type="http://schemas.openxmlformats.org/officeDocument/2006/relationships/hyperlink" Target="mailto:budgets@tamu.edu" TargetMode="External"/><Relationship Id="rId12" Type="http://schemas.openxmlformats.org/officeDocument/2006/relationships/hyperlink" Target="https://agecoext.tamu.edu/resources/decisionaids/" TargetMode="External"/><Relationship Id="rId2" Type="http://schemas.openxmlformats.org/officeDocument/2006/relationships/hyperlink" Target="http://agecoext.tamu.edu/" TargetMode="External"/><Relationship Id="rId1" Type="http://schemas.openxmlformats.org/officeDocument/2006/relationships/hyperlink" Target="mailto:jayates@ag.tamu.edu" TargetMode="External"/><Relationship Id="rId6" Type="http://schemas.openxmlformats.org/officeDocument/2006/relationships/hyperlink" Target="https://agecoext.tamu.edu/resources/" TargetMode="External"/><Relationship Id="rId11" Type="http://schemas.openxmlformats.org/officeDocument/2006/relationships/hyperlink" Target="http://www.futuresource.com/" TargetMode="External"/><Relationship Id="rId5" Type="http://schemas.openxmlformats.org/officeDocument/2006/relationships/hyperlink" Target="http://lubbock.tamu.edu/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agecon.tamu.edu/l" TargetMode="External"/><Relationship Id="rId4" Type="http://schemas.openxmlformats.org/officeDocument/2006/relationships/hyperlink" Target="http://agecoext.tamu.edu/resources/market-outlook.html" TargetMode="External"/><Relationship Id="rId9" Type="http://schemas.openxmlformats.org/officeDocument/2006/relationships/hyperlink" Target="https://agecoext.tamu.edu/resources/custom-rate-survey/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170"/>
  <sheetViews>
    <sheetView showGridLines="0" tabSelected="1" zoomScale="90" zoomScaleNormal="90" workbookViewId="0"/>
  </sheetViews>
  <sheetFormatPr defaultColWidth="8.5703125" defaultRowHeight="12.75" x14ac:dyDescent="0.2"/>
  <cols>
    <col min="1" max="1" width="4.42578125" customWidth="1"/>
    <col min="2" max="2" width="23.5703125" bestFit="1" customWidth="1"/>
    <col min="3" max="3" width="26.5703125" customWidth="1"/>
    <col min="4" max="4" width="33.42578125" customWidth="1"/>
    <col min="5" max="5" width="18.42578125" customWidth="1"/>
    <col min="6" max="6" width="21.140625" bestFit="1" customWidth="1"/>
    <col min="7" max="7" width="13.5703125" customWidth="1"/>
    <col min="8" max="8" width="9.140625" customWidth="1"/>
    <col min="10" max="15" width="9.140625" customWidth="1"/>
    <col min="16" max="16" width="8.5703125" customWidth="1"/>
    <col min="18" max="18" width="0" hidden="1" customWidth="1"/>
  </cols>
  <sheetData>
    <row r="1" spans="1:26" x14ac:dyDescent="0.2">
      <c r="Z1">
        <v>3</v>
      </c>
    </row>
    <row r="4" spans="1:26" x14ac:dyDescent="0.2">
      <c r="Z4">
        <v>2</v>
      </c>
    </row>
    <row r="6" spans="1:26" ht="15.75" x14ac:dyDescent="0.25">
      <c r="A6" s="228" t="s">
        <v>455</v>
      </c>
      <c r="B6" s="228"/>
      <c r="C6" s="228"/>
      <c r="D6" s="228"/>
      <c r="E6" s="228"/>
      <c r="F6" s="228"/>
    </row>
    <row r="8" spans="1:26" ht="15.75" x14ac:dyDescent="0.2">
      <c r="D8" s="10" t="s">
        <v>17</v>
      </c>
      <c r="E8" s="10"/>
    </row>
    <row r="9" spans="1:26" x14ac:dyDescent="0.2">
      <c r="B9" s="9"/>
      <c r="C9" s="9"/>
    </row>
    <row r="10" spans="1:26" x14ac:dyDescent="0.2">
      <c r="B10" s="9"/>
      <c r="C10" s="9"/>
    </row>
    <row r="11" spans="1:26" x14ac:dyDescent="0.2">
      <c r="C11" s="9"/>
      <c r="D11" s="16" t="s">
        <v>145</v>
      </c>
    </row>
    <row r="12" spans="1:26" x14ac:dyDescent="0.2">
      <c r="B12" s="9"/>
      <c r="C12" s="9"/>
      <c r="D12" s="16"/>
    </row>
    <row r="13" spans="1:26" x14ac:dyDescent="0.2">
      <c r="C13" s="9"/>
      <c r="D13" s="103" t="str">
        <f>+AlfalfaEstablish!A3</f>
        <v>Alfalfa Establishment, Center Pivot Irrigated</v>
      </c>
    </row>
    <row r="14" spans="1:26" x14ac:dyDescent="0.2">
      <c r="B14" s="9"/>
      <c r="D14" s="103" t="str">
        <f>AlfalfaHayPivot!A3</f>
        <v>Alfalfa, Full Season, Baled - 7.5 Ton Goal, Center Pivot Irrigated</v>
      </c>
    </row>
    <row r="15" spans="1:26" x14ac:dyDescent="0.2">
      <c r="B15" s="9"/>
      <c r="D15" s="103" t="str">
        <f>AlfalfaHayFlood!A3</f>
        <v>Alfalfa, Full Season, Baled - 7.5 Ton Goal, Flood Irrigated</v>
      </c>
    </row>
    <row r="16" spans="1:26" x14ac:dyDescent="0.2">
      <c r="B16" s="9"/>
      <c r="D16" s="103" t="str">
        <f>AlfalfaPivotDell!A3</f>
        <v>Alfalfa, Full Season, Baled - 7.5 Ton Goal, Center Pivot Irrigated, Dell City</v>
      </c>
    </row>
    <row r="17" spans="2:4" x14ac:dyDescent="0.2">
      <c r="D17" s="103" t="str">
        <f>AlfalfaFloodDell!A3</f>
        <v>Alfalfa, Full Season, Baled - 7.5 Ton Goal, Flood Irrigated, Dell City</v>
      </c>
    </row>
    <row r="18" spans="2:4" x14ac:dyDescent="0.2">
      <c r="B18" s="9" t="s">
        <v>13</v>
      </c>
      <c r="D18" s="104" t="str">
        <f>AlfalfaElPaso!A3</f>
        <v>Alfalfa, Full Season, Baled - 7.5 Ton Goal, Flood Irrigated, El Paso Irrigation District</v>
      </c>
    </row>
    <row r="19" spans="2:4" x14ac:dyDescent="0.2">
      <c r="D19" s="103" t="str">
        <f>SorghumHayDryland!A3</f>
        <v>Sorghum-Sudangrass for Hay, Dryland, 3 Ton Yield</v>
      </c>
    </row>
    <row r="20" spans="2:4" x14ac:dyDescent="0.2">
      <c r="B20" s="9" t="s">
        <v>534</v>
      </c>
      <c r="D20" s="103" t="str">
        <f>SorghumHayIrrigated!A3</f>
        <v>Sorghum-Sudangrass for Hay, Center Pivot Irrigated, 5 Ton Yield</v>
      </c>
    </row>
    <row r="21" spans="2:4" x14ac:dyDescent="0.2">
      <c r="D21" s="103" t="str">
        <f>SwitchgrassEstablish!A3</f>
        <v>Alamo Switchgrass Establishment, Pivot Irrigated</v>
      </c>
    </row>
    <row r="22" spans="2:4" x14ac:dyDescent="0.2">
      <c r="D22" s="104" t="str">
        <f>SwitchgrassGraze!A3</f>
        <v>Alamo Switchgrass, Full Season, Pivot Irrigated, Grazed</v>
      </c>
    </row>
    <row r="23" spans="2:4" x14ac:dyDescent="0.2">
      <c r="D23" s="104" t="str">
        <f>SwitchgrassHay!A3</f>
        <v>Alamo Switchgrass, Full Season, Pivot Irrigated, Baled</v>
      </c>
    </row>
    <row r="24" spans="2:4" x14ac:dyDescent="0.2">
      <c r="D24" s="103"/>
    </row>
    <row r="25" spans="2:4" x14ac:dyDescent="0.2">
      <c r="D25" s="16" t="s">
        <v>494</v>
      </c>
    </row>
    <row r="26" spans="2:4" x14ac:dyDescent="0.2">
      <c r="D26" s="103"/>
    </row>
    <row r="27" spans="2:4" x14ac:dyDescent="0.2">
      <c r="D27" s="104" t="str">
        <f>SLCottonDrip!A3</f>
        <v>St. Lawrence Reduced Tillage Cotton, Drip Irrigated, 40 Inch Rows</v>
      </c>
    </row>
    <row r="28" spans="2:4" x14ac:dyDescent="0.2">
      <c r="D28" s="104" t="str">
        <f>SLXFCottonDrip!A3</f>
        <v>St. Lawrence Auxin Technology Cotton, Drip Irrigated, 40 Inch Rows</v>
      </c>
    </row>
    <row r="29" spans="2:4" x14ac:dyDescent="0.2">
      <c r="D29" s="104" t="str">
        <f>SLCottonDrylandGM!A3</f>
        <v>St. Lawrence Dryland Cotton, BIIFlex, 40 Inch Rows</v>
      </c>
    </row>
    <row r="30" spans="2:4" x14ac:dyDescent="0.2">
      <c r="D30" s="103" t="str">
        <f>SLXFCottonDryland!A3</f>
        <v>St. Lawrence Dryland Auxin Technology Cotton, 40 Inch Rows</v>
      </c>
    </row>
    <row r="31" spans="2:4" x14ac:dyDescent="0.2">
      <c r="D31" s="104" t="str">
        <f>SLGSDrip!A3</f>
        <v>St. Lawrence Early Planted Grain Sorghum, Drip Irrigated, 40 Inch Rows</v>
      </c>
    </row>
    <row r="32" spans="2:4" x14ac:dyDescent="0.2">
      <c r="D32" s="104" t="str">
        <f>TPCottonFurrow!A3</f>
        <v>Trans Pecos Cotton, Furrow Irrigated, 40 Inch Rows</v>
      </c>
    </row>
    <row r="33" spans="3:4" x14ac:dyDescent="0.2">
      <c r="D33" s="103" t="str">
        <f>TPCottonPivot!A3</f>
        <v>Trans Pecos Cotton, Center Pivot Irrigated, 40 Inch Rows</v>
      </c>
    </row>
    <row r="34" spans="3:4" x14ac:dyDescent="0.2">
      <c r="D34" s="104" t="str">
        <f>ElPasoCotton!A3</f>
        <v>El Paso County Cotton, Canal Delivered Furrow Irrigated, 40 Inch Rows</v>
      </c>
    </row>
    <row r="35" spans="3:4" x14ac:dyDescent="0.2">
      <c r="D35" s="104" t="str">
        <f>WheatDryland!A3</f>
        <v>Wheat, Dryland</v>
      </c>
    </row>
    <row r="36" spans="3:4" x14ac:dyDescent="0.2">
      <c r="D36" s="103" t="str">
        <f>WheatIrrigated!A3</f>
        <v>Wheat, Center Pivot Irrigated, Trans Pecos</v>
      </c>
    </row>
    <row r="37" spans="3:4" x14ac:dyDescent="0.2">
      <c r="D37" s="104"/>
    </row>
    <row r="38" spans="3:4" x14ac:dyDescent="0.2">
      <c r="D38" s="16" t="s">
        <v>495</v>
      </c>
    </row>
    <row r="39" spans="3:4" x14ac:dyDescent="0.2">
      <c r="D39" s="104"/>
    </row>
    <row r="40" spans="3:4" x14ac:dyDescent="0.2">
      <c r="D40" s="104" t="str">
        <f>RedChile!A3</f>
        <v>Red Chile Peppers, Dell City, Center Pivot Irrigated</v>
      </c>
    </row>
    <row r="41" spans="3:4" x14ac:dyDescent="0.2">
      <c r="D41" s="104" t="str">
        <f>Onions!A3</f>
        <v>Spring Onions, Furrow Irrigated</v>
      </c>
    </row>
    <row r="42" spans="3:4" x14ac:dyDescent="0.2">
      <c r="C42" s="9"/>
      <c r="D42" s="103" t="str">
        <f>Pecans!A3</f>
        <v>Trans Pecos Flood Irrigated Pecans, Years 10-20</v>
      </c>
    </row>
    <row r="43" spans="3:4" x14ac:dyDescent="0.2">
      <c r="D43" s="103"/>
    </row>
    <row r="44" spans="3:4" x14ac:dyDescent="0.2">
      <c r="D44" s="16" t="s">
        <v>56</v>
      </c>
    </row>
    <row r="45" spans="3:4" x14ac:dyDescent="0.2">
      <c r="D45" s="103"/>
    </row>
    <row r="46" spans="3:4" x14ac:dyDescent="0.2">
      <c r="D46" s="103" t="str">
        <f>+CowCalfNative!A3</f>
        <v>Cow-Calf Enterprise</v>
      </c>
    </row>
    <row r="47" spans="3:4" x14ac:dyDescent="0.2">
      <c r="D47" s="103" t="str">
        <f>+StockersSummer!A3</f>
        <v>Stocker Steers - Summer Growth, 0.6 AU per Head</v>
      </c>
    </row>
    <row r="48" spans="3:4" x14ac:dyDescent="0.2">
      <c r="D48" s="104" t="str">
        <f>StockerWinter!A3</f>
        <v>Stocker Steers - Winter Growth, 0.45 AU per Head</v>
      </c>
    </row>
    <row r="49" spans="4:4" x14ac:dyDescent="0.2">
      <c r="D49" s="104" t="str">
        <f>MeatGoats!A3</f>
        <v>Trans Pecos Meat Goats, 6 Head per AU</v>
      </c>
    </row>
    <row r="50" spans="4:4" x14ac:dyDescent="0.2">
      <c r="D50" s="104" t="str">
        <f>Angoras!A3</f>
        <v>Trans Pecos Angora Goats, 7 Head per AU</v>
      </c>
    </row>
    <row r="51" spans="4:4" x14ac:dyDescent="0.2">
      <c r="D51" s="104" t="str">
        <f>SheepWool!A3</f>
        <v>Trans Pecos Wool Sheep, 5 Head per AU</v>
      </c>
    </row>
    <row r="52" spans="4:4" x14ac:dyDescent="0.2">
      <c r="D52" s="104" t="str">
        <f>SheepHair!A3</f>
        <v>Trans Pecos Hair Sheep, 5 Head per AU</v>
      </c>
    </row>
    <row r="53" spans="4:4" x14ac:dyDescent="0.2">
      <c r="D53" s="103"/>
    </row>
    <row r="54" spans="4:4" x14ac:dyDescent="0.2">
      <c r="D54" s="16" t="s">
        <v>302</v>
      </c>
    </row>
    <row r="55" spans="4:4" x14ac:dyDescent="0.2">
      <c r="D55" s="16"/>
    </row>
    <row r="56" spans="4:4" x14ac:dyDescent="0.2">
      <c r="D56" s="103" t="str">
        <f>'Livestock Budget'!A3</f>
        <v>Livestock Budget</v>
      </c>
    </row>
    <row r="57" spans="4:4" x14ac:dyDescent="0.2">
      <c r="D57" s="103" t="str">
        <f>'Crop Budget'!A3</f>
        <v>Crop Enterprise</v>
      </c>
    </row>
    <row r="71" spans="1:1" x14ac:dyDescent="0.2">
      <c r="A71" t="s">
        <v>456</v>
      </c>
    </row>
    <row r="150" ht="13.35" hidden="1" customHeight="1" x14ac:dyDescent="0.2"/>
    <row r="151" ht="13.35" hidden="1" customHeight="1" x14ac:dyDescent="0.2"/>
    <row r="152" ht="13.35" hidden="1" customHeight="1" x14ac:dyDescent="0.2"/>
    <row r="153" ht="13.35" hidden="1" customHeight="1" x14ac:dyDescent="0.2"/>
    <row r="154" ht="13.35" hidden="1" customHeight="1" x14ac:dyDescent="0.2"/>
    <row r="155" ht="13.35" hidden="1" customHeight="1" x14ac:dyDescent="0.2"/>
    <row r="156" ht="13.35" hidden="1" customHeight="1" x14ac:dyDescent="0.2"/>
    <row r="157" ht="13.35" hidden="1" customHeight="1" x14ac:dyDescent="0.2"/>
    <row r="158" ht="13.35" hidden="1" customHeight="1" x14ac:dyDescent="0.2"/>
    <row r="159" ht="13.35" hidden="1" customHeight="1" x14ac:dyDescent="0.2"/>
    <row r="160" ht="13.35" hidden="1" customHeight="1" x14ac:dyDescent="0.2"/>
    <row r="161" ht="13.35" hidden="1" customHeight="1" x14ac:dyDescent="0.2"/>
    <row r="162" ht="13.35" hidden="1" customHeight="1" x14ac:dyDescent="0.2"/>
    <row r="163" ht="13.35" hidden="1" customHeight="1" x14ac:dyDescent="0.2"/>
    <row r="164" ht="13.35" hidden="1" customHeight="1" x14ac:dyDescent="0.2"/>
    <row r="165" ht="13.35" hidden="1" customHeight="1" x14ac:dyDescent="0.2"/>
    <row r="166" ht="13.35" hidden="1" customHeight="1" x14ac:dyDescent="0.2"/>
    <row r="167" ht="13.35" hidden="1" customHeight="1" x14ac:dyDescent="0.2"/>
    <row r="168" ht="13.35" hidden="1" customHeight="1" x14ac:dyDescent="0.2"/>
    <row r="169" ht="13.35" hidden="1" customHeight="1" x14ac:dyDescent="0.2"/>
    <row r="170" ht="13.35" hidden="1" customHeight="1" x14ac:dyDescent="0.2"/>
  </sheetData>
  <sheetProtection sheet="1" objects="1" scenarios="1"/>
  <sortState xmlns:xlrd2="http://schemas.microsoft.com/office/spreadsheetml/2017/richdata2" ref="A6:M71">
    <sortCondition ref="A6:A71"/>
  </sortState>
  <mergeCells count="1">
    <mergeCell ref="A6:F6"/>
  </mergeCells>
  <phoneticPr fontId="0" type="noConversion"/>
  <hyperlinks>
    <hyperlink ref="B18" location="'Your Returns - Cash Rent'!A1" display="Comparative Returns" xr:uid="{00000000-0004-0000-0000-000002000000}"/>
    <hyperlink ref="D56" location="'Livestock Budget'!A1" display="='Livestock Budget'!A3" xr:uid="{00000000-0004-0000-0000-000003000000}"/>
    <hyperlink ref="D13" location="AlfalfaEstablish!A1" display="AlfalfaEstablish!A1" xr:uid="{00000000-0004-0000-0000-000004000000}"/>
    <hyperlink ref="D47" location="StockersSummer!A1" display="StockersSummer!A1" xr:uid="{00000000-0004-0000-0000-00001D000000}"/>
    <hyperlink ref="D46" location="CowCalfNative!A1" display="CowCalfNative!A1" xr:uid="{00000000-0004-0000-0000-00001E000000}"/>
    <hyperlink ref="D21" location="SwitchgrassEstablish!A1" display="SwitchgrassEstablish!A1" xr:uid="{00000000-0004-0000-0000-00001F000000}"/>
    <hyperlink ref="D40" location="RedChile!A1" display="RedChile!A1" xr:uid="{00000000-0004-0000-0000-000020000000}"/>
    <hyperlink ref="D41" location="Onions!A1" display="Onions!A1" xr:uid="{00000000-0004-0000-0000-000021000000}"/>
    <hyperlink ref="D22" location="SwitchgrassGraze!A1" display="SwitchgrassGraze!A1" xr:uid="{00000000-0004-0000-0000-000022000000}"/>
    <hyperlink ref="D23" location="SwitchgrassHay!A1" display="SwitchgrassHay!A1" xr:uid="{00000000-0004-0000-0000-000023000000}"/>
    <hyperlink ref="D18" location="AlfalfaElPaso!A1" display="AlfalfaElPaso!A1" xr:uid="{00000000-0004-0000-0000-000024000000}"/>
    <hyperlink ref="D27" location="SLCottonDrip!A1" display="SLCottonDrip!A1" xr:uid="{00000000-0004-0000-0000-000025000000}"/>
    <hyperlink ref="D28" location="SLXFCottonDrip!A1" display="SLXFCottonDrip!A1" xr:uid="{00000000-0004-0000-0000-000026000000}"/>
    <hyperlink ref="D31" location="SLGSDrip!A1" display="SLGSDrip!A1" xr:uid="{00000000-0004-0000-0000-000027000000}"/>
    <hyperlink ref="D32" location="TPCottonFurrow!A1" display="TPCottonFurrow!A1" xr:uid="{00000000-0004-0000-0000-000028000000}"/>
    <hyperlink ref="D34" location="ElPasoCotton!A1" display="ElPasoCotton!A1" xr:uid="{00000000-0004-0000-0000-000029000000}"/>
    <hyperlink ref="D29" location="SLCottonDrylandGM!A1" display="SLCottonDrylandGM!A1" xr:uid="{00000000-0004-0000-0000-00002A000000}"/>
    <hyperlink ref="D15" location="AlfalfaHayFlood!A1" display="AlfalfaHayFlood!A1" xr:uid="{00000000-0004-0000-0000-00002B000000}"/>
    <hyperlink ref="D42" location="Pecans!A1" display="Pecans!A1" xr:uid="{00000000-0004-0000-0000-00002C000000}"/>
    <hyperlink ref="D17" location="AlfalfaFloodDell!A1" display="AlfalfaFloodDell!A1" xr:uid="{00000000-0004-0000-0000-00002D000000}"/>
    <hyperlink ref="D30" location="SLXFCottonDryland!A1" display="SLXFCottonDryland!A1" xr:uid="{00000000-0004-0000-0000-00002E000000}"/>
    <hyperlink ref="D33" location="TPCottonPivot!A1" display="TPCottonPivot!A1" xr:uid="{00000000-0004-0000-0000-00002F000000}"/>
    <hyperlink ref="D35" location="WheatDryland!A1" display="WheatDryland!A1" xr:uid="{00000000-0004-0000-0000-000031000000}"/>
    <hyperlink ref="D36" location="WheatIrrigated!A1" display="WheatIrrigated!A1" xr:uid="{00000000-0004-0000-0000-000032000000}"/>
    <hyperlink ref="D19" location="SorghumHayDryland!A1" display="SorghumHayDryland!A1" xr:uid="{00000000-0004-0000-0000-000033000000}"/>
    <hyperlink ref="D20" location="SorghumHayIrrigated!A1" display="SorghumHayIrrigated!A1" xr:uid="{00000000-0004-0000-0000-000034000000}"/>
    <hyperlink ref="D57" location="'Crop Budget'!A1" display="='Crop Budget'!A3" xr:uid="{00000000-0004-0000-0000-000036000000}"/>
    <hyperlink ref="D48" location="StockerWinter!A1" display="='StockerWinterCalc'!E15" xr:uid="{00000000-0004-0000-0000-000037000000}"/>
    <hyperlink ref="D49" location="'MeatGoats'!A1" display="'MeatGoats'!A1" xr:uid="{00000000-0004-0000-0000-000038000000}"/>
    <hyperlink ref="D50" location="'Angoras'!A1" display="'Angoras'!A1" xr:uid="{00000000-0004-0000-0000-00003A000000}"/>
    <hyperlink ref="D51" location="'SheepWool'!A1" display="'SheepWool'!A1" xr:uid="{00000000-0004-0000-0000-00003C000000}"/>
    <hyperlink ref="D52" location="'SheepHair'!A1" display="'SheepHair'!A1" xr:uid="{00000000-0004-0000-0000-00003E000000}"/>
    <hyperlink ref="D14" location="AlfalfaHayPivot!A1" display="AlfalfaHayPivot!A1" xr:uid="{00000000-0004-0000-0000-000040000000}"/>
    <hyperlink ref="D16" location="AlfalfaPivotDell!A1" display="AlfalfaPivotDell!A1" xr:uid="{00000000-0004-0000-0000-000042000000}"/>
    <hyperlink ref="B20" location="Links!A1" display="Links" xr:uid="{AE7AEF0D-44D9-4FE3-AD00-9756DFC864B0}"/>
  </hyperlinks>
  <pageMargins left="0.75" right="0.5" top="0" bottom="0" header="0.3" footer="0.5"/>
  <pageSetup orientation="portrait" horizontalDpi="200" verticalDpi="200" r:id="rId1"/>
  <headerFooter alignWithMargins="0">
    <oddHeader>&amp;RVersion 01.02.2012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3">
    <tabColor rgb="FF92D050"/>
    <pageSetUpPr fitToPage="1"/>
  </sheetPr>
  <dimension ref="A1:S97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337</v>
      </c>
      <c r="C10" s="25"/>
      <c r="D10" s="50">
        <v>7.5</v>
      </c>
      <c r="E10" s="132"/>
      <c r="F10" s="226" t="s">
        <v>135</v>
      </c>
      <c r="G10" s="31">
        <v>270</v>
      </c>
      <c r="H10" s="133"/>
      <c r="I10" s="35">
        <v>2025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2025</v>
      </c>
      <c r="P10" s="202">
        <f>+J10-N10</f>
        <v>0</v>
      </c>
      <c r="Q10" s="35">
        <v>247050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2025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2025</v>
      </c>
      <c r="P13" s="203">
        <f>SUM(P10:P12)</f>
        <v>0</v>
      </c>
      <c r="Q13" s="36">
        <v>247050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439</v>
      </c>
      <c r="D18" s="25">
        <v>0.5</v>
      </c>
      <c r="E18" s="132"/>
      <c r="F18" s="226" t="s">
        <v>440</v>
      </c>
      <c r="G18" s="41">
        <v>5</v>
      </c>
      <c r="H18" s="133"/>
      <c r="I18" s="35">
        <v>2.5</v>
      </c>
      <c r="J18" s="202">
        <f t="shared" ref="J18:J30" si="4">E18*H18</f>
        <v>0</v>
      </c>
      <c r="K18" s="225">
        <v>0</v>
      </c>
      <c r="L18" s="214"/>
      <c r="M18" s="35">
        <v>0</v>
      </c>
      <c r="N18" s="202">
        <f t="shared" ref="N18:N30" si="5">J18*L18</f>
        <v>0</v>
      </c>
      <c r="O18" s="35">
        <v>2.5</v>
      </c>
      <c r="P18" s="202">
        <f t="shared" ref="P18:P30" si="6">+J18-N18</f>
        <v>0</v>
      </c>
      <c r="Q18" s="35">
        <v>305</v>
      </c>
      <c r="R18" s="202">
        <f t="shared" ref="R18:R30" si="7">+J18*E$7</f>
        <v>0</v>
      </c>
    </row>
    <row r="19" spans="1:18" x14ac:dyDescent="0.2">
      <c r="A19" s="25"/>
      <c r="B19" s="25" t="s">
        <v>501</v>
      </c>
      <c r="C19" s="25" t="s">
        <v>379</v>
      </c>
      <c r="D19" s="25">
        <v>1</v>
      </c>
      <c r="E19" s="132"/>
      <c r="F19" s="226" t="s">
        <v>42</v>
      </c>
      <c r="G19" s="41">
        <v>6.39</v>
      </c>
      <c r="H19" s="133"/>
      <c r="I19" s="35">
        <v>6.39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6.39</v>
      </c>
      <c r="P19" s="202">
        <f t="shared" si="6"/>
        <v>0</v>
      </c>
      <c r="Q19" s="35">
        <v>779.57999999999993</v>
      </c>
      <c r="R19" s="202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393</v>
      </c>
      <c r="D21" s="25">
        <v>73</v>
      </c>
      <c r="E21" s="132"/>
      <c r="F21" s="226" t="s">
        <v>83</v>
      </c>
      <c r="G21" s="41">
        <v>0.63</v>
      </c>
      <c r="H21" s="133"/>
      <c r="I21" s="35">
        <v>45.99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45.99</v>
      </c>
      <c r="P21" s="202">
        <f t="shared" si="6"/>
        <v>0</v>
      </c>
      <c r="Q21" s="35">
        <v>5610.7800000000007</v>
      </c>
      <c r="R21" s="202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445</v>
      </c>
      <c r="D23" s="25">
        <v>2</v>
      </c>
      <c r="E23" s="132"/>
      <c r="F23" s="226" t="s">
        <v>311</v>
      </c>
      <c r="G23" s="41">
        <v>2.75</v>
      </c>
      <c r="H23" s="133"/>
      <c r="I23" s="35">
        <v>5.5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5.5</v>
      </c>
      <c r="P23" s="202">
        <f t="shared" si="6"/>
        <v>0</v>
      </c>
      <c r="Q23" s="35">
        <v>671</v>
      </c>
      <c r="R23" s="202">
        <f t="shared" si="7"/>
        <v>0</v>
      </c>
    </row>
    <row r="24" spans="1:18" x14ac:dyDescent="0.2">
      <c r="A24" s="25"/>
      <c r="B24" s="25" t="s">
        <v>501</v>
      </c>
      <c r="C24" s="25" t="s">
        <v>434</v>
      </c>
      <c r="D24" s="25">
        <v>5</v>
      </c>
      <c r="E24" s="132"/>
      <c r="F24" s="226" t="s">
        <v>360</v>
      </c>
      <c r="G24" s="41">
        <v>3.3453124999999999</v>
      </c>
      <c r="H24" s="133"/>
      <c r="I24" s="35">
        <v>16.7265625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16.7265625</v>
      </c>
      <c r="P24" s="202">
        <f t="shared" si="6"/>
        <v>0</v>
      </c>
      <c r="Q24" s="35">
        <v>2040.640625</v>
      </c>
      <c r="R24" s="202">
        <f t="shared" si="7"/>
        <v>0</v>
      </c>
    </row>
    <row r="25" spans="1:18" x14ac:dyDescent="0.2">
      <c r="A25" s="25"/>
      <c r="B25" s="25" t="s">
        <v>501</v>
      </c>
      <c r="C25" s="25" t="s">
        <v>378</v>
      </c>
      <c r="D25" s="25">
        <v>5</v>
      </c>
      <c r="E25" s="132"/>
      <c r="F25" s="226" t="s">
        <v>311</v>
      </c>
      <c r="G25" s="41">
        <v>2.1749999999999998</v>
      </c>
      <c r="H25" s="133"/>
      <c r="I25" s="35">
        <v>10.875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10.875</v>
      </c>
      <c r="P25" s="202">
        <f t="shared" si="6"/>
        <v>0</v>
      </c>
      <c r="Q25" s="35">
        <v>1326.75</v>
      </c>
      <c r="R25" s="202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448</v>
      </c>
      <c r="D27" s="25">
        <v>7.04</v>
      </c>
      <c r="E27" s="132"/>
      <c r="F27" s="226" t="s">
        <v>360</v>
      </c>
      <c r="G27" s="41">
        <v>1.25</v>
      </c>
      <c r="H27" s="133"/>
      <c r="I27" s="35">
        <v>8.8000000000000007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8.8000000000000007</v>
      </c>
      <c r="P27" s="202">
        <f t="shared" si="6"/>
        <v>0</v>
      </c>
      <c r="Q27" s="35">
        <v>1073.6000000000001</v>
      </c>
      <c r="R27" s="202">
        <f t="shared" si="7"/>
        <v>0</v>
      </c>
    </row>
    <row r="28" spans="1:18" x14ac:dyDescent="0.2">
      <c r="A28" s="25"/>
      <c r="B28" s="25" t="s">
        <v>501</v>
      </c>
      <c r="C28" s="25" t="s">
        <v>412</v>
      </c>
      <c r="D28" s="25">
        <v>2.31</v>
      </c>
      <c r="E28" s="132"/>
      <c r="F28" s="226" t="s">
        <v>360</v>
      </c>
      <c r="G28" s="41">
        <v>2.0390600000000001</v>
      </c>
      <c r="H28" s="133"/>
      <c r="I28" s="35">
        <v>4.7102286000000007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4.7102286000000007</v>
      </c>
      <c r="P28" s="202">
        <f t="shared" si="6"/>
        <v>0</v>
      </c>
      <c r="Q28" s="35">
        <v>574.64788920000012</v>
      </c>
      <c r="R28" s="202">
        <f t="shared" si="7"/>
        <v>0</v>
      </c>
    </row>
    <row r="29" spans="1:18" x14ac:dyDescent="0.2">
      <c r="A29" s="25"/>
      <c r="B29" s="133"/>
      <c r="C29" s="133"/>
      <c r="D29" s="25">
        <v>0</v>
      </c>
      <c r="E29" s="132"/>
      <c r="F29" s="226"/>
      <c r="G29" s="41">
        <v>0</v>
      </c>
      <c r="H29" s="133"/>
      <c r="I29" s="35">
        <v>0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</v>
      </c>
      <c r="P29" s="202">
        <f t="shared" si="6"/>
        <v>0</v>
      </c>
      <c r="Q29" s="35">
        <v>0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0</v>
      </c>
      <c r="P31" s="202">
        <f>+J31-N31</f>
        <v>0</v>
      </c>
      <c r="Q31" s="35">
        <v>0</v>
      </c>
      <c r="R31" s="202">
        <f>+J31*E$7</f>
        <v>0</v>
      </c>
    </row>
    <row r="32" spans="1:18" x14ac:dyDescent="0.2">
      <c r="A32" s="25"/>
      <c r="B32" s="25" t="s">
        <v>45</v>
      </c>
      <c r="C32" s="25"/>
      <c r="D32" s="25"/>
      <c r="E32" s="209"/>
      <c r="F32" s="21"/>
      <c r="G32" s="41"/>
      <c r="H32" s="198"/>
      <c r="I32" s="186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18" x14ac:dyDescent="0.2">
      <c r="A33" s="25"/>
      <c r="B33" s="25"/>
      <c r="C33" s="25" t="s">
        <v>146</v>
      </c>
      <c r="D33" s="34">
        <v>50.219999999999992</v>
      </c>
      <c r="E33" s="132"/>
      <c r="F33" s="226" t="s">
        <v>459</v>
      </c>
      <c r="G33" s="41">
        <v>4.7</v>
      </c>
      <c r="H33" s="133"/>
      <c r="I33" s="35">
        <v>236.03399999999996</v>
      </c>
      <c r="J33" s="202">
        <f t="shared" ref="J33:J34" si="8">E33*H33</f>
        <v>0</v>
      </c>
      <c r="K33" s="225">
        <v>0</v>
      </c>
      <c r="L33" s="214"/>
      <c r="M33" s="35">
        <v>0</v>
      </c>
      <c r="N33" s="202">
        <f t="shared" ref="N33:N34" si="9">J33*L33</f>
        <v>0</v>
      </c>
      <c r="O33" s="35">
        <v>236.03399999999996</v>
      </c>
      <c r="P33" s="202">
        <f t="shared" ref="P33:P34" si="10">+J33-N33</f>
        <v>0</v>
      </c>
      <c r="Q33" s="35">
        <v>28796.147999999994</v>
      </c>
      <c r="R33" s="202">
        <f t="shared" ref="R33:R34" si="11">+J33*E$7</f>
        <v>0</v>
      </c>
    </row>
    <row r="34" spans="1:18" x14ac:dyDescent="0.2">
      <c r="A34" s="25"/>
      <c r="B34" s="25"/>
      <c r="C34" s="25" t="s">
        <v>136</v>
      </c>
      <c r="D34" s="34">
        <v>0.2888</v>
      </c>
      <c r="E34" s="132"/>
      <c r="F34" s="226" t="s">
        <v>44</v>
      </c>
      <c r="G34" s="41">
        <v>17.5</v>
      </c>
      <c r="H34" s="133"/>
      <c r="I34" s="35">
        <v>5.0540000000000003</v>
      </c>
      <c r="J34" s="202">
        <f t="shared" si="8"/>
        <v>0</v>
      </c>
      <c r="K34" s="225">
        <v>0</v>
      </c>
      <c r="L34" s="214"/>
      <c r="M34" s="35">
        <v>0</v>
      </c>
      <c r="N34" s="202">
        <f t="shared" si="9"/>
        <v>0</v>
      </c>
      <c r="O34" s="35">
        <v>5.0540000000000003</v>
      </c>
      <c r="P34" s="202">
        <f t="shared" si="10"/>
        <v>0</v>
      </c>
      <c r="Q34" s="35">
        <v>616.58800000000008</v>
      </c>
      <c r="R34" s="202">
        <f t="shared" si="11"/>
        <v>0</v>
      </c>
    </row>
    <row r="35" spans="1:18" x14ac:dyDescent="0.2">
      <c r="A35" s="25"/>
      <c r="B35" s="25" t="s">
        <v>108</v>
      </c>
      <c r="C35" s="25"/>
      <c r="D35" s="25"/>
      <c r="E35" s="105"/>
      <c r="H35" s="105"/>
      <c r="I35" s="124"/>
      <c r="J35" s="105"/>
      <c r="K35" s="225"/>
      <c r="L35" s="105"/>
      <c r="N35" s="105"/>
      <c r="P35" s="105"/>
      <c r="R35" s="105"/>
    </row>
    <row r="36" spans="1:18" x14ac:dyDescent="0.2">
      <c r="A36" s="25"/>
      <c r="B36" s="25"/>
      <c r="C36" s="25" t="s">
        <v>105</v>
      </c>
      <c r="D36" s="25">
        <v>7.84</v>
      </c>
      <c r="E36" s="132"/>
      <c r="F36" s="226" t="s">
        <v>44</v>
      </c>
      <c r="G36" s="41">
        <v>17.21</v>
      </c>
      <c r="H36" s="133"/>
      <c r="I36" s="35">
        <v>134.9264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134.9264</v>
      </c>
      <c r="P36" s="202">
        <f>+J36-N36</f>
        <v>0</v>
      </c>
      <c r="Q36" s="35">
        <v>16461.020799999998</v>
      </c>
      <c r="R36" s="202">
        <f>+J36*E$7</f>
        <v>0</v>
      </c>
    </row>
    <row r="37" spans="1:18" x14ac:dyDescent="0.2">
      <c r="A37" s="25"/>
      <c r="B37" s="25"/>
      <c r="C37" s="25" t="s">
        <v>107</v>
      </c>
      <c r="D37" s="25">
        <v>0</v>
      </c>
      <c r="E37" s="132"/>
      <c r="F37" s="226" t="s">
        <v>44</v>
      </c>
      <c r="G37" s="41">
        <v>17.21</v>
      </c>
      <c r="H37" s="133"/>
      <c r="I37" s="35">
        <v>0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0</v>
      </c>
      <c r="P37" s="202">
        <f>+J37-N37</f>
        <v>0</v>
      </c>
      <c r="Q37" s="35">
        <v>0</v>
      </c>
      <c r="R37" s="202">
        <f>+J37*E$7</f>
        <v>0</v>
      </c>
    </row>
    <row r="38" spans="1:18" x14ac:dyDescent="0.2">
      <c r="A38" s="25"/>
      <c r="B38" s="25"/>
      <c r="C38" s="25"/>
      <c r="D38" s="25"/>
      <c r="E38" s="209"/>
      <c r="F38" s="21"/>
      <c r="G38" s="41"/>
      <c r="H38" s="198"/>
      <c r="I38" s="35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 t="s">
        <v>51</v>
      </c>
      <c r="C39" s="25"/>
      <c r="D39" s="25"/>
      <c r="E39" s="209"/>
      <c r="F39" s="21"/>
      <c r="G39" s="41"/>
      <c r="H39" s="198"/>
      <c r="I39" s="186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/>
      <c r="C40" s="25" t="s">
        <v>104</v>
      </c>
      <c r="D40" s="25">
        <v>1</v>
      </c>
      <c r="E40" s="132"/>
      <c r="F40" s="226" t="s">
        <v>42</v>
      </c>
      <c r="G40" s="41">
        <v>0</v>
      </c>
      <c r="H40" s="133"/>
      <c r="I40" s="35">
        <v>0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0</v>
      </c>
      <c r="P40" s="202">
        <f>+J40-N40</f>
        <v>0</v>
      </c>
      <c r="Q40" s="35">
        <v>0</v>
      </c>
      <c r="R40" s="202">
        <f>+J40*E$7</f>
        <v>0</v>
      </c>
    </row>
    <row r="41" spans="1:18" x14ac:dyDescent="0.2">
      <c r="A41" s="25"/>
      <c r="B41" s="25"/>
      <c r="C41" s="25" t="s">
        <v>105</v>
      </c>
      <c r="D41" s="25">
        <v>37.51</v>
      </c>
      <c r="E41" s="132"/>
      <c r="F41" s="226" t="s">
        <v>79</v>
      </c>
      <c r="G41" s="41">
        <v>3.6</v>
      </c>
      <c r="H41" s="133"/>
      <c r="I41" s="35">
        <v>135.036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135.036</v>
      </c>
      <c r="P41" s="202">
        <f>+J41-N41</f>
        <v>0</v>
      </c>
      <c r="Q41" s="35">
        <v>16474.392</v>
      </c>
      <c r="R41" s="202">
        <f>+J41*E$7</f>
        <v>0</v>
      </c>
    </row>
    <row r="42" spans="1:18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 t="s">
        <v>29</v>
      </c>
      <c r="C43" s="25"/>
      <c r="D43" s="25"/>
      <c r="E43" s="209"/>
      <c r="F43" s="21"/>
      <c r="G43" s="41"/>
      <c r="H43" s="198"/>
      <c r="I43" s="186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10.131639344262295</v>
      </c>
      <c r="H44" s="133"/>
      <c r="I44" s="35">
        <v>10.131639344262295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10.131639344262295</v>
      </c>
      <c r="P44" s="202">
        <f>+J44-N44</f>
        <v>0</v>
      </c>
      <c r="Q44" s="35">
        <v>1236.06</v>
      </c>
      <c r="R44" s="202">
        <f>+J44*E$7</f>
        <v>0</v>
      </c>
    </row>
    <row r="45" spans="1:18" x14ac:dyDescent="0.2">
      <c r="A45" s="25"/>
      <c r="B45" s="25"/>
      <c r="C45" s="25" t="s">
        <v>105</v>
      </c>
      <c r="D45" s="25">
        <v>0</v>
      </c>
      <c r="E45" s="132"/>
      <c r="F45" s="226" t="s">
        <v>79</v>
      </c>
      <c r="G45" s="41">
        <v>3.15</v>
      </c>
      <c r="H45" s="133"/>
      <c r="I45" s="35">
        <v>0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0</v>
      </c>
      <c r="P45" s="202">
        <f>+J45-N45</f>
        <v>0</v>
      </c>
      <c r="Q45" s="35">
        <v>0</v>
      </c>
      <c r="R45" s="202">
        <f>+J45*E$7</f>
        <v>0</v>
      </c>
    </row>
    <row r="46" spans="1:18" x14ac:dyDescent="0.2">
      <c r="A46" s="25"/>
      <c r="B46" s="25"/>
      <c r="C46" s="25"/>
      <c r="D46" s="25"/>
      <c r="E46" s="209"/>
      <c r="F46" s="21"/>
      <c r="G46" s="41"/>
      <c r="H46" s="198"/>
      <c r="I46" s="35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 t="s">
        <v>47</v>
      </c>
      <c r="C47" s="25"/>
      <c r="D47" s="25"/>
      <c r="E47" s="209"/>
      <c r="F47" s="21"/>
      <c r="G47" s="41"/>
      <c r="H47" s="199"/>
      <c r="I47" s="186"/>
      <c r="J47" s="184"/>
      <c r="K47" s="225"/>
      <c r="L47" s="199"/>
      <c r="M47" s="35"/>
      <c r="N47" s="184"/>
      <c r="O47" s="35"/>
      <c r="P47" s="184"/>
      <c r="Q47" s="35"/>
      <c r="R47" s="184"/>
    </row>
    <row r="48" spans="1:18" x14ac:dyDescent="0.2">
      <c r="A48" s="25"/>
      <c r="B48" s="25"/>
      <c r="C48" s="25" t="s">
        <v>104</v>
      </c>
      <c r="D48" s="25">
        <v>1</v>
      </c>
      <c r="E48" s="132"/>
      <c r="F48" s="226" t="s">
        <v>42</v>
      </c>
      <c r="G48" s="41">
        <v>1.6081967213114756</v>
      </c>
      <c r="H48" s="133"/>
      <c r="I48" s="35">
        <v>1.6081967213114756</v>
      </c>
      <c r="J48" s="202">
        <f t="shared" ref="J48:J53" si="12">E48*H48</f>
        <v>0</v>
      </c>
      <c r="K48" s="225">
        <v>0</v>
      </c>
      <c r="L48" s="214"/>
      <c r="M48" s="35">
        <v>0</v>
      </c>
      <c r="N48" s="202">
        <f t="shared" ref="N48:N53" si="13">J48*L48</f>
        <v>0</v>
      </c>
      <c r="O48" s="35">
        <v>1.6081967213114756</v>
      </c>
      <c r="P48" s="202">
        <f t="shared" ref="P48:P53" si="14">+J48-N48</f>
        <v>0</v>
      </c>
      <c r="Q48" s="35">
        <v>196.20000000000002</v>
      </c>
      <c r="R48" s="202">
        <f t="shared" ref="R48:R53" si="15">+J48*E$7</f>
        <v>0</v>
      </c>
    </row>
    <row r="49" spans="1:18" x14ac:dyDescent="0.2">
      <c r="A49" s="25"/>
      <c r="B49" s="25"/>
      <c r="C49" s="25" t="s">
        <v>46</v>
      </c>
      <c r="D49" s="25">
        <v>1</v>
      </c>
      <c r="E49" s="132"/>
      <c r="F49" s="226" t="s">
        <v>42</v>
      </c>
      <c r="G49" s="41">
        <v>132.34476599999999</v>
      </c>
      <c r="H49" s="133"/>
      <c r="I49" s="35">
        <v>132.34476599999999</v>
      </c>
      <c r="J49" s="202">
        <f t="shared" si="12"/>
        <v>0</v>
      </c>
      <c r="K49" s="225">
        <v>0</v>
      </c>
      <c r="L49" s="214"/>
      <c r="M49" s="35">
        <v>0</v>
      </c>
      <c r="N49" s="202">
        <f t="shared" si="13"/>
        <v>0</v>
      </c>
      <c r="O49" s="35">
        <v>132.34476599999999</v>
      </c>
      <c r="P49" s="202">
        <f t="shared" si="14"/>
        <v>0</v>
      </c>
      <c r="Q49" s="35">
        <v>16146.061452</v>
      </c>
      <c r="R49" s="202">
        <f t="shared" si="15"/>
        <v>0</v>
      </c>
    </row>
    <row r="50" spans="1:18" x14ac:dyDescent="0.2">
      <c r="A50" s="25"/>
      <c r="B50" s="25"/>
      <c r="C50" s="25" t="s">
        <v>105</v>
      </c>
      <c r="D50" s="25">
        <v>1</v>
      </c>
      <c r="E50" s="132"/>
      <c r="F50" s="226" t="s">
        <v>42</v>
      </c>
      <c r="G50" s="41">
        <v>67.925465203343208</v>
      </c>
      <c r="H50" s="133"/>
      <c r="I50" s="35">
        <v>67.925465203343208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67.925465203343208</v>
      </c>
      <c r="P50" s="202">
        <f t="shared" si="14"/>
        <v>0</v>
      </c>
      <c r="Q50" s="35">
        <v>8286.906754807871</v>
      </c>
      <c r="R50" s="202">
        <f t="shared" si="15"/>
        <v>0</v>
      </c>
    </row>
    <row r="51" spans="1:18" x14ac:dyDescent="0.2">
      <c r="A51" s="25"/>
      <c r="B51" s="25"/>
      <c r="C51" s="25" t="s">
        <v>4</v>
      </c>
      <c r="D51" s="25">
        <v>1</v>
      </c>
      <c r="E51" s="132"/>
      <c r="F51" s="226" t="s">
        <v>42</v>
      </c>
      <c r="G51" s="41">
        <v>3.0357966550552105</v>
      </c>
      <c r="H51" s="133"/>
      <c r="I51" s="35">
        <v>3.0357966550552105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3.0357966550552105</v>
      </c>
      <c r="P51" s="202">
        <f t="shared" si="14"/>
        <v>0</v>
      </c>
      <c r="Q51" s="35">
        <v>370.36719191673569</v>
      </c>
      <c r="R51" s="202">
        <f t="shared" si="15"/>
        <v>0</v>
      </c>
    </row>
    <row r="52" spans="1:18" x14ac:dyDescent="0.2">
      <c r="A52" s="25"/>
      <c r="B52" s="133"/>
      <c r="C52" s="133"/>
      <c r="D52" s="25"/>
      <c r="E52" s="132"/>
      <c r="F52" s="226"/>
      <c r="G52" s="41"/>
      <c r="H52" s="133"/>
      <c r="I52" s="35">
        <v>0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0</v>
      </c>
      <c r="P52" s="202">
        <f t="shared" si="14"/>
        <v>0</v>
      </c>
      <c r="Q52" s="35">
        <v>0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ht="13.5" thickBot="1" x14ac:dyDescent="0.25">
      <c r="A54" s="25"/>
      <c r="B54" s="25" t="s">
        <v>32</v>
      </c>
      <c r="C54" s="25"/>
      <c r="D54" s="25"/>
      <c r="E54" s="197"/>
      <c r="F54" s="21"/>
      <c r="G54" s="39">
        <v>0.08</v>
      </c>
      <c r="H54" s="215"/>
      <c r="I54" s="42">
        <v>22.386056671627657</v>
      </c>
      <c r="J54" s="202">
        <f>+SUM(J17:J53)/2*H54</f>
        <v>0</v>
      </c>
      <c r="K54" s="86"/>
      <c r="L54" s="137"/>
      <c r="M54" s="42">
        <v>0</v>
      </c>
      <c r="N54" s="202">
        <f>+SUM(N17:N53)/2*L54</f>
        <v>0</v>
      </c>
      <c r="O54" s="42">
        <v>22.386056671627657</v>
      </c>
      <c r="P54" s="202">
        <f>+SUM(P17:P53)/2*L54</f>
        <v>0</v>
      </c>
      <c r="Q54" s="42">
        <v>2731.0989139385742</v>
      </c>
      <c r="R54" s="184">
        <f>+J54*E$7</f>
        <v>0</v>
      </c>
    </row>
    <row r="55" spans="1:18" ht="13.5" thickBot="1" x14ac:dyDescent="0.25">
      <c r="A55" s="25" t="s">
        <v>33</v>
      </c>
      <c r="B55" s="25"/>
      <c r="C55" s="25"/>
      <c r="D55" s="25"/>
      <c r="E55" s="200"/>
      <c r="F55" s="25"/>
      <c r="G55" s="25"/>
      <c r="H55" s="197"/>
      <c r="I55" s="87">
        <v>849.97411169560007</v>
      </c>
      <c r="J55" s="204">
        <f>SUM(J18:J54)</f>
        <v>0</v>
      </c>
      <c r="K55" s="35"/>
      <c r="L55" s="195"/>
      <c r="M55" s="87">
        <v>0</v>
      </c>
      <c r="N55" s="204">
        <f>SUM(N18:N54)</f>
        <v>0</v>
      </c>
      <c r="O55" s="87">
        <v>849.97411169560007</v>
      </c>
      <c r="P55" s="204">
        <f>SUM(P18:P54)</f>
        <v>0</v>
      </c>
      <c r="Q55" s="87">
        <v>103696.84162686318</v>
      </c>
      <c r="R55" s="204">
        <f>SUM(R18:R54)</f>
        <v>0</v>
      </c>
    </row>
    <row r="56" spans="1:18" ht="13.5" thickTop="1" x14ac:dyDescent="0.2">
      <c r="A56" s="25" t="s">
        <v>34</v>
      </c>
      <c r="B56" s="25"/>
      <c r="C56" s="25"/>
      <c r="D56" s="25"/>
      <c r="E56" s="200"/>
      <c r="F56" s="25"/>
      <c r="G56" s="25"/>
      <c r="H56" s="197"/>
      <c r="I56" s="35">
        <v>1175.0258883043998</v>
      </c>
      <c r="J56" s="202">
        <f>+J13-J55</f>
        <v>0</v>
      </c>
      <c r="K56" s="35"/>
      <c r="L56" s="195"/>
      <c r="M56" s="35">
        <v>0</v>
      </c>
      <c r="N56" s="202">
        <f>+N13-N55</f>
        <v>0</v>
      </c>
      <c r="O56" s="35">
        <v>1175.0258883043998</v>
      </c>
      <c r="P56" s="202">
        <f>+P13-P55</f>
        <v>0</v>
      </c>
      <c r="Q56" s="35">
        <v>143353.15837313683</v>
      </c>
      <c r="R56" s="202">
        <f>+R13-R55</f>
        <v>0</v>
      </c>
    </row>
    <row r="57" spans="1:18" x14ac:dyDescent="0.2">
      <c r="A57" s="25"/>
      <c r="B57" s="25" t="s">
        <v>35</v>
      </c>
      <c r="C57" s="25"/>
      <c r="D57" s="25"/>
      <c r="E57" s="210"/>
      <c r="F57" s="17"/>
      <c r="G57" s="40">
        <v>113.32988155941334</v>
      </c>
      <c r="H57" s="210" t="str">
        <f>IF(E10=0,"n/a",(YVarExp-(YTotExp+YTotRet-J10))/E10)</f>
        <v>n/a</v>
      </c>
      <c r="I57" s="25" t="s">
        <v>135</v>
      </c>
      <c r="J57" s="184"/>
      <c r="K57" s="25"/>
      <c r="L57" s="197"/>
      <c r="M57" s="25"/>
      <c r="N57" s="184"/>
      <c r="O57" s="25"/>
      <c r="P57" s="184"/>
      <c r="Q57" s="25"/>
      <c r="R57" s="184"/>
    </row>
    <row r="58" spans="1:18" x14ac:dyDescent="0.2">
      <c r="A58" s="25"/>
      <c r="B58" s="25"/>
      <c r="C58" s="25"/>
      <c r="D58" s="25"/>
      <c r="E58" s="178"/>
      <c r="F58" s="25"/>
      <c r="G58" s="25"/>
      <c r="H58" s="211"/>
      <c r="I58" s="25"/>
      <c r="J58" s="184"/>
      <c r="K58" s="25"/>
      <c r="L58" s="197"/>
      <c r="M58" s="25"/>
      <c r="N58" s="184"/>
      <c r="O58" s="25"/>
      <c r="P58" s="184"/>
      <c r="Q58" s="22" t="s">
        <v>19</v>
      </c>
      <c r="R58" s="184" t="s">
        <v>19</v>
      </c>
    </row>
    <row r="59" spans="1:18" x14ac:dyDescent="0.2">
      <c r="A59" s="23" t="s">
        <v>36</v>
      </c>
      <c r="B59" s="23"/>
      <c r="C59" s="23"/>
      <c r="D59" s="24" t="s">
        <v>2</v>
      </c>
      <c r="E59" s="196" t="s">
        <v>2</v>
      </c>
      <c r="F59" s="24" t="s">
        <v>21</v>
      </c>
      <c r="G59" s="24" t="s">
        <v>22</v>
      </c>
      <c r="H59" s="196" t="s">
        <v>22</v>
      </c>
      <c r="I59" s="24" t="s">
        <v>11</v>
      </c>
      <c r="J59" s="196" t="s">
        <v>11</v>
      </c>
      <c r="K59" s="24" t="s">
        <v>10</v>
      </c>
      <c r="L59" s="196" t="s">
        <v>10</v>
      </c>
      <c r="M59" s="24" t="s">
        <v>9</v>
      </c>
      <c r="N59" s="196" t="s">
        <v>9</v>
      </c>
      <c r="O59" s="24" t="s">
        <v>8</v>
      </c>
      <c r="P59" s="196" t="s">
        <v>8</v>
      </c>
      <c r="Q59" s="24" t="s">
        <v>11</v>
      </c>
      <c r="R59" s="208" t="s">
        <v>11</v>
      </c>
    </row>
    <row r="60" spans="1:18" x14ac:dyDescent="0.2">
      <c r="A60" s="25"/>
      <c r="B60" s="25" t="s">
        <v>106</v>
      </c>
      <c r="C60" s="25"/>
      <c r="D60" s="25"/>
      <c r="E60" s="178"/>
      <c r="F60" s="25"/>
      <c r="G60" s="25"/>
      <c r="H60" s="211"/>
      <c r="I60" s="186"/>
      <c r="J60" s="184"/>
      <c r="K60" s="225"/>
      <c r="L60" s="197"/>
      <c r="M60" s="25"/>
      <c r="N60" s="184"/>
      <c r="O60" s="25"/>
      <c r="P60" s="184"/>
      <c r="Q60" s="25"/>
      <c r="R60" s="184"/>
    </row>
    <row r="61" spans="1:18" x14ac:dyDescent="0.2">
      <c r="A61" s="25"/>
      <c r="B61" s="25"/>
      <c r="C61" s="25" t="s">
        <v>104</v>
      </c>
      <c r="D61" s="25">
        <v>1</v>
      </c>
      <c r="E61" s="132"/>
      <c r="F61" s="226" t="s">
        <v>42</v>
      </c>
      <c r="G61" s="41">
        <v>6.0307377049180326</v>
      </c>
      <c r="H61" s="133"/>
      <c r="I61" s="35">
        <v>6.0307377049180326</v>
      </c>
      <c r="J61" s="202">
        <f t="shared" ref="J61:J64" si="16">E61*H61</f>
        <v>0</v>
      </c>
      <c r="K61" s="225">
        <v>0</v>
      </c>
      <c r="L61" s="214"/>
      <c r="M61" s="35">
        <v>0</v>
      </c>
      <c r="N61" s="202">
        <f>J61*L61</f>
        <v>0</v>
      </c>
      <c r="O61" s="35">
        <v>6.0307377049180326</v>
      </c>
      <c r="P61" s="202">
        <f t="shared" ref="P61:P64" si="17">+J61-N61</f>
        <v>0</v>
      </c>
      <c r="Q61" s="35">
        <v>735.75</v>
      </c>
      <c r="R61" s="202">
        <f t="shared" ref="R61:R64" si="18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2"/>
      <c r="F62" s="226" t="s">
        <v>42</v>
      </c>
      <c r="G62" s="41">
        <v>45.014426229508196</v>
      </c>
      <c r="H62" s="133"/>
      <c r="I62" s="35">
        <v>45.014426229508196</v>
      </c>
      <c r="J62" s="202">
        <f t="shared" si="16"/>
        <v>0</v>
      </c>
      <c r="K62" s="225">
        <v>0</v>
      </c>
      <c r="L62" s="214"/>
      <c r="M62" s="35">
        <v>0</v>
      </c>
      <c r="N62" s="202">
        <f>J62*L62</f>
        <v>0</v>
      </c>
      <c r="O62" s="35">
        <v>45.014426229508196</v>
      </c>
      <c r="P62" s="202">
        <f t="shared" si="17"/>
        <v>0</v>
      </c>
      <c r="Q62" s="35">
        <v>5491.76</v>
      </c>
      <c r="R62" s="202">
        <f t="shared" si="18"/>
        <v>0</v>
      </c>
    </row>
    <row r="63" spans="1:18" x14ac:dyDescent="0.2">
      <c r="A63" s="25"/>
      <c r="B63" s="25"/>
      <c r="C63" s="25" t="s">
        <v>105</v>
      </c>
      <c r="D63" s="25">
        <v>1</v>
      </c>
      <c r="E63" s="132"/>
      <c r="F63" s="226" t="s">
        <v>42</v>
      </c>
      <c r="G63" s="41">
        <v>91.236695729425406</v>
      </c>
      <c r="H63" s="133"/>
      <c r="I63" s="35">
        <v>91.236695729425406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91.236695729425406</v>
      </c>
      <c r="P63" s="202">
        <f t="shared" si="17"/>
        <v>0</v>
      </c>
      <c r="Q63" s="35">
        <v>11130.8768789899</v>
      </c>
      <c r="R63" s="202">
        <f t="shared" si="18"/>
        <v>0</v>
      </c>
    </row>
    <row r="64" spans="1:18" x14ac:dyDescent="0.2">
      <c r="A64" s="25"/>
      <c r="B64" s="25"/>
      <c r="C64" s="25" t="s">
        <v>4</v>
      </c>
      <c r="D64" s="25">
        <v>1</v>
      </c>
      <c r="E64" s="132"/>
      <c r="F64" s="226" t="s">
        <v>42</v>
      </c>
      <c r="G64" s="41">
        <v>7.3698386468814698</v>
      </c>
      <c r="H64" s="133"/>
      <c r="I64" s="35">
        <v>7.3698386468814698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7.3698386468814698</v>
      </c>
      <c r="P64" s="202">
        <f t="shared" si="17"/>
        <v>0</v>
      </c>
      <c r="Q64" s="35">
        <v>899.12031491953928</v>
      </c>
      <c r="R64" s="202">
        <f t="shared" si="18"/>
        <v>0</v>
      </c>
    </row>
    <row r="65" spans="1:18" x14ac:dyDescent="0.2">
      <c r="A65" s="25"/>
      <c r="B65" s="25" t="s">
        <v>89</v>
      </c>
      <c r="C65" s="25"/>
      <c r="D65" s="25"/>
      <c r="E65" s="197"/>
      <c r="F65" s="21"/>
      <c r="G65" s="41"/>
      <c r="H65" s="197"/>
      <c r="I65" s="186"/>
      <c r="J65" s="184"/>
      <c r="K65" s="225"/>
      <c r="L65" s="197"/>
      <c r="M65" s="35"/>
      <c r="N65" s="184"/>
      <c r="O65" s="35"/>
      <c r="P65" s="184"/>
      <c r="Q65" s="35"/>
      <c r="R65" s="184"/>
    </row>
    <row r="66" spans="1:18" x14ac:dyDescent="0.2">
      <c r="A66" s="25"/>
      <c r="B66" s="25"/>
      <c r="C66" s="25" t="s">
        <v>104</v>
      </c>
      <c r="D66" s="41">
        <v>25.128073770491802</v>
      </c>
      <c r="E66" s="132"/>
      <c r="F66" s="226" t="s">
        <v>100</v>
      </c>
      <c r="G66" s="39">
        <v>0.08</v>
      </c>
      <c r="H66" s="215"/>
      <c r="I66" s="35">
        <v>2.0102459016393444</v>
      </c>
      <c r="J66" s="202">
        <f t="shared" ref="J66:J76" si="19">E66*H66</f>
        <v>0</v>
      </c>
      <c r="K66" s="225">
        <v>0</v>
      </c>
      <c r="L66" s="214"/>
      <c r="M66" s="35">
        <v>0</v>
      </c>
      <c r="N66" s="202">
        <f>J66*L66</f>
        <v>0</v>
      </c>
      <c r="O66" s="35">
        <v>2.0102459016393444</v>
      </c>
      <c r="P66" s="202">
        <f t="shared" ref="P66:P69" si="20">+J66-N66</f>
        <v>0</v>
      </c>
      <c r="Q66" s="35">
        <v>245.25</v>
      </c>
      <c r="R66" s="202">
        <f t="shared" ref="R66:R69" si="21">+J66*E$7</f>
        <v>0</v>
      </c>
    </row>
    <row r="67" spans="1:18" x14ac:dyDescent="0.2">
      <c r="A67" s="25"/>
      <c r="B67" s="25"/>
      <c r="C67" s="25" t="s">
        <v>46</v>
      </c>
      <c r="D67" s="41">
        <v>337.60819672131146</v>
      </c>
      <c r="E67" s="132"/>
      <c r="F67" s="226" t="s">
        <v>100</v>
      </c>
      <c r="G67" s="39">
        <v>0.08</v>
      </c>
      <c r="H67" s="215"/>
      <c r="I67" s="35">
        <v>27.008655737704917</v>
      </c>
      <c r="J67" s="202">
        <f t="shared" si="19"/>
        <v>0</v>
      </c>
      <c r="K67" s="225">
        <v>0</v>
      </c>
      <c r="L67" s="214"/>
      <c r="M67" s="35">
        <v>0</v>
      </c>
      <c r="N67" s="202">
        <f>J67*L67</f>
        <v>0</v>
      </c>
      <c r="O67" s="35">
        <v>27.008655737704917</v>
      </c>
      <c r="P67" s="202">
        <f t="shared" si="20"/>
        <v>0</v>
      </c>
      <c r="Q67" s="35">
        <v>3295.056</v>
      </c>
      <c r="R67" s="202">
        <f t="shared" si="21"/>
        <v>0</v>
      </c>
    </row>
    <row r="68" spans="1:18" x14ac:dyDescent="0.2">
      <c r="A68" s="25"/>
      <c r="B68" s="25"/>
      <c r="C68" s="25" t="s">
        <v>105</v>
      </c>
      <c r="D68" s="41">
        <v>678.76235007117691</v>
      </c>
      <c r="E68" s="132"/>
      <c r="F68" s="226" t="s">
        <v>100</v>
      </c>
      <c r="G68" s="39">
        <v>0.08</v>
      </c>
      <c r="H68" s="215"/>
      <c r="I68" s="35">
        <v>54.300988005694151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54.300988005694151</v>
      </c>
      <c r="P68" s="202">
        <f t="shared" si="20"/>
        <v>0</v>
      </c>
      <c r="Q68" s="35">
        <v>6624.7205366946864</v>
      </c>
      <c r="R68" s="202">
        <f t="shared" si="21"/>
        <v>0</v>
      </c>
    </row>
    <row r="69" spans="1:18" x14ac:dyDescent="0.2">
      <c r="A69" s="25"/>
      <c r="B69" s="25"/>
      <c r="C69" s="25" t="s">
        <v>4</v>
      </c>
      <c r="D69" s="41">
        <v>53.365718858846613</v>
      </c>
      <c r="E69" s="132"/>
      <c r="F69" s="226" t="s">
        <v>100</v>
      </c>
      <c r="G69" s="39">
        <v>0.08</v>
      </c>
      <c r="H69" s="215"/>
      <c r="I69" s="35">
        <v>4.2692575087077289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4.2692575087077289</v>
      </c>
      <c r="P69" s="202">
        <f t="shared" si="20"/>
        <v>0</v>
      </c>
      <c r="Q69" s="35">
        <v>520.84941606234293</v>
      </c>
      <c r="R69" s="202">
        <f t="shared" si="21"/>
        <v>0</v>
      </c>
    </row>
    <row r="70" spans="1:18" x14ac:dyDescent="0.2">
      <c r="A70" s="25"/>
      <c r="B70" s="25" t="s">
        <v>156</v>
      </c>
      <c r="C70" s="25"/>
      <c r="D70" s="25">
        <v>1</v>
      </c>
      <c r="E70" s="132"/>
      <c r="F70" s="226" t="s">
        <v>42</v>
      </c>
      <c r="G70" s="41">
        <v>0</v>
      </c>
      <c r="H70" s="133"/>
      <c r="I70" s="35">
        <v>0</v>
      </c>
      <c r="J70" s="202">
        <f t="shared" si="19"/>
        <v>0</v>
      </c>
      <c r="K70" s="225">
        <v>0</v>
      </c>
      <c r="L70" s="214"/>
      <c r="M70" s="35">
        <v>0</v>
      </c>
      <c r="N70" s="202">
        <f t="shared" ref="N70:N77" si="22">J70*L70</f>
        <v>0</v>
      </c>
      <c r="O70" s="35">
        <v>0</v>
      </c>
      <c r="P70" s="202">
        <f t="shared" ref="P70:P77" si="23">+J70-N70</f>
        <v>0</v>
      </c>
      <c r="Q70" s="35">
        <v>0</v>
      </c>
      <c r="R70" s="202">
        <f t="shared" ref="R70:R77" si="24">+J70*E$7</f>
        <v>0</v>
      </c>
    </row>
    <row r="71" spans="1:18" x14ac:dyDescent="0.2">
      <c r="A71" s="25"/>
      <c r="B71" s="25" t="s">
        <v>152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si="22"/>
        <v>0</v>
      </c>
      <c r="O71" s="35">
        <v>0</v>
      </c>
      <c r="P71" s="202">
        <f t="shared" si="23"/>
        <v>0</v>
      </c>
      <c r="Q71" s="35">
        <v>0</v>
      </c>
      <c r="R71" s="202">
        <f t="shared" si="24"/>
        <v>0</v>
      </c>
    </row>
    <row r="72" spans="1:18" x14ac:dyDescent="0.2">
      <c r="A72" s="25"/>
      <c r="B72" s="25" t="s">
        <v>137</v>
      </c>
      <c r="C72" s="25"/>
      <c r="D72" s="25">
        <v>1</v>
      </c>
      <c r="E72" s="132"/>
      <c r="F72" s="226" t="s">
        <v>42</v>
      </c>
      <c r="G72" s="41">
        <v>117.8325</v>
      </c>
      <c r="H72" s="133"/>
      <c r="I72" s="35">
        <v>117.8325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117.8325</v>
      </c>
      <c r="P72" s="202">
        <f t="shared" si="23"/>
        <v>0</v>
      </c>
      <c r="Q72" s="35">
        <v>14375.564999999999</v>
      </c>
      <c r="R72" s="202">
        <f t="shared" si="24"/>
        <v>0</v>
      </c>
    </row>
    <row r="73" spans="1:18" x14ac:dyDescent="0.2">
      <c r="A73" s="25"/>
      <c r="B73" s="25" t="s">
        <v>453</v>
      </c>
      <c r="C73" s="25"/>
      <c r="D73" s="25">
        <v>1</v>
      </c>
      <c r="E73" s="132"/>
      <c r="F73" s="226" t="s">
        <v>42</v>
      </c>
      <c r="G73" s="41">
        <v>50</v>
      </c>
      <c r="H73" s="133"/>
      <c r="I73" s="35">
        <v>50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50</v>
      </c>
      <c r="P73" s="202">
        <f t="shared" si="23"/>
        <v>0</v>
      </c>
      <c r="Q73" s="35">
        <v>6100</v>
      </c>
      <c r="R73" s="202">
        <f t="shared" si="24"/>
        <v>0</v>
      </c>
    </row>
    <row r="74" spans="1:18" x14ac:dyDescent="0.2">
      <c r="A74" s="25"/>
      <c r="B74" s="25" t="s">
        <v>159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0</v>
      </c>
      <c r="P74" s="202">
        <f t="shared" si="23"/>
        <v>0</v>
      </c>
      <c r="Q74" s="35">
        <v>0</v>
      </c>
      <c r="R74" s="202">
        <f t="shared" si="24"/>
        <v>0</v>
      </c>
    </row>
    <row r="75" spans="1:18" x14ac:dyDescent="0.2">
      <c r="A75" s="25"/>
      <c r="B75" s="25" t="s">
        <v>160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133"/>
      <c r="C76" s="133"/>
      <c r="D76" s="25">
        <v>1</v>
      </c>
      <c r="E76" s="132"/>
      <c r="F76" s="226"/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ht="13.5" thickBot="1" x14ac:dyDescent="0.25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>E77*H77</f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 t="s">
        <v>37</v>
      </c>
      <c r="B78" s="25"/>
      <c r="C78" s="25"/>
      <c r="D78" s="25"/>
      <c r="E78" s="197"/>
      <c r="F78" s="25"/>
      <c r="G78" s="25"/>
      <c r="H78" s="197"/>
      <c r="I78" s="121">
        <v>405.07334546447925</v>
      </c>
      <c r="J78" s="204">
        <f>+SUM(J61:J77)</f>
        <v>0</v>
      </c>
      <c r="K78" s="35"/>
      <c r="L78" s="195"/>
      <c r="M78" s="121">
        <v>0</v>
      </c>
      <c r="N78" s="204">
        <f>+SUM(N61:N77)</f>
        <v>0</v>
      </c>
      <c r="O78" s="121">
        <v>405.07334546447925</v>
      </c>
      <c r="P78" s="204">
        <f>+SUM(P61:P77)</f>
        <v>0</v>
      </c>
      <c r="Q78" s="121">
        <v>49418.948146666466</v>
      </c>
      <c r="R78" s="204">
        <f>+SUM(R61:R77)</f>
        <v>0</v>
      </c>
    </row>
    <row r="79" spans="1:18" ht="14.25" thickTop="1" thickBot="1" x14ac:dyDescent="0.25">
      <c r="A79" s="25" t="s">
        <v>52</v>
      </c>
      <c r="B79" s="25"/>
      <c r="C79" s="25"/>
      <c r="D79" s="25"/>
      <c r="E79" s="197"/>
      <c r="F79" s="25"/>
      <c r="G79" s="25"/>
      <c r="H79" s="197"/>
      <c r="I79" s="87">
        <v>1255.0474571600794</v>
      </c>
      <c r="J79" s="205">
        <f>+J55+J78</f>
        <v>0</v>
      </c>
      <c r="K79" s="35"/>
      <c r="L79" s="195"/>
      <c r="M79" s="87">
        <v>0</v>
      </c>
      <c r="N79" s="205">
        <f>+N55+N78</f>
        <v>0</v>
      </c>
      <c r="O79" s="87">
        <v>1255.0474571600794</v>
      </c>
      <c r="P79" s="205">
        <f>+P55+P78</f>
        <v>0</v>
      </c>
      <c r="Q79" s="87">
        <v>153115.78977352966</v>
      </c>
      <c r="R79" s="205">
        <f>+R55+R78</f>
        <v>0</v>
      </c>
    </row>
    <row r="80" spans="1:18" ht="13.5" thickTop="1" x14ac:dyDescent="0.2">
      <c r="A80" s="25"/>
      <c r="B80" s="25"/>
      <c r="C80" s="25"/>
      <c r="D80" s="25"/>
      <c r="E80" s="197"/>
      <c r="F80" s="25"/>
      <c r="G80" s="25"/>
      <c r="H80" s="197"/>
      <c r="I80" s="35"/>
      <c r="J80" s="184"/>
      <c r="K80" s="35"/>
      <c r="L80" s="195"/>
      <c r="M80" s="35"/>
      <c r="N80" s="184"/>
      <c r="O80" s="35"/>
      <c r="P80" s="184"/>
      <c r="Q80" s="35"/>
      <c r="R80" s="184"/>
    </row>
    <row r="81" spans="1:18" x14ac:dyDescent="0.2">
      <c r="A81" s="25" t="s">
        <v>153</v>
      </c>
      <c r="B81" s="25"/>
      <c r="C81" s="25"/>
      <c r="D81" s="25"/>
      <c r="E81" s="197"/>
      <c r="F81" s="25"/>
      <c r="G81" s="25"/>
      <c r="H81" s="197"/>
      <c r="I81" s="35">
        <v>769.95254283992062</v>
      </c>
      <c r="J81" s="202">
        <f>+J13-J79</f>
        <v>0</v>
      </c>
      <c r="K81" s="35"/>
      <c r="L81" s="195"/>
      <c r="M81" s="35">
        <v>0</v>
      </c>
      <c r="N81" s="202">
        <f>+N13-N79</f>
        <v>0</v>
      </c>
      <c r="O81" s="35">
        <v>769.95254283992062</v>
      </c>
      <c r="P81" s="202">
        <f>+P13-P79</f>
        <v>0</v>
      </c>
      <c r="Q81" s="35">
        <v>93934.210226470343</v>
      </c>
      <c r="R81" s="202">
        <f>+R13-R79</f>
        <v>0</v>
      </c>
    </row>
    <row r="82" spans="1:18" x14ac:dyDescent="0.2">
      <c r="A82" s="25"/>
      <c r="B82" s="25"/>
      <c r="C82" s="25"/>
      <c r="D82" s="25"/>
      <c r="E82" s="197"/>
      <c r="F82" s="25"/>
      <c r="G82" s="25"/>
      <c r="H82" s="197"/>
      <c r="I82" s="35"/>
      <c r="J82" s="206"/>
      <c r="K82" s="35"/>
      <c r="L82" s="195"/>
      <c r="M82" s="35"/>
      <c r="N82" s="195"/>
      <c r="O82" s="35"/>
      <c r="P82" s="195"/>
      <c r="Q82" s="35"/>
      <c r="R82" s="206"/>
    </row>
    <row r="83" spans="1:18" ht="13.5" thickBot="1" x14ac:dyDescent="0.25">
      <c r="A83" s="44" t="s">
        <v>38</v>
      </c>
      <c r="B83" s="44"/>
      <c r="C83" s="44"/>
      <c r="D83" s="44"/>
      <c r="E83" s="201"/>
      <c r="F83" s="44"/>
      <c r="G83" s="45">
        <v>167.33966095467724</v>
      </c>
      <c r="H83" s="212" t="str">
        <f>IF(E10=0,"n/a",(YTotExp-(YTotExp+YTotRet-J10))/E10)</f>
        <v>n/a</v>
      </c>
      <c r="I83" s="44" t="s">
        <v>135</v>
      </c>
      <c r="J83" s="207"/>
      <c r="K83" s="44"/>
      <c r="L83" s="201"/>
      <c r="M83" s="44"/>
      <c r="N83" s="201"/>
      <c r="O83" s="44"/>
      <c r="P83" s="201"/>
      <c r="Q83" s="44"/>
      <c r="R83" s="207"/>
    </row>
    <row r="84" spans="1:18" ht="13.5" thickTop="1" x14ac:dyDescent="0.2"/>
    <row r="85" spans="1:18" s="17" customFormat="1" ht="15.75" x14ac:dyDescent="0.25">
      <c r="A85"/>
      <c r="B85" s="88"/>
      <c r="C85" s="89"/>
      <c r="D85" s="234" t="s">
        <v>115</v>
      </c>
      <c r="E85" s="235"/>
      <c r="F85" s="235"/>
      <c r="G85" s="235"/>
      <c r="H85" s="235"/>
      <c r="I85" s="235"/>
      <c r="J85" s="99"/>
      <c r="K85" s="99"/>
      <c r="M85"/>
      <c r="N85"/>
    </row>
    <row r="86" spans="1:18" s="17" customFormat="1" ht="15.75" x14ac:dyDescent="0.25">
      <c r="A86"/>
      <c r="B86" s="19" t="s">
        <v>116</v>
      </c>
      <c r="C86" s="19" t="s">
        <v>116</v>
      </c>
      <c r="D86" s="126" t="s">
        <v>170</v>
      </c>
      <c r="E86" s="18"/>
      <c r="F86" s="18"/>
      <c r="G86" s="126" t="s">
        <v>170</v>
      </c>
      <c r="H86" s="18"/>
      <c r="I86" s="18"/>
      <c r="J86" s="18"/>
      <c r="K86" s="18"/>
      <c r="M86"/>
      <c r="N86"/>
    </row>
    <row r="87" spans="1:18" s="17" customFormat="1" x14ac:dyDescent="0.2">
      <c r="A87"/>
      <c r="B87" s="19" t="s">
        <v>81</v>
      </c>
      <c r="C87" s="19" t="s">
        <v>81</v>
      </c>
      <c r="D87" s="126" t="s">
        <v>157</v>
      </c>
      <c r="E87" s="122"/>
      <c r="F87" s="122"/>
      <c r="G87" s="126" t="s">
        <v>11</v>
      </c>
      <c r="H87" s="122"/>
      <c r="I87" s="122"/>
      <c r="J87" s="122"/>
      <c r="K87" s="122"/>
      <c r="M87"/>
      <c r="N87"/>
    </row>
    <row r="88" spans="1:18" s="17" customFormat="1" x14ac:dyDescent="0.2">
      <c r="A88"/>
      <c r="B88" s="19" t="s">
        <v>30</v>
      </c>
      <c r="C88" s="99" t="s">
        <v>135</v>
      </c>
      <c r="D88" s="126" t="s">
        <v>99</v>
      </c>
      <c r="E88" s="122"/>
      <c r="F88" s="122"/>
      <c r="G88" s="126" t="s">
        <v>99</v>
      </c>
      <c r="H88" s="19"/>
      <c r="I88" s="19"/>
      <c r="J88" s="19"/>
      <c r="K88" s="19"/>
      <c r="M88"/>
      <c r="N88"/>
    </row>
    <row r="89" spans="1:18" s="17" customFormat="1" x14ac:dyDescent="0.2">
      <c r="A89"/>
      <c r="B89" s="90">
        <v>0.75</v>
      </c>
      <c r="C89" s="91">
        <v>5.625</v>
      </c>
      <c r="D89" s="92">
        <v>151.10650874588447</v>
      </c>
      <c r="E89" s="93"/>
      <c r="F89" s="94"/>
      <c r="G89" s="92">
        <v>223.11954793956966</v>
      </c>
      <c r="H89" s="93"/>
      <c r="I89" s="93"/>
      <c r="M89"/>
      <c r="N89"/>
    </row>
    <row r="90" spans="1:18" s="17" customFormat="1" x14ac:dyDescent="0.2">
      <c r="A90"/>
      <c r="B90" s="95">
        <v>0.9</v>
      </c>
      <c r="C90" s="96">
        <v>6.75</v>
      </c>
      <c r="D90" s="97">
        <v>125.92209062157038</v>
      </c>
      <c r="E90" s="83"/>
      <c r="F90" s="98"/>
      <c r="G90" s="97">
        <v>185.93295661630805</v>
      </c>
      <c r="H90" s="83"/>
      <c r="I90" s="83"/>
      <c r="M90"/>
      <c r="N90"/>
    </row>
    <row r="91" spans="1:18" s="17" customFormat="1" x14ac:dyDescent="0.2">
      <c r="A91"/>
      <c r="B91" s="90">
        <v>1</v>
      </c>
      <c r="C91" s="91">
        <v>7.5</v>
      </c>
      <c r="D91" s="92">
        <v>113.32988155941334</v>
      </c>
      <c r="E91" s="93"/>
      <c r="F91" s="94"/>
      <c r="G91" s="92">
        <v>167.33966095467724</v>
      </c>
      <c r="H91" s="93"/>
      <c r="I91" s="93"/>
      <c r="M91"/>
      <c r="N91"/>
    </row>
    <row r="92" spans="1:18" s="17" customFormat="1" x14ac:dyDescent="0.2">
      <c r="A92"/>
      <c r="B92" s="95">
        <v>1.1000000000000001</v>
      </c>
      <c r="C92" s="96">
        <v>8.25</v>
      </c>
      <c r="D92" s="97">
        <v>103.02716505401213</v>
      </c>
      <c r="E92" s="83"/>
      <c r="F92" s="98"/>
      <c r="G92" s="97">
        <v>152.12696450425204</v>
      </c>
      <c r="H92" s="83"/>
      <c r="I92" s="83"/>
      <c r="M92"/>
      <c r="N92"/>
    </row>
    <row r="93" spans="1:18" s="17" customFormat="1" x14ac:dyDescent="0.2">
      <c r="A93"/>
      <c r="B93" s="90">
        <v>1.25</v>
      </c>
      <c r="C93" s="91">
        <v>9.375</v>
      </c>
      <c r="D93" s="92">
        <v>90.663905247530678</v>
      </c>
      <c r="E93" s="93"/>
      <c r="F93" s="94"/>
      <c r="G93" s="92">
        <v>133.8717287637418</v>
      </c>
      <c r="H93" s="93"/>
      <c r="I93" s="93"/>
      <c r="M93"/>
      <c r="N93"/>
    </row>
    <row r="94" spans="1:18" s="17" customFormat="1" x14ac:dyDescent="0.2">
      <c r="A94"/>
      <c r="M94"/>
      <c r="N94"/>
    </row>
    <row r="95" spans="1:18" x14ac:dyDescent="0.2">
      <c r="A95" s="25" t="s">
        <v>536</v>
      </c>
      <c r="B95" s="17"/>
      <c r="C95" s="17"/>
      <c r="D95" s="17"/>
      <c r="E95" s="17"/>
      <c r="F95" s="17"/>
      <c r="G95" s="17"/>
      <c r="H95" s="17"/>
      <c r="I95" s="17"/>
      <c r="J95" s="28"/>
      <c r="K95" s="17"/>
      <c r="L95" s="17"/>
      <c r="M95" s="17"/>
      <c r="N95" s="17"/>
      <c r="O95" s="17"/>
      <c r="P95" s="17"/>
      <c r="Q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ht="26.25" customHeight="1" x14ac:dyDescent="0.2">
      <c r="A97" s="236" t="s">
        <v>140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21"/>
      <c r="N97" s="221"/>
      <c r="O97" s="221"/>
      <c r="P97" s="221"/>
      <c r="Q97" s="221"/>
      <c r="R97" s="221"/>
    </row>
  </sheetData>
  <sheetProtection sheet="1" objects="1" scenarios="1"/>
  <mergeCells count="6">
    <mergeCell ref="D85:I85"/>
    <mergeCell ref="A97:L9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9">
    <tabColor rgb="FF92D050"/>
    <pageSetUpPr fitToPage="1"/>
  </sheetPr>
  <dimension ref="A1:S97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5703125" customWidth="1"/>
    <col min="3" max="3" width="30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337</v>
      </c>
      <c r="C10" s="25"/>
      <c r="D10" s="50">
        <v>7.5</v>
      </c>
      <c r="E10" s="132"/>
      <c r="F10" s="226" t="s">
        <v>135</v>
      </c>
      <c r="G10" s="31">
        <v>270</v>
      </c>
      <c r="H10" s="133"/>
      <c r="I10" s="35">
        <v>2025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2025</v>
      </c>
      <c r="P10" s="202">
        <f>+J10-N10</f>
        <v>0</v>
      </c>
      <c r="Q10" s="35">
        <v>247050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2025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2025</v>
      </c>
      <c r="P13" s="203">
        <f>SUM(P10:P12)</f>
        <v>0</v>
      </c>
      <c r="Q13" s="36">
        <v>247050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439</v>
      </c>
      <c r="D18" s="25">
        <v>0.5</v>
      </c>
      <c r="E18" s="132"/>
      <c r="F18" s="226" t="s">
        <v>440</v>
      </c>
      <c r="G18" s="41">
        <v>5</v>
      </c>
      <c r="H18" s="133"/>
      <c r="I18" s="35">
        <v>2.5</v>
      </c>
      <c r="J18" s="202">
        <f t="shared" ref="J18:J30" si="4">E18*H18</f>
        <v>0</v>
      </c>
      <c r="K18" s="225">
        <v>0</v>
      </c>
      <c r="L18" s="214"/>
      <c r="M18" s="35">
        <v>0</v>
      </c>
      <c r="N18" s="202">
        <f t="shared" ref="N18:N30" si="5">J18*L18</f>
        <v>0</v>
      </c>
      <c r="O18" s="35">
        <v>2.5</v>
      </c>
      <c r="P18" s="202">
        <f t="shared" ref="P18:P30" si="6">+J18-N18</f>
        <v>0</v>
      </c>
      <c r="Q18" s="35">
        <v>305</v>
      </c>
      <c r="R18" s="202">
        <f t="shared" ref="R18:R30" si="7">+J18*E$7</f>
        <v>0</v>
      </c>
    </row>
    <row r="19" spans="1:18" x14ac:dyDescent="0.2">
      <c r="A19" s="25"/>
      <c r="B19" s="25" t="s">
        <v>501</v>
      </c>
      <c r="C19" s="25" t="s">
        <v>379</v>
      </c>
      <c r="D19" s="25">
        <v>1</v>
      </c>
      <c r="E19" s="132"/>
      <c r="F19" s="226" t="s">
        <v>42</v>
      </c>
      <c r="G19" s="41">
        <v>6.39</v>
      </c>
      <c r="H19" s="133"/>
      <c r="I19" s="35">
        <v>6.39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6.39</v>
      </c>
      <c r="P19" s="202">
        <f t="shared" si="6"/>
        <v>0</v>
      </c>
      <c r="Q19" s="35">
        <v>779.57999999999993</v>
      </c>
      <c r="R19" s="202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393</v>
      </c>
      <c r="D21" s="25">
        <v>73</v>
      </c>
      <c r="E21" s="132"/>
      <c r="F21" s="226" t="s">
        <v>83</v>
      </c>
      <c r="G21" s="41">
        <v>0.63</v>
      </c>
      <c r="H21" s="133"/>
      <c r="I21" s="35">
        <v>45.99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45.99</v>
      </c>
      <c r="P21" s="202">
        <f t="shared" si="6"/>
        <v>0</v>
      </c>
      <c r="Q21" s="35">
        <v>5610.7800000000007</v>
      </c>
      <c r="R21" s="202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445</v>
      </c>
      <c r="D23" s="25">
        <v>2</v>
      </c>
      <c r="E23" s="132"/>
      <c r="F23" s="226" t="s">
        <v>311</v>
      </c>
      <c r="G23" s="41">
        <v>2.75</v>
      </c>
      <c r="H23" s="133"/>
      <c r="I23" s="35">
        <v>5.5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5.5</v>
      </c>
      <c r="P23" s="202">
        <f t="shared" si="6"/>
        <v>0</v>
      </c>
      <c r="Q23" s="35">
        <v>671</v>
      </c>
      <c r="R23" s="202">
        <f t="shared" si="7"/>
        <v>0</v>
      </c>
    </row>
    <row r="24" spans="1:18" x14ac:dyDescent="0.2">
      <c r="A24" s="25"/>
      <c r="B24" s="25" t="s">
        <v>501</v>
      </c>
      <c r="C24" s="25" t="s">
        <v>434</v>
      </c>
      <c r="D24" s="25">
        <v>5</v>
      </c>
      <c r="E24" s="132"/>
      <c r="F24" s="226" t="s">
        <v>360</v>
      </c>
      <c r="G24" s="41">
        <v>3.3453124999999999</v>
      </c>
      <c r="H24" s="133"/>
      <c r="I24" s="35">
        <v>16.7265625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16.7265625</v>
      </c>
      <c r="P24" s="202">
        <f t="shared" si="6"/>
        <v>0</v>
      </c>
      <c r="Q24" s="35">
        <v>2040.640625</v>
      </c>
      <c r="R24" s="202">
        <f t="shared" si="7"/>
        <v>0</v>
      </c>
    </row>
    <row r="25" spans="1:18" x14ac:dyDescent="0.2">
      <c r="A25" s="25"/>
      <c r="B25" s="25" t="s">
        <v>501</v>
      </c>
      <c r="C25" s="25" t="s">
        <v>378</v>
      </c>
      <c r="D25" s="25">
        <v>5</v>
      </c>
      <c r="E25" s="132"/>
      <c r="F25" s="226" t="s">
        <v>311</v>
      </c>
      <c r="G25" s="41">
        <v>2.1749999999999998</v>
      </c>
      <c r="H25" s="133"/>
      <c r="I25" s="35">
        <v>10.875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10.875</v>
      </c>
      <c r="P25" s="202">
        <f t="shared" si="6"/>
        <v>0</v>
      </c>
      <c r="Q25" s="35">
        <v>1326.75</v>
      </c>
      <c r="R25" s="202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448</v>
      </c>
      <c r="D27" s="25">
        <v>7.04</v>
      </c>
      <c r="E27" s="132"/>
      <c r="F27" s="226" t="s">
        <v>360</v>
      </c>
      <c r="G27" s="41">
        <v>1.25</v>
      </c>
      <c r="H27" s="133"/>
      <c r="I27" s="35">
        <v>8.8000000000000007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8.8000000000000007</v>
      </c>
      <c r="P27" s="202">
        <f t="shared" si="6"/>
        <v>0</v>
      </c>
      <c r="Q27" s="35">
        <v>1073.6000000000001</v>
      </c>
      <c r="R27" s="202">
        <f t="shared" si="7"/>
        <v>0</v>
      </c>
    </row>
    <row r="28" spans="1:18" x14ac:dyDescent="0.2">
      <c r="A28" s="25"/>
      <c r="B28" s="25" t="s">
        <v>501</v>
      </c>
      <c r="C28" s="25" t="s">
        <v>412</v>
      </c>
      <c r="D28" s="25">
        <v>2.31</v>
      </c>
      <c r="E28" s="132"/>
      <c r="F28" s="226" t="s">
        <v>360</v>
      </c>
      <c r="G28" s="41">
        <v>2.0390600000000001</v>
      </c>
      <c r="H28" s="133"/>
      <c r="I28" s="35">
        <v>4.7102286000000007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4.7102286000000007</v>
      </c>
      <c r="P28" s="202">
        <f t="shared" si="6"/>
        <v>0</v>
      </c>
      <c r="Q28" s="35">
        <v>574.64788920000012</v>
      </c>
      <c r="R28" s="202">
        <f t="shared" si="7"/>
        <v>0</v>
      </c>
    </row>
    <row r="29" spans="1:18" x14ac:dyDescent="0.2">
      <c r="A29" s="25"/>
      <c r="B29" s="133"/>
      <c r="C29" s="133"/>
      <c r="D29" s="25">
        <v>0</v>
      </c>
      <c r="E29" s="132"/>
      <c r="F29" s="226"/>
      <c r="G29" s="41">
        <v>0</v>
      </c>
      <c r="H29" s="133"/>
      <c r="I29" s="35">
        <v>0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</v>
      </c>
      <c r="P29" s="202">
        <f t="shared" si="6"/>
        <v>0</v>
      </c>
      <c r="Q29" s="35">
        <v>0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0</v>
      </c>
      <c r="P31" s="202">
        <f>+J31-N31</f>
        <v>0</v>
      </c>
      <c r="Q31" s="35">
        <v>0</v>
      </c>
      <c r="R31" s="202">
        <f>+J31*E$7</f>
        <v>0</v>
      </c>
    </row>
    <row r="32" spans="1:18" x14ac:dyDescent="0.2">
      <c r="A32" s="25"/>
      <c r="B32" s="25" t="s">
        <v>45</v>
      </c>
      <c r="C32" s="25"/>
      <c r="D32" s="25"/>
      <c r="E32" s="209"/>
      <c r="F32" s="21"/>
      <c r="G32" s="41"/>
      <c r="H32" s="198"/>
      <c r="I32" s="186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18" x14ac:dyDescent="0.2">
      <c r="A33" s="25"/>
      <c r="B33" s="25"/>
      <c r="C33" s="25" t="s">
        <v>146</v>
      </c>
      <c r="D33" s="34">
        <v>40.759999999999991</v>
      </c>
      <c r="E33" s="132"/>
      <c r="F33" s="226" t="s">
        <v>459</v>
      </c>
      <c r="G33" s="41">
        <v>4.7</v>
      </c>
      <c r="H33" s="133"/>
      <c r="I33" s="35">
        <v>191.57199999999997</v>
      </c>
      <c r="J33" s="202">
        <f t="shared" ref="J33:J34" si="8">E33*H33</f>
        <v>0</v>
      </c>
      <c r="K33" s="225">
        <v>0</v>
      </c>
      <c r="L33" s="214"/>
      <c r="M33" s="35">
        <v>0</v>
      </c>
      <c r="N33" s="202">
        <f t="shared" ref="N33:N34" si="9">J33*L33</f>
        <v>0</v>
      </c>
      <c r="O33" s="35">
        <v>191.57199999999997</v>
      </c>
      <c r="P33" s="202">
        <f t="shared" ref="P33:P34" si="10">+J33-N33</f>
        <v>0</v>
      </c>
      <c r="Q33" s="35">
        <v>23371.783999999996</v>
      </c>
      <c r="R33" s="202">
        <f t="shared" ref="R33:R34" si="11">+J33*E$7</f>
        <v>0</v>
      </c>
    </row>
    <row r="34" spans="1:18" x14ac:dyDescent="0.2">
      <c r="A34" s="25"/>
      <c r="B34" s="25"/>
      <c r="C34" s="25" t="s">
        <v>136</v>
      </c>
      <c r="D34" s="34">
        <v>0.90499999999999992</v>
      </c>
      <c r="E34" s="132"/>
      <c r="F34" s="226" t="s">
        <v>44</v>
      </c>
      <c r="G34" s="41">
        <v>17.5</v>
      </c>
      <c r="H34" s="133"/>
      <c r="I34" s="35">
        <v>15.837499999999999</v>
      </c>
      <c r="J34" s="202">
        <f t="shared" si="8"/>
        <v>0</v>
      </c>
      <c r="K34" s="225">
        <v>0</v>
      </c>
      <c r="L34" s="214"/>
      <c r="M34" s="35">
        <v>0</v>
      </c>
      <c r="N34" s="202">
        <f t="shared" si="9"/>
        <v>0</v>
      </c>
      <c r="O34" s="35">
        <v>15.837499999999999</v>
      </c>
      <c r="P34" s="202">
        <f t="shared" si="10"/>
        <v>0</v>
      </c>
      <c r="Q34" s="35">
        <v>1932.1749999999997</v>
      </c>
      <c r="R34" s="202">
        <f t="shared" si="11"/>
        <v>0</v>
      </c>
    </row>
    <row r="35" spans="1:18" x14ac:dyDescent="0.2">
      <c r="A35" s="25"/>
      <c r="B35" s="25" t="s">
        <v>108</v>
      </c>
      <c r="C35" s="25"/>
      <c r="D35" s="25"/>
      <c r="E35" s="105"/>
      <c r="H35" s="105"/>
      <c r="I35" s="124"/>
      <c r="J35" s="105"/>
      <c r="K35" s="225"/>
      <c r="L35" s="105"/>
      <c r="N35" s="105"/>
      <c r="P35" s="105"/>
      <c r="R35" s="105"/>
    </row>
    <row r="36" spans="1:18" x14ac:dyDescent="0.2">
      <c r="A36" s="25"/>
      <c r="B36" s="25"/>
      <c r="C36" s="25" t="s">
        <v>105</v>
      </c>
      <c r="D36" s="25">
        <v>7.82</v>
      </c>
      <c r="E36" s="132"/>
      <c r="F36" s="226" t="s">
        <v>44</v>
      </c>
      <c r="G36" s="41">
        <v>17.21</v>
      </c>
      <c r="H36" s="133"/>
      <c r="I36" s="35">
        <v>134.5822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134.5822</v>
      </c>
      <c r="P36" s="202">
        <f>+J36-N36</f>
        <v>0</v>
      </c>
      <c r="Q36" s="35">
        <v>16419.028399999999</v>
      </c>
      <c r="R36" s="202">
        <f>+J36*E$7</f>
        <v>0</v>
      </c>
    </row>
    <row r="37" spans="1:18" x14ac:dyDescent="0.2">
      <c r="A37" s="25"/>
      <c r="B37" s="25"/>
      <c r="C37" s="25" t="s">
        <v>107</v>
      </c>
      <c r="D37" s="25">
        <v>0</v>
      </c>
      <c r="E37" s="132"/>
      <c r="F37" s="226" t="s">
        <v>44</v>
      </c>
      <c r="G37" s="41">
        <v>17.21</v>
      </c>
      <c r="H37" s="133"/>
      <c r="I37" s="35">
        <v>0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0</v>
      </c>
      <c r="P37" s="202">
        <f>+J37-N37</f>
        <v>0</v>
      </c>
      <c r="Q37" s="35">
        <v>0</v>
      </c>
      <c r="R37" s="202">
        <f>+J37*E$7</f>
        <v>0</v>
      </c>
    </row>
    <row r="38" spans="1:18" x14ac:dyDescent="0.2">
      <c r="A38" s="25"/>
      <c r="B38" s="25"/>
      <c r="C38" s="25"/>
      <c r="D38" s="25"/>
      <c r="E38" s="209"/>
      <c r="F38" s="21"/>
      <c r="G38" s="41"/>
      <c r="H38" s="198"/>
      <c r="I38" s="35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 t="s">
        <v>51</v>
      </c>
      <c r="C39" s="25"/>
      <c r="D39" s="25"/>
      <c r="E39" s="209"/>
      <c r="F39" s="21"/>
      <c r="G39" s="41"/>
      <c r="H39" s="198"/>
      <c r="I39" s="186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/>
      <c r="C40" s="25" t="s">
        <v>104</v>
      </c>
      <c r="D40" s="25">
        <v>1</v>
      </c>
      <c r="E40" s="132"/>
      <c r="F40" s="226" t="s">
        <v>42</v>
      </c>
      <c r="G40" s="41">
        <v>0</v>
      </c>
      <c r="H40" s="133"/>
      <c r="I40" s="35">
        <v>0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0</v>
      </c>
      <c r="P40" s="202">
        <f>+J40-N40</f>
        <v>0</v>
      </c>
      <c r="Q40" s="35">
        <v>0</v>
      </c>
      <c r="R40" s="202">
        <f>+J40*E$7</f>
        <v>0</v>
      </c>
    </row>
    <row r="41" spans="1:18" x14ac:dyDescent="0.2">
      <c r="A41" s="25"/>
      <c r="B41" s="25"/>
      <c r="C41" s="25" t="s">
        <v>105</v>
      </c>
      <c r="D41" s="25">
        <v>37.28</v>
      </c>
      <c r="E41" s="132"/>
      <c r="F41" s="226" t="s">
        <v>79</v>
      </c>
      <c r="G41" s="41">
        <v>3.6</v>
      </c>
      <c r="H41" s="133"/>
      <c r="I41" s="35">
        <v>134.208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134.208</v>
      </c>
      <c r="P41" s="202">
        <f>+J41-N41</f>
        <v>0</v>
      </c>
      <c r="Q41" s="35">
        <v>16373.376</v>
      </c>
      <c r="R41" s="202">
        <f>+J41*E$7</f>
        <v>0</v>
      </c>
    </row>
    <row r="42" spans="1:18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 t="s">
        <v>29</v>
      </c>
      <c r="C43" s="25"/>
      <c r="D43" s="25"/>
      <c r="E43" s="209"/>
      <c r="F43" s="21"/>
      <c r="G43" s="41"/>
      <c r="H43" s="198"/>
      <c r="I43" s="186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10.131639344262295</v>
      </c>
      <c r="H44" s="133"/>
      <c r="I44" s="35">
        <v>10.131639344262295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10.131639344262295</v>
      </c>
      <c r="P44" s="202">
        <f>+J44-N44</f>
        <v>0</v>
      </c>
      <c r="Q44" s="35">
        <v>1236.06</v>
      </c>
      <c r="R44" s="202">
        <f>+J44*E$7</f>
        <v>0</v>
      </c>
    </row>
    <row r="45" spans="1:18" x14ac:dyDescent="0.2">
      <c r="A45" s="25"/>
      <c r="B45" s="25"/>
      <c r="C45" s="25" t="s">
        <v>105</v>
      </c>
      <c r="D45" s="25">
        <v>0</v>
      </c>
      <c r="E45" s="132"/>
      <c r="F45" s="226" t="s">
        <v>79</v>
      </c>
      <c r="G45" s="41">
        <v>3.15</v>
      </c>
      <c r="H45" s="133"/>
      <c r="I45" s="35">
        <v>0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0</v>
      </c>
      <c r="P45" s="202">
        <f>+J45-N45</f>
        <v>0</v>
      </c>
      <c r="Q45" s="35">
        <v>0</v>
      </c>
      <c r="R45" s="202">
        <f>+J45*E$7</f>
        <v>0</v>
      </c>
    </row>
    <row r="46" spans="1:18" x14ac:dyDescent="0.2">
      <c r="A46" s="25"/>
      <c r="B46" s="25"/>
      <c r="C46" s="25"/>
      <c r="D46" s="25"/>
      <c r="E46" s="209"/>
      <c r="F46" s="21"/>
      <c r="G46" s="41"/>
      <c r="H46" s="198"/>
      <c r="I46" s="35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 t="s">
        <v>47</v>
      </c>
      <c r="C47" s="25"/>
      <c r="D47" s="25"/>
      <c r="E47" s="209"/>
      <c r="F47" s="21"/>
      <c r="G47" s="41"/>
      <c r="H47" s="199"/>
      <c r="I47" s="186"/>
      <c r="J47" s="184"/>
      <c r="K47" s="225"/>
      <c r="L47" s="199"/>
      <c r="M47" s="35"/>
      <c r="N47" s="184"/>
      <c r="O47" s="35"/>
      <c r="P47" s="184"/>
      <c r="Q47" s="35"/>
      <c r="R47" s="184"/>
    </row>
    <row r="48" spans="1:18" x14ac:dyDescent="0.2">
      <c r="A48" s="25"/>
      <c r="B48" s="25"/>
      <c r="C48" s="25" t="s">
        <v>104</v>
      </c>
      <c r="D48" s="25">
        <v>1</v>
      </c>
      <c r="E48" s="132"/>
      <c r="F48" s="226" t="s">
        <v>42</v>
      </c>
      <c r="G48" s="41">
        <v>1.6081967213114756</v>
      </c>
      <c r="H48" s="133"/>
      <c r="I48" s="35">
        <v>1.6081967213114756</v>
      </c>
      <c r="J48" s="202">
        <f t="shared" ref="J48:J53" si="12">E48*H48</f>
        <v>0</v>
      </c>
      <c r="K48" s="225">
        <v>0</v>
      </c>
      <c r="L48" s="214"/>
      <c r="M48" s="35">
        <v>0</v>
      </c>
      <c r="N48" s="202">
        <f t="shared" ref="N48:N53" si="13">J48*L48</f>
        <v>0</v>
      </c>
      <c r="O48" s="35">
        <v>1.6081967213114756</v>
      </c>
      <c r="P48" s="202">
        <f t="shared" ref="P48:P53" si="14">+J48-N48</f>
        <v>0</v>
      </c>
      <c r="Q48" s="35">
        <v>196.20000000000002</v>
      </c>
      <c r="R48" s="202">
        <f t="shared" ref="R48:R53" si="15">+J48*E$7</f>
        <v>0</v>
      </c>
    </row>
    <row r="49" spans="1:18" x14ac:dyDescent="0.2">
      <c r="A49" s="25"/>
      <c r="B49" s="25"/>
      <c r="C49" s="25" t="s">
        <v>46</v>
      </c>
      <c r="D49" s="25">
        <v>1</v>
      </c>
      <c r="E49" s="132"/>
      <c r="F49" s="226" t="s">
        <v>42</v>
      </c>
      <c r="G49" s="41">
        <v>18.977855999999999</v>
      </c>
      <c r="H49" s="133"/>
      <c r="I49" s="35">
        <v>18.977855999999999</v>
      </c>
      <c r="J49" s="202">
        <f t="shared" si="12"/>
        <v>0</v>
      </c>
      <c r="K49" s="225">
        <v>0</v>
      </c>
      <c r="L49" s="214"/>
      <c r="M49" s="35">
        <v>0</v>
      </c>
      <c r="N49" s="202">
        <f t="shared" si="13"/>
        <v>0</v>
      </c>
      <c r="O49" s="35">
        <v>18.977855999999999</v>
      </c>
      <c r="P49" s="202">
        <f t="shared" si="14"/>
        <v>0</v>
      </c>
      <c r="Q49" s="35">
        <v>2315.298432</v>
      </c>
      <c r="R49" s="202">
        <f t="shared" si="15"/>
        <v>0</v>
      </c>
    </row>
    <row r="50" spans="1:18" x14ac:dyDescent="0.2">
      <c r="A50" s="25"/>
      <c r="B50" s="25"/>
      <c r="C50" s="25" t="s">
        <v>105</v>
      </c>
      <c r="D50" s="25">
        <v>1</v>
      </c>
      <c r="E50" s="132"/>
      <c r="F50" s="226" t="s">
        <v>42</v>
      </c>
      <c r="G50" s="41">
        <v>67.626647670735053</v>
      </c>
      <c r="H50" s="133"/>
      <c r="I50" s="35">
        <v>67.626647670735053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67.626647670735053</v>
      </c>
      <c r="P50" s="202">
        <f t="shared" si="14"/>
        <v>0</v>
      </c>
      <c r="Q50" s="35">
        <v>8250.4510158296762</v>
      </c>
      <c r="R50" s="202">
        <f t="shared" si="15"/>
        <v>0</v>
      </c>
    </row>
    <row r="51" spans="1:18" x14ac:dyDescent="0.2">
      <c r="A51" s="25"/>
      <c r="B51" s="25"/>
      <c r="C51" s="25" t="s">
        <v>4</v>
      </c>
      <c r="D51" s="25">
        <v>1</v>
      </c>
      <c r="E51" s="132"/>
      <c r="F51" s="226" t="s">
        <v>42</v>
      </c>
      <c r="G51" s="41">
        <v>3.0357966550552105</v>
      </c>
      <c r="H51" s="133"/>
      <c r="I51" s="35">
        <v>3.0357966550552105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3.0357966550552105</v>
      </c>
      <c r="P51" s="202">
        <f t="shared" si="14"/>
        <v>0</v>
      </c>
      <c r="Q51" s="35">
        <v>370.36719191673569</v>
      </c>
      <c r="R51" s="202">
        <f t="shared" si="15"/>
        <v>0</v>
      </c>
    </row>
    <row r="52" spans="1:18" x14ac:dyDescent="0.2">
      <c r="A52" s="25"/>
      <c r="B52" s="133"/>
      <c r="C52" s="133"/>
      <c r="D52" s="25"/>
      <c r="E52" s="132"/>
      <c r="F52" s="226"/>
      <c r="G52" s="41"/>
      <c r="H52" s="133"/>
      <c r="I52" s="35">
        <v>0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0</v>
      </c>
      <c r="P52" s="202">
        <f t="shared" si="14"/>
        <v>0</v>
      </c>
      <c r="Q52" s="35">
        <v>0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ht="13.5" thickBot="1" x14ac:dyDescent="0.25">
      <c r="A54" s="25"/>
      <c r="B54" s="25" t="s">
        <v>32</v>
      </c>
      <c r="C54" s="25"/>
      <c r="D54" s="25"/>
      <c r="E54" s="197"/>
      <c r="F54" s="21"/>
      <c r="G54" s="39">
        <v>0.08</v>
      </c>
      <c r="H54" s="215"/>
      <c r="I54" s="42">
        <v>18.52198053008572</v>
      </c>
      <c r="J54" s="202">
        <f>+SUM(J17:J53)/2*H54</f>
        <v>0</v>
      </c>
      <c r="K54" s="86"/>
      <c r="L54" s="137"/>
      <c r="M54" s="42">
        <v>0</v>
      </c>
      <c r="N54" s="202">
        <f>+SUM(N17:N53)/2*L54</f>
        <v>0</v>
      </c>
      <c r="O54" s="42">
        <v>18.52198053008572</v>
      </c>
      <c r="P54" s="202">
        <f>+SUM(P17:P53)/2*L54</f>
        <v>0</v>
      </c>
      <c r="Q54" s="42">
        <v>2259.6816246704579</v>
      </c>
      <c r="R54" s="184">
        <f>+J54*E$7</f>
        <v>0</v>
      </c>
    </row>
    <row r="55" spans="1:18" ht="13.5" thickBot="1" x14ac:dyDescent="0.25">
      <c r="A55" s="25" t="s">
        <v>33</v>
      </c>
      <c r="B55" s="25"/>
      <c r="C55" s="25"/>
      <c r="D55" s="25"/>
      <c r="E55" s="200"/>
      <c r="F55" s="25"/>
      <c r="G55" s="25"/>
      <c r="H55" s="197"/>
      <c r="I55" s="87">
        <v>697.59360802144977</v>
      </c>
      <c r="J55" s="204">
        <f>SUM(J18:J54)</f>
        <v>0</v>
      </c>
      <c r="K55" s="35"/>
      <c r="L55" s="195"/>
      <c r="M55" s="87">
        <v>0</v>
      </c>
      <c r="N55" s="204">
        <f>SUM(N18:N54)</f>
        <v>0</v>
      </c>
      <c r="O55" s="87">
        <v>697.59360802144977</v>
      </c>
      <c r="P55" s="204">
        <f>SUM(P18:P54)</f>
        <v>0</v>
      </c>
      <c r="Q55" s="87">
        <v>85106.420178616856</v>
      </c>
      <c r="R55" s="204">
        <f>SUM(R18:R54)</f>
        <v>0</v>
      </c>
    </row>
    <row r="56" spans="1:18" ht="13.5" thickTop="1" x14ac:dyDescent="0.2">
      <c r="A56" s="25" t="s">
        <v>34</v>
      </c>
      <c r="B56" s="25"/>
      <c r="C56" s="25"/>
      <c r="D56" s="25"/>
      <c r="E56" s="200"/>
      <c r="F56" s="25"/>
      <c r="G56" s="25"/>
      <c r="H56" s="197"/>
      <c r="I56" s="35">
        <v>1327.4063919785503</v>
      </c>
      <c r="J56" s="202">
        <f>+J13-J55</f>
        <v>0</v>
      </c>
      <c r="K56" s="35"/>
      <c r="L56" s="195"/>
      <c r="M56" s="35">
        <v>0</v>
      </c>
      <c r="N56" s="202">
        <f>+N13-N55</f>
        <v>0</v>
      </c>
      <c r="O56" s="35">
        <v>1327.4063919785503</v>
      </c>
      <c r="P56" s="202">
        <f>+P13-P55</f>
        <v>0</v>
      </c>
      <c r="Q56" s="35">
        <v>161943.57982138314</v>
      </c>
      <c r="R56" s="202">
        <f>+R13-R55</f>
        <v>0</v>
      </c>
    </row>
    <row r="57" spans="1:18" x14ac:dyDescent="0.2">
      <c r="A57" s="25"/>
      <c r="B57" s="25" t="s">
        <v>35</v>
      </c>
      <c r="C57" s="25"/>
      <c r="D57" s="25"/>
      <c r="E57" s="210"/>
      <c r="F57" s="17"/>
      <c r="G57" s="40">
        <v>93.012481069526629</v>
      </c>
      <c r="H57" s="210" t="str">
        <f>IF(E10=0,"n/a",(YVarExp-(YTotExp+YTotRet-J10))/E10)</f>
        <v>n/a</v>
      </c>
      <c r="I57" s="25" t="s">
        <v>135</v>
      </c>
      <c r="J57" s="184"/>
      <c r="K57" s="25"/>
      <c r="L57" s="197"/>
      <c r="M57" s="25"/>
      <c r="N57" s="184"/>
      <c r="O57" s="25"/>
      <c r="P57" s="184"/>
      <c r="Q57" s="25"/>
      <c r="R57" s="184"/>
    </row>
    <row r="58" spans="1:18" x14ac:dyDescent="0.2">
      <c r="A58" s="25"/>
      <c r="B58" s="25"/>
      <c r="C58" s="25"/>
      <c r="D58" s="25"/>
      <c r="E58" s="178"/>
      <c r="F58" s="25"/>
      <c r="G58" s="25"/>
      <c r="H58" s="211"/>
      <c r="I58" s="25"/>
      <c r="J58" s="184"/>
      <c r="K58" s="25"/>
      <c r="L58" s="197"/>
      <c r="M58" s="25"/>
      <c r="N58" s="184"/>
      <c r="O58" s="25"/>
      <c r="P58" s="184"/>
      <c r="Q58" s="22" t="s">
        <v>19</v>
      </c>
      <c r="R58" s="184" t="s">
        <v>19</v>
      </c>
    </row>
    <row r="59" spans="1:18" x14ac:dyDescent="0.2">
      <c r="A59" s="23" t="s">
        <v>36</v>
      </c>
      <c r="B59" s="23"/>
      <c r="C59" s="23"/>
      <c r="D59" s="24" t="s">
        <v>2</v>
      </c>
      <c r="E59" s="196" t="s">
        <v>2</v>
      </c>
      <c r="F59" s="24" t="s">
        <v>21</v>
      </c>
      <c r="G59" s="24" t="s">
        <v>22</v>
      </c>
      <c r="H59" s="196" t="s">
        <v>22</v>
      </c>
      <c r="I59" s="24" t="s">
        <v>11</v>
      </c>
      <c r="J59" s="196" t="s">
        <v>11</v>
      </c>
      <c r="K59" s="24" t="s">
        <v>10</v>
      </c>
      <c r="L59" s="196" t="s">
        <v>10</v>
      </c>
      <c r="M59" s="24" t="s">
        <v>9</v>
      </c>
      <c r="N59" s="196" t="s">
        <v>9</v>
      </c>
      <c r="O59" s="24" t="s">
        <v>8</v>
      </c>
      <c r="P59" s="196" t="s">
        <v>8</v>
      </c>
      <c r="Q59" s="24" t="s">
        <v>11</v>
      </c>
      <c r="R59" s="208" t="s">
        <v>11</v>
      </c>
    </row>
    <row r="60" spans="1:18" x14ac:dyDescent="0.2">
      <c r="A60" s="25"/>
      <c r="B60" s="25" t="s">
        <v>106</v>
      </c>
      <c r="C60" s="25"/>
      <c r="D60" s="25"/>
      <c r="E60" s="178"/>
      <c r="F60" s="25"/>
      <c r="G60" s="25"/>
      <c r="H60" s="211"/>
      <c r="I60" s="186"/>
      <c r="J60" s="184"/>
      <c r="K60" s="225"/>
      <c r="L60" s="197"/>
      <c r="M60" s="25"/>
      <c r="N60" s="184"/>
      <c r="O60" s="25"/>
      <c r="P60" s="184"/>
      <c r="Q60" s="25"/>
      <c r="R60" s="184"/>
    </row>
    <row r="61" spans="1:18" x14ac:dyDescent="0.2">
      <c r="A61" s="25"/>
      <c r="B61" s="25"/>
      <c r="C61" s="25" t="s">
        <v>104</v>
      </c>
      <c r="D61" s="25">
        <v>1</v>
      </c>
      <c r="E61" s="132"/>
      <c r="F61" s="226" t="s">
        <v>42</v>
      </c>
      <c r="G61" s="41">
        <v>6.0307377049180326</v>
      </c>
      <c r="H61" s="133"/>
      <c r="I61" s="35">
        <v>6.0307377049180326</v>
      </c>
      <c r="J61" s="202">
        <f t="shared" ref="J61:J64" si="16">E61*H61</f>
        <v>0</v>
      </c>
      <c r="K61" s="225">
        <v>0</v>
      </c>
      <c r="L61" s="214"/>
      <c r="M61" s="35">
        <v>0</v>
      </c>
      <c r="N61" s="202">
        <f>J61*L61</f>
        <v>0</v>
      </c>
      <c r="O61" s="35">
        <v>6.0307377049180326</v>
      </c>
      <c r="P61" s="202">
        <f t="shared" ref="P61:P64" si="17">+J61-N61</f>
        <v>0</v>
      </c>
      <c r="Q61" s="35">
        <v>735.75</v>
      </c>
      <c r="R61" s="202">
        <f t="shared" ref="R61:R64" si="18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2"/>
      <c r="F62" s="226" t="s">
        <v>42</v>
      </c>
      <c r="G62" s="41">
        <v>24.8224043715847</v>
      </c>
      <c r="H62" s="133"/>
      <c r="I62" s="35">
        <v>24.8224043715847</v>
      </c>
      <c r="J62" s="202">
        <f t="shared" si="16"/>
        <v>0</v>
      </c>
      <c r="K62" s="225">
        <v>0</v>
      </c>
      <c r="L62" s="214"/>
      <c r="M62" s="35">
        <v>0</v>
      </c>
      <c r="N62" s="202">
        <f>J62*L62</f>
        <v>0</v>
      </c>
      <c r="O62" s="35">
        <v>24.8224043715847</v>
      </c>
      <c r="P62" s="202">
        <f t="shared" si="17"/>
        <v>0</v>
      </c>
      <c r="Q62" s="35">
        <v>3028.3333333333335</v>
      </c>
      <c r="R62" s="202">
        <f t="shared" si="18"/>
        <v>0</v>
      </c>
    </row>
    <row r="63" spans="1:18" x14ac:dyDescent="0.2">
      <c r="A63" s="25"/>
      <c r="B63" s="25"/>
      <c r="C63" s="25" t="s">
        <v>105</v>
      </c>
      <c r="D63" s="25">
        <v>1</v>
      </c>
      <c r="E63" s="132"/>
      <c r="F63" s="226" t="s">
        <v>42</v>
      </c>
      <c r="G63" s="41">
        <v>89.842213910587333</v>
      </c>
      <c r="H63" s="133"/>
      <c r="I63" s="35">
        <v>89.842213910587333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89.842213910587333</v>
      </c>
      <c r="P63" s="202">
        <f t="shared" si="17"/>
        <v>0</v>
      </c>
      <c r="Q63" s="35">
        <v>10960.750097091655</v>
      </c>
      <c r="R63" s="202">
        <f t="shared" si="18"/>
        <v>0</v>
      </c>
    </row>
    <row r="64" spans="1:18" x14ac:dyDescent="0.2">
      <c r="A64" s="25"/>
      <c r="B64" s="25"/>
      <c r="C64" s="25" t="s">
        <v>4</v>
      </c>
      <c r="D64" s="25">
        <v>1</v>
      </c>
      <c r="E64" s="132"/>
      <c r="F64" s="226" t="s">
        <v>42</v>
      </c>
      <c r="G64" s="41">
        <v>7.3698386468814698</v>
      </c>
      <c r="H64" s="133"/>
      <c r="I64" s="35">
        <v>7.3698386468814698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7.3698386468814698</v>
      </c>
      <c r="P64" s="202">
        <f t="shared" si="17"/>
        <v>0</v>
      </c>
      <c r="Q64" s="35">
        <v>899.12031491953928</v>
      </c>
      <c r="R64" s="202">
        <f t="shared" si="18"/>
        <v>0</v>
      </c>
    </row>
    <row r="65" spans="1:18" x14ac:dyDescent="0.2">
      <c r="A65" s="25"/>
      <c r="B65" s="25" t="s">
        <v>89</v>
      </c>
      <c r="C65" s="25"/>
      <c r="D65" s="25"/>
      <c r="E65" s="197"/>
      <c r="F65" s="21"/>
      <c r="G65" s="41"/>
      <c r="H65" s="197"/>
      <c r="I65" s="186"/>
      <c r="J65" s="184"/>
      <c r="K65" s="225"/>
      <c r="L65" s="197"/>
      <c r="M65" s="35"/>
      <c r="N65" s="184"/>
      <c r="O65" s="35"/>
      <c r="P65" s="184"/>
      <c r="Q65" s="35"/>
      <c r="R65" s="184"/>
    </row>
    <row r="66" spans="1:18" x14ac:dyDescent="0.2">
      <c r="A66" s="25"/>
      <c r="B66" s="25"/>
      <c r="C66" s="25" t="s">
        <v>104</v>
      </c>
      <c r="D66" s="41">
        <v>25.128073770491802</v>
      </c>
      <c r="E66" s="132"/>
      <c r="F66" s="226" t="s">
        <v>100</v>
      </c>
      <c r="G66" s="39">
        <v>0.08</v>
      </c>
      <c r="H66" s="215"/>
      <c r="I66" s="35">
        <v>2.0102459016393444</v>
      </c>
      <c r="J66" s="202">
        <f t="shared" ref="J66:J76" si="19">E66*H66</f>
        <v>0</v>
      </c>
      <c r="K66" s="225">
        <v>0</v>
      </c>
      <c r="L66" s="214"/>
      <c r="M66" s="35">
        <v>0</v>
      </c>
      <c r="N66" s="202">
        <f>J66*L66</f>
        <v>0</v>
      </c>
      <c r="O66" s="35">
        <v>2.0102459016393444</v>
      </c>
      <c r="P66" s="202">
        <f t="shared" ref="P66:P69" si="20">+J66-N66</f>
        <v>0</v>
      </c>
      <c r="Q66" s="35">
        <v>245.25</v>
      </c>
      <c r="R66" s="202">
        <f t="shared" ref="R66:R69" si="21">+J66*E$7</f>
        <v>0</v>
      </c>
    </row>
    <row r="67" spans="1:18" x14ac:dyDescent="0.2">
      <c r="A67" s="25"/>
      <c r="B67" s="25"/>
      <c r="C67" s="25" t="s">
        <v>46</v>
      </c>
      <c r="D67" s="41">
        <v>186.16803278688525</v>
      </c>
      <c r="E67" s="132"/>
      <c r="F67" s="226" t="s">
        <v>100</v>
      </c>
      <c r="G67" s="39">
        <v>0.08</v>
      </c>
      <c r="H67" s="215"/>
      <c r="I67" s="35">
        <v>14.89344262295082</v>
      </c>
      <c r="J67" s="202">
        <f t="shared" si="19"/>
        <v>0</v>
      </c>
      <c r="K67" s="225">
        <v>0</v>
      </c>
      <c r="L67" s="214"/>
      <c r="M67" s="35">
        <v>0</v>
      </c>
      <c r="N67" s="202">
        <f>J67*L67</f>
        <v>0</v>
      </c>
      <c r="O67" s="35">
        <v>14.89344262295082</v>
      </c>
      <c r="P67" s="202">
        <f t="shared" si="20"/>
        <v>0</v>
      </c>
      <c r="Q67" s="35">
        <v>1817</v>
      </c>
      <c r="R67" s="202">
        <f t="shared" si="21"/>
        <v>0</v>
      </c>
    </row>
    <row r="68" spans="1:18" x14ac:dyDescent="0.2">
      <c r="A68" s="25"/>
      <c r="B68" s="25"/>
      <c r="C68" s="25" t="s">
        <v>105</v>
      </c>
      <c r="D68" s="41">
        <v>668.40334227409414</v>
      </c>
      <c r="E68" s="132"/>
      <c r="F68" s="226" t="s">
        <v>100</v>
      </c>
      <c r="G68" s="39">
        <v>0.08</v>
      </c>
      <c r="H68" s="215"/>
      <c r="I68" s="35">
        <v>53.47226738192753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53.47226738192753</v>
      </c>
      <c r="P68" s="202">
        <f t="shared" si="20"/>
        <v>0</v>
      </c>
      <c r="Q68" s="35">
        <v>6523.6166205951586</v>
      </c>
      <c r="R68" s="202">
        <f t="shared" si="21"/>
        <v>0</v>
      </c>
    </row>
    <row r="69" spans="1:18" x14ac:dyDescent="0.2">
      <c r="A69" s="25"/>
      <c r="B69" s="25"/>
      <c r="C69" s="25" t="s">
        <v>4</v>
      </c>
      <c r="D69" s="41">
        <v>53.365718858846613</v>
      </c>
      <c r="E69" s="132"/>
      <c r="F69" s="226" t="s">
        <v>100</v>
      </c>
      <c r="G69" s="39">
        <v>0.08</v>
      </c>
      <c r="H69" s="215"/>
      <c r="I69" s="35">
        <v>4.2692575087077289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4.2692575087077289</v>
      </c>
      <c r="P69" s="202">
        <f t="shared" si="20"/>
        <v>0</v>
      </c>
      <c r="Q69" s="35">
        <v>520.84941606234293</v>
      </c>
      <c r="R69" s="202">
        <f t="shared" si="21"/>
        <v>0</v>
      </c>
    </row>
    <row r="70" spans="1:18" x14ac:dyDescent="0.2">
      <c r="A70" s="25"/>
      <c r="B70" s="25" t="s">
        <v>156</v>
      </c>
      <c r="C70" s="25"/>
      <c r="D70" s="25">
        <v>1</v>
      </c>
      <c r="E70" s="132"/>
      <c r="F70" s="226" t="s">
        <v>42</v>
      </c>
      <c r="G70" s="41">
        <v>0</v>
      </c>
      <c r="H70" s="133"/>
      <c r="I70" s="35">
        <v>0</v>
      </c>
      <c r="J70" s="202">
        <f t="shared" si="19"/>
        <v>0</v>
      </c>
      <c r="K70" s="225">
        <v>0</v>
      </c>
      <c r="L70" s="214"/>
      <c r="M70" s="35">
        <v>0</v>
      </c>
      <c r="N70" s="202">
        <f t="shared" ref="N70:N77" si="22">J70*L70</f>
        <v>0</v>
      </c>
      <c r="O70" s="35">
        <v>0</v>
      </c>
      <c r="P70" s="202">
        <f t="shared" ref="P70:P77" si="23">+J70-N70</f>
        <v>0</v>
      </c>
      <c r="Q70" s="35">
        <v>0</v>
      </c>
      <c r="R70" s="202">
        <f t="shared" ref="R70:R77" si="24">+J70*E$7</f>
        <v>0</v>
      </c>
    </row>
    <row r="71" spans="1:18" x14ac:dyDescent="0.2">
      <c r="A71" s="25"/>
      <c r="B71" s="25" t="s">
        <v>152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si="22"/>
        <v>0</v>
      </c>
      <c r="O71" s="35">
        <v>0</v>
      </c>
      <c r="P71" s="202">
        <f t="shared" si="23"/>
        <v>0</v>
      </c>
      <c r="Q71" s="35">
        <v>0</v>
      </c>
      <c r="R71" s="202">
        <f t="shared" si="24"/>
        <v>0</v>
      </c>
    </row>
    <row r="72" spans="1:18" x14ac:dyDescent="0.2">
      <c r="A72" s="25"/>
      <c r="B72" s="25" t="s">
        <v>137</v>
      </c>
      <c r="C72" s="25"/>
      <c r="D72" s="25">
        <v>1</v>
      </c>
      <c r="E72" s="132"/>
      <c r="F72" s="226" t="s">
        <v>42</v>
      </c>
      <c r="G72" s="41">
        <v>109.5</v>
      </c>
      <c r="H72" s="133"/>
      <c r="I72" s="35">
        <v>109.5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109.5</v>
      </c>
      <c r="P72" s="202">
        <f t="shared" si="23"/>
        <v>0</v>
      </c>
      <c r="Q72" s="35">
        <v>13359</v>
      </c>
      <c r="R72" s="202">
        <f t="shared" si="24"/>
        <v>0</v>
      </c>
    </row>
    <row r="73" spans="1:18" x14ac:dyDescent="0.2">
      <c r="A73" s="25"/>
      <c r="B73" s="25" t="s">
        <v>453</v>
      </c>
      <c r="C73" s="25"/>
      <c r="D73" s="25">
        <v>1</v>
      </c>
      <c r="E73" s="132"/>
      <c r="F73" s="226" t="s">
        <v>42</v>
      </c>
      <c r="G73" s="41">
        <v>50</v>
      </c>
      <c r="H73" s="133"/>
      <c r="I73" s="35">
        <v>50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50</v>
      </c>
      <c r="P73" s="202">
        <f t="shared" si="23"/>
        <v>0</v>
      </c>
      <c r="Q73" s="35">
        <v>6100</v>
      </c>
      <c r="R73" s="202">
        <f t="shared" si="24"/>
        <v>0</v>
      </c>
    </row>
    <row r="74" spans="1:18" x14ac:dyDescent="0.2">
      <c r="A74" s="25"/>
      <c r="B74" s="25" t="s">
        <v>159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0</v>
      </c>
      <c r="P74" s="202">
        <f t="shared" si="23"/>
        <v>0</v>
      </c>
      <c r="Q74" s="35">
        <v>0</v>
      </c>
      <c r="R74" s="202">
        <f t="shared" si="24"/>
        <v>0</v>
      </c>
    </row>
    <row r="75" spans="1:18" x14ac:dyDescent="0.2">
      <c r="A75" s="25"/>
      <c r="B75" s="25" t="s">
        <v>160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133"/>
      <c r="C76" s="133"/>
      <c r="D76" s="25">
        <v>1</v>
      </c>
      <c r="E76" s="132"/>
      <c r="F76" s="226"/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ht="13.5" thickBot="1" x14ac:dyDescent="0.25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>E77*H77</f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 t="s">
        <v>37</v>
      </c>
      <c r="B78" s="25"/>
      <c r="C78" s="25"/>
      <c r="D78" s="25"/>
      <c r="E78" s="197"/>
      <c r="F78" s="25"/>
      <c r="G78" s="25"/>
      <c r="H78" s="197"/>
      <c r="I78" s="121">
        <v>362.21040804919699</v>
      </c>
      <c r="J78" s="204">
        <f>+SUM(J61:J77)</f>
        <v>0</v>
      </c>
      <c r="K78" s="35"/>
      <c r="L78" s="195"/>
      <c r="M78" s="121">
        <v>0</v>
      </c>
      <c r="N78" s="204">
        <f>+SUM(N61:N77)</f>
        <v>0</v>
      </c>
      <c r="O78" s="121">
        <v>362.21040804919699</v>
      </c>
      <c r="P78" s="204">
        <f>+SUM(P61:P77)</f>
        <v>0</v>
      </c>
      <c r="Q78" s="121">
        <v>44189.669782002034</v>
      </c>
      <c r="R78" s="204">
        <f>+SUM(R61:R77)</f>
        <v>0</v>
      </c>
    </row>
    <row r="79" spans="1:18" ht="14.25" thickTop="1" thickBot="1" x14ac:dyDescent="0.25">
      <c r="A79" s="25" t="s">
        <v>52</v>
      </c>
      <c r="B79" s="25"/>
      <c r="C79" s="25"/>
      <c r="D79" s="25"/>
      <c r="E79" s="197"/>
      <c r="F79" s="25"/>
      <c r="G79" s="25"/>
      <c r="H79" s="197"/>
      <c r="I79" s="87">
        <v>1059.8040160706469</v>
      </c>
      <c r="J79" s="205">
        <f>+J55+J78</f>
        <v>0</v>
      </c>
      <c r="K79" s="35"/>
      <c r="L79" s="195"/>
      <c r="M79" s="87">
        <v>0</v>
      </c>
      <c r="N79" s="205">
        <f>+N55+N78</f>
        <v>0</v>
      </c>
      <c r="O79" s="87">
        <v>1059.8040160706469</v>
      </c>
      <c r="P79" s="205">
        <f>+P55+P78</f>
        <v>0</v>
      </c>
      <c r="Q79" s="87">
        <v>129296.08996061889</v>
      </c>
      <c r="R79" s="205">
        <f>+R55+R78</f>
        <v>0</v>
      </c>
    </row>
    <row r="80" spans="1:18" ht="13.5" thickTop="1" x14ac:dyDescent="0.2">
      <c r="A80" s="25"/>
      <c r="B80" s="25"/>
      <c r="C80" s="25"/>
      <c r="D80" s="25"/>
      <c r="E80" s="197"/>
      <c r="F80" s="25"/>
      <c r="G80" s="25"/>
      <c r="H80" s="197"/>
      <c r="I80" s="35"/>
      <c r="J80" s="184"/>
      <c r="K80" s="35"/>
      <c r="L80" s="195"/>
      <c r="M80" s="35"/>
      <c r="N80" s="184"/>
      <c r="O80" s="35"/>
      <c r="P80" s="184"/>
      <c r="Q80" s="35"/>
      <c r="R80" s="184"/>
    </row>
    <row r="81" spans="1:18" x14ac:dyDescent="0.2">
      <c r="A81" s="25" t="s">
        <v>153</v>
      </c>
      <c r="B81" s="25"/>
      <c r="C81" s="25"/>
      <c r="D81" s="25"/>
      <c r="E81" s="197"/>
      <c r="F81" s="25"/>
      <c r="G81" s="25"/>
      <c r="H81" s="197"/>
      <c r="I81" s="35">
        <v>965.19598392935313</v>
      </c>
      <c r="J81" s="202">
        <f>+J13-J79</f>
        <v>0</v>
      </c>
      <c r="K81" s="35"/>
      <c r="L81" s="195"/>
      <c r="M81" s="35">
        <v>0</v>
      </c>
      <c r="N81" s="202">
        <f>+N13-N79</f>
        <v>0</v>
      </c>
      <c r="O81" s="35">
        <v>965.19598392935313</v>
      </c>
      <c r="P81" s="202">
        <f>+P13-P79</f>
        <v>0</v>
      </c>
      <c r="Q81" s="35">
        <v>117753.91003938111</v>
      </c>
      <c r="R81" s="202">
        <f>+R13-R79</f>
        <v>0</v>
      </c>
    </row>
    <row r="82" spans="1:18" x14ac:dyDescent="0.2">
      <c r="A82" s="25"/>
      <c r="B82" s="25"/>
      <c r="C82" s="25"/>
      <c r="D82" s="25"/>
      <c r="E82" s="197"/>
      <c r="F82" s="25"/>
      <c r="G82" s="25"/>
      <c r="H82" s="197"/>
      <c r="I82" s="35"/>
      <c r="J82" s="206"/>
      <c r="K82" s="35"/>
      <c r="L82" s="195"/>
      <c r="M82" s="35"/>
      <c r="N82" s="195"/>
      <c r="O82" s="35"/>
      <c r="P82" s="195"/>
      <c r="Q82" s="35"/>
      <c r="R82" s="206"/>
    </row>
    <row r="83" spans="1:18" ht="13.5" thickBot="1" x14ac:dyDescent="0.25">
      <c r="A83" s="44" t="s">
        <v>38</v>
      </c>
      <c r="B83" s="44"/>
      <c r="C83" s="44"/>
      <c r="D83" s="44"/>
      <c r="E83" s="201"/>
      <c r="F83" s="44"/>
      <c r="G83" s="45">
        <v>141.30720214275291</v>
      </c>
      <c r="H83" s="212" t="str">
        <f>IF(E10=0,"n/a",(YTotExp-(YTotExp+YTotRet-J10))/E10)</f>
        <v>n/a</v>
      </c>
      <c r="I83" s="44" t="s">
        <v>135</v>
      </c>
      <c r="J83" s="207"/>
      <c r="K83" s="44"/>
      <c r="L83" s="201"/>
      <c r="M83" s="44"/>
      <c r="N83" s="201"/>
      <c r="O83" s="44"/>
      <c r="P83" s="201"/>
      <c r="Q83" s="44"/>
      <c r="R83" s="207"/>
    </row>
    <row r="84" spans="1:18" ht="13.5" thickTop="1" x14ac:dyDescent="0.2"/>
    <row r="85" spans="1:18" s="17" customFormat="1" ht="15.75" x14ac:dyDescent="0.25">
      <c r="A85"/>
      <c r="B85" s="88"/>
      <c r="C85" s="89"/>
      <c r="D85" s="234" t="s">
        <v>115</v>
      </c>
      <c r="E85" s="235"/>
      <c r="F85" s="235"/>
      <c r="G85" s="235"/>
      <c r="H85" s="235"/>
      <c r="I85" s="235"/>
      <c r="J85" s="99"/>
      <c r="K85" s="99"/>
      <c r="M85"/>
      <c r="N85"/>
    </row>
    <row r="86" spans="1:18" s="17" customFormat="1" ht="15.75" x14ac:dyDescent="0.25">
      <c r="A86"/>
      <c r="B86" s="19" t="s">
        <v>116</v>
      </c>
      <c r="C86" s="19" t="s">
        <v>116</v>
      </c>
      <c r="D86" s="126" t="s">
        <v>170</v>
      </c>
      <c r="E86" s="18"/>
      <c r="F86" s="18"/>
      <c r="G86" s="126" t="s">
        <v>170</v>
      </c>
      <c r="H86" s="18"/>
      <c r="I86" s="18"/>
      <c r="J86" s="18"/>
      <c r="K86" s="18"/>
      <c r="M86"/>
      <c r="N86"/>
    </row>
    <row r="87" spans="1:18" s="17" customFormat="1" x14ac:dyDescent="0.2">
      <c r="A87"/>
      <c r="B87" s="19" t="s">
        <v>81</v>
      </c>
      <c r="C87" s="19" t="s">
        <v>81</v>
      </c>
      <c r="D87" s="126" t="s">
        <v>157</v>
      </c>
      <c r="E87" s="122"/>
      <c r="F87" s="122"/>
      <c r="G87" s="126" t="s">
        <v>11</v>
      </c>
      <c r="H87" s="122"/>
      <c r="I87" s="122"/>
      <c r="J87" s="122"/>
      <c r="K87" s="122"/>
      <c r="M87"/>
      <c r="N87"/>
    </row>
    <row r="88" spans="1:18" s="17" customFormat="1" x14ac:dyDescent="0.2">
      <c r="A88"/>
      <c r="B88" s="19" t="s">
        <v>30</v>
      </c>
      <c r="C88" s="99" t="s">
        <v>135</v>
      </c>
      <c r="D88" s="126" t="s">
        <v>99</v>
      </c>
      <c r="E88" s="122"/>
      <c r="F88" s="122"/>
      <c r="G88" s="126" t="s">
        <v>99</v>
      </c>
      <c r="H88" s="19"/>
      <c r="I88" s="19"/>
      <c r="J88" s="19"/>
      <c r="K88" s="19"/>
      <c r="M88"/>
      <c r="N88"/>
    </row>
    <row r="89" spans="1:18" s="17" customFormat="1" x14ac:dyDescent="0.2">
      <c r="A89"/>
      <c r="B89" s="90">
        <v>0.75</v>
      </c>
      <c r="C89" s="91">
        <v>5.625</v>
      </c>
      <c r="D89" s="92">
        <v>124.01664142603552</v>
      </c>
      <c r="E89" s="93"/>
      <c r="F89" s="94"/>
      <c r="G89" s="92">
        <v>188.40960285700388</v>
      </c>
      <c r="H89" s="93"/>
      <c r="I89" s="93"/>
      <c r="M89"/>
      <c r="N89"/>
    </row>
    <row r="90" spans="1:18" s="17" customFormat="1" x14ac:dyDescent="0.2">
      <c r="A90"/>
      <c r="B90" s="95">
        <v>0.9</v>
      </c>
      <c r="C90" s="96">
        <v>6.75</v>
      </c>
      <c r="D90" s="97">
        <v>103.34720118836293</v>
      </c>
      <c r="E90" s="83"/>
      <c r="F90" s="98"/>
      <c r="G90" s="97">
        <v>157.00800238083659</v>
      </c>
      <c r="H90" s="83"/>
      <c r="I90" s="83"/>
      <c r="M90"/>
      <c r="N90"/>
    </row>
    <row r="91" spans="1:18" s="17" customFormat="1" x14ac:dyDescent="0.2">
      <c r="A91"/>
      <c r="B91" s="90">
        <v>1</v>
      </c>
      <c r="C91" s="91">
        <v>7.5</v>
      </c>
      <c r="D91" s="92">
        <v>93.012481069526629</v>
      </c>
      <c r="E91" s="93"/>
      <c r="F91" s="94"/>
      <c r="G91" s="92">
        <v>141.30720214275291</v>
      </c>
      <c r="H91" s="93"/>
      <c r="I91" s="93"/>
      <c r="M91"/>
      <c r="N91"/>
    </row>
    <row r="92" spans="1:18" s="17" customFormat="1" x14ac:dyDescent="0.2">
      <c r="A92"/>
      <c r="B92" s="95">
        <v>1.1000000000000001</v>
      </c>
      <c r="C92" s="96">
        <v>8.25</v>
      </c>
      <c r="D92" s="97">
        <v>84.556800972296941</v>
      </c>
      <c r="E92" s="83"/>
      <c r="F92" s="98"/>
      <c r="G92" s="97">
        <v>128.4610928570481</v>
      </c>
      <c r="H92" s="83"/>
      <c r="I92" s="83"/>
      <c r="M92"/>
      <c r="N92"/>
    </row>
    <row r="93" spans="1:18" s="17" customFormat="1" x14ac:dyDescent="0.2">
      <c r="A93"/>
      <c r="B93" s="90">
        <v>1.25</v>
      </c>
      <c r="C93" s="91">
        <v>9.375</v>
      </c>
      <c r="D93" s="92">
        <v>74.409984855621303</v>
      </c>
      <c r="E93" s="93"/>
      <c r="F93" s="94"/>
      <c r="G93" s="92">
        <v>113.04576171420233</v>
      </c>
      <c r="H93" s="93"/>
      <c r="I93" s="93"/>
      <c r="M93"/>
      <c r="N93"/>
    </row>
    <row r="94" spans="1:18" s="17" customFormat="1" x14ac:dyDescent="0.2">
      <c r="A94"/>
      <c r="M94"/>
      <c r="N94"/>
    </row>
    <row r="95" spans="1:18" x14ac:dyDescent="0.2">
      <c r="A95" s="25" t="s">
        <v>536</v>
      </c>
      <c r="B95" s="17"/>
      <c r="C95" s="17"/>
      <c r="D95" s="17"/>
      <c r="E95" s="17"/>
      <c r="F95" s="17"/>
      <c r="G95" s="17"/>
      <c r="H95" s="17"/>
      <c r="I95" s="17"/>
      <c r="J95" s="28"/>
      <c r="K95" s="17"/>
      <c r="L95" s="17"/>
      <c r="M95" s="17"/>
      <c r="N95" s="17"/>
      <c r="O95" s="17"/>
      <c r="P95" s="17"/>
      <c r="Q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ht="26.25" customHeight="1" x14ac:dyDescent="0.2">
      <c r="A97" s="236" t="s">
        <v>140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21"/>
      <c r="N97" s="221"/>
      <c r="O97" s="221"/>
      <c r="P97" s="221"/>
      <c r="Q97" s="221"/>
      <c r="R97" s="221"/>
    </row>
  </sheetData>
  <sheetProtection sheet="1" objects="1" scenarios="1"/>
  <mergeCells count="6">
    <mergeCell ref="D85:I85"/>
    <mergeCell ref="A97:L9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1">
    <tabColor rgb="FF92D050"/>
    <pageSetUpPr fitToPage="1"/>
  </sheetPr>
  <dimension ref="A1:V97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337</v>
      </c>
      <c r="C10" s="25"/>
      <c r="D10" s="50">
        <v>7.5</v>
      </c>
      <c r="E10" s="132"/>
      <c r="F10" s="226" t="s">
        <v>135</v>
      </c>
      <c r="G10" s="31">
        <v>270</v>
      </c>
      <c r="H10" s="133"/>
      <c r="I10" s="35">
        <v>2025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2025</v>
      </c>
      <c r="P10" s="202">
        <f>+J10-N10</f>
        <v>0</v>
      </c>
      <c r="Q10" s="35">
        <v>247050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2025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2025</v>
      </c>
      <c r="P13" s="203">
        <f>SUM(P10:P12)</f>
        <v>0</v>
      </c>
      <c r="Q13" s="36">
        <v>247050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22" x14ac:dyDescent="0.2">
      <c r="A17" s="25"/>
      <c r="B17" s="25" t="s">
        <v>49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22" x14ac:dyDescent="0.2">
      <c r="A18" s="25"/>
      <c r="B18" s="25" t="s">
        <v>501</v>
      </c>
      <c r="C18" s="25" t="s">
        <v>445</v>
      </c>
      <c r="D18" s="25">
        <v>2</v>
      </c>
      <c r="E18" s="132"/>
      <c r="F18" s="226" t="s">
        <v>311</v>
      </c>
      <c r="G18" s="41">
        <v>2.75</v>
      </c>
      <c r="H18" s="133"/>
      <c r="I18" s="35">
        <v>5.5</v>
      </c>
      <c r="J18" s="202">
        <f t="shared" ref="J18:J30" si="4">E18*H18</f>
        <v>0</v>
      </c>
      <c r="K18" s="225">
        <v>0</v>
      </c>
      <c r="L18" s="214"/>
      <c r="M18" s="35">
        <v>0</v>
      </c>
      <c r="N18" s="202">
        <f t="shared" ref="N18:N30" si="5">J18*L18</f>
        <v>0</v>
      </c>
      <c r="O18" s="35">
        <v>5.5</v>
      </c>
      <c r="P18" s="202">
        <f t="shared" ref="P18:P30" si="6">+J18-N18</f>
        <v>0</v>
      </c>
      <c r="Q18" s="35">
        <v>671</v>
      </c>
      <c r="R18" s="202">
        <f t="shared" ref="R18:R30" si="7">+J18*E$7</f>
        <v>0</v>
      </c>
    </row>
    <row r="19" spans="1:22" x14ac:dyDescent="0.2">
      <c r="A19" s="25"/>
      <c r="B19" s="25" t="s">
        <v>501</v>
      </c>
      <c r="C19" s="25" t="s">
        <v>434</v>
      </c>
      <c r="D19" s="25">
        <v>5</v>
      </c>
      <c r="E19" s="132"/>
      <c r="F19" s="226" t="s">
        <v>360</v>
      </c>
      <c r="G19" s="41">
        <v>3.3453124999999999</v>
      </c>
      <c r="H19" s="133"/>
      <c r="I19" s="35">
        <v>16.7265625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16.7265625</v>
      </c>
      <c r="P19" s="202">
        <f t="shared" si="6"/>
        <v>0</v>
      </c>
      <c r="Q19" s="35">
        <v>2040.640625</v>
      </c>
      <c r="R19" s="202">
        <f t="shared" si="7"/>
        <v>0</v>
      </c>
    </row>
    <row r="20" spans="1:22" x14ac:dyDescent="0.2">
      <c r="A20" s="25"/>
      <c r="B20" s="25" t="s">
        <v>501</v>
      </c>
      <c r="C20" s="25" t="s">
        <v>378</v>
      </c>
      <c r="D20" s="25">
        <v>5</v>
      </c>
      <c r="E20" s="132"/>
      <c r="F20" s="226" t="s">
        <v>311</v>
      </c>
      <c r="G20" s="41">
        <v>2.1749999999999998</v>
      </c>
      <c r="H20" s="133"/>
      <c r="I20" s="35">
        <v>10.875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10.875</v>
      </c>
      <c r="P20" s="202">
        <f t="shared" si="6"/>
        <v>0</v>
      </c>
      <c r="Q20" s="35">
        <v>1326.75</v>
      </c>
      <c r="R20" s="202">
        <f t="shared" si="7"/>
        <v>0</v>
      </c>
      <c r="T20" s="125"/>
    </row>
    <row r="21" spans="1:22" x14ac:dyDescent="0.2">
      <c r="A21" s="25"/>
      <c r="B21" s="25" t="s">
        <v>50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22" x14ac:dyDescent="0.2">
      <c r="A22" s="25"/>
      <c r="B22" s="25" t="s">
        <v>501</v>
      </c>
      <c r="C22" s="25" t="s">
        <v>439</v>
      </c>
      <c r="D22" s="25">
        <v>0.5</v>
      </c>
      <c r="E22" s="132"/>
      <c r="F22" s="226" t="s">
        <v>440</v>
      </c>
      <c r="G22" s="41">
        <v>5</v>
      </c>
      <c r="H22" s="133"/>
      <c r="I22" s="35">
        <v>2.5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2.5</v>
      </c>
      <c r="P22" s="202">
        <f t="shared" si="6"/>
        <v>0</v>
      </c>
      <c r="Q22" s="35">
        <v>305</v>
      </c>
      <c r="R22" s="202">
        <f t="shared" si="7"/>
        <v>0</v>
      </c>
    </row>
    <row r="23" spans="1:22" x14ac:dyDescent="0.2">
      <c r="A23" s="25"/>
      <c r="B23" s="25" t="s">
        <v>501</v>
      </c>
      <c r="C23" s="25" t="s">
        <v>379</v>
      </c>
      <c r="D23" s="25">
        <v>1</v>
      </c>
      <c r="E23" s="132"/>
      <c r="F23" s="226" t="s">
        <v>42</v>
      </c>
      <c r="G23" s="41">
        <v>6.39</v>
      </c>
      <c r="H23" s="133"/>
      <c r="I23" s="35">
        <v>6.39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6.39</v>
      </c>
      <c r="P23" s="202">
        <f t="shared" si="6"/>
        <v>0</v>
      </c>
      <c r="Q23" s="35">
        <v>779.57999999999993</v>
      </c>
      <c r="R23" s="202">
        <f t="shared" si="7"/>
        <v>0</v>
      </c>
    </row>
    <row r="24" spans="1:22" x14ac:dyDescent="0.2">
      <c r="A24" s="25"/>
      <c r="B24" s="25" t="s">
        <v>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22" x14ac:dyDescent="0.2">
      <c r="A25" s="25"/>
      <c r="B25" s="25" t="s">
        <v>501</v>
      </c>
      <c r="C25" s="25" t="s">
        <v>393</v>
      </c>
      <c r="D25" s="25">
        <v>73</v>
      </c>
      <c r="E25" s="132"/>
      <c r="F25" s="226" t="s">
        <v>83</v>
      </c>
      <c r="G25" s="41">
        <v>0.63</v>
      </c>
      <c r="H25" s="133"/>
      <c r="I25" s="35">
        <v>45.99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45.99</v>
      </c>
      <c r="P25" s="202">
        <f t="shared" si="6"/>
        <v>0</v>
      </c>
      <c r="Q25" s="35">
        <v>5610.7800000000007</v>
      </c>
      <c r="R25" s="202">
        <f t="shared" si="7"/>
        <v>0</v>
      </c>
    </row>
    <row r="26" spans="1:22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22" x14ac:dyDescent="0.2">
      <c r="A27" s="25"/>
      <c r="B27" s="25" t="s">
        <v>501</v>
      </c>
      <c r="C27" s="25" t="s">
        <v>448</v>
      </c>
      <c r="D27" s="25">
        <v>7.04</v>
      </c>
      <c r="E27" s="132"/>
      <c r="F27" s="226" t="s">
        <v>360</v>
      </c>
      <c r="G27" s="41">
        <v>1.25</v>
      </c>
      <c r="H27" s="133"/>
      <c r="I27" s="35">
        <v>8.8000000000000007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8.8000000000000007</v>
      </c>
      <c r="P27" s="202">
        <f t="shared" si="6"/>
        <v>0</v>
      </c>
      <c r="Q27" s="35">
        <v>1073.6000000000001</v>
      </c>
      <c r="R27" s="202">
        <f t="shared" si="7"/>
        <v>0</v>
      </c>
      <c r="V27" s="125"/>
    </row>
    <row r="28" spans="1:22" x14ac:dyDescent="0.2">
      <c r="A28" s="25"/>
      <c r="B28" s="25" t="s">
        <v>501</v>
      </c>
      <c r="C28" s="25" t="s">
        <v>412</v>
      </c>
      <c r="D28" s="25">
        <v>2.31</v>
      </c>
      <c r="E28" s="132"/>
      <c r="F28" s="226" t="s">
        <v>360</v>
      </c>
      <c r="G28" s="41">
        <v>2.0390600000000001</v>
      </c>
      <c r="H28" s="133"/>
      <c r="I28" s="35">
        <v>4.7102286000000007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4.7102286000000007</v>
      </c>
      <c r="P28" s="202">
        <f t="shared" si="6"/>
        <v>0</v>
      </c>
      <c r="Q28" s="35">
        <v>574.64788920000012</v>
      </c>
      <c r="R28" s="202">
        <f t="shared" si="7"/>
        <v>0</v>
      </c>
    </row>
    <row r="29" spans="1:22" x14ac:dyDescent="0.2">
      <c r="A29" s="25"/>
      <c r="B29" s="133"/>
      <c r="C29" s="133"/>
      <c r="D29" s="25">
        <v>0</v>
      </c>
      <c r="E29" s="132"/>
      <c r="F29" s="226"/>
      <c r="G29" s="41">
        <v>0</v>
      </c>
      <c r="H29" s="133"/>
      <c r="I29" s="35">
        <v>0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</v>
      </c>
      <c r="P29" s="202">
        <f t="shared" si="6"/>
        <v>0</v>
      </c>
      <c r="Q29" s="35">
        <v>0</v>
      </c>
      <c r="R29" s="202">
        <f t="shared" si="7"/>
        <v>0</v>
      </c>
    </row>
    <row r="30" spans="1:22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22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0</v>
      </c>
      <c r="P31" s="202">
        <f>+J31-N31</f>
        <v>0</v>
      </c>
      <c r="Q31" s="35">
        <v>0</v>
      </c>
      <c r="R31" s="202">
        <f>+J31*E$7</f>
        <v>0</v>
      </c>
    </row>
    <row r="32" spans="1:22" x14ac:dyDescent="0.2">
      <c r="A32" s="25"/>
      <c r="B32" s="25" t="s">
        <v>45</v>
      </c>
      <c r="C32" s="25"/>
      <c r="D32" s="25"/>
      <c r="E32" s="209"/>
      <c r="F32" s="21"/>
      <c r="G32" s="41"/>
      <c r="H32" s="198"/>
      <c r="I32" s="186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21" x14ac:dyDescent="0.2">
      <c r="A33" s="25"/>
      <c r="B33" s="25"/>
      <c r="C33" s="25" t="s">
        <v>146</v>
      </c>
      <c r="D33" s="34">
        <v>25.71</v>
      </c>
      <c r="E33" s="132"/>
      <c r="F33" s="226" t="s">
        <v>459</v>
      </c>
      <c r="G33" s="41">
        <v>4.7</v>
      </c>
      <c r="H33" s="133"/>
      <c r="I33" s="35">
        <v>120.837</v>
      </c>
      <c r="J33" s="202">
        <f t="shared" ref="J33:J34" si="8">E33*H33</f>
        <v>0</v>
      </c>
      <c r="K33" s="225">
        <v>0</v>
      </c>
      <c r="L33" s="214"/>
      <c r="M33" s="35">
        <v>0</v>
      </c>
      <c r="N33" s="202">
        <f t="shared" ref="N33:N34" si="9">J33*L33</f>
        <v>0</v>
      </c>
      <c r="O33" s="35">
        <v>120.837</v>
      </c>
      <c r="P33" s="202">
        <f t="shared" ref="P33:P34" si="10">+J33-N33</f>
        <v>0</v>
      </c>
      <c r="Q33" s="35">
        <v>14742.114</v>
      </c>
      <c r="R33" s="202">
        <f t="shared" ref="R33:R34" si="11">+J33*E$7</f>
        <v>0</v>
      </c>
      <c r="U33" s="125"/>
    </row>
    <row r="34" spans="1:21" x14ac:dyDescent="0.2">
      <c r="A34" s="25"/>
      <c r="B34" s="25"/>
      <c r="C34" s="25" t="s">
        <v>136</v>
      </c>
      <c r="D34" s="34">
        <v>9.5499999999999988E-2</v>
      </c>
      <c r="E34" s="132"/>
      <c r="F34" s="226" t="s">
        <v>44</v>
      </c>
      <c r="G34" s="41">
        <v>17.5</v>
      </c>
      <c r="H34" s="133"/>
      <c r="I34" s="35">
        <v>1.6712499999999997</v>
      </c>
      <c r="J34" s="202">
        <f t="shared" si="8"/>
        <v>0</v>
      </c>
      <c r="K34" s="225">
        <v>0</v>
      </c>
      <c r="L34" s="214"/>
      <c r="M34" s="35">
        <v>0</v>
      </c>
      <c r="N34" s="202">
        <f t="shared" si="9"/>
        <v>0</v>
      </c>
      <c r="O34" s="35">
        <v>1.6712499999999997</v>
      </c>
      <c r="P34" s="202">
        <f t="shared" si="10"/>
        <v>0</v>
      </c>
      <c r="Q34" s="35">
        <v>203.89249999999996</v>
      </c>
      <c r="R34" s="202">
        <f t="shared" si="11"/>
        <v>0</v>
      </c>
    </row>
    <row r="35" spans="1:21" x14ac:dyDescent="0.2">
      <c r="A35" s="25"/>
      <c r="B35" s="25" t="s">
        <v>108</v>
      </c>
      <c r="C35" s="25"/>
      <c r="D35" s="25"/>
      <c r="E35" s="105"/>
      <c r="H35" s="105"/>
      <c r="I35" s="186"/>
      <c r="J35" s="105"/>
      <c r="K35" s="225"/>
      <c r="L35" s="105"/>
      <c r="N35" s="105"/>
      <c r="P35" s="105"/>
      <c r="R35" s="105"/>
    </row>
    <row r="36" spans="1:21" x14ac:dyDescent="0.2">
      <c r="A36" s="25"/>
      <c r="B36" s="25"/>
      <c r="C36" s="25" t="s">
        <v>105</v>
      </c>
      <c r="D36" s="25">
        <v>7.82</v>
      </c>
      <c r="E36" s="132"/>
      <c r="F36" s="226" t="s">
        <v>44</v>
      </c>
      <c r="G36" s="41">
        <v>17.21</v>
      </c>
      <c r="H36" s="133"/>
      <c r="I36" s="35">
        <v>134.5822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134.5822</v>
      </c>
      <c r="P36" s="202">
        <f>+J36-N36</f>
        <v>0</v>
      </c>
      <c r="Q36" s="35">
        <v>16419.028399999999</v>
      </c>
      <c r="R36" s="202">
        <f>+J36*E$7</f>
        <v>0</v>
      </c>
    </row>
    <row r="37" spans="1:21" x14ac:dyDescent="0.2">
      <c r="A37" s="25"/>
      <c r="B37" s="25"/>
      <c r="C37" s="25" t="s">
        <v>107</v>
      </c>
      <c r="D37" s="25">
        <v>0</v>
      </c>
      <c r="E37" s="132"/>
      <c r="F37" s="226" t="s">
        <v>44</v>
      </c>
      <c r="G37" s="41">
        <v>17.21</v>
      </c>
      <c r="H37" s="133"/>
      <c r="I37" s="35">
        <v>0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0</v>
      </c>
      <c r="P37" s="202">
        <f>+J37-N37</f>
        <v>0</v>
      </c>
      <c r="Q37" s="35">
        <v>0</v>
      </c>
      <c r="R37" s="202">
        <f>+J37*E$7</f>
        <v>0</v>
      </c>
    </row>
    <row r="38" spans="1:21" x14ac:dyDescent="0.2">
      <c r="A38" s="25"/>
      <c r="B38" s="25"/>
      <c r="C38" s="25"/>
      <c r="D38" s="25"/>
      <c r="E38" s="209"/>
      <c r="F38" s="21"/>
      <c r="G38" s="41"/>
      <c r="H38" s="198"/>
      <c r="I38" s="35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21" x14ac:dyDescent="0.2">
      <c r="A39" s="25"/>
      <c r="B39" s="25" t="s">
        <v>51</v>
      </c>
      <c r="C39" s="25"/>
      <c r="D39" s="25"/>
      <c r="E39" s="209"/>
      <c r="F39" s="21"/>
      <c r="G39" s="41"/>
      <c r="H39" s="198"/>
      <c r="I39" s="186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21" x14ac:dyDescent="0.2">
      <c r="A40" s="25"/>
      <c r="B40" s="25"/>
      <c r="C40" s="25" t="s">
        <v>104</v>
      </c>
      <c r="D40" s="25">
        <v>1</v>
      </c>
      <c r="E40" s="132"/>
      <c r="F40" s="226" t="s">
        <v>42</v>
      </c>
      <c r="G40" s="41">
        <v>0</v>
      </c>
      <c r="H40" s="133"/>
      <c r="I40" s="35">
        <v>0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0</v>
      </c>
      <c r="P40" s="202">
        <f>+J40-N40</f>
        <v>0</v>
      </c>
      <c r="Q40" s="35">
        <v>0</v>
      </c>
      <c r="R40" s="202">
        <f>+J40*E$7</f>
        <v>0</v>
      </c>
    </row>
    <row r="41" spans="1:21" x14ac:dyDescent="0.2">
      <c r="A41" s="25"/>
      <c r="B41" s="25"/>
      <c r="C41" s="25" t="s">
        <v>105</v>
      </c>
      <c r="D41" s="25">
        <v>37.28</v>
      </c>
      <c r="E41" s="132"/>
      <c r="F41" s="226" t="s">
        <v>79</v>
      </c>
      <c r="G41" s="41">
        <v>3.6</v>
      </c>
      <c r="H41" s="133"/>
      <c r="I41" s="35">
        <v>134.208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134.208</v>
      </c>
      <c r="P41" s="202">
        <f>+J41-N41</f>
        <v>0</v>
      </c>
      <c r="Q41" s="35">
        <v>16373.376</v>
      </c>
      <c r="R41" s="202">
        <f>+J41*E$7</f>
        <v>0</v>
      </c>
    </row>
    <row r="42" spans="1:21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21" x14ac:dyDescent="0.2">
      <c r="A43" s="25"/>
      <c r="B43" s="25" t="s">
        <v>29</v>
      </c>
      <c r="C43" s="25"/>
      <c r="D43" s="25"/>
      <c r="E43" s="209"/>
      <c r="F43" s="21"/>
      <c r="G43" s="41"/>
      <c r="H43" s="198"/>
      <c r="I43" s="186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21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10.131639344262295</v>
      </c>
      <c r="H44" s="133"/>
      <c r="I44" s="35">
        <v>10.131639344262295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10.131639344262295</v>
      </c>
      <c r="P44" s="202">
        <f>+J44-N44</f>
        <v>0</v>
      </c>
      <c r="Q44" s="35">
        <v>1236.06</v>
      </c>
      <c r="R44" s="202">
        <f>+J44*E$7</f>
        <v>0</v>
      </c>
    </row>
    <row r="45" spans="1:21" x14ac:dyDescent="0.2">
      <c r="A45" s="25"/>
      <c r="B45" s="25"/>
      <c r="C45" s="25" t="s">
        <v>105</v>
      </c>
      <c r="D45" s="25">
        <v>0</v>
      </c>
      <c r="E45" s="132"/>
      <c r="F45" s="226" t="s">
        <v>79</v>
      </c>
      <c r="G45" s="41">
        <v>3.15</v>
      </c>
      <c r="H45" s="133"/>
      <c r="I45" s="35">
        <v>0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0</v>
      </c>
      <c r="P45" s="202">
        <f>+J45-N45</f>
        <v>0</v>
      </c>
      <c r="Q45" s="35">
        <v>0</v>
      </c>
      <c r="R45" s="202">
        <f>+J45*E$7</f>
        <v>0</v>
      </c>
    </row>
    <row r="46" spans="1:21" x14ac:dyDescent="0.2">
      <c r="A46" s="25"/>
      <c r="B46" s="25"/>
      <c r="C46" s="25"/>
      <c r="D46" s="25"/>
      <c r="E46" s="209"/>
      <c r="F46" s="21"/>
      <c r="G46" s="41"/>
      <c r="H46" s="198"/>
      <c r="I46" s="35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21" x14ac:dyDescent="0.2">
      <c r="A47" s="25"/>
      <c r="B47" s="25" t="s">
        <v>47</v>
      </c>
      <c r="C47" s="25"/>
      <c r="D47" s="25"/>
      <c r="E47" s="209"/>
      <c r="F47" s="21"/>
      <c r="G47" s="41"/>
      <c r="H47" s="199"/>
      <c r="I47" s="186"/>
      <c r="J47" s="184"/>
      <c r="K47" s="225"/>
      <c r="L47" s="199"/>
      <c r="M47" s="35"/>
      <c r="N47" s="184"/>
      <c r="O47" s="35"/>
      <c r="P47" s="184"/>
      <c r="Q47" s="35"/>
      <c r="R47" s="184"/>
    </row>
    <row r="48" spans="1:21" x14ac:dyDescent="0.2">
      <c r="A48" s="25"/>
      <c r="B48" s="25"/>
      <c r="C48" s="25" t="s">
        <v>104</v>
      </c>
      <c r="D48" s="25">
        <v>1</v>
      </c>
      <c r="E48" s="132"/>
      <c r="F48" s="226" t="s">
        <v>42</v>
      </c>
      <c r="G48" s="41">
        <v>1.6081967213114756</v>
      </c>
      <c r="H48" s="133"/>
      <c r="I48" s="35">
        <v>1.6081967213114756</v>
      </c>
      <c r="J48" s="202">
        <f t="shared" ref="J48:J53" si="12">E48*H48</f>
        <v>0</v>
      </c>
      <c r="K48" s="225">
        <v>0</v>
      </c>
      <c r="L48" s="214"/>
      <c r="M48" s="35">
        <v>0</v>
      </c>
      <c r="N48" s="202">
        <f t="shared" ref="N48:N53" si="13">J48*L48</f>
        <v>0</v>
      </c>
      <c r="O48" s="35">
        <v>1.6081967213114756</v>
      </c>
      <c r="P48" s="202">
        <f t="shared" ref="P48:P53" si="14">+J48-N48</f>
        <v>0</v>
      </c>
      <c r="Q48" s="35">
        <v>196.20000000000002</v>
      </c>
      <c r="R48" s="202">
        <f t="shared" ref="R48:R53" si="15">+J48*E$7</f>
        <v>0</v>
      </c>
    </row>
    <row r="49" spans="1:18" x14ac:dyDescent="0.2">
      <c r="A49" s="25"/>
      <c r="B49" s="25"/>
      <c r="C49" s="25" t="s">
        <v>46</v>
      </c>
      <c r="D49" s="25">
        <v>1</v>
      </c>
      <c r="E49" s="132"/>
      <c r="F49" s="226" t="s">
        <v>42</v>
      </c>
      <c r="G49" s="41">
        <v>43.796984999999999</v>
      </c>
      <c r="H49" s="133"/>
      <c r="I49" s="35">
        <v>43.796984999999999</v>
      </c>
      <c r="J49" s="202">
        <f t="shared" si="12"/>
        <v>0</v>
      </c>
      <c r="K49" s="225">
        <v>0</v>
      </c>
      <c r="L49" s="214"/>
      <c r="M49" s="35">
        <v>0</v>
      </c>
      <c r="N49" s="202">
        <f t="shared" si="13"/>
        <v>0</v>
      </c>
      <c r="O49" s="35">
        <v>43.796984999999999</v>
      </c>
      <c r="P49" s="202">
        <f t="shared" si="14"/>
        <v>0</v>
      </c>
      <c r="Q49" s="35">
        <v>5343.2321700000002</v>
      </c>
      <c r="R49" s="202">
        <f t="shared" si="15"/>
        <v>0</v>
      </c>
    </row>
    <row r="50" spans="1:18" x14ac:dyDescent="0.2">
      <c r="A50" s="25"/>
      <c r="B50" s="25"/>
      <c r="C50" s="25" t="s">
        <v>105</v>
      </c>
      <c r="D50" s="25">
        <v>1</v>
      </c>
      <c r="E50" s="132"/>
      <c r="F50" s="226" t="s">
        <v>42</v>
      </c>
      <c r="G50" s="41">
        <v>67.626647670735053</v>
      </c>
      <c r="H50" s="133"/>
      <c r="I50" s="35">
        <v>67.626647670735053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67.626647670735053</v>
      </c>
      <c r="P50" s="202">
        <f t="shared" si="14"/>
        <v>0</v>
      </c>
      <c r="Q50" s="35">
        <v>8250.4510158296762</v>
      </c>
      <c r="R50" s="202">
        <f t="shared" si="15"/>
        <v>0</v>
      </c>
    </row>
    <row r="51" spans="1:18" x14ac:dyDescent="0.2">
      <c r="A51" s="25"/>
      <c r="B51" s="25"/>
      <c r="C51" s="25" t="s">
        <v>4</v>
      </c>
      <c r="D51" s="25">
        <v>1</v>
      </c>
      <c r="E51" s="132"/>
      <c r="F51" s="226" t="s">
        <v>42</v>
      </c>
      <c r="G51" s="41">
        <v>3.0357966550552105</v>
      </c>
      <c r="H51" s="133"/>
      <c r="I51" s="35">
        <v>3.0357966550552105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3.0357966550552105</v>
      </c>
      <c r="P51" s="202">
        <f t="shared" si="14"/>
        <v>0</v>
      </c>
      <c r="Q51" s="35">
        <v>370.36719191673569</v>
      </c>
      <c r="R51" s="202">
        <f t="shared" si="15"/>
        <v>0</v>
      </c>
    </row>
    <row r="52" spans="1:18" x14ac:dyDescent="0.2">
      <c r="A52" s="25"/>
      <c r="B52" s="133"/>
      <c r="C52" s="133"/>
      <c r="D52" s="25"/>
      <c r="E52" s="132"/>
      <c r="F52" s="226"/>
      <c r="G52" s="41"/>
      <c r="H52" s="133"/>
      <c r="I52" s="35">
        <v>0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0</v>
      </c>
      <c r="P52" s="202">
        <f t="shared" si="14"/>
        <v>0</v>
      </c>
      <c r="Q52" s="35">
        <v>0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ht="13.5" thickBot="1" x14ac:dyDescent="0.25">
      <c r="A54" s="25"/>
      <c r="B54" s="25" t="s">
        <v>32</v>
      </c>
      <c r="C54" s="25"/>
      <c r="D54" s="25"/>
      <c r="E54" s="197"/>
      <c r="F54" s="21"/>
      <c r="G54" s="39">
        <v>0.08</v>
      </c>
      <c r="H54" s="215"/>
      <c r="I54" s="42">
        <v>17.084294607236409</v>
      </c>
      <c r="J54" s="202">
        <f>+SUM(J17:J53)/2*H54</f>
        <v>0</v>
      </c>
      <c r="K54" s="86"/>
      <c r="L54" s="137"/>
      <c r="M54" s="42">
        <v>0</v>
      </c>
      <c r="N54" s="202">
        <f>+SUM(N17:N53)/2*L54</f>
        <v>0</v>
      </c>
      <c r="O54" s="42">
        <v>17.084294607236409</v>
      </c>
      <c r="P54" s="202">
        <f>+SUM(P17:P53)/2*L54</f>
        <v>0</v>
      </c>
      <c r="Q54" s="42">
        <v>2084.2839420828418</v>
      </c>
      <c r="R54" s="184">
        <f>+J54*E$7</f>
        <v>0</v>
      </c>
    </row>
    <row r="55" spans="1:18" ht="13.5" thickBot="1" x14ac:dyDescent="0.25">
      <c r="A55" s="25" t="s">
        <v>33</v>
      </c>
      <c r="B55" s="25"/>
      <c r="C55" s="25"/>
      <c r="D55" s="25"/>
      <c r="E55" s="200"/>
      <c r="F55" s="25"/>
      <c r="G55" s="25"/>
      <c r="H55" s="197"/>
      <c r="I55" s="87">
        <v>636.07380109860037</v>
      </c>
      <c r="J55" s="204">
        <f>SUM(J18:J54)</f>
        <v>0</v>
      </c>
      <c r="K55" s="35"/>
      <c r="L55" s="195"/>
      <c r="M55" s="87">
        <v>0</v>
      </c>
      <c r="N55" s="204">
        <f>SUM(N18:N54)</f>
        <v>0</v>
      </c>
      <c r="O55" s="87">
        <v>636.07380109860037</v>
      </c>
      <c r="P55" s="204">
        <f>SUM(P18:P54)</f>
        <v>0</v>
      </c>
      <c r="Q55" s="87">
        <v>77601.003734029262</v>
      </c>
      <c r="R55" s="204">
        <f>SUM(R18:R54)</f>
        <v>0</v>
      </c>
    </row>
    <row r="56" spans="1:18" ht="13.5" thickTop="1" x14ac:dyDescent="0.2">
      <c r="A56" s="25" t="s">
        <v>34</v>
      </c>
      <c r="B56" s="25"/>
      <c r="C56" s="25"/>
      <c r="D56" s="25"/>
      <c r="E56" s="200"/>
      <c r="F56" s="25"/>
      <c r="G56" s="25"/>
      <c r="H56" s="197"/>
      <c r="I56" s="35">
        <v>1388.9261989013996</v>
      </c>
      <c r="J56" s="202">
        <f>+J13-J55</f>
        <v>0</v>
      </c>
      <c r="K56" s="35"/>
      <c r="L56" s="195"/>
      <c r="M56" s="35">
        <v>0</v>
      </c>
      <c r="N56" s="202">
        <f>+N13-N55</f>
        <v>0</v>
      </c>
      <c r="O56" s="35">
        <v>1388.9261989013996</v>
      </c>
      <c r="P56" s="202">
        <f>+P13-P55</f>
        <v>0</v>
      </c>
      <c r="Q56" s="35">
        <v>169448.99626597075</v>
      </c>
      <c r="R56" s="202">
        <f>+R13-R55</f>
        <v>0</v>
      </c>
    </row>
    <row r="57" spans="1:18" x14ac:dyDescent="0.2">
      <c r="A57" s="25"/>
      <c r="B57" s="25" t="s">
        <v>35</v>
      </c>
      <c r="C57" s="25"/>
      <c r="D57" s="25"/>
      <c r="E57" s="210"/>
      <c r="F57" s="17"/>
      <c r="G57" s="40">
        <v>84.809840146480056</v>
      </c>
      <c r="H57" s="210" t="str">
        <f>IF(E10=0,"n/a",(YVarExp-(YTotExp+YTotRet-J10))/E10)</f>
        <v>n/a</v>
      </c>
      <c r="I57" s="25" t="s">
        <v>135</v>
      </c>
      <c r="J57" s="184"/>
      <c r="K57" s="25"/>
      <c r="L57" s="197"/>
      <c r="M57" s="25"/>
      <c r="N57" s="184"/>
      <c r="O57" s="25"/>
      <c r="P57" s="184"/>
      <c r="Q57" s="25"/>
      <c r="R57" s="184"/>
    </row>
    <row r="58" spans="1:18" x14ac:dyDescent="0.2">
      <c r="A58" s="25"/>
      <c r="B58" s="25"/>
      <c r="C58" s="25"/>
      <c r="D58" s="25"/>
      <c r="E58" s="178"/>
      <c r="F58" s="25"/>
      <c r="G58" s="25"/>
      <c r="H58" s="211"/>
      <c r="I58" s="25"/>
      <c r="J58" s="184"/>
      <c r="K58" s="25"/>
      <c r="L58" s="197"/>
      <c r="M58" s="25"/>
      <c r="N58" s="184"/>
      <c r="O58" s="25"/>
      <c r="P58" s="184"/>
      <c r="Q58" s="22" t="s">
        <v>19</v>
      </c>
      <c r="R58" s="184" t="s">
        <v>19</v>
      </c>
    </row>
    <row r="59" spans="1:18" x14ac:dyDescent="0.2">
      <c r="A59" s="23" t="s">
        <v>36</v>
      </c>
      <c r="B59" s="23"/>
      <c r="C59" s="23"/>
      <c r="D59" s="24" t="s">
        <v>2</v>
      </c>
      <c r="E59" s="196" t="s">
        <v>2</v>
      </c>
      <c r="F59" s="24" t="s">
        <v>21</v>
      </c>
      <c r="G59" s="24" t="s">
        <v>22</v>
      </c>
      <c r="H59" s="196" t="s">
        <v>22</v>
      </c>
      <c r="I59" s="24" t="s">
        <v>11</v>
      </c>
      <c r="J59" s="196" t="s">
        <v>11</v>
      </c>
      <c r="K59" s="24" t="s">
        <v>10</v>
      </c>
      <c r="L59" s="196" t="s">
        <v>10</v>
      </c>
      <c r="M59" s="24" t="s">
        <v>9</v>
      </c>
      <c r="N59" s="196" t="s">
        <v>9</v>
      </c>
      <c r="O59" s="24" t="s">
        <v>8</v>
      </c>
      <c r="P59" s="196" t="s">
        <v>8</v>
      </c>
      <c r="Q59" s="24" t="s">
        <v>11</v>
      </c>
      <c r="R59" s="208" t="s">
        <v>11</v>
      </c>
    </row>
    <row r="60" spans="1:18" x14ac:dyDescent="0.2">
      <c r="A60" s="25"/>
      <c r="B60" s="25" t="s">
        <v>106</v>
      </c>
      <c r="C60" s="25"/>
      <c r="D60" s="25"/>
      <c r="E60" s="178"/>
      <c r="F60" s="25"/>
      <c r="G60" s="25"/>
      <c r="H60" s="211"/>
      <c r="I60" s="186"/>
      <c r="J60" s="184"/>
      <c r="K60" s="225"/>
      <c r="L60" s="197"/>
      <c r="M60" s="25"/>
      <c r="N60" s="184"/>
      <c r="O60" s="25"/>
      <c r="P60" s="184"/>
      <c r="Q60" s="25"/>
      <c r="R60" s="184"/>
    </row>
    <row r="61" spans="1:18" x14ac:dyDescent="0.2">
      <c r="A61" s="25"/>
      <c r="B61" s="25"/>
      <c r="C61" s="25" t="s">
        <v>104</v>
      </c>
      <c r="D61" s="25">
        <v>1</v>
      </c>
      <c r="E61" s="132"/>
      <c r="F61" s="226" t="s">
        <v>42</v>
      </c>
      <c r="G61" s="41">
        <v>6.0307377049180326</v>
      </c>
      <c r="H61" s="133"/>
      <c r="I61" s="35">
        <v>6.0307377049180326</v>
      </c>
      <c r="J61" s="202">
        <f t="shared" ref="J61:J64" si="16">E61*H61</f>
        <v>0</v>
      </c>
      <c r="K61" s="225">
        <v>0</v>
      </c>
      <c r="L61" s="214"/>
      <c r="M61" s="35">
        <v>0</v>
      </c>
      <c r="N61" s="202">
        <f>J61*L61</f>
        <v>0</v>
      </c>
      <c r="O61" s="35">
        <v>6.0307377049180326</v>
      </c>
      <c r="P61" s="202">
        <f t="shared" ref="P61:P64" si="17">+J61-N61</f>
        <v>0</v>
      </c>
      <c r="Q61" s="35">
        <v>735.75</v>
      </c>
      <c r="R61" s="202">
        <f t="shared" ref="R61:R64" si="18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2"/>
      <c r="F62" s="226" t="s">
        <v>42</v>
      </c>
      <c r="G62" s="41">
        <v>57.324767901639341</v>
      </c>
      <c r="H62" s="133"/>
      <c r="I62" s="35">
        <v>57.324767901639341</v>
      </c>
      <c r="J62" s="202">
        <f t="shared" si="16"/>
        <v>0</v>
      </c>
      <c r="K62" s="225">
        <v>0</v>
      </c>
      <c r="L62" s="214"/>
      <c r="M62" s="35">
        <v>0</v>
      </c>
      <c r="N62" s="202">
        <f>J62*L62</f>
        <v>0</v>
      </c>
      <c r="O62" s="35">
        <v>57.324767901639341</v>
      </c>
      <c r="P62" s="202">
        <f t="shared" si="17"/>
        <v>0</v>
      </c>
      <c r="Q62" s="35">
        <v>6993.6216839999997</v>
      </c>
      <c r="R62" s="202">
        <f t="shared" si="18"/>
        <v>0</v>
      </c>
    </row>
    <row r="63" spans="1:18" x14ac:dyDescent="0.2">
      <c r="A63" s="25"/>
      <c r="B63" s="25"/>
      <c r="C63" s="25" t="s">
        <v>105</v>
      </c>
      <c r="D63" s="25">
        <v>1</v>
      </c>
      <c r="E63" s="132"/>
      <c r="F63" s="226" t="s">
        <v>42</v>
      </c>
      <c r="G63" s="41">
        <v>89.842213910587333</v>
      </c>
      <c r="H63" s="133"/>
      <c r="I63" s="35">
        <v>89.842213910587333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89.842213910587333</v>
      </c>
      <c r="P63" s="202">
        <f t="shared" si="17"/>
        <v>0</v>
      </c>
      <c r="Q63" s="35">
        <v>10960.750097091655</v>
      </c>
      <c r="R63" s="202">
        <f t="shared" si="18"/>
        <v>0</v>
      </c>
    </row>
    <row r="64" spans="1:18" x14ac:dyDescent="0.2">
      <c r="A64" s="25"/>
      <c r="B64" s="25"/>
      <c r="C64" s="25" t="s">
        <v>4</v>
      </c>
      <c r="D64" s="25">
        <v>1</v>
      </c>
      <c r="E64" s="132"/>
      <c r="F64" s="226" t="s">
        <v>42</v>
      </c>
      <c r="G64" s="41">
        <v>7.3698386468814698</v>
      </c>
      <c r="H64" s="133"/>
      <c r="I64" s="35">
        <v>7.3698386468814698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7.3698386468814698</v>
      </c>
      <c r="P64" s="202">
        <f t="shared" si="17"/>
        <v>0</v>
      </c>
      <c r="Q64" s="35">
        <v>899.12031491953928</v>
      </c>
      <c r="R64" s="202">
        <f t="shared" si="18"/>
        <v>0</v>
      </c>
    </row>
    <row r="65" spans="1:18" x14ac:dyDescent="0.2">
      <c r="A65" s="25"/>
      <c r="B65" s="25" t="s">
        <v>89</v>
      </c>
      <c r="C65" s="25"/>
      <c r="D65" s="25"/>
      <c r="E65" s="197"/>
      <c r="F65" s="21"/>
      <c r="G65" s="41"/>
      <c r="H65" s="197"/>
      <c r="I65" s="186"/>
      <c r="J65" s="184"/>
      <c r="K65" s="225"/>
      <c r="L65" s="197"/>
      <c r="M65" s="35"/>
      <c r="N65" s="184"/>
      <c r="O65" s="35"/>
      <c r="P65" s="184"/>
      <c r="Q65" s="35"/>
      <c r="R65" s="184"/>
    </row>
    <row r="66" spans="1:18" x14ac:dyDescent="0.2">
      <c r="A66" s="25"/>
      <c r="B66" s="25"/>
      <c r="C66" s="25" t="s">
        <v>104</v>
      </c>
      <c r="D66" s="41">
        <v>25.128073770491802</v>
      </c>
      <c r="E66" s="132"/>
      <c r="F66" s="226" t="s">
        <v>100</v>
      </c>
      <c r="G66" s="39">
        <v>0.08</v>
      </c>
      <c r="H66" s="215"/>
      <c r="I66" s="35">
        <v>2.0102459016393444</v>
      </c>
      <c r="J66" s="202">
        <f t="shared" ref="J66:J76" si="19">E66*H66</f>
        <v>0</v>
      </c>
      <c r="K66" s="225">
        <v>0</v>
      </c>
      <c r="L66" s="214"/>
      <c r="M66" s="35">
        <v>0</v>
      </c>
      <c r="N66" s="202">
        <f>J66*L66</f>
        <v>0</v>
      </c>
      <c r="O66" s="35">
        <v>2.0102459016393444</v>
      </c>
      <c r="P66" s="202">
        <f t="shared" ref="P66:P69" si="20">+J66-N66</f>
        <v>0</v>
      </c>
      <c r="Q66" s="35">
        <v>245.25</v>
      </c>
      <c r="R66" s="202">
        <f t="shared" ref="R66:R69" si="21">+J66*E$7</f>
        <v>0</v>
      </c>
    </row>
    <row r="67" spans="1:18" x14ac:dyDescent="0.2">
      <c r="A67" s="25"/>
      <c r="B67" s="25"/>
      <c r="C67" s="25" t="s">
        <v>46</v>
      </c>
      <c r="D67" s="41">
        <v>429.93575926229505</v>
      </c>
      <c r="E67" s="132"/>
      <c r="F67" s="226" t="s">
        <v>100</v>
      </c>
      <c r="G67" s="39">
        <v>0.08</v>
      </c>
      <c r="H67" s="215"/>
      <c r="I67" s="35">
        <v>34.394860740983603</v>
      </c>
      <c r="J67" s="202">
        <f t="shared" si="19"/>
        <v>0</v>
      </c>
      <c r="K67" s="225">
        <v>0</v>
      </c>
      <c r="L67" s="214"/>
      <c r="M67" s="35">
        <v>0</v>
      </c>
      <c r="N67" s="202">
        <f>J67*L67</f>
        <v>0</v>
      </c>
      <c r="O67" s="35">
        <v>34.394860740983603</v>
      </c>
      <c r="P67" s="202">
        <f t="shared" si="20"/>
        <v>0</v>
      </c>
      <c r="Q67" s="35">
        <v>4196.1730103999998</v>
      </c>
      <c r="R67" s="202">
        <f t="shared" si="21"/>
        <v>0</v>
      </c>
    </row>
    <row r="68" spans="1:18" x14ac:dyDescent="0.2">
      <c r="A68" s="25"/>
      <c r="B68" s="25"/>
      <c r="C68" s="25" t="s">
        <v>105</v>
      </c>
      <c r="D68" s="41">
        <v>668.40334227409414</v>
      </c>
      <c r="E68" s="132"/>
      <c r="F68" s="226" t="s">
        <v>100</v>
      </c>
      <c r="G68" s="39">
        <v>0.08</v>
      </c>
      <c r="H68" s="215"/>
      <c r="I68" s="35">
        <v>53.47226738192753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53.47226738192753</v>
      </c>
      <c r="P68" s="202">
        <f t="shared" si="20"/>
        <v>0</v>
      </c>
      <c r="Q68" s="35">
        <v>6523.6166205951586</v>
      </c>
      <c r="R68" s="202">
        <f t="shared" si="21"/>
        <v>0</v>
      </c>
    </row>
    <row r="69" spans="1:18" x14ac:dyDescent="0.2">
      <c r="A69" s="25"/>
      <c r="B69" s="25"/>
      <c r="C69" s="25" t="s">
        <v>4</v>
      </c>
      <c r="D69" s="41">
        <v>53.365718858846613</v>
      </c>
      <c r="E69" s="132"/>
      <c r="F69" s="226" t="s">
        <v>100</v>
      </c>
      <c r="G69" s="39">
        <v>0.08</v>
      </c>
      <c r="H69" s="215"/>
      <c r="I69" s="35">
        <v>4.2692575087077289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4.2692575087077289</v>
      </c>
      <c r="P69" s="202">
        <f t="shared" si="20"/>
        <v>0</v>
      </c>
      <c r="Q69" s="35">
        <v>520.84941606234293</v>
      </c>
      <c r="R69" s="202">
        <f t="shared" si="21"/>
        <v>0</v>
      </c>
    </row>
    <row r="70" spans="1:18" x14ac:dyDescent="0.2">
      <c r="A70" s="25"/>
      <c r="B70" s="25" t="s">
        <v>156</v>
      </c>
      <c r="C70" s="25"/>
      <c r="D70" s="25">
        <v>1</v>
      </c>
      <c r="E70" s="132"/>
      <c r="F70" s="226" t="s">
        <v>42</v>
      </c>
      <c r="G70" s="41">
        <v>0</v>
      </c>
      <c r="H70" s="133"/>
      <c r="I70" s="35">
        <v>0</v>
      </c>
      <c r="J70" s="202">
        <f t="shared" si="19"/>
        <v>0</v>
      </c>
      <c r="K70" s="225">
        <v>0</v>
      </c>
      <c r="L70" s="214"/>
      <c r="M70" s="35">
        <v>0</v>
      </c>
      <c r="N70" s="202">
        <f t="shared" ref="N70:N77" si="22">J70*L70</f>
        <v>0</v>
      </c>
      <c r="O70" s="35">
        <v>0</v>
      </c>
      <c r="P70" s="202">
        <f t="shared" ref="P70:P77" si="23">+J70-N70</f>
        <v>0</v>
      </c>
      <c r="Q70" s="35">
        <v>0</v>
      </c>
      <c r="R70" s="202">
        <f t="shared" ref="R70:R77" si="24">+J70*E$7</f>
        <v>0</v>
      </c>
    </row>
    <row r="71" spans="1:18" x14ac:dyDescent="0.2">
      <c r="A71" s="25"/>
      <c r="B71" s="25" t="s">
        <v>152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si="22"/>
        <v>0</v>
      </c>
      <c r="O71" s="35">
        <v>0</v>
      </c>
      <c r="P71" s="202">
        <f t="shared" si="23"/>
        <v>0</v>
      </c>
      <c r="Q71" s="35">
        <v>0</v>
      </c>
      <c r="R71" s="202">
        <f t="shared" si="24"/>
        <v>0</v>
      </c>
    </row>
    <row r="72" spans="1:18" x14ac:dyDescent="0.2">
      <c r="A72" s="25"/>
      <c r="B72" s="25" t="s">
        <v>137</v>
      </c>
      <c r="C72" s="25"/>
      <c r="D72" s="25">
        <v>1</v>
      </c>
      <c r="E72" s="132"/>
      <c r="F72" s="226" t="s">
        <v>42</v>
      </c>
      <c r="G72" s="41">
        <v>117.8325</v>
      </c>
      <c r="H72" s="133"/>
      <c r="I72" s="35">
        <v>117.8325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117.8325</v>
      </c>
      <c r="P72" s="202">
        <f t="shared" si="23"/>
        <v>0</v>
      </c>
      <c r="Q72" s="35">
        <v>14375.564999999999</v>
      </c>
      <c r="R72" s="202">
        <f t="shared" si="24"/>
        <v>0</v>
      </c>
    </row>
    <row r="73" spans="1:18" x14ac:dyDescent="0.2">
      <c r="A73" s="25"/>
      <c r="B73" s="25" t="s">
        <v>453</v>
      </c>
      <c r="C73" s="25"/>
      <c r="D73" s="25">
        <v>1</v>
      </c>
      <c r="E73" s="132"/>
      <c r="F73" s="226" t="s">
        <v>42</v>
      </c>
      <c r="G73" s="41">
        <v>50</v>
      </c>
      <c r="H73" s="133"/>
      <c r="I73" s="35">
        <v>50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50</v>
      </c>
      <c r="P73" s="202">
        <f t="shared" si="23"/>
        <v>0</v>
      </c>
      <c r="Q73" s="35">
        <v>6100</v>
      </c>
      <c r="R73" s="202">
        <f t="shared" si="24"/>
        <v>0</v>
      </c>
    </row>
    <row r="74" spans="1:18" x14ac:dyDescent="0.2">
      <c r="A74" s="25"/>
      <c r="B74" s="25" t="s">
        <v>159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0</v>
      </c>
      <c r="P74" s="202">
        <f t="shared" si="23"/>
        <v>0</v>
      </c>
      <c r="Q74" s="35">
        <v>0</v>
      </c>
      <c r="R74" s="202">
        <f t="shared" si="24"/>
        <v>0</v>
      </c>
    </row>
    <row r="75" spans="1:18" x14ac:dyDescent="0.2">
      <c r="A75" s="25"/>
      <c r="B75" s="25" t="s">
        <v>160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133"/>
      <c r="C76" s="133"/>
      <c r="D76" s="25">
        <v>1</v>
      </c>
      <c r="E76" s="132"/>
      <c r="F76" s="226"/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ht="13.5" thickBot="1" x14ac:dyDescent="0.25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>E77*H77</f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 t="s">
        <v>37</v>
      </c>
      <c r="B78" s="25"/>
      <c r="C78" s="25"/>
      <c r="D78" s="25"/>
      <c r="E78" s="197"/>
      <c r="F78" s="25"/>
      <c r="G78" s="25"/>
      <c r="H78" s="197"/>
      <c r="I78" s="121">
        <v>422.54668969728442</v>
      </c>
      <c r="J78" s="204">
        <f>+SUM(J61:J77)</f>
        <v>0</v>
      </c>
      <c r="K78" s="35"/>
      <c r="L78" s="195"/>
      <c r="M78" s="121">
        <v>0</v>
      </c>
      <c r="N78" s="204">
        <f>+SUM(N61:N77)</f>
        <v>0</v>
      </c>
      <c r="O78" s="121">
        <v>422.54668969728442</v>
      </c>
      <c r="P78" s="204">
        <f>+SUM(P61:P77)</f>
        <v>0</v>
      </c>
      <c r="Q78" s="121">
        <v>51550.696143068693</v>
      </c>
      <c r="R78" s="204">
        <f>+SUM(R61:R77)</f>
        <v>0</v>
      </c>
    </row>
    <row r="79" spans="1:18" ht="14.25" thickTop="1" thickBot="1" x14ac:dyDescent="0.25">
      <c r="A79" s="25" t="s">
        <v>52</v>
      </c>
      <c r="B79" s="25"/>
      <c r="C79" s="25"/>
      <c r="D79" s="25"/>
      <c r="E79" s="197"/>
      <c r="F79" s="25"/>
      <c r="G79" s="25"/>
      <c r="H79" s="197"/>
      <c r="I79" s="87">
        <v>1058.6204907958847</v>
      </c>
      <c r="J79" s="205">
        <f>+J55+J78</f>
        <v>0</v>
      </c>
      <c r="K79" s="35"/>
      <c r="L79" s="195"/>
      <c r="M79" s="87">
        <v>0</v>
      </c>
      <c r="N79" s="205">
        <f>+N55+N78</f>
        <v>0</v>
      </c>
      <c r="O79" s="87">
        <v>1058.6204907958847</v>
      </c>
      <c r="P79" s="205">
        <f>+P55+P78</f>
        <v>0</v>
      </c>
      <c r="Q79" s="87">
        <v>129151.69987709796</v>
      </c>
      <c r="R79" s="205">
        <f>+R55+R78</f>
        <v>0</v>
      </c>
    </row>
    <row r="80" spans="1:18" ht="13.5" thickTop="1" x14ac:dyDescent="0.2">
      <c r="A80" s="25"/>
      <c r="B80" s="25"/>
      <c r="C80" s="25"/>
      <c r="D80" s="25"/>
      <c r="E80" s="197"/>
      <c r="F80" s="25"/>
      <c r="G80" s="25"/>
      <c r="H80" s="197"/>
      <c r="I80" s="35"/>
      <c r="J80" s="184"/>
      <c r="K80" s="35"/>
      <c r="L80" s="195"/>
      <c r="M80" s="35"/>
      <c r="N80" s="184"/>
      <c r="O80" s="35"/>
      <c r="P80" s="184"/>
      <c r="Q80" s="35"/>
      <c r="R80" s="184"/>
    </row>
    <row r="81" spans="1:18" x14ac:dyDescent="0.2">
      <c r="A81" s="25" t="s">
        <v>153</v>
      </c>
      <c r="B81" s="25"/>
      <c r="C81" s="25"/>
      <c r="D81" s="25"/>
      <c r="E81" s="197"/>
      <c r="F81" s="25"/>
      <c r="G81" s="25"/>
      <c r="H81" s="197"/>
      <c r="I81" s="35">
        <v>966.37950920411527</v>
      </c>
      <c r="J81" s="202">
        <f>+J13-J79</f>
        <v>0</v>
      </c>
      <c r="K81" s="35"/>
      <c r="L81" s="195"/>
      <c r="M81" s="35">
        <v>0</v>
      </c>
      <c r="N81" s="202">
        <f>+N13-N79</f>
        <v>0</v>
      </c>
      <c r="O81" s="35">
        <v>966.37950920411527</v>
      </c>
      <c r="P81" s="202">
        <f>+P13-P79</f>
        <v>0</v>
      </c>
      <c r="Q81" s="35">
        <v>117898.30012290204</v>
      </c>
      <c r="R81" s="202">
        <f>+R13-R79</f>
        <v>0</v>
      </c>
    </row>
    <row r="82" spans="1:18" x14ac:dyDescent="0.2">
      <c r="A82" s="25"/>
      <c r="B82" s="25"/>
      <c r="C82" s="25"/>
      <c r="D82" s="25"/>
      <c r="E82" s="197"/>
      <c r="F82" s="25"/>
      <c r="G82" s="25"/>
      <c r="H82" s="197"/>
      <c r="I82" s="35"/>
      <c r="J82" s="206"/>
      <c r="K82" s="35"/>
      <c r="L82" s="195"/>
      <c r="M82" s="35"/>
      <c r="N82" s="195"/>
      <c r="O82" s="35"/>
      <c r="P82" s="195"/>
      <c r="Q82" s="35"/>
      <c r="R82" s="206"/>
    </row>
    <row r="83" spans="1:18" ht="13.5" thickBot="1" x14ac:dyDescent="0.25">
      <c r="A83" s="44" t="s">
        <v>38</v>
      </c>
      <c r="B83" s="44"/>
      <c r="C83" s="44"/>
      <c r="D83" s="44"/>
      <c r="E83" s="201"/>
      <c r="F83" s="44"/>
      <c r="G83" s="45">
        <v>141.14939877278462</v>
      </c>
      <c r="H83" s="212" t="str">
        <f>IF(E10=0,"n/a",(YTotExp-(YTotExp+YTotRet-J10))/E10)</f>
        <v>n/a</v>
      </c>
      <c r="I83" s="44" t="s">
        <v>135</v>
      </c>
      <c r="J83" s="207"/>
      <c r="K83" s="44"/>
      <c r="L83" s="201"/>
      <c r="M83" s="44"/>
      <c r="N83" s="201"/>
      <c r="O83" s="44"/>
      <c r="P83" s="201"/>
      <c r="Q83" s="44"/>
      <c r="R83" s="207"/>
    </row>
    <row r="84" spans="1:18" ht="13.5" thickTop="1" x14ac:dyDescent="0.2"/>
    <row r="85" spans="1:18" s="17" customFormat="1" ht="15.75" x14ac:dyDescent="0.25">
      <c r="A85"/>
      <c r="B85" s="88"/>
      <c r="C85" s="89"/>
      <c r="D85" s="234" t="s">
        <v>115</v>
      </c>
      <c r="E85" s="235"/>
      <c r="F85" s="235"/>
      <c r="G85" s="235"/>
      <c r="H85" s="235"/>
      <c r="I85" s="235"/>
      <c r="J85" s="99"/>
      <c r="K85" s="99"/>
      <c r="M85"/>
      <c r="N85"/>
    </row>
    <row r="86" spans="1:18" s="17" customFormat="1" ht="15.75" x14ac:dyDescent="0.25">
      <c r="A86"/>
      <c r="B86" s="19" t="s">
        <v>116</v>
      </c>
      <c r="C86" s="19" t="s">
        <v>116</v>
      </c>
      <c r="D86" s="126" t="s">
        <v>170</v>
      </c>
      <c r="E86" s="18"/>
      <c r="F86" s="18"/>
      <c r="G86" s="126" t="s">
        <v>170</v>
      </c>
      <c r="H86" s="18"/>
      <c r="I86" s="18"/>
      <c r="J86" s="18"/>
      <c r="K86" s="18"/>
      <c r="M86"/>
      <c r="N86"/>
    </row>
    <row r="87" spans="1:18" s="17" customFormat="1" x14ac:dyDescent="0.2">
      <c r="A87"/>
      <c r="B87" s="19" t="s">
        <v>81</v>
      </c>
      <c r="C87" s="19" t="s">
        <v>81</v>
      </c>
      <c r="D87" s="126" t="s">
        <v>157</v>
      </c>
      <c r="E87" s="122"/>
      <c r="F87" s="122"/>
      <c r="G87" s="126" t="s">
        <v>11</v>
      </c>
      <c r="H87" s="122"/>
      <c r="I87" s="122"/>
      <c r="J87" s="122"/>
      <c r="K87" s="122"/>
      <c r="M87"/>
      <c r="N87"/>
    </row>
    <row r="88" spans="1:18" s="17" customFormat="1" x14ac:dyDescent="0.2">
      <c r="A88"/>
      <c r="B88" s="19" t="s">
        <v>30</v>
      </c>
      <c r="C88" s="99" t="s">
        <v>135</v>
      </c>
      <c r="D88" s="126" t="s">
        <v>99</v>
      </c>
      <c r="E88" s="122"/>
      <c r="F88" s="122"/>
      <c r="G88" s="126" t="s">
        <v>99</v>
      </c>
      <c r="H88" s="19"/>
      <c r="I88" s="19"/>
      <c r="J88" s="19"/>
      <c r="K88" s="19"/>
      <c r="M88"/>
      <c r="N88"/>
    </row>
    <row r="89" spans="1:18" s="17" customFormat="1" x14ac:dyDescent="0.2">
      <c r="A89"/>
      <c r="B89" s="90">
        <v>0.75</v>
      </c>
      <c r="C89" s="91">
        <v>5.625</v>
      </c>
      <c r="D89" s="92">
        <v>113.0797868619734</v>
      </c>
      <c r="E89" s="93"/>
      <c r="F89" s="94"/>
      <c r="G89" s="92">
        <v>188.19919836371284</v>
      </c>
      <c r="H89" s="93"/>
      <c r="I89" s="93"/>
      <c r="M89"/>
      <c r="N89"/>
    </row>
    <row r="90" spans="1:18" s="17" customFormat="1" x14ac:dyDescent="0.2">
      <c r="A90"/>
      <c r="B90" s="95">
        <v>0.9</v>
      </c>
      <c r="C90" s="96">
        <v>6.75</v>
      </c>
      <c r="D90" s="97">
        <v>94.233155718311167</v>
      </c>
      <c r="E90" s="83"/>
      <c r="F90" s="98"/>
      <c r="G90" s="97">
        <v>156.83266530309405</v>
      </c>
      <c r="H90" s="83"/>
      <c r="I90" s="83"/>
      <c r="M90"/>
      <c r="N90"/>
    </row>
    <row r="91" spans="1:18" s="17" customFormat="1" x14ac:dyDescent="0.2">
      <c r="A91"/>
      <c r="B91" s="90">
        <v>1</v>
      </c>
      <c r="C91" s="91">
        <v>7.5</v>
      </c>
      <c r="D91" s="92">
        <v>84.809840146480056</v>
      </c>
      <c r="E91" s="93"/>
      <c r="F91" s="94"/>
      <c r="G91" s="92">
        <v>141.14939877278462</v>
      </c>
      <c r="H91" s="93"/>
      <c r="I91" s="93"/>
      <c r="M91"/>
      <c r="N91"/>
    </row>
    <row r="92" spans="1:18" s="17" customFormat="1" x14ac:dyDescent="0.2">
      <c r="A92"/>
      <c r="B92" s="95">
        <v>1.1000000000000001</v>
      </c>
      <c r="C92" s="96">
        <v>8.25</v>
      </c>
      <c r="D92" s="97">
        <v>77.099854678618229</v>
      </c>
      <c r="E92" s="83"/>
      <c r="F92" s="98"/>
      <c r="G92" s="97">
        <v>128.31763524798603</v>
      </c>
      <c r="H92" s="83"/>
      <c r="I92" s="83"/>
      <c r="M92"/>
      <c r="N92"/>
    </row>
    <row r="93" spans="1:18" s="17" customFormat="1" x14ac:dyDescent="0.2">
      <c r="A93"/>
      <c r="B93" s="90">
        <v>1.25</v>
      </c>
      <c r="C93" s="91">
        <v>9.375</v>
      </c>
      <c r="D93" s="92">
        <v>67.847872117184039</v>
      </c>
      <c r="E93" s="93"/>
      <c r="F93" s="94"/>
      <c r="G93" s="92">
        <v>112.9195190182277</v>
      </c>
      <c r="H93" s="93"/>
      <c r="I93" s="93"/>
      <c r="M93"/>
      <c r="N93"/>
    </row>
    <row r="94" spans="1:18" s="17" customFormat="1" x14ac:dyDescent="0.2">
      <c r="A94"/>
      <c r="M94"/>
      <c r="N94"/>
    </row>
    <row r="95" spans="1:18" x14ac:dyDescent="0.2">
      <c r="A95" s="25" t="s">
        <v>536</v>
      </c>
      <c r="B95" s="17"/>
      <c r="C95" s="17"/>
      <c r="D95" s="17"/>
      <c r="E95" s="17"/>
      <c r="F95" s="17"/>
      <c r="G95" s="17"/>
      <c r="H95" s="17"/>
      <c r="I95" s="17"/>
      <c r="J95" s="28"/>
      <c r="K95" s="17"/>
      <c r="L95" s="17"/>
      <c r="M95" s="17"/>
      <c r="N95" s="17"/>
      <c r="O95" s="17"/>
      <c r="P95" s="17"/>
      <c r="Q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ht="26.25" customHeight="1" x14ac:dyDescent="0.2">
      <c r="A97" s="236" t="s">
        <v>140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21"/>
      <c r="N97" s="221"/>
      <c r="O97" s="221"/>
      <c r="P97" s="221"/>
      <c r="Q97" s="221"/>
      <c r="R97" s="221"/>
    </row>
  </sheetData>
  <sheetProtection sheet="1" objects="1" scenarios="1"/>
  <mergeCells count="6">
    <mergeCell ref="D85:I85"/>
    <mergeCell ref="A97:L9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93">
    <tabColor rgb="FF92D050"/>
    <pageSetUpPr fitToPage="1"/>
  </sheetPr>
  <dimension ref="A1:S97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337</v>
      </c>
      <c r="C10" s="25"/>
      <c r="D10" s="50">
        <v>7.5</v>
      </c>
      <c r="E10" s="132"/>
      <c r="F10" s="226" t="s">
        <v>135</v>
      </c>
      <c r="G10" s="31">
        <v>270</v>
      </c>
      <c r="H10" s="133"/>
      <c r="I10" s="35">
        <v>2025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2025</v>
      </c>
      <c r="P10" s="202">
        <f>+J10-N10</f>
        <v>0</v>
      </c>
      <c r="Q10" s="35">
        <v>247050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2025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2025</v>
      </c>
      <c r="P13" s="203">
        <f>SUM(P10:P12)</f>
        <v>0</v>
      </c>
      <c r="Q13" s="36">
        <v>247050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393</v>
      </c>
      <c r="D18" s="25">
        <v>73</v>
      </c>
      <c r="E18" s="132"/>
      <c r="F18" s="226" t="s">
        <v>83</v>
      </c>
      <c r="G18" s="41">
        <v>0.63</v>
      </c>
      <c r="H18" s="133"/>
      <c r="I18" s="35">
        <v>45.99</v>
      </c>
      <c r="J18" s="202">
        <f t="shared" ref="J18:J30" si="4">E18*H18</f>
        <v>0</v>
      </c>
      <c r="K18" s="225">
        <v>0</v>
      </c>
      <c r="L18" s="214"/>
      <c r="M18" s="35">
        <v>0</v>
      </c>
      <c r="N18" s="202">
        <f t="shared" ref="N18:N30" si="5">J18*L18</f>
        <v>0</v>
      </c>
      <c r="O18" s="35">
        <v>45.99</v>
      </c>
      <c r="P18" s="202">
        <f t="shared" ref="P18:P30" si="6">+J18-N18</f>
        <v>0</v>
      </c>
      <c r="Q18" s="35">
        <v>5610.7800000000007</v>
      </c>
      <c r="R18" s="202">
        <f t="shared" ref="R18:R30" si="7">+J18*E$7</f>
        <v>0</v>
      </c>
    </row>
    <row r="19" spans="1:18" x14ac:dyDescent="0.2">
      <c r="A19" s="25"/>
      <c r="B19" s="25" t="s">
        <v>50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439</v>
      </c>
      <c r="D20" s="25">
        <v>0.5</v>
      </c>
      <c r="E20" s="132"/>
      <c r="F20" s="226" t="s">
        <v>440</v>
      </c>
      <c r="G20" s="41">
        <v>5</v>
      </c>
      <c r="H20" s="133"/>
      <c r="I20" s="35">
        <v>2.5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2.5</v>
      </c>
      <c r="P20" s="202">
        <f t="shared" si="6"/>
        <v>0</v>
      </c>
      <c r="Q20" s="35">
        <v>305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379</v>
      </c>
      <c r="D21" s="25">
        <v>1</v>
      </c>
      <c r="E21" s="132"/>
      <c r="F21" s="226" t="s">
        <v>42</v>
      </c>
      <c r="G21" s="41">
        <v>6.39</v>
      </c>
      <c r="H21" s="133"/>
      <c r="I21" s="35">
        <v>6.39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6.39</v>
      </c>
      <c r="P21" s="202">
        <f t="shared" si="6"/>
        <v>0</v>
      </c>
      <c r="Q21" s="35">
        <v>779.57999999999993</v>
      </c>
      <c r="R21" s="202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445</v>
      </c>
      <c r="D23" s="25">
        <v>2</v>
      </c>
      <c r="E23" s="132"/>
      <c r="F23" s="226" t="s">
        <v>311</v>
      </c>
      <c r="G23" s="41">
        <v>2.75</v>
      </c>
      <c r="H23" s="133"/>
      <c r="I23" s="35">
        <v>5.5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5.5</v>
      </c>
      <c r="P23" s="202">
        <f t="shared" si="6"/>
        <v>0</v>
      </c>
      <c r="Q23" s="35">
        <v>671</v>
      </c>
      <c r="R23" s="202">
        <f t="shared" si="7"/>
        <v>0</v>
      </c>
    </row>
    <row r="24" spans="1:18" x14ac:dyDescent="0.2">
      <c r="A24" s="25"/>
      <c r="B24" s="25" t="s">
        <v>501</v>
      </c>
      <c r="C24" s="25" t="s">
        <v>434</v>
      </c>
      <c r="D24" s="25">
        <v>5</v>
      </c>
      <c r="E24" s="132"/>
      <c r="F24" s="226" t="s">
        <v>360</v>
      </c>
      <c r="G24" s="41">
        <v>3.3453124999999999</v>
      </c>
      <c r="H24" s="133"/>
      <c r="I24" s="35">
        <v>16.7265625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16.7265625</v>
      </c>
      <c r="P24" s="202">
        <f t="shared" si="6"/>
        <v>0</v>
      </c>
      <c r="Q24" s="35">
        <v>2040.640625</v>
      </c>
      <c r="R24" s="202">
        <f t="shared" si="7"/>
        <v>0</v>
      </c>
    </row>
    <row r="25" spans="1:18" x14ac:dyDescent="0.2">
      <c r="A25" s="25"/>
      <c r="B25" s="25" t="s">
        <v>501</v>
      </c>
      <c r="C25" s="25" t="s">
        <v>378</v>
      </c>
      <c r="D25" s="25">
        <v>5</v>
      </c>
      <c r="E25" s="132"/>
      <c r="F25" s="226" t="s">
        <v>311</v>
      </c>
      <c r="G25" s="41">
        <v>2.1749999999999998</v>
      </c>
      <c r="H25" s="133"/>
      <c r="I25" s="35">
        <v>10.875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10.875</v>
      </c>
      <c r="P25" s="202">
        <f t="shared" si="6"/>
        <v>0</v>
      </c>
      <c r="Q25" s="35">
        <v>1326.75</v>
      </c>
      <c r="R25" s="202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448</v>
      </c>
      <c r="D27" s="25">
        <v>7.04</v>
      </c>
      <c r="E27" s="132"/>
      <c r="F27" s="226" t="s">
        <v>360</v>
      </c>
      <c r="G27" s="41">
        <v>1.25</v>
      </c>
      <c r="H27" s="133"/>
      <c r="I27" s="35">
        <v>8.8000000000000007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8.8000000000000007</v>
      </c>
      <c r="P27" s="202">
        <f t="shared" si="6"/>
        <v>0</v>
      </c>
      <c r="Q27" s="35">
        <v>1073.6000000000001</v>
      </c>
      <c r="R27" s="202">
        <f t="shared" si="7"/>
        <v>0</v>
      </c>
    </row>
    <row r="28" spans="1:18" x14ac:dyDescent="0.2">
      <c r="A28" s="25"/>
      <c r="B28" s="25" t="s">
        <v>501</v>
      </c>
      <c r="C28" s="25" t="s">
        <v>412</v>
      </c>
      <c r="D28" s="25">
        <v>2.31</v>
      </c>
      <c r="E28" s="132"/>
      <c r="F28" s="226" t="s">
        <v>360</v>
      </c>
      <c r="G28" s="41">
        <v>2.0390600000000001</v>
      </c>
      <c r="H28" s="133"/>
      <c r="I28" s="35">
        <v>4.7102286000000007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4.7102286000000007</v>
      </c>
      <c r="P28" s="202">
        <f t="shared" si="6"/>
        <v>0</v>
      </c>
      <c r="Q28" s="35">
        <v>574.64788920000012</v>
      </c>
      <c r="R28" s="202">
        <f t="shared" si="7"/>
        <v>0</v>
      </c>
    </row>
    <row r="29" spans="1:18" x14ac:dyDescent="0.2">
      <c r="A29" s="25"/>
      <c r="B29" s="133"/>
      <c r="C29" s="133"/>
      <c r="D29" s="25">
        <v>0</v>
      </c>
      <c r="E29" s="132"/>
      <c r="F29" s="226"/>
      <c r="G29" s="41">
        <v>0</v>
      </c>
      <c r="H29" s="133"/>
      <c r="I29" s="35">
        <v>0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</v>
      </c>
      <c r="P29" s="202">
        <f t="shared" si="6"/>
        <v>0</v>
      </c>
      <c r="Q29" s="35">
        <v>0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0</v>
      </c>
      <c r="P31" s="202">
        <f>+J31-N31</f>
        <v>0</v>
      </c>
      <c r="Q31" s="35">
        <v>0</v>
      </c>
      <c r="R31" s="202">
        <f>+J31*E$7</f>
        <v>0</v>
      </c>
    </row>
    <row r="32" spans="1:18" x14ac:dyDescent="0.2">
      <c r="A32" s="25"/>
      <c r="B32" s="25" t="s">
        <v>45</v>
      </c>
      <c r="C32" s="25"/>
      <c r="D32" s="25"/>
      <c r="E32" s="209"/>
      <c r="F32" s="21"/>
      <c r="G32" s="41"/>
      <c r="H32" s="198"/>
      <c r="I32" s="186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18" x14ac:dyDescent="0.2">
      <c r="A33" s="25"/>
      <c r="B33" s="25"/>
      <c r="C33" s="25" t="s">
        <v>146</v>
      </c>
      <c r="D33" s="34">
        <v>21.52</v>
      </c>
      <c r="E33" s="132"/>
      <c r="F33" s="226" t="s">
        <v>459</v>
      </c>
      <c r="G33" s="41">
        <v>4.7</v>
      </c>
      <c r="H33" s="133"/>
      <c r="I33" s="35">
        <v>101.14400000000001</v>
      </c>
      <c r="J33" s="202">
        <f t="shared" ref="J33:J34" si="8">E33*H33</f>
        <v>0</v>
      </c>
      <c r="K33" s="225">
        <v>0</v>
      </c>
      <c r="L33" s="214"/>
      <c r="M33" s="35">
        <v>0</v>
      </c>
      <c r="N33" s="202">
        <f t="shared" ref="N33:N34" si="9">J33*L33</f>
        <v>0</v>
      </c>
      <c r="O33" s="35">
        <v>101.14400000000001</v>
      </c>
      <c r="P33" s="202">
        <f t="shared" ref="P33:P34" si="10">+J33-N33</f>
        <v>0</v>
      </c>
      <c r="Q33" s="35">
        <v>12339.568000000001</v>
      </c>
      <c r="R33" s="202">
        <f t="shared" ref="R33:R34" si="11">+J33*E$7</f>
        <v>0</v>
      </c>
    </row>
    <row r="34" spans="1:18" x14ac:dyDescent="0.2">
      <c r="A34" s="25"/>
      <c r="B34" s="25"/>
      <c r="C34" s="25" t="s">
        <v>136</v>
      </c>
      <c r="D34" s="34">
        <v>0.29880000000000001</v>
      </c>
      <c r="E34" s="132"/>
      <c r="F34" s="226" t="s">
        <v>44</v>
      </c>
      <c r="G34" s="41">
        <v>17.5</v>
      </c>
      <c r="H34" s="133"/>
      <c r="I34" s="35">
        <v>5.2290000000000001</v>
      </c>
      <c r="J34" s="202">
        <f t="shared" si="8"/>
        <v>0</v>
      </c>
      <c r="K34" s="225">
        <v>0</v>
      </c>
      <c r="L34" s="214"/>
      <c r="M34" s="35">
        <v>0</v>
      </c>
      <c r="N34" s="202">
        <f t="shared" si="9"/>
        <v>0</v>
      </c>
      <c r="O34" s="35">
        <v>5.2290000000000001</v>
      </c>
      <c r="P34" s="202">
        <f t="shared" si="10"/>
        <v>0</v>
      </c>
      <c r="Q34" s="35">
        <v>637.93799999999999</v>
      </c>
      <c r="R34" s="202">
        <f t="shared" si="11"/>
        <v>0</v>
      </c>
    </row>
    <row r="35" spans="1:18" x14ac:dyDescent="0.2">
      <c r="A35" s="25"/>
      <c r="B35" s="25" t="s">
        <v>108</v>
      </c>
      <c r="C35" s="25"/>
      <c r="D35" s="25"/>
      <c r="E35" s="105"/>
      <c r="H35" s="105"/>
      <c r="I35" s="124"/>
      <c r="J35" s="105"/>
      <c r="K35" s="225"/>
      <c r="L35" s="105"/>
      <c r="N35" s="105"/>
      <c r="P35" s="105"/>
      <c r="R35" s="105"/>
    </row>
    <row r="36" spans="1:18" x14ac:dyDescent="0.2">
      <c r="A36" s="25"/>
      <c r="B36" s="25"/>
      <c r="C36" s="25" t="s">
        <v>105</v>
      </c>
      <c r="D36" s="25">
        <v>7.82</v>
      </c>
      <c r="E36" s="132"/>
      <c r="F36" s="226" t="s">
        <v>44</v>
      </c>
      <c r="G36" s="41">
        <v>17.21</v>
      </c>
      <c r="H36" s="133"/>
      <c r="I36" s="35">
        <v>134.5822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134.5822</v>
      </c>
      <c r="P36" s="202">
        <f>+J36-N36</f>
        <v>0</v>
      </c>
      <c r="Q36" s="35">
        <v>16419.028399999999</v>
      </c>
      <c r="R36" s="202">
        <f>+J36*E$7</f>
        <v>0</v>
      </c>
    </row>
    <row r="37" spans="1:18" x14ac:dyDescent="0.2">
      <c r="A37" s="25"/>
      <c r="B37" s="25"/>
      <c r="C37" s="25" t="s">
        <v>107</v>
      </c>
      <c r="D37" s="25">
        <v>0</v>
      </c>
      <c r="E37" s="132"/>
      <c r="F37" s="226" t="s">
        <v>44</v>
      </c>
      <c r="G37" s="41">
        <v>17.21</v>
      </c>
      <c r="H37" s="133"/>
      <c r="I37" s="35">
        <v>0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0</v>
      </c>
      <c r="P37" s="202">
        <f>+J37-N37</f>
        <v>0</v>
      </c>
      <c r="Q37" s="35">
        <v>0</v>
      </c>
      <c r="R37" s="202">
        <f>+J37*E$7</f>
        <v>0</v>
      </c>
    </row>
    <row r="38" spans="1:18" x14ac:dyDescent="0.2">
      <c r="A38" s="25"/>
      <c r="B38" s="25"/>
      <c r="C38" s="25"/>
      <c r="D38" s="25"/>
      <c r="E38" s="209"/>
      <c r="F38" s="21"/>
      <c r="G38" s="41"/>
      <c r="H38" s="198"/>
      <c r="I38" s="35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 t="s">
        <v>51</v>
      </c>
      <c r="C39" s="25"/>
      <c r="D39" s="25"/>
      <c r="E39" s="209"/>
      <c r="F39" s="21"/>
      <c r="G39" s="41"/>
      <c r="H39" s="198"/>
      <c r="I39" s="186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/>
      <c r="C40" s="25" t="s">
        <v>104</v>
      </c>
      <c r="D40" s="25">
        <v>1</v>
      </c>
      <c r="E40" s="132"/>
      <c r="F40" s="226" t="s">
        <v>42</v>
      </c>
      <c r="G40" s="41">
        <v>0</v>
      </c>
      <c r="H40" s="133"/>
      <c r="I40" s="35">
        <v>0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0</v>
      </c>
      <c r="P40" s="202">
        <f>+J40-N40</f>
        <v>0</v>
      </c>
      <c r="Q40" s="35">
        <v>0</v>
      </c>
      <c r="R40" s="202">
        <f>+J40*E$7</f>
        <v>0</v>
      </c>
    </row>
    <row r="41" spans="1:18" x14ac:dyDescent="0.2">
      <c r="A41" s="25"/>
      <c r="B41" s="25"/>
      <c r="C41" s="25" t="s">
        <v>105</v>
      </c>
      <c r="D41" s="25">
        <v>37.28</v>
      </c>
      <c r="E41" s="132"/>
      <c r="F41" s="226" t="s">
        <v>79</v>
      </c>
      <c r="G41" s="41">
        <v>3.6</v>
      </c>
      <c r="H41" s="133"/>
      <c r="I41" s="35">
        <v>134.208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134.208</v>
      </c>
      <c r="P41" s="202">
        <f>+J41-N41</f>
        <v>0</v>
      </c>
      <c r="Q41" s="35">
        <v>16373.376</v>
      </c>
      <c r="R41" s="202">
        <f>+J41*E$7</f>
        <v>0</v>
      </c>
    </row>
    <row r="42" spans="1:18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 t="s">
        <v>29</v>
      </c>
      <c r="C43" s="25"/>
      <c r="D43" s="25"/>
      <c r="E43" s="209"/>
      <c r="F43" s="21"/>
      <c r="G43" s="41"/>
      <c r="H43" s="198"/>
      <c r="I43" s="186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10.131639344262295</v>
      </c>
      <c r="H44" s="133"/>
      <c r="I44" s="35">
        <v>10.131639344262295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10.131639344262295</v>
      </c>
      <c r="P44" s="202">
        <f>+J44-N44</f>
        <v>0</v>
      </c>
      <c r="Q44" s="35">
        <v>1236.06</v>
      </c>
      <c r="R44" s="202">
        <f>+J44*E$7</f>
        <v>0</v>
      </c>
    </row>
    <row r="45" spans="1:18" x14ac:dyDescent="0.2">
      <c r="A45" s="25"/>
      <c r="B45" s="25"/>
      <c r="C45" s="25" t="s">
        <v>105</v>
      </c>
      <c r="D45" s="25">
        <v>0</v>
      </c>
      <c r="E45" s="132"/>
      <c r="F45" s="226" t="s">
        <v>79</v>
      </c>
      <c r="G45" s="41">
        <v>3.15</v>
      </c>
      <c r="H45" s="133"/>
      <c r="I45" s="35">
        <v>0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0</v>
      </c>
      <c r="P45" s="202">
        <f>+J45-N45</f>
        <v>0</v>
      </c>
      <c r="Q45" s="35">
        <v>0</v>
      </c>
      <c r="R45" s="202">
        <f>+J45*E$7</f>
        <v>0</v>
      </c>
    </row>
    <row r="46" spans="1:18" x14ac:dyDescent="0.2">
      <c r="A46" s="25"/>
      <c r="B46" s="25"/>
      <c r="C46" s="25"/>
      <c r="D46" s="25"/>
      <c r="E46" s="209"/>
      <c r="F46" s="21"/>
      <c r="G46" s="41"/>
      <c r="H46" s="198"/>
      <c r="I46" s="35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 t="s">
        <v>47</v>
      </c>
      <c r="C47" s="25"/>
      <c r="D47" s="25"/>
      <c r="E47" s="209"/>
      <c r="F47" s="21"/>
      <c r="G47" s="41"/>
      <c r="H47" s="199"/>
      <c r="I47" s="186"/>
      <c r="J47" s="184"/>
      <c r="K47" s="225"/>
      <c r="L47" s="199"/>
      <c r="M47" s="35"/>
      <c r="N47" s="184"/>
      <c r="O47" s="35"/>
      <c r="P47" s="184"/>
      <c r="Q47" s="35"/>
      <c r="R47" s="184"/>
    </row>
    <row r="48" spans="1:18" x14ac:dyDescent="0.2">
      <c r="A48" s="25"/>
      <c r="B48" s="25"/>
      <c r="C48" s="25" t="s">
        <v>104</v>
      </c>
      <c r="D48" s="25">
        <v>1</v>
      </c>
      <c r="E48" s="132"/>
      <c r="F48" s="226" t="s">
        <v>42</v>
      </c>
      <c r="G48" s="41">
        <v>1.6081967213114756</v>
      </c>
      <c r="H48" s="133"/>
      <c r="I48" s="35">
        <v>1.6081967213114756</v>
      </c>
      <c r="J48" s="202">
        <f t="shared" ref="J48:J53" si="12">E48*H48</f>
        <v>0</v>
      </c>
      <c r="K48" s="225">
        <v>0</v>
      </c>
      <c r="L48" s="214"/>
      <c r="M48" s="35">
        <v>0</v>
      </c>
      <c r="N48" s="202">
        <f t="shared" ref="N48:N53" si="13">J48*L48</f>
        <v>0</v>
      </c>
      <c r="O48" s="35">
        <v>1.6081967213114756</v>
      </c>
      <c r="P48" s="202">
        <f t="shared" ref="P48:P53" si="14">+J48-N48</f>
        <v>0</v>
      </c>
      <c r="Q48" s="35">
        <v>196.20000000000002</v>
      </c>
      <c r="R48" s="202">
        <f t="shared" ref="R48:R53" si="15">+J48*E$7</f>
        <v>0</v>
      </c>
    </row>
    <row r="49" spans="1:18" x14ac:dyDescent="0.2">
      <c r="A49" s="25"/>
      <c r="B49" s="25"/>
      <c r="C49" s="25" t="s">
        <v>46</v>
      </c>
      <c r="D49" s="25">
        <v>1</v>
      </c>
      <c r="E49" s="132"/>
      <c r="F49" s="226" t="s">
        <v>42</v>
      </c>
      <c r="G49" s="41">
        <v>28.477415999999998</v>
      </c>
      <c r="H49" s="133"/>
      <c r="I49" s="35">
        <v>28.477415999999998</v>
      </c>
      <c r="J49" s="202">
        <f t="shared" si="12"/>
        <v>0</v>
      </c>
      <c r="K49" s="225">
        <v>0</v>
      </c>
      <c r="L49" s="214"/>
      <c r="M49" s="35">
        <v>0</v>
      </c>
      <c r="N49" s="202">
        <f t="shared" si="13"/>
        <v>0</v>
      </c>
      <c r="O49" s="35">
        <v>28.477415999999998</v>
      </c>
      <c r="P49" s="202">
        <f t="shared" si="14"/>
        <v>0</v>
      </c>
      <c r="Q49" s="35">
        <v>3474.2447519999996</v>
      </c>
      <c r="R49" s="202">
        <f t="shared" si="15"/>
        <v>0</v>
      </c>
    </row>
    <row r="50" spans="1:18" x14ac:dyDescent="0.2">
      <c r="A50" s="25"/>
      <c r="B50" s="25"/>
      <c r="C50" s="25" t="s">
        <v>105</v>
      </c>
      <c r="D50" s="25">
        <v>1</v>
      </c>
      <c r="E50" s="132"/>
      <c r="F50" s="226" t="s">
        <v>42</v>
      </c>
      <c r="G50" s="41">
        <v>67.626647670735053</v>
      </c>
      <c r="H50" s="133"/>
      <c r="I50" s="35">
        <v>67.626647670735053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67.626647670735053</v>
      </c>
      <c r="P50" s="202">
        <f t="shared" si="14"/>
        <v>0</v>
      </c>
      <c r="Q50" s="35">
        <v>8250.4510158296762</v>
      </c>
      <c r="R50" s="202">
        <f t="shared" si="15"/>
        <v>0</v>
      </c>
    </row>
    <row r="51" spans="1:18" x14ac:dyDescent="0.2">
      <c r="A51" s="25"/>
      <c r="B51" s="25"/>
      <c r="C51" s="25" t="s">
        <v>4</v>
      </c>
      <c r="D51" s="25">
        <v>1</v>
      </c>
      <c r="E51" s="132"/>
      <c r="F51" s="226" t="s">
        <v>42</v>
      </c>
      <c r="G51" s="41">
        <v>3.0357966550552105</v>
      </c>
      <c r="H51" s="133"/>
      <c r="I51" s="35">
        <v>3.0357966550552105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3.0357966550552105</v>
      </c>
      <c r="P51" s="202">
        <f t="shared" si="14"/>
        <v>0</v>
      </c>
      <c r="Q51" s="35">
        <v>370.36719191673569</v>
      </c>
      <c r="R51" s="202">
        <f t="shared" si="15"/>
        <v>0</v>
      </c>
    </row>
    <row r="52" spans="1:18" x14ac:dyDescent="0.2">
      <c r="A52" s="25"/>
      <c r="B52" s="133"/>
      <c r="C52" s="133"/>
      <c r="D52" s="25"/>
      <c r="E52" s="132"/>
      <c r="F52" s="226"/>
      <c r="G52" s="41"/>
      <c r="H52" s="133"/>
      <c r="I52" s="35">
        <v>0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0</v>
      </c>
      <c r="P52" s="202">
        <f t="shared" si="14"/>
        <v>0</v>
      </c>
      <c r="Q52" s="35">
        <v>0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ht="13.5" thickBot="1" x14ac:dyDescent="0.25">
      <c r="A54" s="25"/>
      <c r="B54" s="25" t="s">
        <v>32</v>
      </c>
      <c r="C54" s="25"/>
      <c r="D54" s="25"/>
      <c r="E54" s="197"/>
      <c r="F54" s="21"/>
      <c r="G54" s="39">
        <v>0.08</v>
      </c>
      <c r="H54" s="215"/>
      <c r="I54" s="42">
        <v>16.402716968222709</v>
      </c>
      <c r="J54" s="202">
        <f>+SUM(J17:J53)/2*H54</f>
        <v>0</v>
      </c>
      <c r="K54" s="86"/>
      <c r="L54" s="137"/>
      <c r="M54" s="42">
        <v>0</v>
      </c>
      <c r="N54" s="202">
        <f>+SUM(N17:N53)/2*L54</f>
        <v>0</v>
      </c>
      <c r="O54" s="42">
        <v>16.402716968222709</v>
      </c>
      <c r="P54" s="202">
        <f>+SUM(P17:P53)/2*L54</f>
        <v>0</v>
      </c>
      <c r="Q54" s="42">
        <v>2001.1314701231704</v>
      </c>
      <c r="R54" s="184">
        <f>+J54*E$7</f>
        <v>0</v>
      </c>
    </row>
    <row r="55" spans="1:18" ht="13.5" thickBot="1" x14ac:dyDescent="0.25">
      <c r="A55" s="25" t="s">
        <v>33</v>
      </c>
      <c r="B55" s="25"/>
      <c r="C55" s="25"/>
      <c r="D55" s="25"/>
      <c r="E55" s="200"/>
      <c r="F55" s="25"/>
      <c r="G55" s="25"/>
      <c r="H55" s="197"/>
      <c r="I55" s="87">
        <v>603.93740445958667</v>
      </c>
      <c r="J55" s="204">
        <f>SUM(J18:J54)</f>
        <v>0</v>
      </c>
      <c r="K55" s="35"/>
      <c r="L55" s="195"/>
      <c r="M55" s="87">
        <v>0</v>
      </c>
      <c r="N55" s="204">
        <f>SUM(N18:N54)</f>
        <v>0</v>
      </c>
      <c r="O55" s="87">
        <v>603.93740445958667</v>
      </c>
      <c r="P55" s="204">
        <f>SUM(P18:P54)</f>
        <v>0</v>
      </c>
      <c r="Q55" s="87">
        <v>73680.363344069585</v>
      </c>
      <c r="R55" s="204">
        <f>SUM(R18:R54)</f>
        <v>0</v>
      </c>
    </row>
    <row r="56" spans="1:18" ht="13.5" thickTop="1" x14ac:dyDescent="0.2">
      <c r="A56" s="25" t="s">
        <v>34</v>
      </c>
      <c r="B56" s="25"/>
      <c r="C56" s="25"/>
      <c r="D56" s="25"/>
      <c r="E56" s="200"/>
      <c r="F56" s="25"/>
      <c r="G56" s="25"/>
      <c r="H56" s="197"/>
      <c r="I56" s="35">
        <v>1421.0625955404134</v>
      </c>
      <c r="J56" s="202">
        <f>+J13-J55</f>
        <v>0</v>
      </c>
      <c r="K56" s="35"/>
      <c r="L56" s="195"/>
      <c r="M56" s="35">
        <v>0</v>
      </c>
      <c r="N56" s="202">
        <f>+N13-N55</f>
        <v>0</v>
      </c>
      <c r="O56" s="35">
        <v>1421.0625955404134</v>
      </c>
      <c r="P56" s="202">
        <f>+P13-P55</f>
        <v>0</v>
      </c>
      <c r="Q56" s="35">
        <v>173369.63665593043</v>
      </c>
      <c r="R56" s="202">
        <f>+R13-R55</f>
        <v>0</v>
      </c>
    </row>
    <row r="57" spans="1:18" x14ac:dyDescent="0.2">
      <c r="A57" s="25"/>
      <c r="B57" s="25" t="s">
        <v>35</v>
      </c>
      <c r="C57" s="25"/>
      <c r="D57" s="25"/>
      <c r="E57" s="210"/>
      <c r="F57" s="17"/>
      <c r="G57" s="40">
        <v>80.524987261278227</v>
      </c>
      <c r="H57" s="210" t="str">
        <f>IF(E10=0,"n/a",(YVarExp-(YTotExp+YTotRet-J10))/E10)</f>
        <v>n/a</v>
      </c>
      <c r="I57" s="25" t="s">
        <v>135</v>
      </c>
      <c r="J57" s="184"/>
      <c r="K57" s="25"/>
      <c r="L57" s="197"/>
      <c r="M57" s="25"/>
      <c r="N57" s="184"/>
      <c r="O57" s="25"/>
      <c r="P57" s="184"/>
      <c r="Q57" s="25"/>
      <c r="R57" s="184"/>
    </row>
    <row r="58" spans="1:18" x14ac:dyDescent="0.2">
      <c r="A58" s="25"/>
      <c r="B58" s="25"/>
      <c r="C58" s="25"/>
      <c r="D58" s="25"/>
      <c r="E58" s="178"/>
      <c r="F58" s="25"/>
      <c r="G58" s="25"/>
      <c r="H58" s="211"/>
      <c r="I58" s="25"/>
      <c r="J58" s="184"/>
      <c r="K58" s="25"/>
      <c r="L58" s="197"/>
      <c r="M58" s="25"/>
      <c r="N58" s="184"/>
      <c r="O58" s="25"/>
      <c r="P58" s="184"/>
      <c r="Q58" s="22" t="s">
        <v>19</v>
      </c>
      <c r="R58" s="184" t="s">
        <v>19</v>
      </c>
    </row>
    <row r="59" spans="1:18" x14ac:dyDescent="0.2">
      <c r="A59" s="23" t="s">
        <v>36</v>
      </c>
      <c r="B59" s="23"/>
      <c r="C59" s="23"/>
      <c r="D59" s="24" t="s">
        <v>2</v>
      </c>
      <c r="E59" s="196" t="s">
        <v>2</v>
      </c>
      <c r="F59" s="24" t="s">
        <v>21</v>
      </c>
      <c r="G59" s="24" t="s">
        <v>22</v>
      </c>
      <c r="H59" s="196" t="s">
        <v>22</v>
      </c>
      <c r="I59" s="24" t="s">
        <v>11</v>
      </c>
      <c r="J59" s="196" t="s">
        <v>11</v>
      </c>
      <c r="K59" s="24" t="s">
        <v>10</v>
      </c>
      <c r="L59" s="196" t="s">
        <v>10</v>
      </c>
      <c r="M59" s="24" t="s">
        <v>9</v>
      </c>
      <c r="N59" s="196" t="s">
        <v>9</v>
      </c>
      <c r="O59" s="24" t="s">
        <v>8</v>
      </c>
      <c r="P59" s="196" t="s">
        <v>8</v>
      </c>
      <c r="Q59" s="24" t="s">
        <v>11</v>
      </c>
      <c r="R59" s="208" t="s">
        <v>11</v>
      </c>
    </row>
    <row r="60" spans="1:18" x14ac:dyDescent="0.2">
      <c r="A60" s="25"/>
      <c r="B60" s="25" t="s">
        <v>106</v>
      </c>
      <c r="C60" s="25"/>
      <c r="D60" s="25"/>
      <c r="E60" s="178"/>
      <c r="F60" s="25"/>
      <c r="G60" s="25"/>
      <c r="H60" s="211"/>
      <c r="I60" s="186"/>
      <c r="J60" s="184"/>
      <c r="K60" s="225"/>
      <c r="L60" s="197"/>
      <c r="M60" s="25"/>
      <c r="N60" s="184"/>
      <c r="O60" s="25"/>
      <c r="P60" s="184"/>
      <c r="Q60" s="25"/>
      <c r="R60" s="184"/>
    </row>
    <row r="61" spans="1:18" x14ac:dyDescent="0.2">
      <c r="A61" s="25"/>
      <c r="B61" s="25"/>
      <c r="C61" s="25" t="s">
        <v>104</v>
      </c>
      <c r="D61" s="25">
        <v>1</v>
      </c>
      <c r="E61" s="132"/>
      <c r="F61" s="226" t="s">
        <v>42</v>
      </c>
      <c r="G61" s="41">
        <v>6.0307377049180326</v>
      </c>
      <c r="H61" s="133"/>
      <c r="I61" s="35">
        <v>6.0307377049180326</v>
      </c>
      <c r="J61" s="202">
        <f t="shared" ref="J61:J64" si="16">E61*H61</f>
        <v>0</v>
      </c>
      <c r="K61" s="225">
        <v>0</v>
      </c>
      <c r="L61" s="214"/>
      <c r="M61" s="35">
        <v>0</v>
      </c>
      <c r="N61" s="202">
        <f>J61*L61</f>
        <v>0</v>
      </c>
      <c r="O61" s="35">
        <v>6.0307377049180326</v>
      </c>
      <c r="P61" s="202">
        <f t="shared" ref="P61:P64" si="17">+J61-N61</f>
        <v>0</v>
      </c>
      <c r="Q61" s="35">
        <v>735.75</v>
      </c>
      <c r="R61" s="202">
        <f t="shared" ref="R61:R64" si="18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2"/>
      <c r="F62" s="226" t="s">
        <v>42</v>
      </c>
      <c r="G62" s="41">
        <v>37.281442622950813</v>
      </c>
      <c r="H62" s="133"/>
      <c r="I62" s="35">
        <v>37.281442622950813</v>
      </c>
      <c r="J62" s="202">
        <f t="shared" si="16"/>
        <v>0</v>
      </c>
      <c r="K62" s="225">
        <v>0</v>
      </c>
      <c r="L62" s="214"/>
      <c r="M62" s="35">
        <v>0</v>
      </c>
      <c r="N62" s="202">
        <f>J62*L62</f>
        <v>0</v>
      </c>
      <c r="O62" s="35">
        <v>37.281442622950813</v>
      </c>
      <c r="P62" s="202">
        <f t="shared" si="17"/>
        <v>0</v>
      </c>
      <c r="Q62" s="35">
        <v>4548.3359999999993</v>
      </c>
      <c r="R62" s="202">
        <f t="shared" si="18"/>
        <v>0</v>
      </c>
    </row>
    <row r="63" spans="1:18" x14ac:dyDescent="0.2">
      <c r="A63" s="25"/>
      <c r="B63" s="25"/>
      <c r="C63" s="25" t="s">
        <v>105</v>
      </c>
      <c r="D63" s="25">
        <v>1</v>
      </c>
      <c r="E63" s="132"/>
      <c r="F63" s="226" t="s">
        <v>42</v>
      </c>
      <c r="G63" s="41">
        <v>89.842213910587333</v>
      </c>
      <c r="H63" s="133"/>
      <c r="I63" s="35">
        <v>89.842213910587333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89.842213910587333</v>
      </c>
      <c r="P63" s="202">
        <f t="shared" si="17"/>
        <v>0</v>
      </c>
      <c r="Q63" s="35">
        <v>10960.750097091655</v>
      </c>
      <c r="R63" s="202">
        <f t="shared" si="18"/>
        <v>0</v>
      </c>
    </row>
    <row r="64" spans="1:18" x14ac:dyDescent="0.2">
      <c r="A64" s="25"/>
      <c r="B64" s="25"/>
      <c r="C64" s="25" t="s">
        <v>4</v>
      </c>
      <c r="D64" s="25">
        <v>1</v>
      </c>
      <c r="E64" s="132"/>
      <c r="F64" s="226" t="s">
        <v>42</v>
      </c>
      <c r="G64" s="41">
        <v>7.3698386468814698</v>
      </c>
      <c r="H64" s="133"/>
      <c r="I64" s="35">
        <v>7.3698386468814698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7.3698386468814698</v>
      </c>
      <c r="P64" s="202">
        <f t="shared" si="17"/>
        <v>0</v>
      </c>
      <c r="Q64" s="35">
        <v>899.12031491953928</v>
      </c>
      <c r="R64" s="202">
        <f t="shared" si="18"/>
        <v>0</v>
      </c>
    </row>
    <row r="65" spans="1:18" x14ac:dyDescent="0.2">
      <c r="A65" s="25"/>
      <c r="B65" s="25" t="s">
        <v>89</v>
      </c>
      <c r="C65" s="25"/>
      <c r="D65" s="25"/>
      <c r="E65" s="197"/>
      <c r="F65" s="21"/>
      <c r="G65" s="41"/>
      <c r="H65" s="197"/>
      <c r="I65" s="186"/>
      <c r="J65" s="184"/>
      <c r="K65" s="225"/>
      <c r="L65" s="197"/>
      <c r="M65" s="35"/>
      <c r="N65" s="184"/>
      <c r="O65" s="35"/>
      <c r="P65" s="184"/>
      <c r="Q65" s="35"/>
      <c r="R65" s="184"/>
    </row>
    <row r="66" spans="1:18" x14ac:dyDescent="0.2">
      <c r="A66" s="25"/>
      <c r="B66" s="25"/>
      <c r="C66" s="25" t="s">
        <v>104</v>
      </c>
      <c r="D66" s="41">
        <v>25.128073770491802</v>
      </c>
      <c r="E66" s="132"/>
      <c r="F66" s="226" t="s">
        <v>100</v>
      </c>
      <c r="G66" s="39">
        <v>0.08</v>
      </c>
      <c r="H66" s="215"/>
      <c r="I66" s="35">
        <v>2.0102459016393444</v>
      </c>
      <c r="J66" s="202">
        <f t="shared" ref="J66:J76" si="19">E66*H66</f>
        <v>0</v>
      </c>
      <c r="K66" s="225">
        <v>0</v>
      </c>
      <c r="L66" s="214"/>
      <c r="M66" s="35">
        <v>0</v>
      </c>
      <c r="N66" s="202">
        <f>J66*L66</f>
        <v>0</v>
      </c>
      <c r="O66" s="35">
        <v>2.0102459016393444</v>
      </c>
      <c r="P66" s="202">
        <f t="shared" ref="P66:P69" si="20">+J66-N66</f>
        <v>0</v>
      </c>
      <c r="Q66" s="35">
        <v>245.25</v>
      </c>
      <c r="R66" s="202">
        <f t="shared" ref="R66:R69" si="21">+J66*E$7</f>
        <v>0</v>
      </c>
    </row>
    <row r="67" spans="1:18" x14ac:dyDescent="0.2">
      <c r="A67" s="25"/>
      <c r="B67" s="25"/>
      <c r="C67" s="25" t="s">
        <v>46</v>
      </c>
      <c r="D67" s="41">
        <v>279.61081967213113</v>
      </c>
      <c r="E67" s="132"/>
      <c r="F67" s="226" t="s">
        <v>100</v>
      </c>
      <c r="G67" s="39">
        <v>0.08</v>
      </c>
      <c r="H67" s="215"/>
      <c r="I67" s="35">
        <v>22.368865573770492</v>
      </c>
      <c r="J67" s="202">
        <f t="shared" si="19"/>
        <v>0</v>
      </c>
      <c r="K67" s="225">
        <v>0</v>
      </c>
      <c r="L67" s="214"/>
      <c r="M67" s="35">
        <v>0</v>
      </c>
      <c r="N67" s="202">
        <f>J67*L67</f>
        <v>0</v>
      </c>
      <c r="O67" s="35">
        <v>22.368865573770492</v>
      </c>
      <c r="P67" s="202">
        <f t="shared" si="20"/>
        <v>0</v>
      </c>
      <c r="Q67" s="35">
        <v>2729.0016000000001</v>
      </c>
      <c r="R67" s="202">
        <f t="shared" si="21"/>
        <v>0</v>
      </c>
    </row>
    <row r="68" spans="1:18" x14ac:dyDescent="0.2">
      <c r="A68" s="25"/>
      <c r="B68" s="25"/>
      <c r="C68" s="25" t="s">
        <v>105</v>
      </c>
      <c r="D68" s="41">
        <v>668.40334227409414</v>
      </c>
      <c r="E68" s="132"/>
      <c r="F68" s="226" t="s">
        <v>100</v>
      </c>
      <c r="G68" s="39">
        <v>0.08</v>
      </c>
      <c r="H68" s="215"/>
      <c r="I68" s="35">
        <v>53.47226738192753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53.47226738192753</v>
      </c>
      <c r="P68" s="202">
        <f t="shared" si="20"/>
        <v>0</v>
      </c>
      <c r="Q68" s="35">
        <v>6523.6166205951586</v>
      </c>
      <c r="R68" s="202">
        <f t="shared" si="21"/>
        <v>0</v>
      </c>
    </row>
    <row r="69" spans="1:18" x14ac:dyDescent="0.2">
      <c r="A69" s="25"/>
      <c r="B69" s="25"/>
      <c r="C69" s="25" t="s">
        <v>4</v>
      </c>
      <c r="D69" s="41">
        <v>53.365718858846613</v>
      </c>
      <c r="E69" s="132"/>
      <c r="F69" s="226" t="s">
        <v>100</v>
      </c>
      <c r="G69" s="39">
        <v>0.08</v>
      </c>
      <c r="H69" s="215"/>
      <c r="I69" s="35">
        <v>4.2692575087077289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4.2692575087077289</v>
      </c>
      <c r="P69" s="202">
        <f t="shared" si="20"/>
        <v>0</v>
      </c>
      <c r="Q69" s="35">
        <v>520.84941606234293</v>
      </c>
      <c r="R69" s="202">
        <f t="shared" si="21"/>
        <v>0</v>
      </c>
    </row>
    <row r="70" spans="1:18" x14ac:dyDescent="0.2">
      <c r="A70" s="25"/>
      <c r="B70" s="25" t="s">
        <v>156</v>
      </c>
      <c r="C70" s="25"/>
      <c r="D70" s="25">
        <v>1</v>
      </c>
      <c r="E70" s="132"/>
      <c r="F70" s="226" t="s">
        <v>42</v>
      </c>
      <c r="G70" s="41">
        <v>0</v>
      </c>
      <c r="H70" s="133"/>
      <c r="I70" s="35">
        <v>0</v>
      </c>
      <c r="J70" s="202">
        <f t="shared" si="19"/>
        <v>0</v>
      </c>
      <c r="K70" s="225">
        <v>0</v>
      </c>
      <c r="L70" s="214"/>
      <c r="M70" s="35">
        <v>0</v>
      </c>
      <c r="N70" s="202">
        <f t="shared" ref="N70:N77" si="22">J70*L70</f>
        <v>0</v>
      </c>
      <c r="O70" s="35">
        <v>0</v>
      </c>
      <c r="P70" s="202">
        <f t="shared" ref="P70:P77" si="23">+J70-N70</f>
        <v>0</v>
      </c>
      <c r="Q70" s="35">
        <v>0</v>
      </c>
      <c r="R70" s="202">
        <f t="shared" ref="R70:R77" si="24">+J70*E$7</f>
        <v>0</v>
      </c>
    </row>
    <row r="71" spans="1:18" x14ac:dyDescent="0.2">
      <c r="A71" s="25"/>
      <c r="B71" s="25" t="s">
        <v>152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si="22"/>
        <v>0</v>
      </c>
      <c r="O71" s="35">
        <v>0</v>
      </c>
      <c r="P71" s="202">
        <f t="shared" si="23"/>
        <v>0</v>
      </c>
      <c r="Q71" s="35">
        <v>0</v>
      </c>
      <c r="R71" s="202">
        <f t="shared" si="24"/>
        <v>0</v>
      </c>
    </row>
    <row r="72" spans="1:18" x14ac:dyDescent="0.2">
      <c r="A72" s="25"/>
      <c r="B72" s="25" t="s">
        <v>137</v>
      </c>
      <c r="C72" s="25"/>
      <c r="D72" s="25">
        <v>1</v>
      </c>
      <c r="E72" s="132"/>
      <c r="F72" s="226" t="s">
        <v>42</v>
      </c>
      <c r="G72" s="41">
        <v>109.5</v>
      </c>
      <c r="H72" s="133"/>
      <c r="I72" s="35">
        <v>109.5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109.5</v>
      </c>
      <c r="P72" s="202">
        <f t="shared" si="23"/>
        <v>0</v>
      </c>
      <c r="Q72" s="35">
        <v>13359</v>
      </c>
      <c r="R72" s="202">
        <f t="shared" si="24"/>
        <v>0</v>
      </c>
    </row>
    <row r="73" spans="1:18" x14ac:dyDescent="0.2">
      <c r="A73" s="25"/>
      <c r="B73" s="25" t="s">
        <v>453</v>
      </c>
      <c r="C73" s="25"/>
      <c r="D73" s="25">
        <v>1</v>
      </c>
      <c r="E73" s="132"/>
      <c r="F73" s="226" t="s">
        <v>42</v>
      </c>
      <c r="G73" s="41">
        <v>50</v>
      </c>
      <c r="H73" s="133"/>
      <c r="I73" s="35">
        <v>50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50</v>
      </c>
      <c r="P73" s="202">
        <f t="shared" si="23"/>
        <v>0</v>
      </c>
      <c r="Q73" s="35">
        <v>6100</v>
      </c>
      <c r="R73" s="202">
        <f t="shared" si="24"/>
        <v>0</v>
      </c>
    </row>
    <row r="74" spans="1:18" x14ac:dyDescent="0.2">
      <c r="A74" s="25"/>
      <c r="B74" s="25" t="s">
        <v>159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0</v>
      </c>
      <c r="P74" s="202">
        <f t="shared" si="23"/>
        <v>0</v>
      </c>
      <c r="Q74" s="35">
        <v>0</v>
      </c>
      <c r="R74" s="202">
        <f t="shared" si="24"/>
        <v>0</v>
      </c>
    </row>
    <row r="75" spans="1:18" x14ac:dyDescent="0.2">
      <c r="A75" s="25"/>
      <c r="B75" s="25" t="s">
        <v>160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133"/>
      <c r="C76" s="133"/>
      <c r="D76" s="25">
        <v>1</v>
      </c>
      <c r="E76" s="132"/>
      <c r="F76" s="226"/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ht="13.5" thickBot="1" x14ac:dyDescent="0.25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>E77*H77</f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 t="s">
        <v>37</v>
      </c>
      <c r="B78" s="25"/>
      <c r="C78" s="25"/>
      <c r="D78" s="25"/>
      <c r="E78" s="197"/>
      <c r="F78" s="25"/>
      <c r="G78" s="25"/>
      <c r="H78" s="197"/>
      <c r="I78" s="121">
        <v>382.14486925138277</v>
      </c>
      <c r="J78" s="204">
        <f>+SUM(J61:J77)</f>
        <v>0</v>
      </c>
      <c r="K78" s="35"/>
      <c r="L78" s="195"/>
      <c r="M78" s="121">
        <v>0</v>
      </c>
      <c r="N78" s="204">
        <f>+SUM(N61:N77)</f>
        <v>0</v>
      </c>
      <c r="O78" s="121">
        <v>382.14486925138277</v>
      </c>
      <c r="P78" s="204">
        <f>+SUM(P61:P77)</f>
        <v>0</v>
      </c>
      <c r="Q78" s="121">
        <v>46621.67404866869</v>
      </c>
      <c r="R78" s="204">
        <f>+SUM(R61:R77)</f>
        <v>0</v>
      </c>
    </row>
    <row r="79" spans="1:18" ht="14.25" thickTop="1" thickBot="1" x14ac:dyDescent="0.25">
      <c r="A79" s="25" t="s">
        <v>52</v>
      </c>
      <c r="B79" s="25"/>
      <c r="C79" s="25"/>
      <c r="D79" s="25"/>
      <c r="E79" s="197"/>
      <c r="F79" s="25"/>
      <c r="G79" s="25"/>
      <c r="H79" s="197"/>
      <c r="I79" s="87">
        <v>986.0822737109695</v>
      </c>
      <c r="J79" s="205">
        <f>+J55+J78</f>
        <v>0</v>
      </c>
      <c r="K79" s="35"/>
      <c r="L79" s="195"/>
      <c r="M79" s="87">
        <v>0</v>
      </c>
      <c r="N79" s="205">
        <f>+N55+N78</f>
        <v>0</v>
      </c>
      <c r="O79" s="87">
        <v>986.0822737109695</v>
      </c>
      <c r="P79" s="205">
        <f>+P55+P78</f>
        <v>0</v>
      </c>
      <c r="Q79" s="87">
        <v>120302.03739273828</v>
      </c>
      <c r="R79" s="205">
        <f>+R55+R78</f>
        <v>0</v>
      </c>
    </row>
    <row r="80" spans="1:18" ht="13.5" thickTop="1" x14ac:dyDescent="0.2">
      <c r="A80" s="25"/>
      <c r="B80" s="25"/>
      <c r="C80" s="25"/>
      <c r="D80" s="25"/>
      <c r="E80" s="197"/>
      <c r="F80" s="25"/>
      <c r="G80" s="25"/>
      <c r="H80" s="197"/>
      <c r="I80" s="35"/>
      <c r="J80" s="184"/>
      <c r="K80" s="35"/>
      <c r="L80" s="195"/>
      <c r="M80" s="35"/>
      <c r="N80" s="184"/>
      <c r="O80" s="35"/>
      <c r="P80" s="184"/>
      <c r="Q80" s="35"/>
      <c r="R80" s="184"/>
    </row>
    <row r="81" spans="1:18" x14ac:dyDescent="0.2">
      <c r="A81" s="25" t="s">
        <v>153</v>
      </c>
      <c r="B81" s="25"/>
      <c r="C81" s="25"/>
      <c r="D81" s="25"/>
      <c r="E81" s="197"/>
      <c r="F81" s="25"/>
      <c r="G81" s="25"/>
      <c r="H81" s="197"/>
      <c r="I81" s="35">
        <v>1038.9177262890305</v>
      </c>
      <c r="J81" s="202">
        <f>+J13-J79</f>
        <v>0</v>
      </c>
      <c r="K81" s="35"/>
      <c r="L81" s="195"/>
      <c r="M81" s="35">
        <v>0</v>
      </c>
      <c r="N81" s="202">
        <f>+N13-N79</f>
        <v>0</v>
      </c>
      <c r="O81" s="35">
        <v>1038.9177262890305</v>
      </c>
      <c r="P81" s="202">
        <f>+P13-P79</f>
        <v>0</v>
      </c>
      <c r="Q81" s="35">
        <v>126747.96260726172</v>
      </c>
      <c r="R81" s="202">
        <f>+R13-R79</f>
        <v>0</v>
      </c>
    </row>
    <row r="82" spans="1:18" x14ac:dyDescent="0.2">
      <c r="A82" s="25"/>
      <c r="B82" s="25"/>
      <c r="C82" s="25"/>
      <c r="D82" s="25"/>
      <c r="E82" s="197"/>
      <c r="F82" s="25"/>
      <c r="G82" s="25"/>
      <c r="H82" s="197"/>
      <c r="I82" s="35"/>
      <c r="J82" s="206"/>
      <c r="K82" s="35"/>
      <c r="L82" s="195"/>
      <c r="M82" s="35"/>
      <c r="N82" s="195"/>
      <c r="O82" s="35"/>
      <c r="P82" s="195"/>
      <c r="Q82" s="35"/>
      <c r="R82" s="206"/>
    </row>
    <row r="83" spans="1:18" ht="13.5" thickBot="1" x14ac:dyDescent="0.25">
      <c r="A83" s="44" t="s">
        <v>38</v>
      </c>
      <c r="B83" s="44"/>
      <c r="C83" s="44"/>
      <c r="D83" s="44"/>
      <c r="E83" s="201"/>
      <c r="F83" s="44"/>
      <c r="G83" s="45">
        <v>131.47763649479595</v>
      </c>
      <c r="H83" s="212" t="str">
        <f>IF(E10=0,"n/a",(YTotExp-(YTotExp+YTotRet-J10))/E10)</f>
        <v>n/a</v>
      </c>
      <c r="I83" s="44" t="s">
        <v>135</v>
      </c>
      <c r="J83" s="207"/>
      <c r="K83" s="44"/>
      <c r="L83" s="201"/>
      <c r="M83" s="44"/>
      <c r="N83" s="201"/>
      <c r="O83" s="44"/>
      <c r="P83" s="201"/>
      <c r="Q83" s="44"/>
      <c r="R83" s="207"/>
    </row>
    <row r="84" spans="1:18" ht="13.5" thickTop="1" x14ac:dyDescent="0.2"/>
    <row r="85" spans="1:18" s="17" customFormat="1" ht="15.75" x14ac:dyDescent="0.25">
      <c r="A85"/>
      <c r="B85" s="88"/>
      <c r="C85" s="89"/>
      <c r="D85" s="234" t="s">
        <v>115</v>
      </c>
      <c r="E85" s="235"/>
      <c r="F85" s="235"/>
      <c r="G85" s="235"/>
      <c r="H85" s="235"/>
      <c r="I85" s="235"/>
      <c r="J85" s="99"/>
      <c r="K85" s="99"/>
      <c r="M85"/>
      <c r="N85"/>
    </row>
    <row r="86" spans="1:18" s="17" customFormat="1" ht="15.75" x14ac:dyDescent="0.25">
      <c r="A86"/>
      <c r="B86" s="19" t="s">
        <v>116</v>
      </c>
      <c r="C86" s="19" t="s">
        <v>116</v>
      </c>
      <c r="D86" s="126" t="s">
        <v>170</v>
      </c>
      <c r="E86" s="18"/>
      <c r="F86" s="18"/>
      <c r="G86" s="126" t="s">
        <v>170</v>
      </c>
      <c r="H86" s="18"/>
      <c r="I86" s="18"/>
      <c r="J86" s="18"/>
      <c r="K86" s="18"/>
      <c r="M86"/>
      <c r="N86"/>
    </row>
    <row r="87" spans="1:18" s="17" customFormat="1" x14ac:dyDescent="0.2">
      <c r="A87"/>
      <c r="B87" s="19" t="s">
        <v>81</v>
      </c>
      <c r="C87" s="19" t="s">
        <v>81</v>
      </c>
      <c r="D87" s="126" t="s">
        <v>157</v>
      </c>
      <c r="E87" s="122"/>
      <c r="F87" s="122"/>
      <c r="G87" s="126" t="s">
        <v>11</v>
      </c>
      <c r="H87" s="122"/>
      <c r="I87" s="122"/>
      <c r="J87" s="122"/>
      <c r="K87" s="122"/>
      <c r="M87"/>
      <c r="N87"/>
    </row>
    <row r="88" spans="1:18" s="17" customFormat="1" x14ac:dyDescent="0.2">
      <c r="A88"/>
      <c r="B88" s="19" t="s">
        <v>30</v>
      </c>
      <c r="C88" s="99" t="s">
        <v>135</v>
      </c>
      <c r="D88" s="126" t="s">
        <v>99</v>
      </c>
      <c r="E88" s="122"/>
      <c r="F88" s="122"/>
      <c r="G88" s="126" t="s">
        <v>99</v>
      </c>
      <c r="H88" s="19"/>
      <c r="I88" s="19"/>
      <c r="J88" s="19"/>
      <c r="K88" s="19"/>
      <c r="M88"/>
      <c r="N88"/>
    </row>
    <row r="89" spans="1:18" s="17" customFormat="1" x14ac:dyDescent="0.2">
      <c r="A89"/>
      <c r="B89" s="90">
        <v>0.75</v>
      </c>
      <c r="C89" s="91">
        <v>5.625</v>
      </c>
      <c r="D89" s="92">
        <v>107.3666496817043</v>
      </c>
      <c r="E89" s="93"/>
      <c r="F89" s="94"/>
      <c r="G89" s="92">
        <v>175.30351532639457</v>
      </c>
      <c r="H89" s="93"/>
      <c r="I89" s="93"/>
      <c r="M89"/>
      <c r="N89"/>
    </row>
    <row r="90" spans="1:18" s="17" customFormat="1" x14ac:dyDescent="0.2">
      <c r="A90"/>
      <c r="B90" s="95">
        <v>0.9</v>
      </c>
      <c r="C90" s="96">
        <v>6.75</v>
      </c>
      <c r="D90" s="97">
        <v>89.472208068086914</v>
      </c>
      <c r="E90" s="83"/>
      <c r="F90" s="98"/>
      <c r="G90" s="97">
        <v>146.08626277199548</v>
      </c>
      <c r="H90" s="83"/>
      <c r="I90" s="83"/>
      <c r="M90"/>
      <c r="N90"/>
    </row>
    <row r="91" spans="1:18" s="17" customFormat="1" x14ac:dyDescent="0.2">
      <c r="A91"/>
      <c r="B91" s="90">
        <v>1</v>
      </c>
      <c r="C91" s="91">
        <v>7.5</v>
      </c>
      <c r="D91" s="92">
        <v>80.524987261278227</v>
      </c>
      <c r="E91" s="93"/>
      <c r="F91" s="94"/>
      <c r="G91" s="92">
        <v>131.47763649479595</v>
      </c>
      <c r="H91" s="93"/>
      <c r="I91" s="93"/>
      <c r="M91"/>
      <c r="N91"/>
    </row>
    <row r="92" spans="1:18" s="17" customFormat="1" x14ac:dyDescent="0.2">
      <c r="A92"/>
      <c r="B92" s="95">
        <v>1.1000000000000001</v>
      </c>
      <c r="C92" s="96">
        <v>8.25</v>
      </c>
      <c r="D92" s="97">
        <v>73.204533873889289</v>
      </c>
      <c r="E92" s="83"/>
      <c r="F92" s="98"/>
      <c r="G92" s="97">
        <v>119.52512408617812</v>
      </c>
      <c r="H92" s="83"/>
      <c r="I92" s="83"/>
      <c r="M92"/>
      <c r="N92"/>
    </row>
    <row r="93" spans="1:18" s="17" customFormat="1" x14ac:dyDescent="0.2">
      <c r="A93"/>
      <c r="B93" s="90">
        <v>1.25</v>
      </c>
      <c r="C93" s="91">
        <v>9.375</v>
      </c>
      <c r="D93" s="92">
        <v>64.419989809022582</v>
      </c>
      <c r="E93" s="93"/>
      <c r="F93" s="94"/>
      <c r="G93" s="92">
        <v>105.18210919583674</v>
      </c>
      <c r="H93" s="93"/>
      <c r="I93" s="93"/>
      <c r="M93"/>
      <c r="N93"/>
    </row>
    <row r="94" spans="1:18" s="17" customFormat="1" x14ac:dyDescent="0.2">
      <c r="A94"/>
      <c r="M94"/>
      <c r="N94"/>
    </row>
    <row r="95" spans="1:18" x14ac:dyDescent="0.2">
      <c r="A95" s="25" t="s">
        <v>536</v>
      </c>
      <c r="B95" s="17"/>
      <c r="C95" s="17"/>
      <c r="D95" s="17"/>
      <c r="E95" s="17"/>
      <c r="F95" s="17"/>
      <c r="G95" s="17"/>
      <c r="H95" s="17"/>
      <c r="I95" s="17"/>
      <c r="J95" s="28"/>
      <c r="K95" s="17"/>
      <c r="L95" s="17"/>
      <c r="M95" s="17"/>
      <c r="N95" s="17"/>
      <c r="O95" s="17"/>
      <c r="P95" s="17"/>
      <c r="Q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ht="26.25" customHeight="1" x14ac:dyDescent="0.2">
      <c r="A97" s="236" t="s">
        <v>140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21"/>
      <c r="N97" s="221"/>
      <c r="O97" s="221"/>
      <c r="P97" s="221"/>
      <c r="Q97" s="221"/>
      <c r="R97" s="221"/>
    </row>
  </sheetData>
  <sheetProtection sheet="1" objects="1" scenarios="1"/>
  <mergeCells count="6">
    <mergeCell ref="D85:I85"/>
    <mergeCell ref="A97:L9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97">
    <tabColor rgb="FF92D050"/>
    <pageSetUpPr fitToPage="1"/>
  </sheetPr>
  <dimension ref="A1:S94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31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337</v>
      </c>
      <c r="C10" s="25"/>
      <c r="D10" s="50">
        <v>7.5</v>
      </c>
      <c r="E10" s="132"/>
      <c r="F10" s="226" t="s">
        <v>135</v>
      </c>
      <c r="G10" s="31">
        <v>270</v>
      </c>
      <c r="H10" s="133"/>
      <c r="I10" s="35">
        <v>2025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2025</v>
      </c>
      <c r="P10" s="202">
        <f>+J10-N10</f>
        <v>0</v>
      </c>
      <c r="Q10" s="35">
        <v>247050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2025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2025</v>
      </c>
      <c r="P13" s="203">
        <f>SUM(P10:P12)</f>
        <v>0</v>
      </c>
      <c r="Q13" s="36">
        <v>247050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49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445</v>
      </c>
      <c r="D18" s="25">
        <v>2</v>
      </c>
      <c r="E18" s="132"/>
      <c r="F18" s="226" t="s">
        <v>311</v>
      </c>
      <c r="G18" s="41">
        <v>2.75</v>
      </c>
      <c r="H18" s="133"/>
      <c r="I18" s="35">
        <v>5.5</v>
      </c>
      <c r="J18" s="202">
        <f t="shared" ref="J18:J30" si="4">E18*H18</f>
        <v>0</v>
      </c>
      <c r="K18" s="225">
        <v>0</v>
      </c>
      <c r="L18" s="214"/>
      <c r="M18" s="35">
        <v>0</v>
      </c>
      <c r="N18" s="202">
        <f t="shared" ref="N18:N30" si="5">J18*L18</f>
        <v>0</v>
      </c>
      <c r="O18" s="35">
        <v>5.5</v>
      </c>
      <c r="P18" s="202">
        <f t="shared" ref="P18:P30" si="6">+J18-N18</f>
        <v>0</v>
      </c>
      <c r="Q18" s="35">
        <v>671</v>
      </c>
      <c r="R18" s="202">
        <f t="shared" ref="R18:R30" si="7">+J18*E$7</f>
        <v>0</v>
      </c>
    </row>
    <row r="19" spans="1:18" x14ac:dyDescent="0.2">
      <c r="A19" s="25"/>
      <c r="B19" s="25" t="s">
        <v>501</v>
      </c>
      <c r="C19" s="25" t="s">
        <v>434</v>
      </c>
      <c r="D19" s="25">
        <v>5</v>
      </c>
      <c r="E19" s="132"/>
      <c r="F19" s="226" t="s">
        <v>360</v>
      </c>
      <c r="G19" s="41">
        <v>3.3453124999999999</v>
      </c>
      <c r="H19" s="133"/>
      <c r="I19" s="35">
        <v>16.7265625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16.7265625</v>
      </c>
      <c r="P19" s="202">
        <f t="shared" si="6"/>
        <v>0</v>
      </c>
      <c r="Q19" s="35">
        <v>2040.640625</v>
      </c>
      <c r="R19" s="202">
        <f t="shared" si="7"/>
        <v>0</v>
      </c>
    </row>
    <row r="20" spans="1:18" x14ac:dyDescent="0.2">
      <c r="A20" s="25"/>
      <c r="B20" s="25" t="s">
        <v>501</v>
      </c>
      <c r="C20" s="25" t="s">
        <v>378</v>
      </c>
      <c r="D20" s="25">
        <v>5</v>
      </c>
      <c r="E20" s="132"/>
      <c r="F20" s="226" t="s">
        <v>311</v>
      </c>
      <c r="G20" s="41">
        <v>2.1749999999999998</v>
      </c>
      <c r="H20" s="133"/>
      <c r="I20" s="35">
        <v>10.875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10.875</v>
      </c>
      <c r="P20" s="202">
        <f t="shared" si="6"/>
        <v>0</v>
      </c>
      <c r="Q20" s="35">
        <v>1326.75</v>
      </c>
      <c r="R20" s="202">
        <f t="shared" si="7"/>
        <v>0</v>
      </c>
    </row>
    <row r="21" spans="1:18" x14ac:dyDescent="0.2">
      <c r="A21" s="25"/>
      <c r="B21" s="25" t="s">
        <v>0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501</v>
      </c>
      <c r="C22" s="25" t="s">
        <v>393</v>
      </c>
      <c r="D22" s="25">
        <v>73</v>
      </c>
      <c r="E22" s="132"/>
      <c r="F22" s="226" t="s">
        <v>83</v>
      </c>
      <c r="G22" s="41">
        <v>0.63</v>
      </c>
      <c r="H22" s="133"/>
      <c r="I22" s="35">
        <v>45.99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45.99</v>
      </c>
      <c r="P22" s="202">
        <f t="shared" si="6"/>
        <v>0</v>
      </c>
      <c r="Q22" s="35">
        <v>5610.7800000000007</v>
      </c>
      <c r="R22" s="202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501</v>
      </c>
      <c r="C24" s="25" t="s">
        <v>439</v>
      </c>
      <c r="D24" s="25">
        <v>0.5</v>
      </c>
      <c r="E24" s="132"/>
      <c r="F24" s="226" t="s">
        <v>440</v>
      </c>
      <c r="G24" s="41">
        <v>5</v>
      </c>
      <c r="H24" s="133"/>
      <c r="I24" s="35">
        <v>2.5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2.5</v>
      </c>
      <c r="P24" s="202">
        <f t="shared" si="6"/>
        <v>0</v>
      </c>
      <c r="Q24" s="35">
        <v>305</v>
      </c>
      <c r="R24" s="202">
        <f t="shared" si="7"/>
        <v>0</v>
      </c>
    </row>
    <row r="25" spans="1:18" x14ac:dyDescent="0.2">
      <c r="A25" s="25"/>
      <c r="B25" s="25" t="s">
        <v>501</v>
      </c>
      <c r="C25" s="25" t="s">
        <v>379</v>
      </c>
      <c r="D25" s="25">
        <v>1</v>
      </c>
      <c r="E25" s="132"/>
      <c r="F25" s="226" t="s">
        <v>42</v>
      </c>
      <c r="G25" s="41">
        <v>6.39</v>
      </c>
      <c r="H25" s="133"/>
      <c r="I25" s="35">
        <v>6.39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6.39</v>
      </c>
      <c r="P25" s="202">
        <f t="shared" si="6"/>
        <v>0</v>
      </c>
      <c r="Q25" s="35">
        <v>779.57999999999993</v>
      </c>
      <c r="R25" s="202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448</v>
      </c>
      <c r="D27" s="25">
        <v>7.04</v>
      </c>
      <c r="E27" s="132"/>
      <c r="F27" s="226" t="s">
        <v>360</v>
      </c>
      <c r="G27" s="41">
        <v>1.25</v>
      </c>
      <c r="H27" s="133"/>
      <c r="I27" s="35">
        <v>8.8000000000000007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8.8000000000000007</v>
      </c>
      <c r="P27" s="202">
        <f t="shared" si="6"/>
        <v>0</v>
      </c>
      <c r="Q27" s="35">
        <v>1073.6000000000001</v>
      </c>
      <c r="R27" s="202">
        <f t="shared" si="7"/>
        <v>0</v>
      </c>
    </row>
    <row r="28" spans="1:18" x14ac:dyDescent="0.2">
      <c r="A28" s="25"/>
      <c r="B28" s="25" t="s">
        <v>501</v>
      </c>
      <c r="C28" s="25" t="s">
        <v>412</v>
      </c>
      <c r="D28" s="25">
        <v>2.31</v>
      </c>
      <c r="E28" s="132"/>
      <c r="F28" s="226" t="s">
        <v>360</v>
      </c>
      <c r="G28" s="41">
        <v>2.0390600000000001</v>
      </c>
      <c r="H28" s="133"/>
      <c r="I28" s="35">
        <v>4.7102286000000007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4.7102286000000007</v>
      </c>
      <c r="P28" s="202">
        <f t="shared" si="6"/>
        <v>0</v>
      </c>
      <c r="Q28" s="35">
        <v>574.64788920000012</v>
      </c>
      <c r="R28" s="202">
        <f t="shared" si="7"/>
        <v>0</v>
      </c>
    </row>
    <row r="29" spans="1:18" x14ac:dyDescent="0.2">
      <c r="A29" s="25"/>
      <c r="B29" s="133"/>
      <c r="C29" s="133"/>
      <c r="D29" s="25">
        <v>0</v>
      </c>
      <c r="E29" s="132"/>
      <c r="F29" s="226"/>
      <c r="G29" s="41">
        <v>0</v>
      </c>
      <c r="H29" s="133"/>
      <c r="I29" s="35">
        <v>0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</v>
      </c>
      <c r="P29" s="202">
        <f t="shared" si="6"/>
        <v>0</v>
      </c>
      <c r="Q29" s="35">
        <v>0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0</v>
      </c>
      <c r="P31" s="202">
        <f>+J31-N31</f>
        <v>0</v>
      </c>
      <c r="Q31" s="35">
        <v>0</v>
      </c>
      <c r="R31" s="202">
        <f>+J31*E$7</f>
        <v>0</v>
      </c>
    </row>
    <row r="32" spans="1:18" x14ac:dyDescent="0.2">
      <c r="A32" s="25"/>
      <c r="B32" s="25" t="s">
        <v>45</v>
      </c>
      <c r="C32" s="25"/>
      <c r="D32" s="25"/>
      <c r="E32" s="209"/>
      <c r="F32" s="21"/>
      <c r="G32" s="41"/>
      <c r="H32" s="198"/>
      <c r="I32" s="186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18" x14ac:dyDescent="0.2">
      <c r="A33" s="25"/>
      <c r="B33" s="25"/>
      <c r="C33" s="25" t="s">
        <v>151</v>
      </c>
      <c r="D33" s="34">
        <v>48</v>
      </c>
      <c r="E33" s="132"/>
      <c r="F33" s="226" t="s">
        <v>141</v>
      </c>
      <c r="G33" s="41">
        <v>1.75</v>
      </c>
      <c r="H33" s="133"/>
      <c r="I33" s="35">
        <v>84</v>
      </c>
      <c r="J33" s="202">
        <f t="shared" ref="J33" si="8">E33*H33</f>
        <v>0</v>
      </c>
      <c r="K33" s="225">
        <v>0</v>
      </c>
      <c r="L33" s="214"/>
      <c r="M33" s="35">
        <v>0</v>
      </c>
      <c r="N33" s="202">
        <f t="shared" ref="N33" si="9">J33*L33</f>
        <v>0</v>
      </c>
      <c r="O33" s="35">
        <v>84</v>
      </c>
      <c r="P33" s="202">
        <f t="shared" ref="P33" si="10">+J33-N33</f>
        <v>0</v>
      </c>
      <c r="Q33" s="35">
        <v>10248</v>
      </c>
      <c r="R33" s="202">
        <f t="shared" ref="R33" si="11">+J33*E$7</f>
        <v>0</v>
      </c>
    </row>
    <row r="34" spans="1:18" x14ac:dyDescent="0.2">
      <c r="A34" s="25"/>
      <c r="B34" s="25" t="s">
        <v>108</v>
      </c>
      <c r="C34" s="25"/>
      <c r="D34" s="25"/>
      <c r="E34" s="105"/>
      <c r="H34" s="105"/>
      <c r="I34" s="124"/>
      <c r="J34" s="105"/>
      <c r="K34" s="225"/>
      <c r="L34" s="105"/>
      <c r="N34" s="105"/>
      <c r="P34" s="105"/>
      <c r="R34" s="105"/>
    </row>
    <row r="35" spans="1:18" x14ac:dyDescent="0.2">
      <c r="A35" s="25"/>
      <c r="B35" s="25"/>
      <c r="C35" s="25" t="s">
        <v>105</v>
      </c>
      <c r="D35" s="25">
        <v>7.82</v>
      </c>
      <c r="E35" s="132"/>
      <c r="F35" s="226" t="s">
        <v>44</v>
      </c>
      <c r="G35" s="41">
        <v>17.21</v>
      </c>
      <c r="H35" s="133"/>
      <c r="I35" s="35">
        <v>134.5822</v>
      </c>
      <c r="J35" s="202">
        <f>E35*H35</f>
        <v>0</v>
      </c>
      <c r="K35" s="225">
        <v>0</v>
      </c>
      <c r="L35" s="214"/>
      <c r="M35" s="35">
        <v>0</v>
      </c>
      <c r="N35" s="202">
        <f>J35*L35</f>
        <v>0</v>
      </c>
      <c r="O35" s="35">
        <v>134.5822</v>
      </c>
      <c r="P35" s="202">
        <f>+J35-N35</f>
        <v>0</v>
      </c>
      <c r="Q35" s="35">
        <v>16419.028399999999</v>
      </c>
      <c r="R35" s="202">
        <f>+J35*E$7</f>
        <v>0</v>
      </c>
    </row>
    <row r="36" spans="1:18" x14ac:dyDescent="0.2">
      <c r="A36" s="25"/>
      <c r="B36" s="25"/>
      <c r="C36" s="25" t="s">
        <v>107</v>
      </c>
      <c r="D36" s="25">
        <v>0</v>
      </c>
      <c r="E36" s="132"/>
      <c r="F36" s="226" t="s">
        <v>44</v>
      </c>
      <c r="G36" s="41">
        <v>17.21</v>
      </c>
      <c r="H36" s="133"/>
      <c r="I36" s="35">
        <v>0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0</v>
      </c>
      <c r="P36" s="202">
        <f>+J36-N36</f>
        <v>0</v>
      </c>
      <c r="Q36" s="35">
        <v>0</v>
      </c>
      <c r="R36" s="202">
        <f>+J36*E$7</f>
        <v>0</v>
      </c>
    </row>
    <row r="37" spans="1:18" x14ac:dyDescent="0.2">
      <c r="A37" s="25"/>
      <c r="B37" s="25"/>
      <c r="C37" s="25"/>
      <c r="D37" s="25"/>
      <c r="E37" s="209"/>
      <c r="F37" s="21"/>
      <c r="G37" s="41"/>
      <c r="H37" s="198"/>
      <c r="I37" s="35"/>
      <c r="J37" s="184"/>
      <c r="K37" s="225"/>
      <c r="L37" s="198"/>
      <c r="M37" s="35"/>
      <c r="N37" s="184"/>
      <c r="O37" s="35"/>
      <c r="P37" s="184"/>
      <c r="Q37" s="35"/>
      <c r="R37" s="184"/>
    </row>
    <row r="38" spans="1:18" x14ac:dyDescent="0.2">
      <c r="A38" s="25"/>
      <c r="B38" s="25" t="s">
        <v>51</v>
      </c>
      <c r="C38" s="25"/>
      <c r="D38" s="25"/>
      <c r="E38" s="209"/>
      <c r="F38" s="21"/>
      <c r="G38" s="41"/>
      <c r="H38" s="198"/>
      <c r="I38" s="186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/>
      <c r="C39" s="25" t="s">
        <v>104</v>
      </c>
      <c r="D39" s="25">
        <v>1</v>
      </c>
      <c r="E39" s="132"/>
      <c r="F39" s="226" t="s">
        <v>42</v>
      </c>
      <c r="G39" s="41">
        <v>0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/>
      <c r="C40" s="25" t="s">
        <v>105</v>
      </c>
      <c r="D40" s="25">
        <v>37.28</v>
      </c>
      <c r="E40" s="132"/>
      <c r="F40" s="226" t="s">
        <v>79</v>
      </c>
      <c r="G40" s="41">
        <v>3.6</v>
      </c>
      <c r="H40" s="133"/>
      <c r="I40" s="35">
        <v>134.208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134.208</v>
      </c>
      <c r="P40" s="202">
        <f>+J40-N40</f>
        <v>0</v>
      </c>
      <c r="Q40" s="35">
        <v>16373.376</v>
      </c>
      <c r="R40" s="202">
        <f>+J40*E$7</f>
        <v>0</v>
      </c>
    </row>
    <row r="41" spans="1:18" x14ac:dyDescent="0.2">
      <c r="A41" s="25"/>
      <c r="B41" s="25"/>
      <c r="C41" s="25"/>
      <c r="D41" s="25"/>
      <c r="E41" s="209"/>
      <c r="F41" s="21"/>
      <c r="G41" s="41"/>
      <c r="H41" s="198"/>
      <c r="I41" s="35"/>
      <c r="J41" s="184"/>
      <c r="K41" s="225"/>
      <c r="L41" s="198"/>
      <c r="M41" s="35"/>
      <c r="N41" s="184"/>
      <c r="O41" s="35"/>
      <c r="P41" s="184"/>
      <c r="Q41" s="35"/>
      <c r="R41" s="184"/>
    </row>
    <row r="42" spans="1:18" x14ac:dyDescent="0.2">
      <c r="A42" s="25"/>
      <c r="B42" s="25" t="s">
        <v>29</v>
      </c>
      <c r="C42" s="25"/>
      <c r="D42" s="25"/>
      <c r="E42" s="209"/>
      <c r="F42" s="21"/>
      <c r="G42" s="41"/>
      <c r="H42" s="198"/>
      <c r="I42" s="186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/>
      <c r="C43" s="25" t="s">
        <v>104</v>
      </c>
      <c r="D43" s="25">
        <v>1</v>
      </c>
      <c r="E43" s="132"/>
      <c r="F43" s="226" t="s">
        <v>42</v>
      </c>
      <c r="G43" s="41">
        <v>10.131639344262295</v>
      </c>
      <c r="H43" s="133"/>
      <c r="I43" s="35">
        <v>10.131639344262295</v>
      </c>
      <c r="J43" s="202">
        <f>E43*H43</f>
        <v>0</v>
      </c>
      <c r="K43" s="225">
        <v>0</v>
      </c>
      <c r="L43" s="214"/>
      <c r="M43" s="35">
        <v>0</v>
      </c>
      <c r="N43" s="202">
        <f>J43*L43</f>
        <v>0</v>
      </c>
      <c r="O43" s="35">
        <v>10.131639344262295</v>
      </c>
      <c r="P43" s="202">
        <f>+J43-N43</f>
        <v>0</v>
      </c>
      <c r="Q43" s="35">
        <v>1236.06</v>
      </c>
      <c r="R43" s="202">
        <f>+J43*E$7</f>
        <v>0</v>
      </c>
    </row>
    <row r="44" spans="1:18" x14ac:dyDescent="0.2">
      <c r="A44" s="25"/>
      <c r="B44" s="25"/>
      <c r="C44" s="25" t="s">
        <v>105</v>
      </c>
      <c r="D44" s="25">
        <v>0</v>
      </c>
      <c r="E44" s="132"/>
      <c r="F44" s="226" t="s">
        <v>79</v>
      </c>
      <c r="G44" s="41">
        <v>3.15</v>
      </c>
      <c r="H44" s="133"/>
      <c r="I44" s="35">
        <v>0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0</v>
      </c>
      <c r="P44" s="202">
        <f>+J44-N44</f>
        <v>0</v>
      </c>
      <c r="Q44" s="35">
        <v>0</v>
      </c>
      <c r="R44" s="202">
        <f>+J44*E$7</f>
        <v>0</v>
      </c>
    </row>
    <row r="45" spans="1:18" x14ac:dyDescent="0.2">
      <c r="A45" s="25"/>
      <c r="B45" s="25"/>
      <c r="C45" s="25"/>
      <c r="D45" s="25"/>
      <c r="E45" s="209"/>
      <c r="F45" s="21"/>
      <c r="G45" s="41"/>
      <c r="H45" s="198"/>
      <c r="I45" s="35"/>
      <c r="J45" s="184"/>
      <c r="K45" s="225"/>
      <c r="L45" s="198"/>
      <c r="M45" s="35"/>
      <c r="N45" s="184"/>
      <c r="O45" s="35"/>
      <c r="P45" s="184"/>
      <c r="Q45" s="35"/>
      <c r="R45" s="184"/>
    </row>
    <row r="46" spans="1:18" x14ac:dyDescent="0.2">
      <c r="A46" s="25"/>
      <c r="B46" s="25" t="s">
        <v>47</v>
      </c>
      <c r="C46" s="25"/>
      <c r="D46" s="25"/>
      <c r="E46" s="209"/>
      <c r="F46" s="21"/>
      <c r="G46" s="41"/>
      <c r="H46" s="199"/>
      <c r="I46" s="186"/>
      <c r="J46" s="184"/>
      <c r="K46" s="225"/>
      <c r="L46" s="199"/>
      <c r="M46" s="35"/>
      <c r="N46" s="184"/>
      <c r="O46" s="35"/>
      <c r="P46" s="184"/>
      <c r="Q46" s="35"/>
      <c r="R46" s="184"/>
    </row>
    <row r="47" spans="1:18" x14ac:dyDescent="0.2">
      <c r="A47" s="25"/>
      <c r="B47" s="25"/>
      <c r="C47" s="25" t="s">
        <v>104</v>
      </c>
      <c r="D47" s="25">
        <v>1</v>
      </c>
      <c r="E47" s="132"/>
      <c r="F47" s="226" t="s">
        <v>42</v>
      </c>
      <c r="G47" s="41">
        <v>1.6081967213114756</v>
      </c>
      <c r="H47" s="133"/>
      <c r="I47" s="35">
        <v>1.6081967213114756</v>
      </c>
      <c r="J47" s="202">
        <f t="shared" ref="J47:J52" si="12">E47*H47</f>
        <v>0</v>
      </c>
      <c r="K47" s="225">
        <v>0</v>
      </c>
      <c r="L47" s="214"/>
      <c r="M47" s="35">
        <v>0</v>
      </c>
      <c r="N47" s="202">
        <f t="shared" ref="N47:N52" si="13">J47*L47</f>
        <v>0</v>
      </c>
      <c r="O47" s="35">
        <v>1.6081967213114756</v>
      </c>
      <c r="P47" s="202">
        <f t="shared" ref="P47:P52" si="14">+J47-N47</f>
        <v>0</v>
      </c>
      <c r="Q47" s="35">
        <v>196.20000000000002</v>
      </c>
      <c r="R47" s="202">
        <f t="shared" ref="R47:R52" si="15">+J47*E$7</f>
        <v>0</v>
      </c>
    </row>
    <row r="48" spans="1:18" x14ac:dyDescent="0.2">
      <c r="A48" s="25"/>
      <c r="B48" s="25"/>
      <c r="C48" s="25" t="s">
        <v>46</v>
      </c>
      <c r="D48" s="25">
        <v>1</v>
      </c>
      <c r="E48" s="132"/>
      <c r="F48" s="226" t="s">
        <v>42</v>
      </c>
      <c r="G48" s="41">
        <v>0</v>
      </c>
      <c r="H48" s="133"/>
      <c r="I48" s="35">
        <v>0</v>
      </c>
      <c r="J48" s="202">
        <f t="shared" si="12"/>
        <v>0</v>
      </c>
      <c r="K48" s="225">
        <v>0</v>
      </c>
      <c r="L48" s="214"/>
      <c r="M48" s="35">
        <v>0</v>
      </c>
      <c r="N48" s="202">
        <f t="shared" si="13"/>
        <v>0</v>
      </c>
      <c r="O48" s="35">
        <v>0</v>
      </c>
      <c r="P48" s="202">
        <f t="shared" si="14"/>
        <v>0</v>
      </c>
      <c r="Q48" s="35">
        <v>0</v>
      </c>
      <c r="R48" s="202">
        <f t="shared" si="15"/>
        <v>0</v>
      </c>
    </row>
    <row r="49" spans="1:18" x14ac:dyDescent="0.2">
      <c r="A49" s="25"/>
      <c r="B49" s="25"/>
      <c r="C49" s="25" t="s">
        <v>105</v>
      </c>
      <c r="D49" s="25">
        <v>1</v>
      </c>
      <c r="E49" s="132"/>
      <c r="F49" s="226" t="s">
        <v>42</v>
      </c>
      <c r="G49" s="41">
        <v>67.626647670735053</v>
      </c>
      <c r="H49" s="133"/>
      <c r="I49" s="35">
        <v>67.626647670735053</v>
      </c>
      <c r="J49" s="202">
        <f t="shared" si="12"/>
        <v>0</v>
      </c>
      <c r="K49" s="225">
        <v>0</v>
      </c>
      <c r="L49" s="214"/>
      <c r="M49" s="35">
        <v>0</v>
      </c>
      <c r="N49" s="202">
        <f t="shared" si="13"/>
        <v>0</v>
      </c>
      <c r="O49" s="35">
        <v>67.626647670735053</v>
      </c>
      <c r="P49" s="202">
        <f t="shared" si="14"/>
        <v>0</v>
      </c>
      <c r="Q49" s="35">
        <v>8250.4510158296762</v>
      </c>
      <c r="R49" s="202">
        <f t="shared" si="15"/>
        <v>0</v>
      </c>
    </row>
    <row r="50" spans="1:18" x14ac:dyDescent="0.2">
      <c r="A50" s="25"/>
      <c r="B50" s="25"/>
      <c r="C50" s="25" t="s">
        <v>4</v>
      </c>
      <c r="D50" s="25">
        <v>1</v>
      </c>
      <c r="E50" s="132"/>
      <c r="F50" s="226" t="s">
        <v>42</v>
      </c>
      <c r="G50" s="41">
        <v>3.0357966550552105</v>
      </c>
      <c r="H50" s="133"/>
      <c r="I50" s="35">
        <v>3.0357966550552105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3.0357966550552105</v>
      </c>
      <c r="P50" s="202">
        <f t="shared" si="14"/>
        <v>0</v>
      </c>
      <c r="Q50" s="35">
        <v>370.36719191673569</v>
      </c>
      <c r="R50" s="202">
        <f t="shared" si="15"/>
        <v>0</v>
      </c>
    </row>
    <row r="51" spans="1:18" x14ac:dyDescent="0.2">
      <c r="A51" s="25"/>
      <c r="B51" s="133"/>
      <c r="C51" s="133"/>
      <c r="D51" s="25"/>
      <c r="E51" s="132"/>
      <c r="F51" s="226"/>
      <c r="G51" s="41"/>
      <c r="H51" s="133"/>
      <c r="I51" s="35">
        <v>0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0</v>
      </c>
      <c r="P51" s="202">
        <f t="shared" si="14"/>
        <v>0</v>
      </c>
      <c r="Q51" s="35">
        <v>0</v>
      </c>
      <c r="R51" s="202">
        <f t="shared" si="15"/>
        <v>0</v>
      </c>
    </row>
    <row r="52" spans="1:18" x14ac:dyDescent="0.2">
      <c r="A52" s="25"/>
      <c r="B52" s="133"/>
      <c r="C52" s="133"/>
      <c r="D52" s="25"/>
      <c r="E52" s="132"/>
      <c r="F52" s="226"/>
      <c r="G52" s="41"/>
      <c r="H52" s="133"/>
      <c r="I52" s="35">
        <v>0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0</v>
      </c>
      <c r="P52" s="202">
        <f t="shared" si="14"/>
        <v>0</v>
      </c>
      <c r="Q52" s="35">
        <v>0</v>
      </c>
      <c r="R52" s="202">
        <f t="shared" si="15"/>
        <v>0</v>
      </c>
    </row>
    <row r="53" spans="1:18" ht="13.5" thickBot="1" x14ac:dyDescent="0.25">
      <c r="A53" s="25"/>
      <c r="B53" s="25" t="s">
        <v>32</v>
      </c>
      <c r="C53" s="25"/>
      <c r="D53" s="25"/>
      <c r="E53" s="197"/>
      <c r="F53" s="21"/>
      <c r="G53" s="39">
        <v>0.08</v>
      </c>
      <c r="H53" s="215"/>
      <c r="I53" s="42">
        <v>15.307520600661064</v>
      </c>
      <c r="J53" s="202">
        <f>+SUM(J17:J52)/2*H53</f>
        <v>0</v>
      </c>
      <c r="K53" s="86"/>
      <c r="L53" s="137"/>
      <c r="M53" s="42">
        <v>0</v>
      </c>
      <c r="N53" s="202">
        <f>+SUM(N17:N52)/2*L53</f>
        <v>0</v>
      </c>
      <c r="O53" s="42">
        <v>15.307520600661064</v>
      </c>
      <c r="P53" s="202">
        <f>+SUM(P17:P52)/2*L53</f>
        <v>0</v>
      </c>
      <c r="Q53" s="42">
        <v>1867.5175132806498</v>
      </c>
      <c r="R53" s="184">
        <f>+J53*E$7</f>
        <v>0</v>
      </c>
    </row>
    <row r="54" spans="1:18" ht="13.5" thickBot="1" x14ac:dyDescent="0.25">
      <c r="A54" s="25" t="s">
        <v>33</v>
      </c>
      <c r="B54" s="25"/>
      <c r="C54" s="25"/>
      <c r="D54" s="25"/>
      <c r="E54" s="200"/>
      <c r="F54" s="25"/>
      <c r="G54" s="25"/>
      <c r="H54" s="197"/>
      <c r="I54" s="87">
        <v>551.99179209202521</v>
      </c>
      <c r="J54" s="204">
        <f>SUM(J18:J53)</f>
        <v>0</v>
      </c>
      <c r="K54" s="35"/>
      <c r="L54" s="195"/>
      <c r="M54" s="87">
        <v>0</v>
      </c>
      <c r="N54" s="204">
        <f>SUM(N18:N53)</f>
        <v>0</v>
      </c>
      <c r="O54" s="87">
        <v>551.99179209202521</v>
      </c>
      <c r="P54" s="204">
        <f>SUM(P18:P53)</f>
        <v>0</v>
      </c>
      <c r="Q54" s="87">
        <v>67342.998635227064</v>
      </c>
      <c r="R54" s="204">
        <f>SUM(R18:R53)</f>
        <v>0</v>
      </c>
    </row>
    <row r="55" spans="1:18" ht="13.5" thickTop="1" x14ac:dyDescent="0.2">
      <c r="A55" s="25" t="s">
        <v>34</v>
      </c>
      <c r="B55" s="25"/>
      <c r="C55" s="25"/>
      <c r="D55" s="25"/>
      <c r="E55" s="200"/>
      <c r="F55" s="25"/>
      <c r="G55" s="25"/>
      <c r="H55" s="197"/>
      <c r="I55" s="35">
        <v>1473.0082079079748</v>
      </c>
      <c r="J55" s="202">
        <f>+J13-J54</f>
        <v>0</v>
      </c>
      <c r="K55" s="35"/>
      <c r="L55" s="195"/>
      <c r="M55" s="35">
        <v>0</v>
      </c>
      <c r="N55" s="202">
        <f>+N13-N54</f>
        <v>0</v>
      </c>
      <c r="O55" s="35">
        <v>1473.0082079079748</v>
      </c>
      <c r="P55" s="202">
        <f>+P13-P54</f>
        <v>0</v>
      </c>
      <c r="Q55" s="35">
        <v>179707.00136477294</v>
      </c>
      <c r="R55" s="202">
        <f>+R13-R54</f>
        <v>0</v>
      </c>
    </row>
    <row r="56" spans="1:18" x14ac:dyDescent="0.2">
      <c r="A56" s="25"/>
      <c r="B56" s="25" t="s">
        <v>35</v>
      </c>
      <c r="C56" s="25"/>
      <c r="D56" s="25"/>
      <c r="E56" s="210"/>
      <c r="F56" s="17"/>
      <c r="G56" s="40">
        <v>73.59890561227003</v>
      </c>
      <c r="H56" s="210" t="str">
        <f>IF(E10=0,"n/a",(YVarExp-(YTotExp+YTotRet-J10))/E10)</f>
        <v>n/a</v>
      </c>
      <c r="I56" s="25" t="s">
        <v>135</v>
      </c>
      <c r="J56" s="184"/>
      <c r="K56" s="25"/>
      <c r="L56" s="197"/>
      <c r="M56" s="25"/>
      <c r="N56" s="184"/>
      <c r="O56" s="25"/>
      <c r="P56" s="184"/>
      <c r="Q56" s="25"/>
      <c r="R56" s="184"/>
    </row>
    <row r="57" spans="1:18" x14ac:dyDescent="0.2">
      <c r="A57" s="25"/>
      <c r="B57" s="25"/>
      <c r="C57" s="25"/>
      <c r="D57" s="25"/>
      <c r="E57" s="178"/>
      <c r="F57" s="25"/>
      <c r="G57" s="25"/>
      <c r="H57" s="211"/>
      <c r="I57" s="25"/>
      <c r="J57" s="184"/>
      <c r="K57" s="25"/>
      <c r="L57" s="197"/>
      <c r="M57" s="25"/>
      <c r="N57" s="184"/>
      <c r="O57" s="25"/>
      <c r="P57" s="184"/>
      <c r="Q57" s="22" t="s">
        <v>19</v>
      </c>
      <c r="R57" s="184" t="s">
        <v>19</v>
      </c>
    </row>
    <row r="58" spans="1:18" x14ac:dyDescent="0.2">
      <c r="A58" s="23" t="s">
        <v>36</v>
      </c>
      <c r="B58" s="23"/>
      <c r="C58" s="23"/>
      <c r="D58" s="24" t="s">
        <v>2</v>
      </c>
      <c r="E58" s="196" t="s">
        <v>2</v>
      </c>
      <c r="F58" s="24" t="s">
        <v>21</v>
      </c>
      <c r="G58" s="24" t="s">
        <v>22</v>
      </c>
      <c r="H58" s="196" t="s">
        <v>22</v>
      </c>
      <c r="I58" s="24" t="s">
        <v>11</v>
      </c>
      <c r="J58" s="196" t="s">
        <v>11</v>
      </c>
      <c r="K58" s="24" t="s">
        <v>10</v>
      </c>
      <c r="L58" s="196" t="s">
        <v>10</v>
      </c>
      <c r="M58" s="24" t="s">
        <v>9</v>
      </c>
      <c r="N58" s="196" t="s">
        <v>9</v>
      </c>
      <c r="O58" s="24" t="s">
        <v>8</v>
      </c>
      <c r="P58" s="196" t="s">
        <v>8</v>
      </c>
      <c r="Q58" s="24" t="s">
        <v>11</v>
      </c>
      <c r="R58" s="208" t="s">
        <v>11</v>
      </c>
    </row>
    <row r="59" spans="1:18" x14ac:dyDescent="0.2">
      <c r="A59" s="25"/>
      <c r="B59" s="25" t="s">
        <v>106</v>
      </c>
      <c r="C59" s="25"/>
      <c r="D59" s="25"/>
      <c r="E59" s="178"/>
      <c r="F59" s="25"/>
      <c r="G59" s="25"/>
      <c r="H59" s="211"/>
      <c r="I59" s="186"/>
      <c r="J59" s="184"/>
      <c r="K59" s="225"/>
      <c r="L59" s="197"/>
      <c r="M59" s="25"/>
      <c r="N59" s="184"/>
      <c r="O59" s="25"/>
      <c r="P59" s="184"/>
      <c r="Q59" s="25"/>
      <c r="R59" s="184"/>
    </row>
    <row r="60" spans="1:18" x14ac:dyDescent="0.2">
      <c r="A60" s="25"/>
      <c r="B60" s="25"/>
      <c r="C60" s="25" t="s">
        <v>104</v>
      </c>
      <c r="D60" s="25">
        <v>1</v>
      </c>
      <c r="E60" s="132"/>
      <c r="F60" s="226" t="s">
        <v>42</v>
      </c>
      <c r="G60" s="41">
        <v>6.0307377049180326</v>
      </c>
      <c r="H60" s="133"/>
      <c r="I60" s="35">
        <v>6.0307377049180326</v>
      </c>
      <c r="J60" s="202">
        <f t="shared" ref="J60:J62" si="16">E60*H60</f>
        <v>0</v>
      </c>
      <c r="K60" s="225">
        <v>0</v>
      </c>
      <c r="L60" s="214"/>
      <c r="M60" s="35">
        <v>0</v>
      </c>
      <c r="N60" s="202">
        <f>J60*L60</f>
        <v>0</v>
      </c>
      <c r="O60" s="35">
        <v>6.0307377049180326</v>
      </c>
      <c r="P60" s="202">
        <f t="shared" ref="P60:P62" si="17">+J60-N60</f>
        <v>0</v>
      </c>
      <c r="Q60" s="35">
        <v>735.75</v>
      </c>
      <c r="R60" s="202">
        <f t="shared" ref="R60:R62" si="18">+J60*E$7</f>
        <v>0</v>
      </c>
    </row>
    <row r="61" spans="1:18" x14ac:dyDescent="0.2">
      <c r="A61" s="25"/>
      <c r="B61" s="25"/>
      <c r="C61" s="25" t="s">
        <v>105</v>
      </c>
      <c r="D61" s="25">
        <v>1</v>
      </c>
      <c r="E61" s="132"/>
      <c r="F61" s="226" t="s">
        <v>42</v>
      </c>
      <c r="G61" s="41">
        <v>89.842213910587333</v>
      </c>
      <c r="H61" s="133"/>
      <c r="I61" s="35">
        <v>89.842213910587333</v>
      </c>
      <c r="J61" s="202">
        <f t="shared" si="16"/>
        <v>0</v>
      </c>
      <c r="K61" s="225">
        <v>0</v>
      </c>
      <c r="L61" s="214"/>
      <c r="M61" s="35">
        <v>0</v>
      </c>
      <c r="N61" s="202">
        <f>J61*L61</f>
        <v>0</v>
      </c>
      <c r="O61" s="35">
        <v>89.842213910587333</v>
      </c>
      <c r="P61" s="202">
        <f t="shared" si="17"/>
        <v>0</v>
      </c>
      <c r="Q61" s="35">
        <v>10960.750097091655</v>
      </c>
      <c r="R61" s="202">
        <f t="shared" si="18"/>
        <v>0</v>
      </c>
    </row>
    <row r="62" spans="1:18" x14ac:dyDescent="0.2">
      <c r="A62" s="25"/>
      <c r="B62" s="25"/>
      <c r="C62" s="25" t="s">
        <v>4</v>
      </c>
      <c r="D62" s="25">
        <v>1</v>
      </c>
      <c r="E62" s="132"/>
      <c r="F62" s="226" t="s">
        <v>42</v>
      </c>
      <c r="G62" s="41">
        <v>7.3698386468814698</v>
      </c>
      <c r="H62" s="133"/>
      <c r="I62" s="35">
        <v>7.3698386468814698</v>
      </c>
      <c r="J62" s="202">
        <f t="shared" si="16"/>
        <v>0</v>
      </c>
      <c r="K62" s="225">
        <v>0</v>
      </c>
      <c r="L62" s="214"/>
      <c r="M62" s="35">
        <v>0</v>
      </c>
      <c r="N62" s="202">
        <f>J62*L62</f>
        <v>0</v>
      </c>
      <c r="O62" s="35">
        <v>7.3698386468814698</v>
      </c>
      <c r="P62" s="202">
        <f t="shared" si="17"/>
        <v>0</v>
      </c>
      <c r="Q62" s="35">
        <v>899.12031491953928</v>
      </c>
      <c r="R62" s="202">
        <f t="shared" si="18"/>
        <v>0</v>
      </c>
    </row>
    <row r="63" spans="1:18" x14ac:dyDescent="0.2">
      <c r="A63" s="25"/>
      <c r="B63" s="25" t="s">
        <v>89</v>
      </c>
      <c r="C63" s="25"/>
      <c r="D63" s="25"/>
      <c r="E63" s="197"/>
      <c r="F63" s="21"/>
      <c r="G63" s="41"/>
      <c r="H63" s="197"/>
      <c r="I63" s="186"/>
      <c r="J63" s="184"/>
      <c r="K63" s="225"/>
      <c r="L63" s="197"/>
      <c r="M63" s="35"/>
      <c r="N63" s="184"/>
      <c r="O63" s="35"/>
      <c r="P63" s="184"/>
      <c r="Q63" s="35"/>
      <c r="R63" s="184"/>
    </row>
    <row r="64" spans="1:18" x14ac:dyDescent="0.2">
      <c r="A64" s="25"/>
      <c r="B64" s="25"/>
      <c r="C64" s="25" t="s">
        <v>104</v>
      </c>
      <c r="D64" s="41">
        <v>25.128073770491802</v>
      </c>
      <c r="E64" s="132"/>
      <c r="F64" s="226" t="s">
        <v>100</v>
      </c>
      <c r="G64" s="39">
        <v>0.08</v>
      </c>
      <c r="H64" s="215"/>
      <c r="I64" s="35">
        <v>2.0102459016393444</v>
      </c>
      <c r="J64" s="202">
        <f t="shared" ref="J64:J73" si="19">E64*H64</f>
        <v>0</v>
      </c>
      <c r="K64" s="225">
        <v>0</v>
      </c>
      <c r="L64" s="214"/>
      <c r="M64" s="35">
        <v>0</v>
      </c>
      <c r="N64" s="202">
        <f>J64*L64</f>
        <v>0</v>
      </c>
      <c r="O64" s="35">
        <v>2.0102459016393444</v>
      </c>
      <c r="P64" s="202">
        <f t="shared" ref="P64:P66" si="20">+J64-N64</f>
        <v>0</v>
      </c>
      <c r="Q64" s="35">
        <v>245.25</v>
      </c>
      <c r="R64" s="202">
        <f t="shared" ref="R64:R66" si="21">+J64*E$7</f>
        <v>0</v>
      </c>
    </row>
    <row r="65" spans="1:18" x14ac:dyDescent="0.2">
      <c r="A65" s="25"/>
      <c r="B65" s="25"/>
      <c r="C65" s="25" t="s">
        <v>105</v>
      </c>
      <c r="D65" s="41">
        <v>668.40334227409414</v>
      </c>
      <c r="E65" s="132"/>
      <c r="F65" s="226" t="s">
        <v>100</v>
      </c>
      <c r="G65" s="39">
        <v>0.08</v>
      </c>
      <c r="H65" s="215"/>
      <c r="I65" s="35">
        <v>53.47226738192753</v>
      </c>
      <c r="J65" s="202">
        <f t="shared" si="19"/>
        <v>0</v>
      </c>
      <c r="K65" s="225">
        <v>0</v>
      </c>
      <c r="L65" s="214"/>
      <c r="M65" s="35">
        <v>0</v>
      </c>
      <c r="N65" s="202">
        <f>J65*L65</f>
        <v>0</v>
      </c>
      <c r="O65" s="35">
        <v>53.47226738192753</v>
      </c>
      <c r="P65" s="202">
        <f t="shared" si="20"/>
        <v>0</v>
      </c>
      <c r="Q65" s="35">
        <v>6523.6166205951586</v>
      </c>
      <c r="R65" s="202">
        <f t="shared" si="21"/>
        <v>0</v>
      </c>
    </row>
    <row r="66" spans="1:18" x14ac:dyDescent="0.2">
      <c r="A66" s="25"/>
      <c r="B66" s="25"/>
      <c r="C66" s="25" t="s">
        <v>4</v>
      </c>
      <c r="D66" s="41">
        <v>53.365718858846613</v>
      </c>
      <c r="E66" s="132"/>
      <c r="F66" s="226" t="s">
        <v>100</v>
      </c>
      <c r="G66" s="39">
        <v>0.08</v>
      </c>
      <c r="H66" s="215"/>
      <c r="I66" s="35">
        <v>4.2692575087077289</v>
      </c>
      <c r="J66" s="202">
        <f t="shared" si="19"/>
        <v>0</v>
      </c>
      <c r="K66" s="225">
        <v>0</v>
      </c>
      <c r="L66" s="214"/>
      <c r="M66" s="35">
        <v>0</v>
      </c>
      <c r="N66" s="202">
        <f>J66*L66</f>
        <v>0</v>
      </c>
      <c r="O66" s="35">
        <v>4.2692575087077289</v>
      </c>
      <c r="P66" s="202">
        <f t="shared" si="20"/>
        <v>0</v>
      </c>
      <c r="Q66" s="35">
        <v>520.84941606234293</v>
      </c>
      <c r="R66" s="202">
        <f t="shared" si="21"/>
        <v>0</v>
      </c>
    </row>
    <row r="67" spans="1:18" x14ac:dyDescent="0.2">
      <c r="A67" s="25"/>
      <c r="B67" s="25" t="s">
        <v>156</v>
      </c>
      <c r="C67" s="25"/>
      <c r="D67" s="25">
        <v>1</v>
      </c>
      <c r="E67" s="132"/>
      <c r="F67" s="226" t="s">
        <v>42</v>
      </c>
      <c r="G67" s="41">
        <v>0</v>
      </c>
      <c r="H67" s="133"/>
      <c r="I67" s="35">
        <v>0</v>
      </c>
      <c r="J67" s="202">
        <f t="shared" si="19"/>
        <v>0</v>
      </c>
      <c r="K67" s="225">
        <v>0</v>
      </c>
      <c r="L67" s="214"/>
      <c r="M67" s="35">
        <v>0</v>
      </c>
      <c r="N67" s="202">
        <f t="shared" ref="N67:N74" si="22">J67*L67</f>
        <v>0</v>
      </c>
      <c r="O67" s="35">
        <v>0</v>
      </c>
      <c r="P67" s="202">
        <f t="shared" ref="P67:P74" si="23">+J67-N67</f>
        <v>0</v>
      </c>
      <c r="Q67" s="35">
        <v>0</v>
      </c>
      <c r="R67" s="202">
        <f t="shared" ref="R67:R74" si="24">+J67*E$7</f>
        <v>0</v>
      </c>
    </row>
    <row r="68" spans="1:18" x14ac:dyDescent="0.2">
      <c r="A68" s="25"/>
      <c r="B68" s="25" t="s">
        <v>152</v>
      </c>
      <c r="C68" s="25"/>
      <c r="D68" s="25">
        <v>1</v>
      </c>
      <c r="E68" s="132"/>
      <c r="F68" s="226" t="s">
        <v>42</v>
      </c>
      <c r="G68" s="41">
        <v>0</v>
      </c>
      <c r="H68" s="133"/>
      <c r="I68" s="35">
        <v>0</v>
      </c>
      <c r="J68" s="202">
        <f t="shared" si="19"/>
        <v>0</v>
      </c>
      <c r="K68" s="225">
        <v>0</v>
      </c>
      <c r="L68" s="214"/>
      <c r="M68" s="35">
        <v>0</v>
      </c>
      <c r="N68" s="202">
        <f t="shared" si="22"/>
        <v>0</v>
      </c>
      <c r="O68" s="35">
        <v>0</v>
      </c>
      <c r="P68" s="202">
        <f t="shared" si="23"/>
        <v>0</v>
      </c>
      <c r="Q68" s="35">
        <v>0</v>
      </c>
      <c r="R68" s="202">
        <f t="shared" si="24"/>
        <v>0</v>
      </c>
    </row>
    <row r="69" spans="1:18" x14ac:dyDescent="0.2">
      <c r="A69" s="25"/>
      <c r="B69" s="25" t="s">
        <v>137</v>
      </c>
      <c r="C69" s="25"/>
      <c r="D69" s="25">
        <v>1</v>
      </c>
      <c r="E69" s="132"/>
      <c r="F69" s="226" t="s">
        <v>42</v>
      </c>
      <c r="G69" s="41">
        <v>109.5</v>
      </c>
      <c r="H69" s="133"/>
      <c r="I69" s="35">
        <v>109.5</v>
      </c>
      <c r="J69" s="202">
        <f t="shared" si="19"/>
        <v>0</v>
      </c>
      <c r="K69" s="225">
        <v>0</v>
      </c>
      <c r="L69" s="214"/>
      <c r="M69" s="35">
        <v>0</v>
      </c>
      <c r="N69" s="202">
        <f t="shared" si="22"/>
        <v>0</v>
      </c>
      <c r="O69" s="35">
        <v>109.5</v>
      </c>
      <c r="P69" s="202">
        <f t="shared" si="23"/>
        <v>0</v>
      </c>
      <c r="Q69" s="35">
        <v>13359</v>
      </c>
      <c r="R69" s="202">
        <f t="shared" si="24"/>
        <v>0</v>
      </c>
    </row>
    <row r="70" spans="1:18" x14ac:dyDescent="0.2">
      <c r="A70" s="25"/>
      <c r="B70" s="25" t="s">
        <v>453</v>
      </c>
      <c r="C70" s="25"/>
      <c r="D70" s="25">
        <v>1</v>
      </c>
      <c r="E70" s="132"/>
      <c r="F70" s="226" t="s">
        <v>42</v>
      </c>
      <c r="G70" s="41">
        <v>50</v>
      </c>
      <c r="H70" s="133"/>
      <c r="I70" s="35">
        <v>50</v>
      </c>
      <c r="J70" s="202">
        <f t="shared" si="19"/>
        <v>0</v>
      </c>
      <c r="K70" s="225">
        <v>0</v>
      </c>
      <c r="L70" s="214"/>
      <c r="M70" s="35">
        <v>0</v>
      </c>
      <c r="N70" s="202">
        <f t="shared" si="22"/>
        <v>0</v>
      </c>
      <c r="O70" s="35">
        <v>50</v>
      </c>
      <c r="P70" s="202">
        <f t="shared" si="23"/>
        <v>0</v>
      </c>
      <c r="Q70" s="35">
        <v>6100</v>
      </c>
      <c r="R70" s="202">
        <f t="shared" si="24"/>
        <v>0</v>
      </c>
    </row>
    <row r="71" spans="1:18" x14ac:dyDescent="0.2">
      <c r="A71" s="25"/>
      <c r="B71" s="25" t="s">
        <v>159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si="22"/>
        <v>0</v>
      </c>
      <c r="O71" s="35">
        <v>0</v>
      </c>
      <c r="P71" s="202">
        <f t="shared" si="23"/>
        <v>0</v>
      </c>
      <c r="Q71" s="35">
        <v>0</v>
      </c>
      <c r="R71" s="202">
        <f t="shared" si="24"/>
        <v>0</v>
      </c>
    </row>
    <row r="72" spans="1:18" x14ac:dyDescent="0.2">
      <c r="A72" s="25"/>
      <c r="B72" s="25" t="s">
        <v>160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0</v>
      </c>
      <c r="P72" s="202">
        <f t="shared" si="23"/>
        <v>0</v>
      </c>
      <c r="Q72" s="35">
        <v>0</v>
      </c>
      <c r="R72" s="202">
        <f t="shared" si="24"/>
        <v>0</v>
      </c>
    </row>
    <row r="73" spans="1:18" x14ac:dyDescent="0.2">
      <c r="A73" s="25"/>
      <c r="B73" s="133"/>
      <c r="C73" s="133"/>
      <c r="D73" s="25">
        <v>1</v>
      </c>
      <c r="E73" s="132"/>
      <c r="F73" s="226"/>
      <c r="G73" s="41">
        <v>0</v>
      </c>
      <c r="H73" s="133"/>
      <c r="I73" s="35">
        <v>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0</v>
      </c>
      <c r="P73" s="202">
        <f t="shared" si="23"/>
        <v>0</v>
      </c>
      <c r="Q73" s="35">
        <v>0</v>
      </c>
      <c r="R73" s="202">
        <f t="shared" si="24"/>
        <v>0</v>
      </c>
    </row>
    <row r="74" spans="1:18" ht="13.5" thickBot="1" x14ac:dyDescent="0.25">
      <c r="A74" s="25"/>
      <c r="B74" s="133"/>
      <c r="C74" s="133"/>
      <c r="D74" s="25">
        <v>1</v>
      </c>
      <c r="E74" s="132"/>
      <c r="F74" s="226"/>
      <c r="G74" s="41">
        <v>0</v>
      </c>
      <c r="H74" s="133"/>
      <c r="I74" s="35">
        <v>0</v>
      </c>
      <c r="J74" s="202">
        <f>E74*H74</f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0</v>
      </c>
      <c r="P74" s="202">
        <f t="shared" si="23"/>
        <v>0</v>
      </c>
      <c r="Q74" s="35">
        <v>0</v>
      </c>
      <c r="R74" s="202">
        <f t="shared" si="24"/>
        <v>0</v>
      </c>
    </row>
    <row r="75" spans="1:18" ht="13.5" thickBot="1" x14ac:dyDescent="0.25">
      <c r="A75" s="25" t="s">
        <v>37</v>
      </c>
      <c r="B75" s="25"/>
      <c r="C75" s="25"/>
      <c r="D75" s="25"/>
      <c r="E75" s="197"/>
      <c r="F75" s="25"/>
      <c r="G75" s="25"/>
      <c r="H75" s="197"/>
      <c r="I75" s="121">
        <v>322.49456105466146</v>
      </c>
      <c r="J75" s="204">
        <f>+SUM(J60:J74)</f>
        <v>0</v>
      </c>
      <c r="K75" s="35"/>
      <c r="L75" s="195"/>
      <c r="M75" s="121">
        <v>0</v>
      </c>
      <c r="N75" s="204">
        <f>+SUM(N60:N74)</f>
        <v>0</v>
      </c>
      <c r="O75" s="121">
        <v>322.49456105466146</v>
      </c>
      <c r="P75" s="204">
        <f>+SUM(P60:P74)</f>
        <v>0</v>
      </c>
      <c r="Q75" s="121">
        <v>39344.336448668691</v>
      </c>
      <c r="R75" s="204">
        <f>+SUM(R60:R74)</f>
        <v>0</v>
      </c>
    </row>
    <row r="76" spans="1:18" ht="14.25" thickTop="1" thickBot="1" x14ac:dyDescent="0.25">
      <c r="A76" s="25" t="s">
        <v>52</v>
      </c>
      <c r="B76" s="25"/>
      <c r="C76" s="25"/>
      <c r="D76" s="25"/>
      <c r="E76" s="197"/>
      <c r="F76" s="25"/>
      <c r="G76" s="25"/>
      <c r="H76" s="197"/>
      <c r="I76" s="87">
        <v>874.48635314668672</v>
      </c>
      <c r="J76" s="205">
        <f>+J54+J75</f>
        <v>0</v>
      </c>
      <c r="K76" s="35"/>
      <c r="L76" s="195"/>
      <c r="M76" s="87">
        <v>0</v>
      </c>
      <c r="N76" s="205">
        <f>+N54+N75</f>
        <v>0</v>
      </c>
      <c r="O76" s="87">
        <v>874.48635314668672</v>
      </c>
      <c r="P76" s="205">
        <f>+P54+P75</f>
        <v>0</v>
      </c>
      <c r="Q76" s="87">
        <v>106687.33508389576</v>
      </c>
      <c r="R76" s="205">
        <f>+R54+R75</f>
        <v>0</v>
      </c>
    </row>
    <row r="77" spans="1:18" ht="13.5" thickTop="1" x14ac:dyDescent="0.2">
      <c r="A77" s="25"/>
      <c r="B77" s="25"/>
      <c r="C77" s="25"/>
      <c r="D77" s="25"/>
      <c r="E77" s="197"/>
      <c r="F77" s="25"/>
      <c r="G77" s="25"/>
      <c r="H77" s="197"/>
      <c r="I77" s="35"/>
      <c r="J77" s="184"/>
      <c r="K77" s="35"/>
      <c r="L77" s="195"/>
      <c r="M77" s="35"/>
      <c r="N77" s="184"/>
      <c r="O77" s="35"/>
      <c r="P77" s="184"/>
      <c r="Q77" s="35"/>
      <c r="R77" s="184"/>
    </row>
    <row r="78" spans="1:18" x14ac:dyDescent="0.2">
      <c r="A78" s="25" t="s">
        <v>153</v>
      </c>
      <c r="B78" s="25"/>
      <c r="C78" s="25"/>
      <c r="D78" s="25"/>
      <c r="E78" s="197"/>
      <c r="F78" s="25"/>
      <c r="G78" s="25"/>
      <c r="H78" s="197"/>
      <c r="I78" s="35">
        <v>1150.5136468533133</v>
      </c>
      <c r="J78" s="202">
        <f>+J13-J76</f>
        <v>0</v>
      </c>
      <c r="K78" s="35"/>
      <c r="L78" s="195"/>
      <c r="M78" s="35">
        <v>0</v>
      </c>
      <c r="N78" s="202">
        <f>+N13-N76</f>
        <v>0</v>
      </c>
      <c r="O78" s="35">
        <v>1150.5136468533133</v>
      </c>
      <c r="P78" s="202">
        <f>+P13-P76</f>
        <v>0</v>
      </c>
      <c r="Q78" s="35">
        <v>140362.66491610423</v>
      </c>
      <c r="R78" s="202">
        <f>+R13-R76</f>
        <v>0</v>
      </c>
    </row>
    <row r="79" spans="1:18" x14ac:dyDescent="0.2">
      <c r="A79" s="25"/>
      <c r="B79" s="25"/>
      <c r="C79" s="25"/>
      <c r="D79" s="25"/>
      <c r="E79" s="197"/>
      <c r="F79" s="25"/>
      <c r="G79" s="25"/>
      <c r="H79" s="197"/>
      <c r="I79" s="35"/>
      <c r="J79" s="206"/>
      <c r="K79" s="35"/>
      <c r="L79" s="195"/>
      <c r="M79" s="35"/>
      <c r="N79" s="195"/>
      <c r="O79" s="35"/>
      <c r="P79" s="195"/>
      <c r="Q79" s="35"/>
      <c r="R79" s="206"/>
    </row>
    <row r="80" spans="1:18" ht="13.5" thickBot="1" x14ac:dyDescent="0.25">
      <c r="A80" s="44" t="s">
        <v>38</v>
      </c>
      <c r="B80" s="44"/>
      <c r="C80" s="44"/>
      <c r="D80" s="44"/>
      <c r="E80" s="201"/>
      <c r="F80" s="44"/>
      <c r="G80" s="45">
        <v>116.59818041955823</v>
      </c>
      <c r="H80" s="212" t="str">
        <f>IF(E10=0,"n/a",(YTotExp-(YTotExp+YTotRet-J10))/E10)</f>
        <v>n/a</v>
      </c>
      <c r="I80" s="44" t="s">
        <v>135</v>
      </c>
      <c r="J80" s="207"/>
      <c r="K80" s="44"/>
      <c r="L80" s="201"/>
      <c r="M80" s="44"/>
      <c r="N80" s="201"/>
      <c r="O80" s="44"/>
      <c r="P80" s="201"/>
      <c r="Q80" s="44"/>
      <c r="R80" s="207"/>
    </row>
    <row r="81" spans="1:18" ht="13.5" thickTop="1" x14ac:dyDescent="0.2"/>
    <row r="82" spans="1:18" s="17" customFormat="1" ht="15.75" x14ac:dyDescent="0.25">
      <c r="A82"/>
      <c r="B82" s="88"/>
      <c r="C82" s="89"/>
      <c r="D82" s="234" t="s">
        <v>115</v>
      </c>
      <c r="E82" s="235"/>
      <c r="F82" s="235"/>
      <c r="G82" s="235"/>
      <c r="H82" s="235"/>
      <c r="I82" s="235"/>
      <c r="J82" s="99"/>
      <c r="K82" s="99"/>
      <c r="M82"/>
      <c r="N82"/>
    </row>
    <row r="83" spans="1:18" s="17" customFormat="1" ht="15.75" x14ac:dyDescent="0.25">
      <c r="A83"/>
      <c r="B83" s="19" t="s">
        <v>116</v>
      </c>
      <c r="C83" s="19" t="s">
        <v>116</v>
      </c>
      <c r="D83" s="126" t="s">
        <v>170</v>
      </c>
      <c r="E83" s="18"/>
      <c r="F83" s="18"/>
      <c r="G83" s="126" t="s">
        <v>170</v>
      </c>
      <c r="H83" s="18"/>
      <c r="I83" s="18"/>
      <c r="J83" s="18"/>
      <c r="K83" s="18"/>
      <c r="M83"/>
      <c r="N83"/>
    </row>
    <row r="84" spans="1:18" s="17" customFormat="1" x14ac:dyDescent="0.2">
      <c r="A84"/>
      <c r="B84" s="19" t="s">
        <v>81</v>
      </c>
      <c r="C84" s="19" t="s">
        <v>81</v>
      </c>
      <c r="D84" s="126" t="s">
        <v>157</v>
      </c>
      <c r="E84" s="122"/>
      <c r="F84" s="122"/>
      <c r="G84" s="126" t="s">
        <v>11</v>
      </c>
      <c r="H84" s="122"/>
      <c r="I84" s="122"/>
      <c r="J84" s="122"/>
      <c r="K84" s="122"/>
      <c r="M84"/>
      <c r="N84"/>
    </row>
    <row r="85" spans="1:18" s="17" customFormat="1" x14ac:dyDescent="0.2">
      <c r="A85"/>
      <c r="B85" s="19" t="s">
        <v>30</v>
      </c>
      <c r="C85" s="99" t="s">
        <v>135</v>
      </c>
      <c r="D85" s="126" t="s">
        <v>99</v>
      </c>
      <c r="E85" s="122"/>
      <c r="F85" s="122"/>
      <c r="G85" s="126" t="s">
        <v>99</v>
      </c>
      <c r="H85" s="19"/>
      <c r="I85" s="19"/>
      <c r="J85" s="19"/>
      <c r="K85" s="19"/>
      <c r="M85"/>
      <c r="N85"/>
    </row>
    <row r="86" spans="1:18" s="17" customFormat="1" x14ac:dyDescent="0.2">
      <c r="A86"/>
      <c r="B86" s="90">
        <v>0.75</v>
      </c>
      <c r="C86" s="91">
        <v>5.625</v>
      </c>
      <c r="D86" s="92">
        <v>98.131874149693374</v>
      </c>
      <c r="E86" s="93"/>
      <c r="F86" s="94"/>
      <c r="G86" s="92">
        <v>155.46424055941097</v>
      </c>
      <c r="H86" s="93"/>
      <c r="I86" s="93"/>
      <c r="M86"/>
      <c r="N86"/>
    </row>
    <row r="87" spans="1:18" s="17" customFormat="1" x14ac:dyDescent="0.2">
      <c r="A87"/>
      <c r="B87" s="95">
        <v>0.9</v>
      </c>
      <c r="C87" s="96">
        <v>6.75</v>
      </c>
      <c r="D87" s="97">
        <v>81.77656179141114</v>
      </c>
      <c r="E87" s="83"/>
      <c r="F87" s="98"/>
      <c r="G87" s="97">
        <v>129.55353379950915</v>
      </c>
      <c r="H87" s="83"/>
      <c r="I87" s="83"/>
      <c r="M87"/>
      <c r="N87"/>
    </row>
    <row r="88" spans="1:18" s="17" customFormat="1" x14ac:dyDescent="0.2">
      <c r="A88"/>
      <c r="B88" s="90">
        <v>1</v>
      </c>
      <c r="C88" s="91">
        <v>7.5</v>
      </c>
      <c r="D88" s="92">
        <v>73.59890561227003</v>
      </c>
      <c r="E88" s="93"/>
      <c r="F88" s="94"/>
      <c r="G88" s="92">
        <v>116.59818041955823</v>
      </c>
      <c r="H88" s="93"/>
      <c r="I88" s="93"/>
      <c r="M88"/>
      <c r="N88"/>
    </row>
    <row r="89" spans="1:18" s="17" customFormat="1" x14ac:dyDescent="0.2">
      <c r="A89"/>
      <c r="B89" s="95">
        <v>1.1000000000000001</v>
      </c>
      <c r="C89" s="96">
        <v>8.25</v>
      </c>
      <c r="D89" s="97">
        <v>66.908096011154569</v>
      </c>
      <c r="E89" s="83"/>
      <c r="F89" s="98"/>
      <c r="G89" s="97">
        <v>105.99834583596203</v>
      </c>
      <c r="H89" s="83"/>
      <c r="I89" s="83"/>
      <c r="M89"/>
      <c r="N89"/>
    </row>
    <row r="90" spans="1:18" s="17" customFormat="1" x14ac:dyDescent="0.2">
      <c r="A90"/>
      <c r="B90" s="90">
        <v>1.25</v>
      </c>
      <c r="C90" s="91">
        <v>9.375</v>
      </c>
      <c r="D90" s="92">
        <v>58.879124489816022</v>
      </c>
      <c r="E90" s="93"/>
      <c r="F90" s="94"/>
      <c r="G90" s="92">
        <v>93.278544335646586</v>
      </c>
      <c r="H90" s="93"/>
      <c r="I90" s="93"/>
      <c r="M90"/>
      <c r="N90"/>
    </row>
    <row r="91" spans="1:18" s="17" customFormat="1" x14ac:dyDescent="0.2">
      <c r="A91"/>
      <c r="M91"/>
      <c r="N91"/>
    </row>
    <row r="92" spans="1:18" x14ac:dyDescent="0.2">
      <c r="A92" s="25" t="s">
        <v>536</v>
      </c>
      <c r="B92" s="17"/>
      <c r="C92" s="17"/>
      <c r="D92" s="17"/>
      <c r="E92" s="17"/>
      <c r="F92" s="17"/>
      <c r="G92" s="17"/>
      <c r="H92" s="17"/>
      <c r="I92" s="17"/>
      <c r="J92" s="28"/>
      <c r="K92" s="17"/>
      <c r="L92" s="17"/>
      <c r="M92" s="17"/>
      <c r="N92" s="17"/>
      <c r="O92" s="17"/>
      <c r="P92" s="17"/>
      <c r="Q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28"/>
      <c r="K93" s="17"/>
      <c r="L93" s="17"/>
      <c r="M93" s="17"/>
      <c r="N93" s="17"/>
      <c r="O93" s="17"/>
      <c r="P93" s="17"/>
      <c r="Q93" s="17"/>
    </row>
    <row r="94" spans="1:18" ht="26.25" customHeight="1" x14ac:dyDescent="0.2">
      <c r="A94" s="236" t="s">
        <v>140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21"/>
      <c r="N94" s="221"/>
      <c r="O94" s="221"/>
      <c r="P94" s="221"/>
      <c r="Q94" s="221"/>
      <c r="R94" s="221"/>
    </row>
  </sheetData>
  <sheetProtection sheet="1" objects="1" scenarios="1"/>
  <mergeCells count="6">
    <mergeCell ref="D82:I82"/>
    <mergeCell ref="A94:L94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99">
    <tabColor rgb="FF92D050"/>
    <pageSetUpPr fitToPage="1"/>
  </sheetPr>
  <dimension ref="A1:S109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35.1406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1500</v>
      </c>
      <c r="E10" s="132"/>
      <c r="F10" s="226" t="s">
        <v>83</v>
      </c>
      <c r="G10" s="31">
        <v>0.8</v>
      </c>
      <c r="H10" s="133"/>
      <c r="I10" s="35">
        <v>1200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1200</v>
      </c>
      <c r="P10" s="202">
        <f>+J10-N10</f>
        <v>0</v>
      </c>
      <c r="Q10" s="35">
        <v>146400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1.2</v>
      </c>
      <c r="E11" s="132"/>
      <c r="F11" s="226" t="s">
        <v>135</v>
      </c>
      <c r="G11" s="31">
        <v>270</v>
      </c>
      <c r="H11" s="133"/>
      <c r="I11" s="35">
        <v>324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324</v>
      </c>
      <c r="P11" s="202">
        <f t="shared" ref="P11:P13" si="3">+J11-N11</f>
        <v>0</v>
      </c>
      <c r="Q11" s="35">
        <v>39528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1524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1524</v>
      </c>
      <c r="P14" s="203">
        <f>SUM(P10:P13)</f>
        <v>0</v>
      </c>
      <c r="Q14" s="36">
        <v>185928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49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446</v>
      </c>
      <c r="D19" s="25">
        <v>1.5</v>
      </c>
      <c r="E19" s="132"/>
      <c r="F19" s="226" t="s">
        <v>311</v>
      </c>
      <c r="G19" s="41">
        <v>2.75</v>
      </c>
      <c r="H19" s="133"/>
      <c r="I19" s="35">
        <v>4.125</v>
      </c>
      <c r="J19" s="202">
        <f t="shared" ref="J19:J42" si="4">E19*H19</f>
        <v>0</v>
      </c>
      <c r="K19" s="225">
        <v>0</v>
      </c>
      <c r="L19" s="214"/>
      <c r="M19" s="35">
        <v>0</v>
      </c>
      <c r="N19" s="202">
        <f t="shared" ref="N19:N42" si="5">J19*L19</f>
        <v>0</v>
      </c>
      <c r="O19" s="35">
        <v>4.125</v>
      </c>
      <c r="P19" s="202">
        <f t="shared" ref="P19:P42" si="6">+J19-N19</f>
        <v>0</v>
      </c>
      <c r="Q19" s="35">
        <v>503.25</v>
      </c>
      <c r="R19" s="202">
        <f t="shared" ref="R19:R42" si="7">+J19*E$7</f>
        <v>0</v>
      </c>
    </row>
    <row r="20" spans="1:18" x14ac:dyDescent="0.2">
      <c r="A20" s="25"/>
      <c r="B20" s="25" t="s">
        <v>501</v>
      </c>
      <c r="C20" s="25" t="s">
        <v>471</v>
      </c>
      <c r="D20" s="25">
        <v>32</v>
      </c>
      <c r="E20" s="132"/>
      <c r="F20" s="226" t="s">
        <v>360</v>
      </c>
      <c r="G20" s="41">
        <v>0.1328125</v>
      </c>
      <c r="H20" s="133"/>
      <c r="I20" s="35">
        <v>4.25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4.25</v>
      </c>
      <c r="P20" s="202">
        <f t="shared" si="6"/>
        <v>0</v>
      </c>
      <c r="Q20" s="35">
        <v>518.5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356</v>
      </c>
      <c r="D21" s="25">
        <v>32</v>
      </c>
      <c r="E21" s="132"/>
      <c r="F21" s="226" t="s">
        <v>83</v>
      </c>
      <c r="G21" s="41">
        <v>1.29</v>
      </c>
      <c r="H21" s="133"/>
      <c r="I21" s="35">
        <v>41.28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41.28</v>
      </c>
      <c r="P21" s="202">
        <f t="shared" si="6"/>
        <v>0</v>
      </c>
      <c r="Q21" s="35">
        <v>5036.16</v>
      </c>
      <c r="R21" s="202">
        <f t="shared" si="7"/>
        <v>0</v>
      </c>
    </row>
    <row r="22" spans="1:18" x14ac:dyDescent="0.2">
      <c r="A22" s="25"/>
      <c r="B22" s="25" t="s">
        <v>1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498</v>
      </c>
      <c r="D23" s="25">
        <v>40</v>
      </c>
      <c r="E23" s="132"/>
      <c r="F23" s="226" t="s">
        <v>233</v>
      </c>
      <c r="G23" s="41">
        <v>1.6521739</v>
      </c>
      <c r="H23" s="133"/>
      <c r="I23" s="35">
        <v>66.086956000000001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66.086956000000001</v>
      </c>
      <c r="P23" s="202">
        <f t="shared" si="6"/>
        <v>0</v>
      </c>
      <c r="Q23" s="35">
        <v>8062.6086320000004</v>
      </c>
      <c r="R23" s="202">
        <f t="shared" si="7"/>
        <v>0</v>
      </c>
    </row>
    <row r="24" spans="1:18" x14ac:dyDescent="0.2">
      <c r="A24" s="25"/>
      <c r="B24" s="25" t="s">
        <v>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426</v>
      </c>
      <c r="D25" s="25">
        <v>11</v>
      </c>
      <c r="E25" s="132"/>
      <c r="F25" s="226" t="s">
        <v>83</v>
      </c>
      <c r="G25" s="41">
        <v>0.56000000000000005</v>
      </c>
      <c r="H25" s="133"/>
      <c r="I25" s="35">
        <v>6.16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6.16</v>
      </c>
      <c r="P25" s="202">
        <f t="shared" si="6"/>
        <v>0</v>
      </c>
      <c r="Q25" s="35">
        <v>751.52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431</v>
      </c>
      <c r="D26" s="25">
        <v>90</v>
      </c>
      <c r="E26" s="132"/>
      <c r="F26" s="226" t="s">
        <v>83</v>
      </c>
      <c r="G26" s="41">
        <v>0.42</v>
      </c>
      <c r="H26" s="133"/>
      <c r="I26" s="35">
        <v>37.799999999999997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37.799999999999997</v>
      </c>
      <c r="P26" s="202">
        <f t="shared" si="6"/>
        <v>0</v>
      </c>
      <c r="Q26" s="35">
        <v>4611.5999999999995</v>
      </c>
      <c r="R26" s="202">
        <f t="shared" si="7"/>
        <v>0</v>
      </c>
    </row>
    <row r="27" spans="1:18" x14ac:dyDescent="0.2">
      <c r="A27" s="25"/>
      <c r="B27" s="25" t="s">
        <v>501</v>
      </c>
      <c r="C27" s="25" t="s">
        <v>422</v>
      </c>
      <c r="D27" s="25">
        <v>140</v>
      </c>
      <c r="E27" s="132"/>
      <c r="F27" s="226" t="s">
        <v>83</v>
      </c>
      <c r="G27" s="41">
        <v>0.53</v>
      </c>
      <c r="H27" s="133"/>
      <c r="I27" s="35">
        <v>74.2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74.2</v>
      </c>
      <c r="P27" s="202">
        <f t="shared" si="6"/>
        <v>0</v>
      </c>
      <c r="Q27" s="35">
        <v>9052.4</v>
      </c>
      <c r="R27" s="202">
        <f t="shared" si="7"/>
        <v>0</v>
      </c>
    </row>
    <row r="28" spans="1:18" x14ac:dyDescent="0.2">
      <c r="A28" s="25"/>
      <c r="B28" s="25" t="s">
        <v>50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442</v>
      </c>
      <c r="D29" s="25">
        <v>1</v>
      </c>
      <c r="E29" s="132"/>
      <c r="F29" s="226" t="s">
        <v>42</v>
      </c>
      <c r="G29" s="41">
        <v>0.5</v>
      </c>
      <c r="H29" s="133"/>
      <c r="I29" s="35">
        <v>0.5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0.5</v>
      </c>
      <c r="P29" s="202">
        <f t="shared" si="6"/>
        <v>0</v>
      </c>
      <c r="Q29" s="35">
        <v>61</v>
      </c>
      <c r="R29" s="202">
        <f t="shared" si="7"/>
        <v>0</v>
      </c>
    </row>
    <row r="30" spans="1:18" x14ac:dyDescent="0.2">
      <c r="A30" s="25"/>
      <c r="B30" s="25" t="s">
        <v>501</v>
      </c>
      <c r="C30" s="25" t="s">
        <v>381</v>
      </c>
      <c r="D30" s="25">
        <v>2</v>
      </c>
      <c r="E30" s="132"/>
      <c r="F30" s="226" t="s">
        <v>42</v>
      </c>
      <c r="G30" s="41">
        <v>6.39</v>
      </c>
      <c r="H30" s="133"/>
      <c r="I30" s="35">
        <v>12.78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12.78</v>
      </c>
      <c r="P30" s="202">
        <f t="shared" si="6"/>
        <v>0</v>
      </c>
      <c r="Q30" s="35">
        <v>1559.1599999999999</v>
      </c>
      <c r="R30" s="202">
        <f t="shared" si="7"/>
        <v>0</v>
      </c>
    </row>
    <row r="31" spans="1:18" x14ac:dyDescent="0.2">
      <c r="A31" s="25"/>
      <c r="B31" s="25" t="s">
        <v>501</v>
      </c>
      <c r="C31" s="25" t="s">
        <v>368</v>
      </c>
      <c r="D31" s="25">
        <v>3</v>
      </c>
      <c r="E31" s="132"/>
      <c r="F31" s="226" t="s">
        <v>369</v>
      </c>
      <c r="G31" s="41">
        <v>15</v>
      </c>
      <c r="H31" s="133"/>
      <c r="I31" s="35">
        <v>45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45</v>
      </c>
      <c r="P31" s="202">
        <f t="shared" si="6"/>
        <v>0</v>
      </c>
      <c r="Q31" s="35">
        <v>5490</v>
      </c>
      <c r="R31" s="202">
        <f t="shared" si="7"/>
        <v>0</v>
      </c>
    </row>
    <row r="32" spans="1:18" x14ac:dyDescent="0.2">
      <c r="A32" s="25"/>
      <c r="B32" s="25" t="s">
        <v>501</v>
      </c>
      <c r="C32" s="25" t="s">
        <v>397</v>
      </c>
      <c r="D32" s="25">
        <v>53.57</v>
      </c>
      <c r="E32" s="132"/>
      <c r="F32" s="226" t="s">
        <v>7</v>
      </c>
      <c r="G32" s="41">
        <v>3.75</v>
      </c>
      <c r="H32" s="133"/>
      <c r="I32" s="35">
        <v>200.88749999999999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200.88749999999999</v>
      </c>
      <c r="P32" s="202">
        <f t="shared" si="6"/>
        <v>0</v>
      </c>
      <c r="Q32" s="35">
        <v>24508.274999999998</v>
      </c>
      <c r="R32" s="202">
        <f t="shared" si="7"/>
        <v>0</v>
      </c>
    </row>
    <row r="33" spans="1:18" x14ac:dyDescent="0.2">
      <c r="A33" s="25"/>
      <c r="B33" s="25" t="s">
        <v>27</v>
      </c>
      <c r="C33" s="25"/>
      <c r="D33" s="25"/>
      <c r="E33" s="25"/>
      <c r="F33" s="25"/>
      <c r="G33" s="25"/>
      <c r="H33" s="25"/>
      <c r="I33" s="25"/>
      <c r="J33" s="25"/>
      <c r="K33" s="225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5" t="s">
        <v>501</v>
      </c>
      <c r="C34" s="25" t="s">
        <v>413</v>
      </c>
      <c r="D34" s="25">
        <v>1</v>
      </c>
      <c r="E34" s="132"/>
      <c r="F34" s="226" t="s">
        <v>42</v>
      </c>
      <c r="G34" s="41">
        <v>25.98</v>
      </c>
      <c r="H34" s="133"/>
      <c r="I34" s="35">
        <v>25.98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25.98</v>
      </c>
      <c r="P34" s="202">
        <f t="shared" si="6"/>
        <v>0</v>
      </c>
      <c r="Q34" s="35">
        <v>3169.56</v>
      </c>
      <c r="R34" s="202">
        <f t="shared" si="7"/>
        <v>0</v>
      </c>
    </row>
    <row r="35" spans="1:18" x14ac:dyDescent="0.2">
      <c r="A35" s="25"/>
      <c r="B35" s="25" t="s">
        <v>103</v>
      </c>
      <c r="C35" s="25"/>
      <c r="D35" s="25"/>
      <c r="E35" s="25"/>
      <c r="F35" s="25"/>
      <c r="G35" s="25"/>
      <c r="H35" s="25"/>
      <c r="I35" s="25"/>
      <c r="J35" s="25"/>
      <c r="K35" s="225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501</v>
      </c>
      <c r="C36" s="25" t="s">
        <v>419</v>
      </c>
      <c r="D36" s="25">
        <v>16</v>
      </c>
      <c r="E36" s="132"/>
      <c r="F36" s="226" t="s">
        <v>360</v>
      </c>
      <c r="G36" s="41">
        <v>6.25E-2</v>
      </c>
      <c r="H36" s="133"/>
      <c r="I36" s="35">
        <v>1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1</v>
      </c>
      <c r="P36" s="202">
        <f t="shared" si="6"/>
        <v>0</v>
      </c>
      <c r="Q36" s="35">
        <v>122</v>
      </c>
      <c r="R36" s="202">
        <f t="shared" si="7"/>
        <v>0</v>
      </c>
    </row>
    <row r="37" spans="1:18" x14ac:dyDescent="0.2">
      <c r="A37" s="25"/>
      <c r="B37" s="25" t="s">
        <v>80</v>
      </c>
      <c r="C37" s="25"/>
      <c r="D37" s="25"/>
      <c r="E37" s="25"/>
      <c r="F37" s="25"/>
      <c r="G37" s="25"/>
      <c r="H37" s="25"/>
      <c r="I37" s="25"/>
      <c r="J37" s="25"/>
      <c r="K37" s="225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501</v>
      </c>
      <c r="C38" s="25" t="s">
        <v>390</v>
      </c>
      <c r="D38" s="25">
        <v>1.5</v>
      </c>
      <c r="E38" s="132"/>
      <c r="F38" s="226" t="s">
        <v>311</v>
      </c>
      <c r="G38" s="41">
        <v>3.8125</v>
      </c>
      <c r="H38" s="133"/>
      <c r="I38" s="35">
        <v>5.71875</v>
      </c>
      <c r="J38" s="202">
        <f t="shared" si="4"/>
        <v>0</v>
      </c>
      <c r="K38" s="225">
        <v>0</v>
      </c>
      <c r="L38" s="214"/>
      <c r="M38" s="35">
        <v>0</v>
      </c>
      <c r="N38" s="202">
        <f t="shared" si="5"/>
        <v>0</v>
      </c>
      <c r="O38" s="35">
        <v>5.71875</v>
      </c>
      <c r="P38" s="202">
        <f t="shared" si="6"/>
        <v>0</v>
      </c>
      <c r="Q38" s="35">
        <v>697.6875</v>
      </c>
      <c r="R38" s="202">
        <f t="shared" si="7"/>
        <v>0</v>
      </c>
    </row>
    <row r="39" spans="1:18" x14ac:dyDescent="0.2">
      <c r="A39" s="25"/>
      <c r="B39" s="25" t="s">
        <v>501</v>
      </c>
      <c r="C39" s="25" t="s">
        <v>395</v>
      </c>
      <c r="D39" s="25">
        <v>28</v>
      </c>
      <c r="E39" s="132"/>
      <c r="F39" s="226" t="s">
        <v>360</v>
      </c>
      <c r="G39" s="41">
        <v>0.1796875</v>
      </c>
      <c r="H39" s="133"/>
      <c r="I39" s="35">
        <v>5.03125</v>
      </c>
      <c r="J39" s="202">
        <f t="shared" si="4"/>
        <v>0</v>
      </c>
      <c r="K39" s="225">
        <v>0</v>
      </c>
      <c r="L39" s="214"/>
      <c r="M39" s="35">
        <v>0</v>
      </c>
      <c r="N39" s="202">
        <f t="shared" si="5"/>
        <v>0</v>
      </c>
      <c r="O39" s="35">
        <v>5.03125</v>
      </c>
      <c r="P39" s="202">
        <f t="shared" si="6"/>
        <v>0</v>
      </c>
      <c r="Q39" s="35">
        <v>613.8125</v>
      </c>
      <c r="R39" s="202">
        <f t="shared" si="7"/>
        <v>0</v>
      </c>
    </row>
    <row r="40" spans="1:18" x14ac:dyDescent="0.2">
      <c r="A40" s="25"/>
      <c r="B40" s="25" t="s">
        <v>501</v>
      </c>
      <c r="C40" s="25" t="s">
        <v>500</v>
      </c>
      <c r="D40" s="25">
        <v>5</v>
      </c>
      <c r="E40" s="132"/>
      <c r="F40" s="226" t="s">
        <v>360</v>
      </c>
      <c r="G40" s="41">
        <v>0.921875</v>
      </c>
      <c r="H40" s="133"/>
      <c r="I40" s="35">
        <v>4.609375</v>
      </c>
      <c r="J40" s="202">
        <f t="shared" si="4"/>
        <v>0</v>
      </c>
      <c r="K40" s="225">
        <v>0</v>
      </c>
      <c r="L40" s="214"/>
      <c r="M40" s="35">
        <v>0</v>
      </c>
      <c r="N40" s="202">
        <f t="shared" si="5"/>
        <v>0</v>
      </c>
      <c r="O40" s="35">
        <v>4.609375</v>
      </c>
      <c r="P40" s="202">
        <f t="shared" si="6"/>
        <v>0</v>
      </c>
      <c r="Q40" s="35">
        <v>562.34375</v>
      </c>
      <c r="R40" s="202">
        <f t="shared" si="7"/>
        <v>0</v>
      </c>
    </row>
    <row r="41" spans="1:18" x14ac:dyDescent="0.2">
      <c r="A41" s="25"/>
      <c r="B41" s="133"/>
      <c r="C41" s="133"/>
      <c r="D41" s="25">
        <v>0</v>
      </c>
      <c r="E41" s="132"/>
      <c r="F41" s="226"/>
      <c r="G41" s="41">
        <v>0</v>
      </c>
      <c r="H41" s="133"/>
      <c r="I41" s="35">
        <v>0</v>
      </c>
      <c r="J41" s="202">
        <f t="shared" si="4"/>
        <v>0</v>
      </c>
      <c r="K41" s="225">
        <v>0</v>
      </c>
      <c r="L41" s="214"/>
      <c r="M41" s="35">
        <v>0</v>
      </c>
      <c r="N41" s="202">
        <f t="shared" si="5"/>
        <v>0</v>
      </c>
      <c r="O41" s="35">
        <v>0</v>
      </c>
      <c r="P41" s="202">
        <f t="shared" si="6"/>
        <v>0</v>
      </c>
      <c r="Q41" s="35">
        <v>0</v>
      </c>
      <c r="R41" s="202">
        <f t="shared" si="7"/>
        <v>0</v>
      </c>
    </row>
    <row r="42" spans="1:18" x14ac:dyDescent="0.2">
      <c r="A42" s="25"/>
      <c r="B42" s="133"/>
      <c r="C42" s="133"/>
      <c r="D42" s="25">
        <v>0</v>
      </c>
      <c r="E42" s="132"/>
      <c r="F42" s="226"/>
      <c r="G42" s="41">
        <v>0</v>
      </c>
      <c r="H42" s="133"/>
      <c r="I42" s="35">
        <v>0</v>
      </c>
      <c r="J42" s="202">
        <f t="shared" si="4"/>
        <v>0</v>
      </c>
      <c r="K42" s="225">
        <v>0</v>
      </c>
      <c r="L42" s="214"/>
      <c r="M42" s="35">
        <v>0</v>
      </c>
      <c r="N42" s="202">
        <f t="shared" si="5"/>
        <v>0</v>
      </c>
      <c r="O42" s="35">
        <v>0</v>
      </c>
      <c r="P42" s="202">
        <f t="shared" si="6"/>
        <v>0</v>
      </c>
      <c r="Q42" s="35">
        <v>0</v>
      </c>
      <c r="R42" s="202">
        <f t="shared" si="7"/>
        <v>0</v>
      </c>
    </row>
    <row r="43" spans="1:18" x14ac:dyDescent="0.2">
      <c r="A43" s="25"/>
      <c r="B43" s="133"/>
      <c r="C43" s="133"/>
      <c r="D43" s="25">
        <v>0</v>
      </c>
      <c r="E43" s="132"/>
      <c r="F43" s="226"/>
      <c r="G43" s="41">
        <v>0</v>
      </c>
      <c r="H43" s="133"/>
      <c r="I43" s="35">
        <v>0</v>
      </c>
      <c r="J43" s="202">
        <f>E43*H43</f>
        <v>0</v>
      </c>
      <c r="K43" s="225">
        <v>0</v>
      </c>
      <c r="L43" s="214"/>
      <c r="M43" s="35">
        <v>0</v>
      </c>
      <c r="N43" s="202">
        <f>J43*L43</f>
        <v>0</v>
      </c>
      <c r="O43" s="35">
        <v>0</v>
      </c>
      <c r="P43" s="202">
        <f>+J43-N43</f>
        <v>0</v>
      </c>
      <c r="Q43" s="35">
        <v>0</v>
      </c>
      <c r="R43" s="202">
        <f>+J43*E$7</f>
        <v>0</v>
      </c>
    </row>
    <row r="44" spans="1:18" x14ac:dyDescent="0.2">
      <c r="A44" s="25"/>
      <c r="B44" s="25" t="s">
        <v>45</v>
      </c>
      <c r="C44" s="25"/>
      <c r="D44" s="25"/>
      <c r="E44" s="209"/>
      <c r="F44" s="21"/>
      <c r="G44" s="41"/>
      <c r="H44" s="198"/>
      <c r="I44" s="186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/>
      <c r="C45" s="25" t="s">
        <v>146</v>
      </c>
      <c r="D45" s="34">
        <v>17.989999999999998</v>
      </c>
      <c r="E45" s="132"/>
      <c r="F45" s="226" t="s">
        <v>141</v>
      </c>
      <c r="G45" s="41">
        <v>12.576539114798555</v>
      </c>
      <c r="H45" s="133"/>
      <c r="I45" s="35">
        <v>226.25193867522597</v>
      </c>
      <c r="J45" s="202">
        <f t="shared" ref="J45:J46" si="8">E45*H45</f>
        <v>0</v>
      </c>
      <c r="K45" s="225">
        <v>0</v>
      </c>
      <c r="L45" s="214"/>
      <c r="M45" s="35">
        <v>0</v>
      </c>
      <c r="N45" s="202">
        <f t="shared" ref="N45:N46" si="9">J45*L45</f>
        <v>0</v>
      </c>
      <c r="O45" s="35">
        <v>226.25193867522597</v>
      </c>
      <c r="P45" s="202">
        <f t="shared" ref="P45:P46" si="10">+J45-N45</f>
        <v>0</v>
      </c>
      <c r="Q45" s="35">
        <v>27602.736518377569</v>
      </c>
      <c r="R45" s="202">
        <f t="shared" ref="R45:R46" si="11">+J45*E$7</f>
        <v>0</v>
      </c>
    </row>
    <row r="46" spans="1:18" x14ac:dyDescent="0.2">
      <c r="A46" s="25"/>
      <c r="B46" s="25"/>
      <c r="C46" s="25" t="s">
        <v>136</v>
      </c>
      <c r="D46" s="34">
        <v>3.0394000000000001</v>
      </c>
      <c r="E46" s="132"/>
      <c r="F46" s="226" t="s">
        <v>44</v>
      </c>
      <c r="G46" s="41">
        <v>17.5</v>
      </c>
      <c r="H46" s="133"/>
      <c r="I46" s="35">
        <v>53.189500000000002</v>
      </c>
      <c r="J46" s="202">
        <f t="shared" si="8"/>
        <v>0</v>
      </c>
      <c r="K46" s="225">
        <v>0</v>
      </c>
      <c r="L46" s="214"/>
      <c r="M46" s="35">
        <v>0</v>
      </c>
      <c r="N46" s="202">
        <f t="shared" si="9"/>
        <v>0</v>
      </c>
      <c r="O46" s="35">
        <v>53.189500000000002</v>
      </c>
      <c r="P46" s="202">
        <f t="shared" si="10"/>
        <v>0</v>
      </c>
      <c r="Q46" s="35">
        <v>6489.1190000000006</v>
      </c>
      <c r="R46" s="202">
        <f t="shared" si="11"/>
        <v>0</v>
      </c>
    </row>
    <row r="47" spans="1:18" x14ac:dyDescent="0.2">
      <c r="A47" s="25"/>
      <c r="B47" s="25" t="s">
        <v>108</v>
      </c>
      <c r="C47" s="25"/>
      <c r="D47" s="25"/>
      <c r="E47" s="105"/>
      <c r="H47" s="105"/>
      <c r="I47" s="124"/>
      <c r="J47" s="105"/>
      <c r="K47" s="225"/>
      <c r="L47" s="105"/>
      <c r="N47" s="105"/>
      <c r="P47" s="105"/>
      <c r="R47" s="105"/>
    </row>
    <row r="48" spans="1:18" x14ac:dyDescent="0.2">
      <c r="A48" s="25"/>
      <c r="B48" s="25"/>
      <c r="C48" s="25" t="s">
        <v>105</v>
      </c>
      <c r="D48" s="25">
        <v>1.42</v>
      </c>
      <c r="E48" s="132"/>
      <c r="F48" s="226" t="s">
        <v>44</v>
      </c>
      <c r="G48" s="41">
        <v>17.21</v>
      </c>
      <c r="H48" s="133"/>
      <c r="I48" s="35">
        <v>24.438199999999998</v>
      </c>
      <c r="J48" s="202">
        <f>E48*H48</f>
        <v>0</v>
      </c>
      <c r="K48" s="225">
        <v>0</v>
      </c>
      <c r="L48" s="214"/>
      <c r="M48" s="35">
        <v>0</v>
      </c>
      <c r="N48" s="202">
        <f>J48*L48</f>
        <v>0</v>
      </c>
      <c r="O48" s="35">
        <v>24.438199999999998</v>
      </c>
      <c r="P48" s="202">
        <f>+J48-N48</f>
        <v>0</v>
      </c>
      <c r="Q48" s="35">
        <v>2981.4603999999999</v>
      </c>
      <c r="R48" s="202">
        <f>+J48*E$7</f>
        <v>0</v>
      </c>
    </row>
    <row r="49" spans="1:18" x14ac:dyDescent="0.2">
      <c r="A49" s="25"/>
      <c r="B49" s="25"/>
      <c r="C49" s="25" t="s">
        <v>107</v>
      </c>
      <c r="D49" s="25">
        <v>0.22</v>
      </c>
      <c r="E49" s="132"/>
      <c r="F49" s="226" t="s">
        <v>44</v>
      </c>
      <c r="G49" s="41">
        <v>17.21</v>
      </c>
      <c r="H49" s="133"/>
      <c r="I49" s="35">
        <v>3.7862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3.7862</v>
      </c>
      <c r="P49" s="202">
        <f>+J49-N49</f>
        <v>0</v>
      </c>
      <c r="Q49" s="35">
        <v>461.91640000000001</v>
      </c>
      <c r="R49" s="202">
        <f>+J49*E$7</f>
        <v>0</v>
      </c>
    </row>
    <row r="50" spans="1:18" x14ac:dyDescent="0.2">
      <c r="A50" s="25"/>
      <c r="B50" s="25"/>
      <c r="C50" s="25"/>
      <c r="D50" s="25"/>
      <c r="E50" s="209"/>
      <c r="F50" s="21"/>
      <c r="G50" s="41"/>
      <c r="H50" s="198"/>
      <c r="I50" s="35"/>
      <c r="J50" s="184"/>
      <c r="K50" s="225"/>
      <c r="L50" s="198"/>
      <c r="M50" s="35"/>
      <c r="N50" s="184"/>
      <c r="O50" s="35"/>
      <c r="P50" s="184"/>
      <c r="Q50" s="35"/>
      <c r="R50" s="184"/>
    </row>
    <row r="51" spans="1:18" x14ac:dyDescent="0.2">
      <c r="A51" s="25"/>
      <c r="B51" s="25" t="s">
        <v>51</v>
      </c>
      <c r="C51" s="25"/>
      <c r="D51" s="25"/>
      <c r="E51" s="209"/>
      <c r="F51" s="21"/>
      <c r="G51" s="41"/>
      <c r="H51" s="198"/>
      <c r="I51" s="186"/>
      <c r="J51" s="184"/>
      <c r="K51" s="225"/>
      <c r="L51" s="198"/>
      <c r="M51" s="35"/>
      <c r="N51" s="184"/>
      <c r="O51" s="35"/>
      <c r="P51" s="184"/>
      <c r="Q51" s="35"/>
      <c r="R51" s="184"/>
    </row>
    <row r="52" spans="1:18" x14ac:dyDescent="0.2">
      <c r="A52" s="25"/>
      <c r="B52" s="25"/>
      <c r="C52" s="25" t="s">
        <v>104</v>
      </c>
      <c r="D52" s="25">
        <v>1</v>
      </c>
      <c r="E52" s="132"/>
      <c r="F52" s="226" t="s">
        <v>42</v>
      </c>
      <c r="G52" s="41">
        <v>0</v>
      </c>
      <c r="H52" s="133"/>
      <c r="I52" s="35">
        <v>0</v>
      </c>
      <c r="J52" s="202">
        <f>E52*H52</f>
        <v>0</v>
      </c>
      <c r="K52" s="225">
        <v>0</v>
      </c>
      <c r="L52" s="214"/>
      <c r="M52" s="35">
        <v>0</v>
      </c>
      <c r="N52" s="202">
        <f>J52*L52</f>
        <v>0</v>
      </c>
      <c r="O52" s="35">
        <v>0</v>
      </c>
      <c r="P52" s="202">
        <f>+J52-N52</f>
        <v>0</v>
      </c>
      <c r="Q52" s="35">
        <v>0</v>
      </c>
      <c r="R52" s="202">
        <f>+J52*E$7</f>
        <v>0</v>
      </c>
    </row>
    <row r="53" spans="1:18" x14ac:dyDescent="0.2">
      <c r="A53" s="25"/>
      <c r="B53" s="25"/>
      <c r="C53" s="25" t="s">
        <v>105</v>
      </c>
      <c r="D53" s="25">
        <v>13.33</v>
      </c>
      <c r="E53" s="132"/>
      <c r="F53" s="226" t="s">
        <v>79</v>
      </c>
      <c r="G53" s="41">
        <v>3.6</v>
      </c>
      <c r="H53" s="133"/>
      <c r="I53" s="35">
        <v>47.988</v>
      </c>
      <c r="J53" s="202">
        <f>E53*H53</f>
        <v>0</v>
      </c>
      <c r="K53" s="225">
        <v>0</v>
      </c>
      <c r="L53" s="214"/>
      <c r="M53" s="35">
        <v>0</v>
      </c>
      <c r="N53" s="202">
        <f>J53*L53</f>
        <v>0</v>
      </c>
      <c r="O53" s="35">
        <v>47.988</v>
      </c>
      <c r="P53" s="202">
        <f>+J53-N53</f>
        <v>0</v>
      </c>
      <c r="Q53" s="35">
        <v>5854.5360000000001</v>
      </c>
      <c r="R53" s="202">
        <f>+J53*E$7</f>
        <v>0</v>
      </c>
    </row>
    <row r="54" spans="1:18" x14ac:dyDescent="0.2">
      <c r="A54" s="25"/>
      <c r="B54" s="25"/>
      <c r="C54" s="25"/>
      <c r="D54" s="25"/>
      <c r="E54" s="209"/>
      <c r="F54" s="21"/>
      <c r="G54" s="41"/>
      <c r="H54" s="198"/>
      <c r="I54" s="35"/>
      <c r="J54" s="184"/>
      <c r="K54" s="225"/>
      <c r="L54" s="198"/>
      <c r="M54" s="35"/>
      <c r="N54" s="184"/>
      <c r="O54" s="35"/>
      <c r="P54" s="184"/>
      <c r="Q54" s="35"/>
      <c r="R54" s="184"/>
    </row>
    <row r="55" spans="1:18" x14ac:dyDescent="0.2">
      <c r="A55" s="25"/>
      <c r="B55" s="25" t="s">
        <v>29</v>
      </c>
      <c r="C55" s="25"/>
      <c r="D55" s="25"/>
      <c r="E55" s="209"/>
      <c r="F55" s="21"/>
      <c r="G55" s="41"/>
      <c r="H55" s="198"/>
      <c r="I55" s="186"/>
      <c r="J55" s="184"/>
      <c r="K55" s="225"/>
      <c r="L55" s="198"/>
      <c r="M55" s="35"/>
      <c r="N55" s="184"/>
      <c r="O55" s="35"/>
      <c r="P55" s="184"/>
      <c r="Q55" s="35"/>
      <c r="R55" s="184"/>
    </row>
    <row r="56" spans="1:18" x14ac:dyDescent="0.2">
      <c r="A56" s="25"/>
      <c r="B56" s="25"/>
      <c r="C56" s="25" t="s">
        <v>104</v>
      </c>
      <c r="D56" s="25">
        <v>1</v>
      </c>
      <c r="E56" s="132"/>
      <c r="F56" s="226" t="s">
        <v>42</v>
      </c>
      <c r="G56" s="41">
        <v>8.4430327868852455</v>
      </c>
      <c r="H56" s="133"/>
      <c r="I56" s="35">
        <v>8.4430327868852455</v>
      </c>
      <c r="J56" s="202">
        <f>E56*H56</f>
        <v>0</v>
      </c>
      <c r="K56" s="225">
        <v>0</v>
      </c>
      <c r="L56" s="214"/>
      <c r="M56" s="35">
        <v>0</v>
      </c>
      <c r="N56" s="202">
        <f>J56*L56</f>
        <v>0</v>
      </c>
      <c r="O56" s="35">
        <v>8.4430327868852455</v>
      </c>
      <c r="P56" s="202">
        <f>+J56-N56</f>
        <v>0</v>
      </c>
      <c r="Q56" s="35">
        <v>1030.05</v>
      </c>
      <c r="R56" s="202">
        <f>+J56*E$7</f>
        <v>0</v>
      </c>
    </row>
    <row r="57" spans="1:18" x14ac:dyDescent="0.2">
      <c r="A57" s="25"/>
      <c r="B57" s="25"/>
      <c r="C57" s="25" t="s">
        <v>105</v>
      </c>
      <c r="D57" s="25">
        <v>0</v>
      </c>
      <c r="E57" s="132"/>
      <c r="F57" s="226" t="s">
        <v>79</v>
      </c>
      <c r="G57" s="41">
        <v>3.15</v>
      </c>
      <c r="H57" s="133"/>
      <c r="I57" s="35">
        <v>0</v>
      </c>
      <c r="J57" s="202">
        <f>E57*H57</f>
        <v>0</v>
      </c>
      <c r="K57" s="225">
        <v>0</v>
      </c>
      <c r="L57" s="214"/>
      <c r="M57" s="35">
        <v>0</v>
      </c>
      <c r="N57" s="202">
        <f>J57*L57</f>
        <v>0</v>
      </c>
      <c r="O57" s="35">
        <v>0</v>
      </c>
      <c r="P57" s="202">
        <f>+J57-N57</f>
        <v>0</v>
      </c>
      <c r="Q57" s="35">
        <v>0</v>
      </c>
      <c r="R57" s="202">
        <f>+J57*E$7</f>
        <v>0</v>
      </c>
    </row>
    <row r="58" spans="1:18" x14ac:dyDescent="0.2">
      <c r="A58" s="25"/>
      <c r="B58" s="25"/>
      <c r="C58" s="25"/>
      <c r="D58" s="25"/>
      <c r="E58" s="209"/>
      <c r="F58" s="21"/>
      <c r="G58" s="41"/>
      <c r="H58" s="198"/>
      <c r="I58" s="35"/>
      <c r="J58" s="184"/>
      <c r="K58" s="225"/>
      <c r="L58" s="198"/>
      <c r="M58" s="35"/>
      <c r="N58" s="184"/>
      <c r="O58" s="35"/>
      <c r="P58" s="184"/>
      <c r="Q58" s="35"/>
      <c r="R58" s="184"/>
    </row>
    <row r="59" spans="1:18" x14ac:dyDescent="0.2">
      <c r="A59" s="25"/>
      <c r="B59" s="25" t="s">
        <v>47</v>
      </c>
      <c r="C59" s="25"/>
      <c r="D59" s="25"/>
      <c r="E59" s="209"/>
      <c r="F59" s="21"/>
      <c r="G59" s="41"/>
      <c r="H59" s="199"/>
      <c r="I59" s="186"/>
      <c r="J59" s="184"/>
      <c r="K59" s="225"/>
      <c r="L59" s="199"/>
      <c r="M59" s="35"/>
      <c r="N59" s="184"/>
      <c r="O59" s="35"/>
      <c r="P59" s="184"/>
      <c r="Q59" s="35"/>
      <c r="R59" s="184"/>
    </row>
    <row r="60" spans="1:18" x14ac:dyDescent="0.2">
      <c r="A60" s="25"/>
      <c r="B60" s="25"/>
      <c r="C60" s="25" t="s">
        <v>104</v>
      </c>
      <c r="D60" s="25">
        <v>1</v>
      </c>
      <c r="E60" s="132"/>
      <c r="F60" s="226" t="s">
        <v>42</v>
      </c>
      <c r="G60" s="41">
        <v>1.7288114754098363</v>
      </c>
      <c r="H60" s="133"/>
      <c r="I60" s="35">
        <v>1.7288114754098363</v>
      </c>
      <c r="J60" s="202">
        <f t="shared" ref="J60:J65" si="12">E60*H60</f>
        <v>0</v>
      </c>
      <c r="K60" s="225">
        <v>0</v>
      </c>
      <c r="L60" s="214"/>
      <c r="M60" s="35">
        <v>0</v>
      </c>
      <c r="N60" s="202">
        <f t="shared" ref="N60:N65" si="13">J60*L60</f>
        <v>0</v>
      </c>
      <c r="O60" s="35">
        <v>1.7288114754098363</v>
      </c>
      <c r="P60" s="202">
        <f t="shared" ref="P60:P65" si="14">+J60-N60</f>
        <v>0</v>
      </c>
      <c r="Q60" s="35">
        <v>210.91500000000002</v>
      </c>
      <c r="R60" s="202">
        <f t="shared" ref="R60:R65" si="15">+J60*E$7</f>
        <v>0</v>
      </c>
    </row>
    <row r="61" spans="1:18" x14ac:dyDescent="0.2">
      <c r="A61" s="25"/>
      <c r="B61" s="25"/>
      <c r="C61" s="25" t="s">
        <v>46</v>
      </c>
      <c r="D61" s="25">
        <v>1</v>
      </c>
      <c r="E61" s="132"/>
      <c r="F61" s="226" t="s">
        <v>42</v>
      </c>
      <c r="G61" s="41">
        <v>9.684016999999999</v>
      </c>
      <c r="H61" s="133"/>
      <c r="I61" s="35">
        <v>9.684016999999999</v>
      </c>
      <c r="J61" s="202">
        <f t="shared" si="12"/>
        <v>0</v>
      </c>
      <c r="K61" s="225">
        <v>0</v>
      </c>
      <c r="L61" s="214"/>
      <c r="M61" s="35">
        <v>0</v>
      </c>
      <c r="N61" s="202">
        <f t="shared" si="13"/>
        <v>0</v>
      </c>
      <c r="O61" s="35">
        <v>9.684016999999999</v>
      </c>
      <c r="P61" s="202">
        <f t="shared" si="14"/>
        <v>0</v>
      </c>
      <c r="Q61" s="35">
        <v>1181.4500739999999</v>
      </c>
      <c r="R61" s="202">
        <f t="shared" si="15"/>
        <v>0</v>
      </c>
    </row>
    <row r="62" spans="1:18" x14ac:dyDescent="0.2">
      <c r="A62" s="25"/>
      <c r="B62" s="25"/>
      <c r="C62" s="25" t="s">
        <v>105</v>
      </c>
      <c r="D62" s="25">
        <v>1</v>
      </c>
      <c r="E62" s="132"/>
      <c r="F62" s="226" t="s">
        <v>42</v>
      </c>
      <c r="G62" s="41">
        <v>33.48350084441195</v>
      </c>
      <c r="H62" s="133"/>
      <c r="I62" s="35">
        <v>33.48350084441195</v>
      </c>
      <c r="J62" s="202">
        <f t="shared" si="12"/>
        <v>0</v>
      </c>
      <c r="K62" s="225">
        <v>0</v>
      </c>
      <c r="L62" s="214"/>
      <c r="M62" s="35">
        <v>0</v>
      </c>
      <c r="N62" s="202">
        <f t="shared" si="13"/>
        <v>0</v>
      </c>
      <c r="O62" s="35">
        <v>33.48350084441195</v>
      </c>
      <c r="P62" s="202">
        <f t="shared" si="14"/>
        <v>0</v>
      </c>
      <c r="Q62" s="35">
        <v>4084.987103018258</v>
      </c>
      <c r="R62" s="202">
        <f t="shared" si="15"/>
        <v>0</v>
      </c>
    </row>
    <row r="63" spans="1:18" x14ac:dyDescent="0.2">
      <c r="A63" s="25"/>
      <c r="B63" s="25"/>
      <c r="C63" s="25" t="s">
        <v>4</v>
      </c>
      <c r="D63" s="25">
        <v>1</v>
      </c>
      <c r="E63" s="132"/>
      <c r="F63" s="226" t="s">
        <v>42</v>
      </c>
      <c r="G63" s="41">
        <v>14.30448946229756</v>
      </c>
      <c r="H63" s="133"/>
      <c r="I63" s="35">
        <v>14.30448946229756</v>
      </c>
      <c r="J63" s="202">
        <f t="shared" si="12"/>
        <v>0</v>
      </c>
      <c r="K63" s="225">
        <v>0</v>
      </c>
      <c r="L63" s="214"/>
      <c r="M63" s="35">
        <v>0</v>
      </c>
      <c r="N63" s="202">
        <f t="shared" si="13"/>
        <v>0</v>
      </c>
      <c r="O63" s="35">
        <v>14.30448946229756</v>
      </c>
      <c r="P63" s="202">
        <f t="shared" si="14"/>
        <v>0</v>
      </c>
      <c r="Q63" s="35">
        <v>1745.1477144003024</v>
      </c>
      <c r="R63" s="202">
        <f t="shared" si="15"/>
        <v>0</v>
      </c>
    </row>
    <row r="64" spans="1:18" x14ac:dyDescent="0.2">
      <c r="A64" s="25"/>
      <c r="B64" s="133"/>
      <c r="C64" s="133"/>
      <c r="D64" s="25"/>
      <c r="E64" s="132"/>
      <c r="F64" s="226"/>
      <c r="G64" s="41"/>
      <c r="H64" s="133"/>
      <c r="I64" s="35">
        <v>0</v>
      </c>
      <c r="J64" s="202">
        <f t="shared" si="12"/>
        <v>0</v>
      </c>
      <c r="K64" s="225">
        <v>0</v>
      </c>
      <c r="L64" s="214"/>
      <c r="M64" s="35">
        <v>0</v>
      </c>
      <c r="N64" s="202">
        <f t="shared" si="13"/>
        <v>0</v>
      </c>
      <c r="O64" s="35">
        <v>0</v>
      </c>
      <c r="P64" s="202">
        <f t="shared" si="14"/>
        <v>0</v>
      </c>
      <c r="Q64" s="35">
        <v>0</v>
      </c>
      <c r="R64" s="202">
        <f t="shared" si="15"/>
        <v>0</v>
      </c>
    </row>
    <row r="65" spans="1:18" x14ac:dyDescent="0.2">
      <c r="A65" s="25"/>
      <c r="B65" s="133"/>
      <c r="C65" s="133"/>
      <c r="D65" s="25"/>
      <c r="E65" s="132"/>
      <c r="F65" s="226"/>
      <c r="G65" s="41"/>
      <c r="H65" s="133"/>
      <c r="I65" s="35">
        <v>0</v>
      </c>
      <c r="J65" s="202">
        <f t="shared" si="12"/>
        <v>0</v>
      </c>
      <c r="K65" s="225">
        <v>0</v>
      </c>
      <c r="L65" s="214"/>
      <c r="M65" s="35">
        <v>0</v>
      </c>
      <c r="N65" s="202">
        <f t="shared" si="13"/>
        <v>0</v>
      </c>
      <c r="O65" s="35">
        <v>0</v>
      </c>
      <c r="P65" s="202">
        <f t="shared" si="14"/>
        <v>0</v>
      </c>
      <c r="Q65" s="35">
        <v>0</v>
      </c>
      <c r="R65" s="202">
        <f t="shared" si="15"/>
        <v>0</v>
      </c>
    </row>
    <row r="66" spans="1:18" ht="13.5" thickBot="1" x14ac:dyDescent="0.25">
      <c r="A66" s="25"/>
      <c r="B66" s="25" t="s">
        <v>32</v>
      </c>
      <c r="C66" s="25"/>
      <c r="D66" s="25"/>
      <c r="E66" s="197"/>
      <c r="F66" s="21"/>
      <c r="G66" s="39">
        <v>0.08</v>
      </c>
      <c r="H66" s="215"/>
      <c r="I66" s="42">
        <v>20.761795381040319</v>
      </c>
      <c r="J66" s="202">
        <f>+SUM(J18:J65)/2*H66</f>
        <v>0</v>
      </c>
      <c r="K66" s="86"/>
      <c r="L66" s="137"/>
      <c r="M66" s="42">
        <v>0</v>
      </c>
      <c r="N66" s="202">
        <f>+SUM(N18:N65)/2*L66</f>
        <v>0</v>
      </c>
      <c r="O66" s="42">
        <v>20.761795381040319</v>
      </c>
      <c r="P66" s="202">
        <f>+SUM(P18:P65)/2*L66</f>
        <v>0</v>
      </c>
      <c r="Q66" s="42">
        <v>2532.9390364869187</v>
      </c>
      <c r="R66" s="184">
        <f>+J66*E$7</f>
        <v>0</v>
      </c>
    </row>
    <row r="67" spans="1:18" ht="13.5" thickBot="1" x14ac:dyDescent="0.25">
      <c r="A67" s="25" t="s">
        <v>33</v>
      </c>
      <c r="B67" s="25"/>
      <c r="C67" s="25"/>
      <c r="D67" s="25"/>
      <c r="E67" s="200"/>
      <c r="F67" s="25"/>
      <c r="G67" s="25"/>
      <c r="H67" s="197"/>
      <c r="I67" s="87">
        <v>979.46831662527109</v>
      </c>
      <c r="J67" s="204">
        <f>SUM(J19:J66)</f>
        <v>0</v>
      </c>
      <c r="K67" s="35"/>
      <c r="L67" s="195"/>
      <c r="M67" s="87">
        <v>0</v>
      </c>
      <c r="N67" s="204">
        <f>SUM(N19:N66)</f>
        <v>0</v>
      </c>
      <c r="O67" s="87">
        <v>979.46831662527109</v>
      </c>
      <c r="P67" s="204">
        <f>SUM(P19:P66)</f>
        <v>0</v>
      </c>
      <c r="Q67" s="87">
        <v>119495.13462828302</v>
      </c>
      <c r="R67" s="204">
        <f>SUM(R19:R66)</f>
        <v>0</v>
      </c>
    </row>
    <row r="68" spans="1:18" ht="13.5" thickTop="1" x14ac:dyDescent="0.2">
      <c r="A68" s="25" t="s">
        <v>34</v>
      </c>
      <c r="B68" s="25"/>
      <c r="C68" s="25"/>
      <c r="D68" s="25"/>
      <c r="E68" s="200"/>
      <c r="F68" s="25"/>
      <c r="G68" s="25"/>
      <c r="H68" s="197"/>
      <c r="I68" s="35">
        <v>544.53168337472891</v>
      </c>
      <c r="J68" s="202">
        <f>+J14-J67</f>
        <v>0</v>
      </c>
      <c r="K68" s="35"/>
      <c r="L68" s="195"/>
      <c r="M68" s="35">
        <v>0</v>
      </c>
      <c r="N68" s="202">
        <f>+N14-N67</f>
        <v>0</v>
      </c>
      <c r="O68" s="35">
        <v>544.53168337472891</v>
      </c>
      <c r="P68" s="202">
        <f>+P14-P67</f>
        <v>0</v>
      </c>
      <c r="Q68" s="35">
        <v>66432.86537171698</v>
      </c>
      <c r="R68" s="202">
        <f>+R14-R67</f>
        <v>0</v>
      </c>
    </row>
    <row r="69" spans="1:18" x14ac:dyDescent="0.2">
      <c r="A69" s="25"/>
      <c r="B69" s="25" t="s">
        <v>35</v>
      </c>
      <c r="C69" s="25"/>
      <c r="D69" s="25"/>
      <c r="E69" s="210"/>
      <c r="F69" s="17"/>
      <c r="G69" s="40">
        <v>0.43697887775018074</v>
      </c>
      <c r="H69" s="210" t="str">
        <f>IF(E10=0,"n/a",(YVarExp-(YTotExp+YTotRet-J10))/E10)</f>
        <v>n/a</v>
      </c>
      <c r="I69" s="25" t="s">
        <v>83</v>
      </c>
      <c r="J69" s="184"/>
      <c r="K69" s="25"/>
      <c r="L69" s="197"/>
      <c r="M69" s="25"/>
      <c r="N69" s="184"/>
      <c r="O69" s="25"/>
      <c r="P69" s="184"/>
      <c r="Q69" s="25"/>
      <c r="R69" s="184"/>
    </row>
    <row r="70" spans="1:18" x14ac:dyDescent="0.2">
      <c r="A70" s="25"/>
      <c r="B70" s="25"/>
      <c r="C70" s="25"/>
      <c r="D70" s="25"/>
      <c r="E70" s="178"/>
      <c r="F70" s="25"/>
      <c r="G70" s="25"/>
      <c r="H70" s="211"/>
      <c r="I70" s="25"/>
      <c r="J70" s="184"/>
      <c r="K70" s="25"/>
      <c r="L70" s="197"/>
      <c r="M70" s="25"/>
      <c r="N70" s="184"/>
      <c r="O70" s="25"/>
      <c r="P70" s="184"/>
      <c r="Q70" s="22" t="s">
        <v>19</v>
      </c>
      <c r="R70" s="184" t="s">
        <v>19</v>
      </c>
    </row>
    <row r="71" spans="1:18" x14ac:dyDescent="0.2">
      <c r="A71" s="23" t="s">
        <v>36</v>
      </c>
      <c r="B71" s="23"/>
      <c r="C71" s="23"/>
      <c r="D71" s="24" t="s">
        <v>2</v>
      </c>
      <c r="E71" s="196" t="s">
        <v>2</v>
      </c>
      <c r="F71" s="24" t="s">
        <v>21</v>
      </c>
      <c r="G71" s="24" t="s">
        <v>22</v>
      </c>
      <c r="H71" s="196" t="s">
        <v>22</v>
      </c>
      <c r="I71" s="24" t="s">
        <v>11</v>
      </c>
      <c r="J71" s="196" t="s">
        <v>11</v>
      </c>
      <c r="K71" s="24" t="s">
        <v>10</v>
      </c>
      <c r="L71" s="196" t="s">
        <v>10</v>
      </c>
      <c r="M71" s="24" t="s">
        <v>9</v>
      </c>
      <c r="N71" s="196" t="s">
        <v>9</v>
      </c>
      <c r="O71" s="24" t="s">
        <v>8</v>
      </c>
      <c r="P71" s="196" t="s">
        <v>8</v>
      </c>
      <c r="Q71" s="24" t="s">
        <v>11</v>
      </c>
      <c r="R71" s="208" t="s">
        <v>11</v>
      </c>
    </row>
    <row r="72" spans="1:18" x14ac:dyDescent="0.2">
      <c r="A72" s="25"/>
      <c r="B72" s="25" t="s">
        <v>106</v>
      </c>
      <c r="C72" s="25"/>
      <c r="D72" s="25"/>
      <c r="E72" s="178"/>
      <c r="F72" s="25"/>
      <c r="G72" s="25"/>
      <c r="H72" s="211"/>
      <c r="I72" s="186"/>
      <c r="J72" s="184"/>
      <c r="K72" s="225"/>
      <c r="L72" s="197"/>
      <c r="M72" s="25"/>
      <c r="N72" s="184"/>
      <c r="O72" s="25"/>
      <c r="P72" s="184"/>
      <c r="Q72" s="25"/>
      <c r="R72" s="184"/>
    </row>
    <row r="73" spans="1:18" x14ac:dyDescent="0.2">
      <c r="A73" s="25"/>
      <c r="B73" s="25"/>
      <c r="C73" s="25" t="s">
        <v>104</v>
      </c>
      <c r="D73" s="25">
        <v>1</v>
      </c>
      <c r="E73" s="132"/>
      <c r="F73" s="226" t="s">
        <v>42</v>
      </c>
      <c r="G73" s="41">
        <v>3.6184426229508202</v>
      </c>
      <c r="H73" s="133"/>
      <c r="I73" s="35">
        <v>3.6184426229508202</v>
      </c>
      <c r="J73" s="202">
        <f t="shared" ref="J73:J76" si="16">E73*H73</f>
        <v>0</v>
      </c>
      <c r="K73" s="225">
        <v>0</v>
      </c>
      <c r="L73" s="214"/>
      <c r="M73" s="35">
        <v>0</v>
      </c>
      <c r="N73" s="202">
        <f>J73*L73</f>
        <v>0</v>
      </c>
      <c r="O73" s="35">
        <v>3.6184426229508202</v>
      </c>
      <c r="P73" s="202">
        <f t="shared" ref="P73:P76" si="17">+J73-N73</f>
        <v>0</v>
      </c>
      <c r="Q73" s="35">
        <v>441.45000000000005</v>
      </c>
      <c r="R73" s="202">
        <f t="shared" ref="R73:R76" si="18">+J73*E$7</f>
        <v>0</v>
      </c>
    </row>
    <row r="74" spans="1:18" x14ac:dyDescent="0.2">
      <c r="A74" s="25"/>
      <c r="B74" s="25"/>
      <c r="C74" s="25" t="s">
        <v>46</v>
      </c>
      <c r="D74" s="25">
        <v>1</v>
      </c>
      <c r="E74" s="132"/>
      <c r="F74" s="226" t="s">
        <v>42</v>
      </c>
      <c r="G74" s="41">
        <v>95.919639344262293</v>
      </c>
      <c r="H74" s="133"/>
      <c r="I74" s="35">
        <v>95.919639344262293</v>
      </c>
      <c r="J74" s="202">
        <f t="shared" si="16"/>
        <v>0</v>
      </c>
      <c r="K74" s="225">
        <v>0</v>
      </c>
      <c r="L74" s="214"/>
      <c r="M74" s="35">
        <v>0</v>
      </c>
      <c r="N74" s="202">
        <f>J74*L74</f>
        <v>0</v>
      </c>
      <c r="O74" s="35">
        <v>95.919639344262293</v>
      </c>
      <c r="P74" s="202">
        <f t="shared" si="17"/>
        <v>0</v>
      </c>
      <c r="Q74" s="35">
        <v>11702.196</v>
      </c>
      <c r="R74" s="202">
        <f t="shared" si="18"/>
        <v>0</v>
      </c>
    </row>
    <row r="75" spans="1:18" x14ac:dyDescent="0.2">
      <c r="A75" s="25"/>
      <c r="B75" s="25"/>
      <c r="C75" s="25" t="s">
        <v>105</v>
      </c>
      <c r="D75" s="25">
        <v>1</v>
      </c>
      <c r="E75" s="132"/>
      <c r="F75" s="226" t="s">
        <v>42</v>
      </c>
      <c r="G75" s="41">
        <v>39.451473574209579</v>
      </c>
      <c r="H75" s="133"/>
      <c r="I75" s="35">
        <v>39.451473574209579</v>
      </c>
      <c r="J75" s="202">
        <f t="shared" si="16"/>
        <v>0</v>
      </c>
      <c r="K75" s="225">
        <v>0</v>
      </c>
      <c r="L75" s="214"/>
      <c r="M75" s="35">
        <v>0</v>
      </c>
      <c r="N75" s="202">
        <f>J75*L75</f>
        <v>0</v>
      </c>
      <c r="O75" s="35">
        <v>39.451473574209579</v>
      </c>
      <c r="P75" s="202">
        <f t="shared" si="17"/>
        <v>0</v>
      </c>
      <c r="Q75" s="35">
        <v>4813.0797760535688</v>
      </c>
      <c r="R75" s="202">
        <f t="shared" si="18"/>
        <v>0</v>
      </c>
    </row>
    <row r="76" spans="1:18" x14ac:dyDescent="0.2">
      <c r="A76" s="25"/>
      <c r="B76" s="25"/>
      <c r="C76" s="25" t="s">
        <v>4</v>
      </c>
      <c r="D76" s="25">
        <v>1</v>
      </c>
      <c r="E76" s="132"/>
      <c r="F76" s="226" t="s">
        <v>42</v>
      </c>
      <c r="G76" s="41">
        <v>17.98766276226074</v>
      </c>
      <c r="H76" s="133"/>
      <c r="I76" s="35">
        <v>17.98766276226074</v>
      </c>
      <c r="J76" s="202">
        <f t="shared" si="16"/>
        <v>0</v>
      </c>
      <c r="K76" s="225">
        <v>0</v>
      </c>
      <c r="L76" s="214"/>
      <c r="M76" s="35">
        <v>0</v>
      </c>
      <c r="N76" s="202">
        <f>J76*L76</f>
        <v>0</v>
      </c>
      <c r="O76" s="35">
        <v>17.98766276226074</v>
      </c>
      <c r="P76" s="202">
        <f t="shared" si="17"/>
        <v>0</v>
      </c>
      <c r="Q76" s="35">
        <v>2194.4948569958101</v>
      </c>
      <c r="R76" s="202">
        <f t="shared" si="18"/>
        <v>0</v>
      </c>
    </row>
    <row r="77" spans="1:18" x14ac:dyDescent="0.2">
      <c r="A77" s="25"/>
      <c r="B77" s="25" t="s">
        <v>89</v>
      </c>
      <c r="C77" s="25"/>
      <c r="D77" s="25"/>
      <c r="E77" s="197"/>
      <c r="F77" s="21"/>
      <c r="G77" s="41"/>
      <c r="H77" s="197"/>
      <c r="I77" s="186"/>
      <c r="J77" s="184"/>
      <c r="K77" s="225"/>
      <c r="L77" s="197"/>
      <c r="M77" s="35"/>
      <c r="N77" s="184"/>
      <c r="O77" s="35"/>
      <c r="P77" s="184"/>
      <c r="Q77" s="35"/>
      <c r="R77" s="184"/>
    </row>
    <row r="78" spans="1:18" x14ac:dyDescent="0.2">
      <c r="A78" s="25"/>
      <c r="B78" s="25"/>
      <c r="C78" s="25" t="s">
        <v>104</v>
      </c>
      <c r="D78" s="41">
        <v>22.112704918032787</v>
      </c>
      <c r="E78" s="132"/>
      <c r="F78" s="226" t="s">
        <v>100</v>
      </c>
      <c r="G78" s="39">
        <v>0.08</v>
      </c>
      <c r="H78" s="215"/>
      <c r="I78" s="35">
        <v>1.7690163934426231</v>
      </c>
      <c r="J78" s="202">
        <f t="shared" ref="J78:J88" si="19">E78*H78</f>
        <v>0</v>
      </c>
      <c r="K78" s="225">
        <v>0</v>
      </c>
      <c r="L78" s="214"/>
      <c r="M78" s="35">
        <v>0</v>
      </c>
      <c r="N78" s="202">
        <f>J78*L78</f>
        <v>0</v>
      </c>
      <c r="O78" s="35">
        <v>1.7690163934426231</v>
      </c>
      <c r="P78" s="202">
        <f t="shared" ref="P78:P81" si="20">+J78-N78</f>
        <v>0</v>
      </c>
      <c r="Q78" s="35">
        <v>215.82000000000002</v>
      </c>
      <c r="R78" s="202">
        <f t="shared" ref="R78:R81" si="21">+J78*E$7</f>
        <v>0</v>
      </c>
    </row>
    <row r="79" spans="1:18" x14ac:dyDescent="0.2">
      <c r="A79" s="25"/>
      <c r="B79" s="25"/>
      <c r="C79" s="25" t="s">
        <v>46</v>
      </c>
      <c r="D79" s="41">
        <v>978.57409836065585</v>
      </c>
      <c r="E79" s="132"/>
      <c r="F79" s="226" t="s">
        <v>100</v>
      </c>
      <c r="G79" s="39">
        <v>0.08</v>
      </c>
      <c r="H79" s="215"/>
      <c r="I79" s="35">
        <v>78.285927868852468</v>
      </c>
      <c r="J79" s="202">
        <f t="shared" si="19"/>
        <v>0</v>
      </c>
      <c r="K79" s="225">
        <v>0</v>
      </c>
      <c r="L79" s="214"/>
      <c r="M79" s="35">
        <v>0</v>
      </c>
      <c r="N79" s="202">
        <f>J79*L79</f>
        <v>0</v>
      </c>
      <c r="O79" s="35">
        <v>78.285927868852468</v>
      </c>
      <c r="P79" s="202">
        <f t="shared" si="20"/>
        <v>0</v>
      </c>
      <c r="Q79" s="35">
        <v>9550.8832000000002</v>
      </c>
      <c r="R79" s="202">
        <f t="shared" si="21"/>
        <v>0</v>
      </c>
    </row>
    <row r="80" spans="1:18" x14ac:dyDescent="0.2">
      <c r="A80" s="25"/>
      <c r="B80" s="25"/>
      <c r="C80" s="25" t="s">
        <v>105</v>
      </c>
      <c r="D80" s="41">
        <v>339.86387632509906</v>
      </c>
      <c r="E80" s="132"/>
      <c r="F80" s="226" t="s">
        <v>100</v>
      </c>
      <c r="G80" s="39">
        <v>0.08</v>
      </c>
      <c r="H80" s="215"/>
      <c r="I80" s="35">
        <v>27.189110106007924</v>
      </c>
      <c r="J80" s="202">
        <f t="shared" si="19"/>
        <v>0</v>
      </c>
      <c r="K80" s="225">
        <v>0</v>
      </c>
      <c r="L80" s="214"/>
      <c r="M80" s="35">
        <v>0</v>
      </c>
      <c r="N80" s="202">
        <f>J80*L80</f>
        <v>0</v>
      </c>
      <c r="O80" s="35">
        <v>27.189110106007924</v>
      </c>
      <c r="P80" s="202">
        <f t="shared" si="20"/>
        <v>0</v>
      </c>
      <c r="Q80" s="35">
        <v>3317.0714329329667</v>
      </c>
      <c r="R80" s="202">
        <f t="shared" si="21"/>
        <v>0</v>
      </c>
    </row>
    <row r="81" spans="1:18" x14ac:dyDescent="0.2">
      <c r="A81" s="25"/>
      <c r="B81" s="25"/>
      <c r="C81" s="25" t="s">
        <v>4</v>
      </c>
      <c r="D81" s="41">
        <v>101.87417714003529</v>
      </c>
      <c r="E81" s="132"/>
      <c r="F81" s="226" t="s">
        <v>100</v>
      </c>
      <c r="G81" s="39">
        <v>0.08</v>
      </c>
      <c r="H81" s="215"/>
      <c r="I81" s="35">
        <v>8.1499341712028226</v>
      </c>
      <c r="J81" s="202">
        <f t="shared" si="19"/>
        <v>0</v>
      </c>
      <c r="K81" s="225">
        <v>0</v>
      </c>
      <c r="L81" s="214"/>
      <c r="M81" s="35">
        <v>0</v>
      </c>
      <c r="N81" s="202">
        <f>J81*L81</f>
        <v>0</v>
      </c>
      <c r="O81" s="35">
        <v>8.1499341712028226</v>
      </c>
      <c r="P81" s="202">
        <f t="shared" si="20"/>
        <v>0</v>
      </c>
      <c r="Q81" s="35">
        <v>994.29196888674437</v>
      </c>
      <c r="R81" s="202">
        <f t="shared" si="21"/>
        <v>0</v>
      </c>
    </row>
    <row r="82" spans="1:18" x14ac:dyDescent="0.2">
      <c r="A82" s="25"/>
      <c r="B82" s="25" t="s">
        <v>156</v>
      </c>
      <c r="C82" s="25"/>
      <c r="D82" s="25">
        <v>1</v>
      </c>
      <c r="E82" s="132"/>
      <c r="F82" s="226" t="s">
        <v>42</v>
      </c>
      <c r="G82" s="41">
        <v>0</v>
      </c>
      <c r="H82" s="133"/>
      <c r="I82" s="35">
        <v>0</v>
      </c>
      <c r="J82" s="202">
        <f t="shared" si="19"/>
        <v>0</v>
      </c>
      <c r="K82" s="225">
        <v>0</v>
      </c>
      <c r="L82" s="214"/>
      <c r="M82" s="35">
        <v>0</v>
      </c>
      <c r="N82" s="202">
        <f t="shared" ref="N82:N89" si="22">J82*L82</f>
        <v>0</v>
      </c>
      <c r="O82" s="35">
        <v>0</v>
      </c>
      <c r="P82" s="202">
        <f t="shared" ref="P82:P89" si="23">+J82-N82</f>
        <v>0</v>
      </c>
      <c r="Q82" s="35">
        <v>0</v>
      </c>
      <c r="R82" s="202">
        <f t="shared" ref="R82:R89" si="24">+J82*E$7</f>
        <v>0</v>
      </c>
    </row>
    <row r="83" spans="1:18" x14ac:dyDescent="0.2">
      <c r="A83" s="25"/>
      <c r="B83" s="25" t="s">
        <v>152</v>
      </c>
      <c r="C83" s="25"/>
      <c r="D83" s="25">
        <v>1</v>
      </c>
      <c r="E83" s="132"/>
      <c r="F83" s="226" t="s">
        <v>42</v>
      </c>
      <c r="G83" s="41">
        <v>0</v>
      </c>
      <c r="H83" s="133"/>
      <c r="I83" s="35">
        <v>0</v>
      </c>
      <c r="J83" s="202">
        <f t="shared" si="19"/>
        <v>0</v>
      </c>
      <c r="K83" s="225">
        <v>0</v>
      </c>
      <c r="L83" s="214"/>
      <c r="M83" s="35">
        <v>0</v>
      </c>
      <c r="N83" s="202">
        <f t="shared" si="22"/>
        <v>0</v>
      </c>
      <c r="O83" s="35">
        <v>0</v>
      </c>
      <c r="P83" s="202">
        <f t="shared" si="23"/>
        <v>0</v>
      </c>
      <c r="Q83" s="35">
        <v>0</v>
      </c>
      <c r="R83" s="202">
        <f t="shared" si="24"/>
        <v>0</v>
      </c>
    </row>
    <row r="84" spans="1:18" x14ac:dyDescent="0.2">
      <c r="A84" s="25"/>
      <c r="B84" s="25" t="s">
        <v>137</v>
      </c>
      <c r="C84" s="25"/>
      <c r="D84" s="25">
        <v>1</v>
      </c>
      <c r="E84" s="132"/>
      <c r="F84" s="226" t="s">
        <v>42</v>
      </c>
      <c r="G84" s="41">
        <v>0</v>
      </c>
      <c r="H84" s="133"/>
      <c r="I84" s="35">
        <v>0</v>
      </c>
      <c r="J84" s="202">
        <f t="shared" si="19"/>
        <v>0</v>
      </c>
      <c r="K84" s="225">
        <v>0</v>
      </c>
      <c r="L84" s="214"/>
      <c r="M84" s="35">
        <v>0</v>
      </c>
      <c r="N84" s="202">
        <f t="shared" si="22"/>
        <v>0</v>
      </c>
      <c r="O84" s="35">
        <v>0</v>
      </c>
      <c r="P84" s="202">
        <f t="shared" si="23"/>
        <v>0</v>
      </c>
      <c r="Q84" s="35">
        <v>0</v>
      </c>
      <c r="R84" s="202">
        <f t="shared" si="24"/>
        <v>0</v>
      </c>
    </row>
    <row r="85" spans="1:18" x14ac:dyDescent="0.2">
      <c r="A85" s="25"/>
      <c r="B85" s="25" t="s">
        <v>452</v>
      </c>
      <c r="C85" s="25"/>
      <c r="D85" s="25">
        <v>1</v>
      </c>
      <c r="E85" s="132"/>
      <c r="F85" s="226" t="s">
        <v>42</v>
      </c>
      <c r="G85" s="41">
        <v>50</v>
      </c>
      <c r="H85" s="133"/>
      <c r="I85" s="35">
        <v>50</v>
      </c>
      <c r="J85" s="202">
        <f t="shared" si="19"/>
        <v>0</v>
      </c>
      <c r="K85" s="225">
        <v>0</v>
      </c>
      <c r="L85" s="214"/>
      <c r="M85" s="35">
        <v>0</v>
      </c>
      <c r="N85" s="202">
        <f t="shared" si="22"/>
        <v>0</v>
      </c>
      <c r="O85" s="35">
        <v>50</v>
      </c>
      <c r="P85" s="202">
        <f t="shared" si="23"/>
        <v>0</v>
      </c>
      <c r="Q85" s="35">
        <v>6100</v>
      </c>
      <c r="R85" s="202">
        <f t="shared" si="24"/>
        <v>0</v>
      </c>
    </row>
    <row r="86" spans="1:18" x14ac:dyDescent="0.2">
      <c r="A86" s="25"/>
      <c r="B86" s="25" t="s">
        <v>159</v>
      </c>
      <c r="C86" s="25"/>
      <c r="D86" s="25">
        <v>1</v>
      </c>
      <c r="E86" s="132"/>
      <c r="F86" s="226" t="s">
        <v>42</v>
      </c>
      <c r="G86" s="41">
        <v>0</v>
      </c>
      <c r="H86" s="133"/>
      <c r="I86" s="35">
        <v>0</v>
      </c>
      <c r="J86" s="202">
        <f t="shared" si="19"/>
        <v>0</v>
      </c>
      <c r="K86" s="225">
        <v>0</v>
      </c>
      <c r="L86" s="214"/>
      <c r="M86" s="35">
        <v>0</v>
      </c>
      <c r="N86" s="202">
        <f t="shared" si="22"/>
        <v>0</v>
      </c>
      <c r="O86" s="35">
        <v>0</v>
      </c>
      <c r="P86" s="202">
        <f t="shared" si="23"/>
        <v>0</v>
      </c>
      <c r="Q86" s="35">
        <v>0</v>
      </c>
      <c r="R86" s="202">
        <f t="shared" si="24"/>
        <v>0</v>
      </c>
    </row>
    <row r="87" spans="1:18" x14ac:dyDescent="0.2">
      <c r="A87" s="25"/>
      <c r="B87" s="25" t="s">
        <v>160</v>
      </c>
      <c r="C87" s="25"/>
      <c r="D87" s="25">
        <v>1</v>
      </c>
      <c r="E87" s="132"/>
      <c r="F87" s="226" t="s">
        <v>42</v>
      </c>
      <c r="G87" s="41">
        <v>0</v>
      </c>
      <c r="H87" s="133"/>
      <c r="I87" s="35">
        <v>0</v>
      </c>
      <c r="J87" s="202">
        <f t="shared" si="19"/>
        <v>0</v>
      </c>
      <c r="K87" s="225">
        <v>0</v>
      </c>
      <c r="L87" s="214"/>
      <c r="M87" s="35">
        <v>0</v>
      </c>
      <c r="N87" s="202">
        <f t="shared" si="22"/>
        <v>0</v>
      </c>
      <c r="O87" s="35">
        <v>0</v>
      </c>
      <c r="P87" s="202">
        <f t="shared" si="23"/>
        <v>0</v>
      </c>
      <c r="Q87" s="35">
        <v>0</v>
      </c>
      <c r="R87" s="202">
        <f t="shared" si="24"/>
        <v>0</v>
      </c>
    </row>
    <row r="88" spans="1:18" x14ac:dyDescent="0.2">
      <c r="A88" s="25"/>
      <c r="B88" s="133"/>
      <c r="C88" s="133"/>
      <c r="D88" s="25">
        <v>1</v>
      </c>
      <c r="E88" s="132"/>
      <c r="F88" s="226"/>
      <c r="G88" s="41">
        <v>0</v>
      </c>
      <c r="H88" s="133"/>
      <c r="I88" s="35">
        <v>0</v>
      </c>
      <c r="J88" s="202">
        <f t="shared" si="19"/>
        <v>0</v>
      </c>
      <c r="K88" s="225">
        <v>0</v>
      </c>
      <c r="L88" s="214"/>
      <c r="M88" s="35">
        <v>0</v>
      </c>
      <c r="N88" s="202">
        <f t="shared" si="22"/>
        <v>0</v>
      </c>
      <c r="O88" s="35">
        <v>0</v>
      </c>
      <c r="P88" s="202">
        <f t="shared" si="23"/>
        <v>0</v>
      </c>
      <c r="Q88" s="35">
        <v>0</v>
      </c>
      <c r="R88" s="202">
        <f t="shared" si="24"/>
        <v>0</v>
      </c>
    </row>
    <row r="89" spans="1:18" ht="13.5" thickBot="1" x14ac:dyDescent="0.25">
      <c r="A89" s="25"/>
      <c r="B89" s="133"/>
      <c r="C89" s="133"/>
      <c r="D89" s="25">
        <v>1</v>
      </c>
      <c r="E89" s="132"/>
      <c r="F89" s="226"/>
      <c r="G89" s="41">
        <v>0</v>
      </c>
      <c r="H89" s="133"/>
      <c r="I89" s="35">
        <v>0</v>
      </c>
      <c r="J89" s="202">
        <f>E89*H89</f>
        <v>0</v>
      </c>
      <c r="K89" s="225">
        <v>0</v>
      </c>
      <c r="L89" s="214"/>
      <c r="M89" s="35">
        <v>0</v>
      </c>
      <c r="N89" s="202">
        <f t="shared" si="22"/>
        <v>0</v>
      </c>
      <c r="O89" s="35">
        <v>0</v>
      </c>
      <c r="P89" s="202">
        <f t="shared" si="23"/>
        <v>0</v>
      </c>
      <c r="Q89" s="35">
        <v>0</v>
      </c>
      <c r="R89" s="202">
        <f t="shared" si="24"/>
        <v>0</v>
      </c>
    </row>
    <row r="90" spans="1:18" ht="13.5" thickBot="1" x14ac:dyDescent="0.25">
      <c r="A90" s="25" t="s">
        <v>37</v>
      </c>
      <c r="B90" s="25"/>
      <c r="C90" s="25"/>
      <c r="D90" s="25"/>
      <c r="E90" s="197"/>
      <c r="F90" s="25"/>
      <c r="G90" s="25"/>
      <c r="H90" s="197"/>
      <c r="I90" s="121">
        <v>322.37120684318927</v>
      </c>
      <c r="J90" s="204">
        <f>+SUM(J73:J89)</f>
        <v>0</v>
      </c>
      <c r="K90" s="35"/>
      <c r="L90" s="195"/>
      <c r="M90" s="121">
        <v>0</v>
      </c>
      <c r="N90" s="204">
        <f>+SUM(N73:N89)</f>
        <v>0</v>
      </c>
      <c r="O90" s="121">
        <v>322.37120684318927</v>
      </c>
      <c r="P90" s="204">
        <f>+SUM(P73:P89)</f>
        <v>0</v>
      </c>
      <c r="Q90" s="121">
        <v>39329.287234869094</v>
      </c>
      <c r="R90" s="204">
        <f>+SUM(R73:R89)</f>
        <v>0</v>
      </c>
    </row>
    <row r="91" spans="1:18" ht="14.25" thickTop="1" thickBot="1" x14ac:dyDescent="0.25">
      <c r="A91" s="25" t="s">
        <v>52</v>
      </c>
      <c r="B91" s="25"/>
      <c r="C91" s="25"/>
      <c r="D91" s="25"/>
      <c r="E91" s="197"/>
      <c r="F91" s="25"/>
      <c r="G91" s="25"/>
      <c r="H91" s="197"/>
      <c r="I91" s="87">
        <v>1301.8395234684604</v>
      </c>
      <c r="J91" s="205">
        <f>+J67+J90</f>
        <v>0</v>
      </c>
      <c r="K91" s="35"/>
      <c r="L91" s="195"/>
      <c r="M91" s="87">
        <v>0</v>
      </c>
      <c r="N91" s="205">
        <f>+N67+N90</f>
        <v>0</v>
      </c>
      <c r="O91" s="87">
        <v>1301.8395234684604</v>
      </c>
      <c r="P91" s="205">
        <f>+P67+P90</f>
        <v>0</v>
      </c>
      <c r="Q91" s="87">
        <v>158824.42186315212</v>
      </c>
      <c r="R91" s="205">
        <f>+R67+R90</f>
        <v>0</v>
      </c>
    </row>
    <row r="92" spans="1:18" ht="13.5" thickTop="1" x14ac:dyDescent="0.2">
      <c r="A92" s="25"/>
      <c r="B92" s="25"/>
      <c r="C92" s="25"/>
      <c r="D92" s="25"/>
      <c r="E92" s="197"/>
      <c r="F92" s="25"/>
      <c r="G92" s="25"/>
      <c r="H92" s="197"/>
      <c r="I92" s="35"/>
      <c r="J92" s="184"/>
      <c r="K92" s="35"/>
      <c r="L92" s="195"/>
      <c r="M92" s="35"/>
      <c r="N92" s="184"/>
      <c r="O92" s="35"/>
      <c r="P92" s="184"/>
      <c r="Q92" s="35"/>
      <c r="R92" s="184"/>
    </row>
    <row r="93" spans="1:18" x14ac:dyDescent="0.2">
      <c r="A93" s="25" t="s">
        <v>153</v>
      </c>
      <c r="B93" s="25"/>
      <c r="C93" s="25"/>
      <c r="D93" s="25"/>
      <c r="E93" s="197"/>
      <c r="F93" s="25"/>
      <c r="G93" s="25"/>
      <c r="H93" s="197"/>
      <c r="I93" s="35">
        <v>222.16047653153964</v>
      </c>
      <c r="J93" s="202">
        <f>+J14-J91</f>
        <v>0</v>
      </c>
      <c r="K93" s="35"/>
      <c r="L93" s="195"/>
      <c r="M93" s="35">
        <v>0</v>
      </c>
      <c r="N93" s="202">
        <f>+N14-N91</f>
        <v>0</v>
      </c>
      <c r="O93" s="35">
        <v>222.16047653153964</v>
      </c>
      <c r="P93" s="202">
        <f>+P14-P91</f>
        <v>0</v>
      </c>
      <c r="Q93" s="35">
        <v>27103.578136847878</v>
      </c>
      <c r="R93" s="202">
        <f>+R14-R91</f>
        <v>0</v>
      </c>
    </row>
    <row r="94" spans="1:18" x14ac:dyDescent="0.2">
      <c r="A94" s="25"/>
      <c r="B94" s="25"/>
      <c r="C94" s="25"/>
      <c r="D94" s="25"/>
      <c r="E94" s="197"/>
      <c r="F94" s="25"/>
      <c r="G94" s="25"/>
      <c r="H94" s="197"/>
      <c r="I94" s="35"/>
      <c r="J94" s="206"/>
      <c r="K94" s="35"/>
      <c r="L94" s="195"/>
      <c r="M94" s="35"/>
      <c r="N94" s="195"/>
      <c r="O94" s="35"/>
      <c r="P94" s="195"/>
      <c r="Q94" s="35"/>
      <c r="R94" s="206"/>
    </row>
    <row r="95" spans="1:18" ht="13.5" thickBot="1" x14ac:dyDescent="0.25">
      <c r="A95" s="44" t="s">
        <v>38</v>
      </c>
      <c r="B95" s="44"/>
      <c r="C95" s="44"/>
      <c r="D95" s="44"/>
      <c r="E95" s="201"/>
      <c r="F95" s="44"/>
      <c r="G95" s="45">
        <v>0.65189301564564028</v>
      </c>
      <c r="H95" s="212" t="str">
        <f>IF(E10=0,"n/a",(YTotExp-(YTotExp+YTotRet-J10))/E10)</f>
        <v>n/a</v>
      </c>
      <c r="I95" s="44" t="s">
        <v>83</v>
      </c>
      <c r="J95" s="207"/>
      <c r="K95" s="44"/>
      <c r="L95" s="201"/>
      <c r="M95" s="44"/>
      <c r="N95" s="201"/>
      <c r="O95" s="44"/>
      <c r="P95" s="201"/>
      <c r="Q95" s="44"/>
      <c r="R95" s="207"/>
    </row>
    <row r="96" spans="1:18" ht="13.5" thickTop="1" x14ac:dyDescent="0.2"/>
    <row r="97" spans="1:18" s="17" customFormat="1" ht="15.75" x14ac:dyDescent="0.25">
      <c r="A97"/>
      <c r="B97" s="88"/>
      <c r="C97" s="89"/>
      <c r="D97" s="234" t="s">
        <v>115</v>
      </c>
      <c r="E97" s="235"/>
      <c r="F97" s="235"/>
      <c r="G97" s="235"/>
      <c r="H97" s="235"/>
      <c r="I97" s="235"/>
      <c r="J97" s="99"/>
      <c r="K97" s="99"/>
      <c r="M97"/>
      <c r="N97"/>
    </row>
    <row r="98" spans="1:18" s="17" customFormat="1" ht="15.75" x14ac:dyDescent="0.25">
      <c r="A98"/>
      <c r="B98" s="19" t="s">
        <v>116</v>
      </c>
      <c r="C98" s="19" t="s">
        <v>116</v>
      </c>
      <c r="D98" s="126" t="s">
        <v>170</v>
      </c>
      <c r="E98" s="18"/>
      <c r="F98" s="18"/>
      <c r="G98" s="126" t="s">
        <v>170</v>
      </c>
      <c r="H98" s="18"/>
      <c r="I98" s="18"/>
      <c r="J98" s="18"/>
      <c r="K98" s="18"/>
      <c r="M98"/>
      <c r="N98"/>
    </row>
    <row r="99" spans="1:18" s="17" customFormat="1" x14ac:dyDescent="0.2">
      <c r="A99"/>
      <c r="B99" s="19" t="s">
        <v>81</v>
      </c>
      <c r="C99" s="19" t="s">
        <v>81</v>
      </c>
      <c r="D99" s="126" t="s">
        <v>157</v>
      </c>
      <c r="E99" s="122"/>
      <c r="F99" s="122"/>
      <c r="G99" s="126" t="s">
        <v>11</v>
      </c>
      <c r="H99" s="122"/>
      <c r="I99" s="122"/>
      <c r="J99" s="122"/>
      <c r="K99" s="122"/>
      <c r="M99"/>
      <c r="N99"/>
    </row>
    <row r="100" spans="1:18" s="17" customFormat="1" x14ac:dyDescent="0.2">
      <c r="A100"/>
      <c r="B100" s="19" t="s">
        <v>30</v>
      </c>
      <c r="C100" s="99" t="s">
        <v>83</v>
      </c>
      <c r="D100" s="126" t="s">
        <v>99</v>
      </c>
      <c r="E100" s="122"/>
      <c r="F100" s="122"/>
      <c r="G100" s="126" t="s">
        <v>99</v>
      </c>
      <c r="H100" s="19"/>
      <c r="I100" s="19"/>
      <c r="J100" s="19"/>
      <c r="K100" s="19"/>
      <c r="M100"/>
      <c r="N100"/>
    </row>
    <row r="101" spans="1:18" s="17" customFormat="1" x14ac:dyDescent="0.2">
      <c r="A101"/>
      <c r="B101" s="90">
        <v>0.75</v>
      </c>
      <c r="C101" s="91">
        <v>1125</v>
      </c>
      <c r="D101" s="92">
        <v>0.58263850366690761</v>
      </c>
      <c r="E101" s="93"/>
      <c r="F101" s="94"/>
      <c r="G101" s="92">
        <v>0.86919068752752027</v>
      </c>
      <c r="H101" s="93"/>
      <c r="I101" s="93"/>
      <c r="M101"/>
      <c r="N101"/>
    </row>
    <row r="102" spans="1:18" s="17" customFormat="1" x14ac:dyDescent="0.2">
      <c r="A102"/>
      <c r="B102" s="95">
        <v>0.9</v>
      </c>
      <c r="C102" s="96">
        <v>1350</v>
      </c>
      <c r="D102" s="97">
        <v>0.48553208638908968</v>
      </c>
      <c r="E102" s="83"/>
      <c r="F102" s="98"/>
      <c r="G102" s="97">
        <v>0.72432557293960032</v>
      </c>
      <c r="H102" s="83"/>
      <c r="I102" s="83"/>
      <c r="M102"/>
      <c r="N102"/>
    </row>
    <row r="103" spans="1:18" s="17" customFormat="1" x14ac:dyDescent="0.2">
      <c r="A103"/>
      <c r="B103" s="90">
        <v>1</v>
      </c>
      <c r="C103" s="91">
        <v>1500</v>
      </c>
      <c r="D103" s="92">
        <v>0.43697887775018074</v>
      </c>
      <c r="E103" s="93"/>
      <c r="F103" s="94"/>
      <c r="G103" s="92">
        <v>0.65189301564564028</v>
      </c>
      <c r="H103" s="93"/>
      <c r="I103" s="93"/>
      <c r="M103"/>
      <c r="N103"/>
    </row>
    <row r="104" spans="1:18" s="17" customFormat="1" x14ac:dyDescent="0.2">
      <c r="A104"/>
      <c r="B104" s="95">
        <v>1.1000000000000001</v>
      </c>
      <c r="C104" s="96">
        <v>1650.0000000000002</v>
      </c>
      <c r="D104" s="97">
        <v>0.39725352522743695</v>
      </c>
      <c r="E104" s="83"/>
      <c r="F104" s="98"/>
      <c r="G104" s="97">
        <v>0.59263001422330919</v>
      </c>
      <c r="H104" s="83"/>
      <c r="I104" s="83"/>
      <c r="M104"/>
      <c r="N104"/>
    </row>
    <row r="105" spans="1:18" s="17" customFormat="1" x14ac:dyDescent="0.2">
      <c r="A105"/>
      <c r="B105" s="90">
        <v>1.25</v>
      </c>
      <c r="C105" s="91">
        <v>1875</v>
      </c>
      <c r="D105" s="92">
        <v>0.3495831022001446</v>
      </c>
      <c r="E105" s="93"/>
      <c r="F105" s="94"/>
      <c r="G105" s="92">
        <v>0.5215144125165122</v>
      </c>
      <c r="H105" s="93"/>
      <c r="I105" s="93"/>
      <c r="M105"/>
      <c r="N105"/>
    </row>
    <row r="106" spans="1:18" s="17" customFormat="1" x14ac:dyDescent="0.2">
      <c r="A106"/>
      <c r="M106"/>
      <c r="N106"/>
    </row>
    <row r="107" spans="1:18" x14ac:dyDescent="0.2">
      <c r="A107" s="25" t="s">
        <v>536</v>
      </c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ht="26.25" customHeight="1" x14ac:dyDescent="0.2">
      <c r="A109" s="236" t="s">
        <v>140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21"/>
      <c r="N109" s="221"/>
      <c r="O109" s="221"/>
      <c r="P109" s="221"/>
      <c r="Q109" s="221"/>
      <c r="R109" s="221"/>
    </row>
  </sheetData>
  <sheetProtection sheet="1" objects="1" scenarios="1"/>
  <mergeCells count="6">
    <mergeCell ref="D97:I97"/>
    <mergeCell ref="A109:L10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01">
    <tabColor rgb="FF92D050"/>
    <pageSetUpPr fitToPage="1"/>
  </sheetPr>
  <dimension ref="A1:S110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31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502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1500</v>
      </c>
      <c r="E10" s="132"/>
      <c r="F10" s="226" t="s">
        <v>83</v>
      </c>
      <c r="G10" s="31">
        <v>0.8</v>
      </c>
      <c r="H10" s="133"/>
      <c r="I10" s="35">
        <v>1200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1200</v>
      </c>
      <c r="P10" s="202">
        <f>+J10-N10</f>
        <v>0</v>
      </c>
      <c r="Q10" s="35">
        <v>146400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1.2</v>
      </c>
      <c r="E11" s="132"/>
      <c r="F11" s="226" t="s">
        <v>135</v>
      </c>
      <c r="G11" s="31">
        <v>270</v>
      </c>
      <c r="H11" s="133"/>
      <c r="I11" s="35">
        <v>324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324</v>
      </c>
      <c r="P11" s="202">
        <f t="shared" ref="P11:P13" si="3">+J11-N11</f>
        <v>0</v>
      </c>
      <c r="Q11" s="35">
        <v>39528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1524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1524</v>
      </c>
      <c r="P14" s="203">
        <f>SUM(P10:P13)</f>
        <v>0</v>
      </c>
      <c r="Q14" s="36">
        <v>185928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49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446</v>
      </c>
      <c r="D19" s="25">
        <v>1.5</v>
      </c>
      <c r="E19" s="132"/>
      <c r="F19" s="226" t="s">
        <v>311</v>
      </c>
      <c r="G19" s="41">
        <v>2.75</v>
      </c>
      <c r="H19" s="133"/>
      <c r="I19" s="35">
        <v>4.125</v>
      </c>
      <c r="J19" s="202">
        <f t="shared" ref="J19:J43" si="4">E19*H19</f>
        <v>0</v>
      </c>
      <c r="K19" s="225">
        <v>0</v>
      </c>
      <c r="L19" s="214"/>
      <c r="M19" s="35">
        <v>0</v>
      </c>
      <c r="N19" s="202">
        <f t="shared" ref="N19:N43" si="5">J19*L19</f>
        <v>0</v>
      </c>
      <c r="O19" s="35">
        <v>4.125</v>
      </c>
      <c r="P19" s="202">
        <f t="shared" ref="P19:P43" si="6">+J19-N19</f>
        <v>0</v>
      </c>
      <c r="Q19" s="35">
        <v>503.25</v>
      </c>
      <c r="R19" s="202">
        <f t="shared" ref="R19:R43" si="7">+J19*E$7</f>
        <v>0</v>
      </c>
    </row>
    <row r="20" spans="1:18" x14ac:dyDescent="0.2">
      <c r="A20" s="25"/>
      <c r="B20" s="25" t="s">
        <v>501</v>
      </c>
      <c r="C20" s="25" t="s">
        <v>400</v>
      </c>
      <c r="D20" s="25">
        <v>64</v>
      </c>
      <c r="E20" s="132"/>
      <c r="F20" s="226" t="s">
        <v>360</v>
      </c>
      <c r="G20" s="41">
        <v>0.1328125</v>
      </c>
      <c r="H20" s="133"/>
      <c r="I20" s="35">
        <v>8.5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8.5</v>
      </c>
      <c r="P20" s="202">
        <f t="shared" si="6"/>
        <v>0</v>
      </c>
      <c r="Q20" s="35">
        <v>1037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504</v>
      </c>
      <c r="D21" s="25">
        <v>44</v>
      </c>
      <c r="E21" s="132"/>
      <c r="F21" s="226" t="s">
        <v>360</v>
      </c>
      <c r="G21" s="41">
        <v>0.5</v>
      </c>
      <c r="H21" s="133"/>
      <c r="I21" s="35">
        <v>22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22</v>
      </c>
      <c r="P21" s="202">
        <f t="shared" si="6"/>
        <v>0</v>
      </c>
      <c r="Q21" s="35">
        <v>2684</v>
      </c>
      <c r="R21" s="202">
        <f t="shared" si="7"/>
        <v>0</v>
      </c>
    </row>
    <row r="22" spans="1:18" x14ac:dyDescent="0.2">
      <c r="A22" s="25"/>
      <c r="B22" s="25" t="s">
        <v>1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437</v>
      </c>
      <c r="D23" s="25">
        <v>40</v>
      </c>
      <c r="E23" s="132"/>
      <c r="F23" s="226" t="s">
        <v>233</v>
      </c>
      <c r="G23" s="41">
        <v>1.7869565217391303</v>
      </c>
      <c r="H23" s="133"/>
      <c r="I23" s="35">
        <v>71.478260869565219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71.478260869565219</v>
      </c>
      <c r="P23" s="202">
        <f t="shared" si="6"/>
        <v>0</v>
      </c>
      <c r="Q23" s="35">
        <v>8720.347826086956</v>
      </c>
      <c r="R23" s="202">
        <f t="shared" si="7"/>
        <v>0</v>
      </c>
    </row>
    <row r="24" spans="1:18" x14ac:dyDescent="0.2">
      <c r="A24" s="25"/>
      <c r="B24" s="25" t="s">
        <v>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472</v>
      </c>
      <c r="D25" s="25">
        <v>11</v>
      </c>
      <c r="E25" s="132"/>
      <c r="F25" s="226" t="s">
        <v>83</v>
      </c>
      <c r="G25" s="41">
        <v>0.56000000000000005</v>
      </c>
      <c r="H25" s="133"/>
      <c r="I25" s="35">
        <v>6.16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6.16</v>
      </c>
      <c r="P25" s="202">
        <f t="shared" si="6"/>
        <v>0</v>
      </c>
      <c r="Q25" s="35">
        <v>751.52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356</v>
      </c>
      <c r="D26" s="25">
        <v>90</v>
      </c>
      <c r="E26" s="132"/>
      <c r="F26" s="226" t="s">
        <v>83</v>
      </c>
      <c r="G26" s="41">
        <v>1.29</v>
      </c>
      <c r="H26" s="133"/>
      <c r="I26" s="35">
        <v>116.10000000000001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116.10000000000001</v>
      </c>
      <c r="P26" s="202">
        <f t="shared" si="6"/>
        <v>0</v>
      </c>
      <c r="Q26" s="35">
        <v>14164.2</v>
      </c>
      <c r="R26" s="202">
        <f t="shared" si="7"/>
        <v>0</v>
      </c>
    </row>
    <row r="27" spans="1:18" x14ac:dyDescent="0.2">
      <c r="A27" s="25"/>
      <c r="B27" s="25" t="s">
        <v>501</v>
      </c>
      <c r="C27" s="25" t="s">
        <v>422</v>
      </c>
      <c r="D27" s="25">
        <v>140</v>
      </c>
      <c r="E27" s="132"/>
      <c r="F27" s="226" t="s">
        <v>83</v>
      </c>
      <c r="G27" s="41">
        <v>0.53</v>
      </c>
      <c r="H27" s="133"/>
      <c r="I27" s="35">
        <v>74.2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74.2</v>
      </c>
      <c r="P27" s="202">
        <f t="shared" si="6"/>
        <v>0</v>
      </c>
      <c r="Q27" s="35">
        <v>9052.4</v>
      </c>
      <c r="R27" s="202">
        <f t="shared" si="7"/>
        <v>0</v>
      </c>
    </row>
    <row r="28" spans="1:18" x14ac:dyDescent="0.2">
      <c r="A28" s="25"/>
      <c r="B28" s="25" t="s">
        <v>50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442</v>
      </c>
      <c r="D29" s="25">
        <v>1</v>
      </c>
      <c r="E29" s="132"/>
      <c r="F29" s="226" t="s">
        <v>42</v>
      </c>
      <c r="G29" s="41">
        <v>0.5</v>
      </c>
      <c r="H29" s="133"/>
      <c r="I29" s="35">
        <v>0.5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0.5</v>
      </c>
      <c r="P29" s="202">
        <f t="shared" si="6"/>
        <v>0</v>
      </c>
      <c r="Q29" s="35">
        <v>61</v>
      </c>
      <c r="R29" s="202">
        <f t="shared" si="7"/>
        <v>0</v>
      </c>
    </row>
    <row r="30" spans="1:18" x14ac:dyDescent="0.2">
      <c r="A30" s="25"/>
      <c r="B30" s="25" t="s">
        <v>501</v>
      </c>
      <c r="C30" s="25" t="s">
        <v>381</v>
      </c>
      <c r="D30" s="25">
        <v>2</v>
      </c>
      <c r="E30" s="132"/>
      <c r="F30" s="226" t="s">
        <v>42</v>
      </c>
      <c r="G30" s="41">
        <v>6.39</v>
      </c>
      <c r="H30" s="133"/>
      <c r="I30" s="35">
        <v>12.78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12.78</v>
      </c>
      <c r="P30" s="202">
        <f t="shared" si="6"/>
        <v>0</v>
      </c>
      <c r="Q30" s="35">
        <v>1559.1599999999999</v>
      </c>
      <c r="R30" s="202">
        <f t="shared" si="7"/>
        <v>0</v>
      </c>
    </row>
    <row r="31" spans="1:18" x14ac:dyDescent="0.2">
      <c r="A31" s="25"/>
      <c r="B31" s="25" t="s">
        <v>501</v>
      </c>
      <c r="C31" s="25" t="s">
        <v>368</v>
      </c>
      <c r="D31" s="25">
        <v>3</v>
      </c>
      <c r="E31" s="132"/>
      <c r="F31" s="226" t="s">
        <v>369</v>
      </c>
      <c r="G31" s="41">
        <v>15</v>
      </c>
      <c r="H31" s="133"/>
      <c r="I31" s="35">
        <v>45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45</v>
      </c>
      <c r="P31" s="202">
        <f t="shared" si="6"/>
        <v>0</v>
      </c>
      <c r="Q31" s="35">
        <v>5490</v>
      </c>
      <c r="R31" s="202">
        <f t="shared" si="7"/>
        <v>0</v>
      </c>
    </row>
    <row r="32" spans="1:18" x14ac:dyDescent="0.2">
      <c r="A32" s="25"/>
      <c r="B32" s="25" t="s">
        <v>501</v>
      </c>
      <c r="C32" s="25" t="s">
        <v>397</v>
      </c>
      <c r="D32" s="25">
        <v>53.57</v>
      </c>
      <c r="E32" s="132"/>
      <c r="F32" s="226" t="s">
        <v>7</v>
      </c>
      <c r="G32" s="41">
        <v>3.75</v>
      </c>
      <c r="H32" s="133"/>
      <c r="I32" s="35">
        <v>200.88749999999999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200.88749999999999</v>
      </c>
      <c r="P32" s="202">
        <f t="shared" si="6"/>
        <v>0</v>
      </c>
      <c r="Q32" s="35">
        <v>24508.274999999998</v>
      </c>
      <c r="R32" s="202">
        <f t="shared" si="7"/>
        <v>0</v>
      </c>
    </row>
    <row r="33" spans="1:18" x14ac:dyDescent="0.2">
      <c r="A33" s="25"/>
      <c r="B33" s="25" t="s">
        <v>27</v>
      </c>
      <c r="C33" s="25"/>
      <c r="D33" s="25"/>
      <c r="E33" s="25"/>
      <c r="F33" s="25"/>
      <c r="G33" s="25"/>
      <c r="H33" s="25"/>
      <c r="I33" s="25"/>
      <c r="J33" s="25"/>
      <c r="K33" s="225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5" t="s">
        <v>501</v>
      </c>
      <c r="C34" s="25" t="s">
        <v>413</v>
      </c>
      <c r="D34" s="25">
        <v>1</v>
      </c>
      <c r="E34" s="132"/>
      <c r="F34" s="226" t="s">
        <v>42</v>
      </c>
      <c r="G34" s="41">
        <v>25.98</v>
      </c>
      <c r="H34" s="133"/>
      <c r="I34" s="35">
        <v>25.98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25.98</v>
      </c>
      <c r="P34" s="202">
        <f t="shared" si="6"/>
        <v>0</v>
      </c>
      <c r="Q34" s="35">
        <v>3169.56</v>
      </c>
      <c r="R34" s="202">
        <f t="shared" si="7"/>
        <v>0</v>
      </c>
    </row>
    <row r="35" spans="1:18" x14ac:dyDescent="0.2">
      <c r="A35" s="25"/>
      <c r="B35" s="25" t="s">
        <v>501</v>
      </c>
      <c r="C35" s="25" t="s">
        <v>370</v>
      </c>
      <c r="D35" s="25">
        <v>3</v>
      </c>
      <c r="E35" s="132"/>
      <c r="F35" s="226" t="s">
        <v>369</v>
      </c>
      <c r="G35" s="41">
        <v>1</v>
      </c>
      <c r="H35" s="133"/>
      <c r="I35" s="35">
        <v>3</v>
      </c>
      <c r="J35" s="202">
        <f t="shared" si="4"/>
        <v>0</v>
      </c>
      <c r="K35" s="225">
        <v>0</v>
      </c>
      <c r="L35" s="214"/>
      <c r="M35" s="35">
        <v>0</v>
      </c>
      <c r="N35" s="202">
        <f t="shared" si="5"/>
        <v>0</v>
      </c>
      <c r="O35" s="35">
        <v>3</v>
      </c>
      <c r="P35" s="202">
        <f t="shared" si="6"/>
        <v>0</v>
      </c>
      <c r="Q35" s="35">
        <v>366</v>
      </c>
      <c r="R35" s="202">
        <f t="shared" si="7"/>
        <v>0</v>
      </c>
    </row>
    <row r="36" spans="1:18" x14ac:dyDescent="0.2">
      <c r="A36" s="25"/>
      <c r="B36" s="25" t="s">
        <v>103</v>
      </c>
      <c r="C36" s="25"/>
      <c r="D36" s="25"/>
      <c r="E36" s="25"/>
      <c r="F36" s="25"/>
      <c r="G36" s="25"/>
      <c r="H36" s="25"/>
      <c r="I36" s="25"/>
      <c r="J36" s="25"/>
      <c r="K36" s="225"/>
      <c r="L36" s="25"/>
      <c r="M36" s="25"/>
      <c r="N36" s="25"/>
      <c r="O36" s="25"/>
      <c r="P36" s="25"/>
      <c r="Q36" s="25"/>
      <c r="R36" s="25"/>
    </row>
    <row r="37" spans="1:18" x14ac:dyDescent="0.2">
      <c r="A37" s="25"/>
      <c r="B37" s="25" t="s">
        <v>501</v>
      </c>
      <c r="C37" s="25" t="s">
        <v>419</v>
      </c>
      <c r="D37" s="25">
        <v>16</v>
      </c>
      <c r="E37" s="132"/>
      <c r="F37" s="226" t="s">
        <v>360</v>
      </c>
      <c r="G37" s="41">
        <v>6.25E-2</v>
      </c>
      <c r="H37" s="133"/>
      <c r="I37" s="35">
        <v>1</v>
      </c>
      <c r="J37" s="202">
        <f t="shared" si="4"/>
        <v>0</v>
      </c>
      <c r="K37" s="225">
        <v>0</v>
      </c>
      <c r="L37" s="214"/>
      <c r="M37" s="35">
        <v>0</v>
      </c>
      <c r="N37" s="202">
        <f t="shared" si="5"/>
        <v>0</v>
      </c>
      <c r="O37" s="35">
        <v>1</v>
      </c>
      <c r="P37" s="202">
        <f t="shared" si="6"/>
        <v>0</v>
      </c>
      <c r="Q37" s="35">
        <v>122</v>
      </c>
      <c r="R37" s="202">
        <f t="shared" si="7"/>
        <v>0</v>
      </c>
    </row>
    <row r="38" spans="1:18" x14ac:dyDescent="0.2">
      <c r="A38" s="25"/>
      <c r="B38" s="25" t="s">
        <v>80</v>
      </c>
      <c r="C38" s="25"/>
      <c r="D38" s="25"/>
      <c r="E38" s="25"/>
      <c r="F38" s="25"/>
      <c r="G38" s="25"/>
      <c r="H38" s="25"/>
      <c r="I38" s="25"/>
      <c r="J38" s="25"/>
      <c r="K38" s="225"/>
      <c r="L38" s="25"/>
      <c r="M38" s="25"/>
      <c r="N38" s="25"/>
      <c r="O38" s="25"/>
      <c r="P38" s="25"/>
      <c r="Q38" s="25"/>
      <c r="R38" s="25"/>
    </row>
    <row r="39" spans="1:18" x14ac:dyDescent="0.2">
      <c r="A39" s="25"/>
      <c r="B39" s="25" t="s">
        <v>501</v>
      </c>
      <c r="C39" s="25" t="s">
        <v>390</v>
      </c>
      <c r="D39" s="25">
        <v>1.5</v>
      </c>
      <c r="E39" s="132"/>
      <c r="F39" s="226" t="s">
        <v>311</v>
      </c>
      <c r="G39" s="41">
        <v>3.8125</v>
      </c>
      <c r="H39" s="133"/>
      <c r="I39" s="35">
        <v>5.71875</v>
      </c>
      <c r="J39" s="202">
        <f t="shared" si="4"/>
        <v>0</v>
      </c>
      <c r="K39" s="225">
        <v>0</v>
      </c>
      <c r="L39" s="214"/>
      <c r="M39" s="35">
        <v>0</v>
      </c>
      <c r="N39" s="202">
        <f t="shared" si="5"/>
        <v>0</v>
      </c>
      <c r="O39" s="35">
        <v>5.71875</v>
      </c>
      <c r="P39" s="202">
        <f t="shared" si="6"/>
        <v>0</v>
      </c>
      <c r="Q39" s="35">
        <v>697.6875</v>
      </c>
      <c r="R39" s="202">
        <f t="shared" si="7"/>
        <v>0</v>
      </c>
    </row>
    <row r="40" spans="1:18" x14ac:dyDescent="0.2">
      <c r="A40" s="25"/>
      <c r="B40" s="25" t="s">
        <v>501</v>
      </c>
      <c r="C40" s="25" t="s">
        <v>395</v>
      </c>
      <c r="D40" s="25">
        <v>28</v>
      </c>
      <c r="E40" s="132"/>
      <c r="F40" s="226" t="s">
        <v>360</v>
      </c>
      <c r="G40" s="41">
        <v>0.1796875</v>
      </c>
      <c r="H40" s="133"/>
      <c r="I40" s="35">
        <v>5.03125</v>
      </c>
      <c r="J40" s="202">
        <f t="shared" si="4"/>
        <v>0</v>
      </c>
      <c r="K40" s="225">
        <v>0</v>
      </c>
      <c r="L40" s="214"/>
      <c r="M40" s="35">
        <v>0</v>
      </c>
      <c r="N40" s="202">
        <f t="shared" si="5"/>
        <v>0</v>
      </c>
      <c r="O40" s="35">
        <v>5.03125</v>
      </c>
      <c r="P40" s="202">
        <f t="shared" si="6"/>
        <v>0</v>
      </c>
      <c r="Q40" s="35">
        <v>613.8125</v>
      </c>
      <c r="R40" s="202">
        <f t="shared" si="7"/>
        <v>0</v>
      </c>
    </row>
    <row r="41" spans="1:18" x14ac:dyDescent="0.2">
      <c r="A41" s="25"/>
      <c r="B41" s="25" t="s">
        <v>501</v>
      </c>
      <c r="C41" s="25" t="s">
        <v>500</v>
      </c>
      <c r="D41" s="25">
        <v>5</v>
      </c>
      <c r="E41" s="132"/>
      <c r="F41" s="226" t="s">
        <v>360</v>
      </c>
      <c r="G41" s="41">
        <v>0.921875</v>
      </c>
      <c r="H41" s="133"/>
      <c r="I41" s="35">
        <v>4.609375</v>
      </c>
      <c r="J41" s="202">
        <f t="shared" si="4"/>
        <v>0</v>
      </c>
      <c r="K41" s="225">
        <v>0</v>
      </c>
      <c r="L41" s="214"/>
      <c r="M41" s="35">
        <v>0</v>
      </c>
      <c r="N41" s="202">
        <f t="shared" si="5"/>
        <v>0</v>
      </c>
      <c r="O41" s="35">
        <v>4.609375</v>
      </c>
      <c r="P41" s="202">
        <f t="shared" si="6"/>
        <v>0</v>
      </c>
      <c r="Q41" s="35">
        <v>562.34375</v>
      </c>
      <c r="R41" s="202">
        <f t="shared" si="7"/>
        <v>0</v>
      </c>
    </row>
    <row r="42" spans="1:18" x14ac:dyDescent="0.2">
      <c r="A42" s="25"/>
      <c r="B42" s="133"/>
      <c r="C42" s="133"/>
      <c r="D42" s="25">
        <v>0</v>
      </c>
      <c r="E42" s="132"/>
      <c r="F42" s="226"/>
      <c r="G42" s="41">
        <v>0</v>
      </c>
      <c r="H42" s="133"/>
      <c r="I42" s="35">
        <v>0</v>
      </c>
      <c r="J42" s="202">
        <f t="shared" si="4"/>
        <v>0</v>
      </c>
      <c r="K42" s="225">
        <v>0</v>
      </c>
      <c r="L42" s="214"/>
      <c r="M42" s="35">
        <v>0</v>
      </c>
      <c r="N42" s="202">
        <f t="shared" si="5"/>
        <v>0</v>
      </c>
      <c r="O42" s="35">
        <v>0</v>
      </c>
      <c r="P42" s="202">
        <f t="shared" si="6"/>
        <v>0</v>
      </c>
      <c r="Q42" s="35">
        <v>0</v>
      </c>
      <c r="R42" s="202">
        <f t="shared" si="7"/>
        <v>0</v>
      </c>
    </row>
    <row r="43" spans="1:18" x14ac:dyDescent="0.2">
      <c r="A43" s="25"/>
      <c r="B43" s="133"/>
      <c r="C43" s="133"/>
      <c r="D43" s="25">
        <v>0</v>
      </c>
      <c r="E43" s="132"/>
      <c r="F43" s="226"/>
      <c r="G43" s="41">
        <v>0</v>
      </c>
      <c r="H43" s="133"/>
      <c r="I43" s="35">
        <v>0</v>
      </c>
      <c r="J43" s="202">
        <f t="shared" si="4"/>
        <v>0</v>
      </c>
      <c r="K43" s="225">
        <v>0</v>
      </c>
      <c r="L43" s="214"/>
      <c r="M43" s="35">
        <v>0</v>
      </c>
      <c r="N43" s="202">
        <f t="shared" si="5"/>
        <v>0</v>
      </c>
      <c r="O43" s="35">
        <v>0</v>
      </c>
      <c r="P43" s="202">
        <f t="shared" si="6"/>
        <v>0</v>
      </c>
      <c r="Q43" s="35">
        <v>0</v>
      </c>
      <c r="R43" s="202">
        <f t="shared" si="7"/>
        <v>0</v>
      </c>
    </row>
    <row r="44" spans="1:18" x14ac:dyDescent="0.2">
      <c r="A44" s="25"/>
      <c r="B44" s="133"/>
      <c r="C44" s="133"/>
      <c r="D44" s="25">
        <v>0</v>
      </c>
      <c r="E44" s="132"/>
      <c r="F44" s="226"/>
      <c r="G44" s="41">
        <v>0</v>
      </c>
      <c r="H44" s="133"/>
      <c r="I44" s="35">
        <v>0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0</v>
      </c>
      <c r="P44" s="202">
        <f>+J44-N44</f>
        <v>0</v>
      </c>
      <c r="Q44" s="35">
        <v>0</v>
      </c>
      <c r="R44" s="202">
        <f>+J44*E$7</f>
        <v>0</v>
      </c>
    </row>
    <row r="45" spans="1:18" x14ac:dyDescent="0.2">
      <c r="A45" s="25"/>
      <c r="B45" s="25" t="s">
        <v>45</v>
      </c>
      <c r="C45" s="25"/>
      <c r="D45" s="25"/>
      <c r="E45" s="209"/>
      <c r="F45" s="21"/>
      <c r="G45" s="41"/>
      <c r="H45" s="198"/>
      <c r="I45" s="186"/>
      <c r="J45" s="184"/>
      <c r="K45" s="225"/>
      <c r="L45" s="198"/>
      <c r="M45" s="35"/>
      <c r="N45" s="184"/>
      <c r="O45" s="35"/>
      <c r="P45" s="184"/>
      <c r="Q45" s="35"/>
      <c r="R45" s="184"/>
    </row>
    <row r="46" spans="1:18" x14ac:dyDescent="0.2">
      <c r="A46" s="25"/>
      <c r="B46" s="25"/>
      <c r="C46" s="25" t="s">
        <v>146</v>
      </c>
      <c r="D46" s="34">
        <v>17.989999999999998</v>
      </c>
      <c r="E46" s="132"/>
      <c r="F46" s="226" t="s">
        <v>141</v>
      </c>
      <c r="G46" s="41">
        <v>12.576539114798555</v>
      </c>
      <c r="H46" s="133"/>
      <c r="I46" s="35">
        <v>226.25193867522597</v>
      </c>
      <c r="J46" s="202">
        <f t="shared" ref="J46:J47" si="8">E46*H46</f>
        <v>0</v>
      </c>
      <c r="K46" s="225">
        <v>0</v>
      </c>
      <c r="L46" s="214"/>
      <c r="M46" s="35">
        <v>0</v>
      </c>
      <c r="N46" s="202">
        <f t="shared" ref="N46:N47" si="9">J46*L46</f>
        <v>0</v>
      </c>
      <c r="O46" s="35">
        <v>226.25193867522597</v>
      </c>
      <c r="P46" s="202">
        <f t="shared" ref="P46:P47" si="10">+J46-N46</f>
        <v>0</v>
      </c>
      <c r="Q46" s="35">
        <v>27602.736518377569</v>
      </c>
      <c r="R46" s="202">
        <f t="shared" ref="R46:R47" si="11">+J46*E$7</f>
        <v>0</v>
      </c>
    </row>
    <row r="47" spans="1:18" x14ac:dyDescent="0.2">
      <c r="A47" s="25"/>
      <c r="B47" s="25"/>
      <c r="C47" s="25" t="s">
        <v>136</v>
      </c>
      <c r="D47" s="34">
        <v>3.0394000000000001</v>
      </c>
      <c r="E47" s="132"/>
      <c r="F47" s="226" t="s">
        <v>44</v>
      </c>
      <c r="G47" s="41">
        <v>17.5</v>
      </c>
      <c r="H47" s="133"/>
      <c r="I47" s="35">
        <v>53.189500000000002</v>
      </c>
      <c r="J47" s="202">
        <f t="shared" si="8"/>
        <v>0</v>
      </c>
      <c r="K47" s="225">
        <v>0</v>
      </c>
      <c r="L47" s="214"/>
      <c r="M47" s="35">
        <v>0</v>
      </c>
      <c r="N47" s="202">
        <f t="shared" si="9"/>
        <v>0</v>
      </c>
      <c r="O47" s="35">
        <v>53.189500000000002</v>
      </c>
      <c r="P47" s="202">
        <f t="shared" si="10"/>
        <v>0</v>
      </c>
      <c r="Q47" s="35">
        <v>6489.1190000000006</v>
      </c>
      <c r="R47" s="202">
        <f t="shared" si="11"/>
        <v>0</v>
      </c>
    </row>
    <row r="48" spans="1:18" x14ac:dyDescent="0.2">
      <c r="A48" s="25"/>
      <c r="B48" s="25" t="s">
        <v>108</v>
      </c>
      <c r="C48" s="25"/>
      <c r="D48" s="25"/>
      <c r="E48" s="105"/>
      <c r="H48" s="105"/>
      <c r="I48" s="124"/>
      <c r="J48" s="105"/>
      <c r="K48" s="225"/>
      <c r="L48" s="105"/>
      <c r="N48" s="105"/>
      <c r="P48" s="105"/>
      <c r="R48" s="105"/>
    </row>
    <row r="49" spans="1:18" x14ac:dyDescent="0.2">
      <c r="A49" s="25"/>
      <c r="B49" s="25"/>
      <c r="C49" s="25" t="s">
        <v>105</v>
      </c>
      <c r="D49" s="25">
        <v>1.42</v>
      </c>
      <c r="E49" s="132"/>
      <c r="F49" s="226" t="s">
        <v>44</v>
      </c>
      <c r="G49" s="41">
        <v>17.21</v>
      </c>
      <c r="H49" s="133"/>
      <c r="I49" s="35">
        <v>24.438199999999998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24.438199999999998</v>
      </c>
      <c r="P49" s="202">
        <f>+J49-N49</f>
        <v>0</v>
      </c>
      <c r="Q49" s="35">
        <v>2981.4603999999999</v>
      </c>
      <c r="R49" s="202">
        <f>+J49*E$7</f>
        <v>0</v>
      </c>
    </row>
    <row r="50" spans="1:18" x14ac:dyDescent="0.2">
      <c r="A50" s="25"/>
      <c r="B50" s="25"/>
      <c r="C50" s="25" t="s">
        <v>107</v>
      </c>
      <c r="D50" s="25">
        <v>0.22</v>
      </c>
      <c r="E50" s="132"/>
      <c r="F50" s="226" t="s">
        <v>44</v>
      </c>
      <c r="G50" s="41">
        <v>17.21</v>
      </c>
      <c r="H50" s="133"/>
      <c r="I50" s="35">
        <v>3.7862</v>
      </c>
      <c r="J50" s="202">
        <f>E50*H50</f>
        <v>0</v>
      </c>
      <c r="K50" s="225">
        <v>0</v>
      </c>
      <c r="L50" s="214"/>
      <c r="M50" s="35">
        <v>0</v>
      </c>
      <c r="N50" s="202">
        <f>J50*L50</f>
        <v>0</v>
      </c>
      <c r="O50" s="35">
        <v>3.7862</v>
      </c>
      <c r="P50" s="202">
        <f>+J50-N50</f>
        <v>0</v>
      </c>
      <c r="Q50" s="35">
        <v>461.91640000000001</v>
      </c>
      <c r="R50" s="202">
        <f>+J50*E$7</f>
        <v>0</v>
      </c>
    </row>
    <row r="51" spans="1:18" x14ac:dyDescent="0.2">
      <c r="A51" s="25"/>
      <c r="B51" s="25"/>
      <c r="C51" s="25"/>
      <c r="D51" s="25"/>
      <c r="E51" s="209"/>
      <c r="F51" s="21"/>
      <c r="G51" s="41"/>
      <c r="H51" s="198"/>
      <c r="I51" s="35"/>
      <c r="J51" s="184"/>
      <c r="K51" s="225"/>
      <c r="L51" s="198"/>
      <c r="M51" s="35"/>
      <c r="N51" s="184"/>
      <c r="O51" s="35"/>
      <c r="P51" s="184"/>
      <c r="Q51" s="35"/>
      <c r="R51" s="184"/>
    </row>
    <row r="52" spans="1:18" x14ac:dyDescent="0.2">
      <c r="A52" s="25"/>
      <c r="B52" s="25" t="s">
        <v>51</v>
      </c>
      <c r="C52" s="25"/>
      <c r="D52" s="25"/>
      <c r="E52" s="209"/>
      <c r="F52" s="21"/>
      <c r="G52" s="41"/>
      <c r="H52" s="198"/>
      <c r="I52" s="186"/>
      <c r="J52" s="184"/>
      <c r="K52" s="225"/>
      <c r="L52" s="198"/>
      <c r="M52" s="35"/>
      <c r="N52" s="184"/>
      <c r="O52" s="35"/>
      <c r="P52" s="184"/>
      <c r="Q52" s="35"/>
      <c r="R52" s="184"/>
    </row>
    <row r="53" spans="1:18" x14ac:dyDescent="0.2">
      <c r="A53" s="25"/>
      <c r="B53" s="25"/>
      <c r="C53" s="25" t="s">
        <v>104</v>
      </c>
      <c r="D53" s="25">
        <v>1</v>
      </c>
      <c r="E53" s="132"/>
      <c r="F53" s="226" t="s">
        <v>42</v>
      </c>
      <c r="G53" s="41">
        <v>0</v>
      </c>
      <c r="H53" s="133"/>
      <c r="I53" s="35">
        <v>0</v>
      </c>
      <c r="J53" s="202">
        <f>E53*H53</f>
        <v>0</v>
      </c>
      <c r="K53" s="225">
        <v>0</v>
      </c>
      <c r="L53" s="214"/>
      <c r="M53" s="35">
        <v>0</v>
      </c>
      <c r="N53" s="202">
        <f>J53*L53</f>
        <v>0</v>
      </c>
      <c r="O53" s="35">
        <v>0</v>
      </c>
      <c r="P53" s="202">
        <f>+J53-N53</f>
        <v>0</v>
      </c>
      <c r="Q53" s="35">
        <v>0</v>
      </c>
      <c r="R53" s="202">
        <f>+J53*E$7</f>
        <v>0</v>
      </c>
    </row>
    <row r="54" spans="1:18" x14ac:dyDescent="0.2">
      <c r="A54" s="25"/>
      <c r="B54" s="25"/>
      <c r="C54" s="25" t="s">
        <v>105</v>
      </c>
      <c r="D54" s="25">
        <v>13.33</v>
      </c>
      <c r="E54" s="132"/>
      <c r="F54" s="226" t="s">
        <v>79</v>
      </c>
      <c r="G54" s="41">
        <v>3.6</v>
      </c>
      <c r="H54" s="133"/>
      <c r="I54" s="35">
        <v>47.988</v>
      </c>
      <c r="J54" s="202">
        <f>E54*H54</f>
        <v>0</v>
      </c>
      <c r="K54" s="225">
        <v>0</v>
      </c>
      <c r="L54" s="214"/>
      <c r="M54" s="35">
        <v>0</v>
      </c>
      <c r="N54" s="202">
        <f>J54*L54</f>
        <v>0</v>
      </c>
      <c r="O54" s="35">
        <v>47.988</v>
      </c>
      <c r="P54" s="202">
        <f>+J54-N54</f>
        <v>0</v>
      </c>
      <c r="Q54" s="35">
        <v>5854.5360000000001</v>
      </c>
      <c r="R54" s="202">
        <f>+J54*E$7</f>
        <v>0</v>
      </c>
    </row>
    <row r="55" spans="1:18" x14ac:dyDescent="0.2">
      <c r="A55" s="25"/>
      <c r="B55" s="25"/>
      <c r="C55" s="25"/>
      <c r="D55" s="25"/>
      <c r="E55" s="209"/>
      <c r="F55" s="21"/>
      <c r="G55" s="41"/>
      <c r="H55" s="198"/>
      <c r="I55" s="35"/>
      <c r="J55" s="184"/>
      <c r="K55" s="225"/>
      <c r="L55" s="198"/>
      <c r="M55" s="35"/>
      <c r="N55" s="184"/>
      <c r="O55" s="35"/>
      <c r="P55" s="184"/>
      <c r="Q55" s="35"/>
      <c r="R55" s="184"/>
    </row>
    <row r="56" spans="1:18" x14ac:dyDescent="0.2">
      <c r="A56" s="25"/>
      <c r="B56" s="25" t="s">
        <v>29</v>
      </c>
      <c r="C56" s="25"/>
      <c r="D56" s="25"/>
      <c r="E56" s="209"/>
      <c r="F56" s="21"/>
      <c r="G56" s="41"/>
      <c r="H56" s="198"/>
      <c r="I56" s="186"/>
      <c r="J56" s="184"/>
      <c r="K56" s="225"/>
      <c r="L56" s="198"/>
      <c r="M56" s="35"/>
      <c r="N56" s="184"/>
      <c r="O56" s="35"/>
      <c r="P56" s="184"/>
      <c r="Q56" s="35"/>
      <c r="R56" s="184"/>
    </row>
    <row r="57" spans="1:18" x14ac:dyDescent="0.2">
      <c r="A57" s="25"/>
      <c r="B57" s="25"/>
      <c r="C57" s="25" t="s">
        <v>104</v>
      </c>
      <c r="D57" s="25">
        <v>1</v>
      </c>
      <c r="E57" s="132"/>
      <c r="F57" s="226" t="s">
        <v>42</v>
      </c>
      <c r="G57" s="41">
        <v>8.4430327868852455</v>
      </c>
      <c r="H57" s="133"/>
      <c r="I57" s="35">
        <v>8.4430327868852455</v>
      </c>
      <c r="J57" s="202">
        <f>E57*H57</f>
        <v>0</v>
      </c>
      <c r="K57" s="225">
        <v>0</v>
      </c>
      <c r="L57" s="214"/>
      <c r="M57" s="35">
        <v>0</v>
      </c>
      <c r="N57" s="202">
        <f>J57*L57</f>
        <v>0</v>
      </c>
      <c r="O57" s="35">
        <v>8.4430327868852455</v>
      </c>
      <c r="P57" s="202">
        <f>+J57-N57</f>
        <v>0</v>
      </c>
      <c r="Q57" s="35">
        <v>1030.05</v>
      </c>
      <c r="R57" s="202">
        <f>+J57*E$7</f>
        <v>0</v>
      </c>
    </row>
    <row r="58" spans="1:18" x14ac:dyDescent="0.2">
      <c r="A58" s="25"/>
      <c r="B58" s="25"/>
      <c r="C58" s="25" t="s">
        <v>105</v>
      </c>
      <c r="D58" s="25">
        <v>0</v>
      </c>
      <c r="E58" s="132"/>
      <c r="F58" s="226" t="s">
        <v>79</v>
      </c>
      <c r="G58" s="41">
        <v>3.15</v>
      </c>
      <c r="H58" s="133"/>
      <c r="I58" s="35">
        <v>0</v>
      </c>
      <c r="J58" s="202">
        <f>E58*H58</f>
        <v>0</v>
      </c>
      <c r="K58" s="225">
        <v>0</v>
      </c>
      <c r="L58" s="214"/>
      <c r="M58" s="35">
        <v>0</v>
      </c>
      <c r="N58" s="202">
        <f>J58*L58</f>
        <v>0</v>
      </c>
      <c r="O58" s="35">
        <v>0</v>
      </c>
      <c r="P58" s="202">
        <f>+J58-N58</f>
        <v>0</v>
      </c>
      <c r="Q58" s="35">
        <v>0</v>
      </c>
      <c r="R58" s="202">
        <f>+J58*E$7</f>
        <v>0</v>
      </c>
    </row>
    <row r="59" spans="1:18" x14ac:dyDescent="0.2">
      <c r="A59" s="25"/>
      <c r="B59" s="25"/>
      <c r="C59" s="25"/>
      <c r="D59" s="25"/>
      <c r="E59" s="209"/>
      <c r="F59" s="21"/>
      <c r="G59" s="41"/>
      <c r="H59" s="198"/>
      <c r="I59" s="35"/>
      <c r="J59" s="184"/>
      <c r="K59" s="225"/>
      <c r="L59" s="198"/>
      <c r="M59" s="35"/>
      <c r="N59" s="184"/>
      <c r="O59" s="35"/>
      <c r="P59" s="184"/>
      <c r="Q59" s="35"/>
      <c r="R59" s="184"/>
    </row>
    <row r="60" spans="1:18" x14ac:dyDescent="0.2">
      <c r="A60" s="25"/>
      <c r="B60" s="25" t="s">
        <v>47</v>
      </c>
      <c r="C60" s="25"/>
      <c r="D60" s="25"/>
      <c r="E60" s="209"/>
      <c r="F60" s="21"/>
      <c r="G60" s="41"/>
      <c r="H60" s="199"/>
      <c r="I60" s="186"/>
      <c r="J60" s="184"/>
      <c r="K60" s="225"/>
      <c r="L60" s="199"/>
      <c r="M60" s="35"/>
      <c r="N60" s="184"/>
      <c r="O60" s="35"/>
      <c r="P60" s="184"/>
      <c r="Q60" s="35"/>
      <c r="R60" s="184"/>
    </row>
    <row r="61" spans="1:18" x14ac:dyDescent="0.2">
      <c r="A61" s="25"/>
      <c r="B61" s="25"/>
      <c r="C61" s="25" t="s">
        <v>104</v>
      </c>
      <c r="D61" s="25">
        <v>1</v>
      </c>
      <c r="E61" s="132"/>
      <c r="F61" s="226" t="s">
        <v>42</v>
      </c>
      <c r="G61" s="41">
        <v>1.7288114754098363</v>
      </c>
      <c r="H61" s="133"/>
      <c r="I61" s="35">
        <v>1.7288114754098363</v>
      </c>
      <c r="J61" s="202">
        <f t="shared" ref="J61:J66" si="12">E61*H61</f>
        <v>0</v>
      </c>
      <c r="K61" s="225">
        <v>0</v>
      </c>
      <c r="L61" s="214"/>
      <c r="M61" s="35">
        <v>0</v>
      </c>
      <c r="N61" s="202">
        <f t="shared" ref="N61:N66" si="13">J61*L61</f>
        <v>0</v>
      </c>
      <c r="O61" s="35">
        <v>1.7288114754098363</v>
      </c>
      <c r="P61" s="202">
        <f t="shared" ref="P61:P66" si="14">+J61-N61</f>
        <v>0</v>
      </c>
      <c r="Q61" s="35">
        <v>210.91500000000002</v>
      </c>
      <c r="R61" s="202">
        <f t="shared" ref="R61:R66" si="15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2"/>
      <c r="F62" s="226" t="s">
        <v>42</v>
      </c>
      <c r="G62" s="41">
        <v>9.684016999999999</v>
      </c>
      <c r="H62" s="133"/>
      <c r="I62" s="35">
        <v>9.684016999999999</v>
      </c>
      <c r="J62" s="202">
        <f t="shared" si="12"/>
        <v>0</v>
      </c>
      <c r="K62" s="225">
        <v>0</v>
      </c>
      <c r="L62" s="214"/>
      <c r="M62" s="35">
        <v>0</v>
      </c>
      <c r="N62" s="202">
        <f t="shared" si="13"/>
        <v>0</v>
      </c>
      <c r="O62" s="35">
        <v>9.684016999999999</v>
      </c>
      <c r="P62" s="202">
        <f t="shared" si="14"/>
        <v>0</v>
      </c>
      <c r="Q62" s="35">
        <v>1181.4500739999999</v>
      </c>
      <c r="R62" s="202">
        <f t="shared" si="15"/>
        <v>0</v>
      </c>
    </row>
    <row r="63" spans="1:18" x14ac:dyDescent="0.2">
      <c r="A63" s="25"/>
      <c r="B63" s="25"/>
      <c r="C63" s="25" t="s">
        <v>105</v>
      </c>
      <c r="D63" s="25">
        <v>1</v>
      </c>
      <c r="E63" s="132"/>
      <c r="F63" s="226" t="s">
        <v>42</v>
      </c>
      <c r="G63" s="41">
        <v>33.48350084441195</v>
      </c>
      <c r="H63" s="133"/>
      <c r="I63" s="35">
        <v>33.48350084441195</v>
      </c>
      <c r="J63" s="202">
        <f t="shared" si="12"/>
        <v>0</v>
      </c>
      <c r="K63" s="225">
        <v>0</v>
      </c>
      <c r="L63" s="214"/>
      <c r="M63" s="35">
        <v>0</v>
      </c>
      <c r="N63" s="202">
        <f t="shared" si="13"/>
        <v>0</v>
      </c>
      <c r="O63" s="35">
        <v>33.48350084441195</v>
      </c>
      <c r="P63" s="202">
        <f t="shared" si="14"/>
        <v>0</v>
      </c>
      <c r="Q63" s="35">
        <v>4084.987103018258</v>
      </c>
      <c r="R63" s="202">
        <f t="shared" si="15"/>
        <v>0</v>
      </c>
    </row>
    <row r="64" spans="1:18" x14ac:dyDescent="0.2">
      <c r="A64" s="25"/>
      <c r="B64" s="25"/>
      <c r="C64" s="25" t="s">
        <v>4</v>
      </c>
      <c r="D64" s="25">
        <v>1</v>
      </c>
      <c r="E64" s="132"/>
      <c r="F64" s="226" t="s">
        <v>42</v>
      </c>
      <c r="G64" s="41">
        <v>14.30448946229756</v>
      </c>
      <c r="H64" s="133"/>
      <c r="I64" s="35">
        <v>14.30448946229756</v>
      </c>
      <c r="J64" s="202">
        <f t="shared" si="12"/>
        <v>0</v>
      </c>
      <c r="K64" s="225">
        <v>0</v>
      </c>
      <c r="L64" s="214"/>
      <c r="M64" s="35">
        <v>0</v>
      </c>
      <c r="N64" s="202">
        <f t="shared" si="13"/>
        <v>0</v>
      </c>
      <c r="O64" s="35">
        <v>14.30448946229756</v>
      </c>
      <c r="P64" s="202">
        <f t="shared" si="14"/>
        <v>0</v>
      </c>
      <c r="Q64" s="35">
        <v>1745.1477144003024</v>
      </c>
      <c r="R64" s="202">
        <f t="shared" si="15"/>
        <v>0</v>
      </c>
    </row>
    <row r="65" spans="1:18" x14ac:dyDescent="0.2">
      <c r="A65" s="25"/>
      <c r="B65" s="133"/>
      <c r="C65" s="133"/>
      <c r="D65" s="25"/>
      <c r="E65" s="132"/>
      <c r="F65" s="226"/>
      <c r="G65" s="41"/>
      <c r="H65" s="133"/>
      <c r="I65" s="35">
        <v>0</v>
      </c>
      <c r="J65" s="202">
        <f t="shared" si="12"/>
        <v>0</v>
      </c>
      <c r="K65" s="225">
        <v>0</v>
      </c>
      <c r="L65" s="214"/>
      <c r="M65" s="35">
        <v>0</v>
      </c>
      <c r="N65" s="202">
        <f t="shared" si="13"/>
        <v>0</v>
      </c>
      <c r="O65" s="35">
        <v>0</v>
      </c>
      <c r="P65" s="202">
        <f t="shared" si="14"/>
        <v>0</v>
      </c>
      <c r="Q65" s="35">
        <v>0</v>
      </c>
      <c r="R65" s="202">
        <f t="shared" si="15"/>
        <v>0</v>
      </c>
    </row>
    <row r="66" spans="1:18" x14ac:dyDescent="0.2">
      <c r="A66" s="25"/>
      <c r="B66" s="133"/>
      <c r="C66" s="133"/>
      <c r="D66" s="25"/>
      <c r="E66" s="132"/>
      <c r="F66" s="226"/>
      <c r="G66" s="41"/>
      <c r="H66" s="133"/>
      <c r="I66" s="35">
        <v>0</v>
      </c>
      <c r="J66" s="202">
        <f t="shared" si="12"/>
        <v>0</v>
      </c>
      <c r="K66" s="225">
        <v>0</v>
      </c>
      <c r="L66" s="214"/>
      <c r="M66" s="35">
        <v>0</v>
      </c>
      <c r="N66" s="202">
        <f t="shared" si="13"/>
        <v>0</v>
      </c>
      <c r="O66" s="35">
        <v>0</v>
      </c>
      <c r="P66" s="202">
        <f t="shared" si="14"/>
        <v>0</v>
      </c>
      <c r="Q66" s="35">
        <v>0</v>
      </c>
      <c r="R66" s="202">
        <f t="shared" si="15"/>
        <v>0</v>
      </c>
    </row>
    <row r="67" spans="1:18" ht="13.5" thickBot="1" x14ac:dyDescent="0.25">
      <c r="A67" s="25"/>
      <c r="B67" s="25" t="s">
        <v>32</v>
      </c>
      <c r="C67" s="25"/>
      <c r="D67" s="25"/>
      <c r="E67" s="197"/>
      <c r="F67" s="21"/>
      <c r="G67" s="39">
        <v>0.08</v>
      </c>
      <c r="H67" s="215"/>
      <c r="I67" s="42">
        <v>24.542162570843768</v>
      </c>
      <c r="J67" s="202">
        <f>+SUM(J18:J66)/2*H67</f>
        <v>0</v>
      </c>
      <c r="K67" s="86"/>
      <c r="L67" s="137"/>
      <c r="M67" s="42">
        <v>0</v>
      </c>
      <c r="N67" s="202">
        <f>+SUM(N18:N66)/2*L67</f>
        <v>0</v>
      </c>
      <c r="O67" s="42">
        <v>24.542162570843768</v>
      </c>
      <c r="P67" s="202">
        <f>+SUM(P18:P66)/2*L67</f>
        <v>0</v>
      </c>
      <c r="Q67" s="42">
        <v>2994.1438336429396</v>
      </c>
      <c r="R67" s="184">
        <f>+J67*E$7</f>
        <v>0</v>
      </c>
    </row>
    <row r="68" spans="1:18" ht="13.5" thickBot="1" x14ac:dyDescent="0.25">
      <c r="A68" s="25" t="s">
        <v>33</v>
      </c>
      <c r="B68" s="25"/>
      <c r="C68" s="25"/>
      <c r="D68" s="25"/>
      <c r="E68" s="200"/>
      <c r="F68" s="25"/>
      <c r="G68" s="25"/>
      <c r="H68" s="197"/>
      <c r="I68" s="87">
        <v>1054.9099886846398</v>
      </c>
      <c r="J68" s="204">
        <f>SUM(J19:J67)</f>
        <v>0</v>
      </c>
      <c r="K68" s="35"/>
      <c r="L68" s="195"/>
      <c r="M68" s="87">
        <v>0</v>
      </c>
      <c r="N68" s="204">
        <f>SUM(N19:N67)</f>
        <v>0</v>
      </c>
      <c r="O68" s="87">
        <v>1054.9099886846398</v>
      </c>
      <c r="P68" s="204">
        <f>SUM(P19:P67)</f>
        <v>0</v>
      </c>
      <c r="Q68" s="87">
        <v>128699.018619526</v>
      </c>
      <c r="R68" s="204">
        <f>SUM(R19:R67)</f>
        <v>0</v>
      </c>
    </row>
    <row r="69" spans="1:18" ht="13.5" thickTop="1" x14ac:dyDescent="0.2">
      <c r="A69" s="25" t="s">
        <v>34</v>
      </c>
      <c r="B69" s="25"/>
      <c r="C69" s="25"/>
      <c r="D69" s="25"/>
      <c r="E69" s="200"/>
      <c r="F69" s="25"/>
      <c r="G69" s="25"/>
      <c r="H69" s="197"/>
      <c r="I69" s="35">
        <v>469.09001131536024</v>
      </c>
      <c r="J69" s="202">
        <f>+J14-J68</f>
        <v>0</v>
      </c>
      <c r="K69" s="35"/>
      <c r="L69" s="195"/>
      <c r="M69" s="35">
        <v>0</v>
      </c>
      <c r="N69" s="202">
        <f>+N14-N68</f>
        <v>0</v>
      </c>
      <c r="O69" s="35">
        <v>469.09001131536024</v>
      </c>
      <c r="P69" s="202">
        <f>+P14-P68</f>
        <v>0</v>
      </c>
      <c r="Q69" s="35">
        <v>57228.981380473997</v>
      </c>
      <c r="R69" s="202">
        <f>+R14-R68</f>
        <v>0</v>
      </c>
    </row>
    <row r="70" spans="1:18" x14ac:dyDescent="0.2">
      <c r="A70" s="25"/>
      <c r="B70" s="25" t="s">
        <v>35</v>
      </c>
      <c r="C70" s="25"/>
      <c r="D70" s="25"/>
      <c r="E70" s="210"/>
      <c r="F70" s="17"/>
      <c r="G70" s="40">
        <v>0.48727332578975985</v>
      </c>
      <c r="H70" s="210" t="str">
        <f>IF(E10=0,"n/a",(YVarExp-(YTotExp+YTotRet-J10))/E10)</f>
        <v>n/a</v>
      </c>
      <c r="I70" s="25" t="s">
        <v>83</v>
      </c>
      <c r="J70" s="184"/>
      <c r="K70" s="25"/>
      <c r="L70" s="197"/>
      <c r="M70" s="25"/>
      <c r="N70" s="184"/>
      <c r="O70" s="25"/>
      <c r="P70" s="184"/>
      <c r="Q70" s="25"/>
      <c r="R70" s="184"/>
    </row>
    <row r="71" spans="1:18" x14ac:dyDescent="0.2">
      <c r="A71" s="25"/>
      <c r="B71" s="25"/>
      <c r="C71" s="25"/>
      <c r="D71" s="25"/>
      <c r="E71" s="178"/>
      <c r="F71" s="25"/>
      <c r="G71" s="25"/>
      <c r="H71" s="211"/>
      <c r="I71" s="25"/>
      <c r="J71" s="184"/>
      <c r="K71" s="25"/>
      <c r="L71" s="197"/>
      <c r="M71" s="25"/>
      <c r="N71" s="184"/>
      <c r="O71" s="25"/>
      <c r="P71" s="184"/>
      <c r="Q71" s="22" t="s">
        <v>19</v>
      </c>
      <c r="R71" s="184" t="s">
        <v>19</v>
      </c>
    </row>
    <row r="72" spans="1:18" x14ac:dyDescent="0.2">
      <c r="A72" s="23" t="s">
        <v>36</v>
      </c>
      <c r="B72" s="23"/>
      <c r="C72" s="23"/>
      <c r="D72" s="24" t="s">
        <v>2</v>
      </c>
      <c r="E72" s="196" t="s">
        <v>2</v>
      </c>
      <c r="F72" s="24" t="s">
        <v>21</v>
      </c>
      <c r="G72" s="24" t="s">
        <v>22</v>
      </c>
      <c r="H72" s="196" t="s">
        <v>22</v>
      </c>
      <c r="I72" s="24" t="s">
        <v>11</v>
      </c>
      <c r="J72" s="196" t="s">
        <v>11</v>
      </c>
      <c r="K72" s="24" t="s">
        <v>10</v>
      </c>
      <c r="L72" s="196" t="s">
        <v>10</v>
      </c>
      <c r="M72" s="24" t="s">
        <v>9</v>
      </c>
      <c r="N72" s="196" t="s">
        <v>9</v>
      </c>
      <c r="O72" s="24" t="s">
        <v>8</v>
      </c>
      <c r="P72" s="196" t="s">
        <v>8</v>
      </c>
      <c r="Q72" s="24" t="s">
        <v>11</v>
      </c>
      <c r="R72" s="208" t="s">
        <v>11</v>
      </c>
    </row>
    <row r="73" spans="1:18" x14ac:dyDescent="0.2">
      <c r="A73" s="25"/>
      <c r="B73" s="25" t="s">
        <v>106</v>
      </c>
      <c r="C73" s="25"/>
      <c r="D73" s="25"/>
      <c r="E73" s="178"/>
      <c r="F73" s="25"/>
      <c r="G73" s="25"/>
      <c r="H73" s="211"/>
      <c r="I73" s="186"/>
      <c r="J73" s="184"/>
      <c r="K73" s="225"/>
      <c r="L73" s="197"/>
      <c r="M73" s="25"/>
      <c r="N73" s="184"/>
      <c r="O73" s="25"/>
      <c r="P73" s="184"/>
      <c r="Q73" s="25"/>
      <c r="R73" s="184"/>
    </row>
    <row r="74" spans="1:18" x14ac:dyDescent="0.2">
      <c r="A74" s="25"/>
      <c r="B74" s="25"/>
      <c r="C74" s="25" t="s">
        <v>104</v>
      </c>
      <c r="D74" s="25">
        <v>1</v>
      </c>
      <c r="E74" s="132"/>
      <c r="F74" s="226" t="s">
        <v>42</v>
      </c>
      <c r="G74" s="41">
        <v>3.6184426229508202</v>
      </c>
      <c r="H74" s="133"/>
      <c r="I74" s="35">
        <v>3.6184426229508202</v>
      </c>
      <c r="J74" s="202">
        <f t="shared" ref="J74:J77" si="16">E74*H74</f>
        <v>0</v>
      </c>
      <c r="K74" s="225">
        <v>0</v>
      </c>
      <c r="L74" s="214"/>
      <c r="M74" s="35">
        <v>0</v>
      </c>
      <c r="N74" s="202">
        <f>J74*L74</f>
        <v>0</v>
      </c>
      <c r="O74" s="35">
        <v>3.6184426229508202</v>
      </c>
      <c r="P74" s="202">
        <f t="shared" ref="P74:P77" si="17">+J74-N74</f>
        <v>0</v>
      </c>
      <c r="Q74" s="35">
        <v>441.45000000000005</v>
      </c>
      <c r="R74" s="202">
        <f t="shared" ref="R74:R77" si="18">+J74*E$7</f>
        <v>0</v>
      </c>
    </row>
    <row r="75" spans="1:18" x14ac:dyDescent="0.2">
      <c r="A75" s="25"/>
      <c r="B75" s="25"/>
      <c r="C75" s="25" t="s">
        <v>46</v>
      </c>
      <c r="D75" s="25">
        <v>1</v>
      </c>
      <c r="E75" s="132"/>
      <c r="F75" s="226" t="s">
        <v>42</v>
      </c>
      <c r="G75" s="41">
        <v>95.919639344262293</v>
      </c>
      <c r="H75" s="133"/>
      <c r="I75" s="35">
        <v>95.919639344262293</v>
      </c>
      <c r="J75" s="202">
        <f t="shared" si="16"/>
        <v>0</v>
      </c>
      <c r="K75" s="225">
        <v>0</v>
      </c>
      <c r="L75" s="214"/>
      <c r="M75" s="35">
        <v>0</v>
      </c>
      <c r="N75" s="202">
        <f>J75*L75</f>
        <v>0</v>
      </c>
      <c r="O75" s="35">
        <v>95.919639344262293</v>
      </c>
      <c r="P75" s="202">
        <f t="shared" si="17"/>
        <v>0</v>
      </c>
      <c r="Q75" s="35">
        <v>11702.196</v>
      </c>
      <c r="R75" s="202">
        <f t="shared" si="18"/>
        <v>0</v>
      </c>
    </row>
    <row r="76" spans="1:18" x14ac:dyDescent="0.2">
      <c r="A76" s="25"/>
      <c r="B76" s="25"/>
      <c r="C76" s="25" t="s">
        <v>105</v>
      </c>
      <c r="D76" s="25">
        <v>1</v>
      </c>
      <c r="E76" s="132"/>
      <c r="F76" s="226" t="s">
        <v>42</v>
      </c>
      <c r="G76" s="41">
        <v>39.451473574209579</v>
      </c>
      <c r="H76" s="133"/>
      <c r="I76" s="35">
        <v>39.451473574209579</v>
      </c>
      <c r="J76" s="202">
        <f t="shared" si="16"/>
        <v>0</v>
      </c>
      <c r="K76" s="225">
        <v>0</v>
      </c>
      <c r="L76" s="214"/>
      <c r="M76" s="35">
        <v>0</v>
      </c>
      <c r="N76" s="202">
        <f>J76*L76</f>
        <v>0</v>
      </c>
      <c r="O76" s="35">
        <v>39.451473574209579</v>
      </c>
      <c r="P76" s="202">
        <f t="shared" si="17"/>
        <v>0</v>
      </c>
      <c r="Q76" s="35">
        <v>4813.0797760535688</v>
      </c>
      <c r="R76" s="202">
        <f t="shared" si="18"/>
        <v>0</v>
      </c>
    </row>
    <row r="77" spans="1:18" x14ac:dyDescent="0.2">
      <c r="A77" s="25"/>
      <c r="B77" s="25"/>
      <c r="C77" s="25" t="s">
        <v>4</v>
      </c>
      <c r="D77" s="25">
        <v>1</v>
      </c>
      <c r="E77" s="132"/>
      <c r="F77" s="226" t="s">
        <v>42</v>
      </c>
      <c r="G77" s="41">
        <v>17.98766276226074</v>
      </c>
      <c r="H77" s="133"/>
      <c r="I77" s="35">
        <v>17.98766276226074</v>
      </c>
      <c r="J77" s="202">
        <f t="shared" si="16"/>
        <v>0</v>
      </c>
      <c r="K77" s="225">
        <v>0</v>
      </c>
      <c r="L77" s="214"/>
      <c r="M77" s="35">
        <v>0</v>
      </c>
      <c r="N77" s="202">
        <f>J77*L77</f>
        <v>0</v>
      </c>
      <c r="O77" s="35">
        <v>17.98766276226074</v>
      </c>
      <c r="P77" s="202">
        <f t="shared" si="17"/>
        <v>0</v>
      </c>
      <c r="Q77" s="35">
        <v>2194.4948569958101</v>
      </c>
      <c r="R77" s="202">
        <f t="shared" si="18"/>
        <v>0</v>
      </c>
    </row>
    <row r="78" spans="1:18" x14ac:dyDescent="0.2">
      <c r="A78" s="25"/>
      <c r="B78" s="25" t="s">
        <v>89</v>
      </c>
      <c r="C78" s="25"/>
      <c r="D78" s="25"/>
      <c r="E78" s="197"/>
      <c r="F78" s="21"/>
      <c r="G78" s="41"/>
      <c r="H78" s="197"/>
      <c r="I78" s="186"/>
      <c r="J78" s="184"/>
      <c r="K78" s="225"/>
      <c r="L78" s="197"/>
      <c r="M78" s="35"/>
      <c r="N78" s="184"/>
      <c r="O78" s="35"/>
      <c r="P78" s="184"/>
      <c r="Q78" s="35"/>
      <c r="R78" s="184"/>
    </row>
    <row r="79" spans="1:18" x14ac:dyDescent="0.2">
      <c r="A79" s="25"/>
      <c r="B79" s="25"/>
      <c r="C79" s="25" t="s">
        <v>104</v>
      </c>
      <c r="D79" s="41">
        <v>22.112704918032787</v>
      </c>
      <c r="E79" s="132"/>
      <c r="F79" s="226" t="s">
        <v>100</v>
      </c>
      <c r="G79" s="39">
        <v>0.08</v>
      </c>
      <c r="H79" s="215"/>
      <c r="I79" s="35">
        <v>1.7690163934426231</v>
      </c>
      <c r="J79" s="202">
        <f t="shared" ref="J79:J89" si="19">E79*H79</f>
        <v>0</v>
      </c>
      <c r="K79" s="225">
        <v>0</v>
      </c>
      <c r="L79" s="214"/>
      <c r="M79" s="35">
        <v>0</v>
      </c>
      <c r="N79" s="202">
        <f>J79*L79</f>
        <v>0</v>
      </c>
      <c r="O79" s="35">
        <v>1.7690163934426231</v>
      </c>
      <c r="P79" s="202">
        <f t="shared" ref="P79:P82" si="20">+J79-N79</f>
        <v>0</v>
      </c>
      <c r="Q79" s="35">
        <v>215.82000000000002</v>
      </c>
      <c r="R79" s="202">
        <f t="shared" ref="R79:R82" si="21">+J79*E$7</f>
        <v>0</v>
      </c>
    </row>
    <row r="80" spans="1:18" x14ac:dyDescent="0.2">
      <c r="A80" s="25"/>
      <c r="B80" s="25"/>
      <c r="C80" s="25" t="s">
        <v>46</v>
      </c>
      <c r="D80" s="41">
        <v>978.57409836065585</v>
      </c>
      <c r="E80" s="132"/>
      <c r="F80" s="226" t="s">
        <v>100</v>
      </c>
      <c r="G80" s="39">
        <v>0.08</v>
      </c>
      <c r="H80" s="215"/>
      <c r="I80" s="35">
        <v>78.285927868852468</v>
      </c>
      <c r="J80" s="202">
        <f t="shared" si="19"/>
        <v>0</v>
      </c>
      <c r="K80" s="225">
        <v>0</v>
      </c>
      <c r="L80" s="214"/>
      <c r="M80" s="35">
        <v>0</v>
      </c>
      <c r="N80" s="202">
        <f>J80*L80</f>
        <v>0</v>
      </c>
      <c r="O80" s="35">
        <v>78.285927868852468</v>
      </c>
      <c r="P80" s="202">
        <f t="shared" si="20"/>
        <v>0</v>
      </c>
      <c r="Q80" s="35">
        <v>9550.8832000000002</v>
      </c>
      <c r="R80" s="202">
        <f t="shared" si="21"/>
        <v>0</v>
      </c>
    </row>
    <row r="81" spans="1:18" x14ac:dyDescent="0.2">
      <c r="A81" s="25"/>
      <c r="B81" s="25"/>
      <c r="C81" s="25" t="s">
        <v>105</v>
      </c>
      <c r="D81" s="41">
        <v>339.86387632509906</v>
      </c>
      <c r="E81" s="132"/>
      <c r="F81" s="226" t="s">
        <v>100</v>
      </c>
      <c r="G81" s="39">
        <v>0.08</v>
      </c>
      <c r="H81" s="215"/>
      <c r="I81" s="35">
        <v>27.189110106007924</v>
      </c>
      <c r="J81" s="202">
        <f t="shared" si="19"/>
        <v>0</v>
      </c>
      <c r="K81" s="225">
        <v>0</v>
      </c>
      <c r="L81" s="214"/>
      <c r="M81" s="35">
        <v>0</v>
      </c>
      <c r="N81" s="202">
        <f>J81*L81</f>
        <v>0</v>
      </c>
      <c r="O81" s="35">
        <v>27.189110106007924</v>
      </c>
      <c r="P81" s="202">
        <f t="shared" si="20"/>
        <v>0</v>
      </c>
      <c r="Q81" s="35">
        <v>3317.0714329329667</v>
      </c>
      <c r="R81" s="202">
        <f t="shared" si="21"/>
        <v>0</v>
      </c>
    </row>
    <row r="82" spans="1:18" x14ac:dyDescent="0.2">
      <c r="A82" s="25"/>
      <c r="B82" s="25"/>
      <c r="C82" s="25" t="s">
        <v>4</v>
      </c>
      <c r="D82" s="41">
        <v>101.87417714003529</v>
      </c>
      <c r="E82" s="132"/>
      <c r="F82" s="226" t="s">
        <v>100</v>
      </c>
      <c r="G82" s="39">
        <v>0.08</v>
      </c>
      <c r="H82" s="215"/>
      <c r="I82" s="35">
        <v>8.1499341712028226</v>
      </c>
      <c r="J82" s="202">
        <f t="shared" si="19"/>
        <v>0</v>
      </c>
      <c r="K82" s="225">
        <v>0</v>
      </c>
      <c r="L82" s="214"/>
      <c r="M82" s="35">
        <v>0</v>
      </c>
      <c r="N82" s="202">
        <f>J82*L82</f>
        <v>0</v>
      </c>
      <c r="O82" s="35">
        <v>8.1499341712028226</v>
      </c>
      <c r="P82" s="202">
        <f t="shared" si="20"/>
        <v>0</v>
      </c>
      <c r="Q82" s="35">
        <v>994.29196888674437</v>
      </c>
      <c r="R82" s="202">
        <f t="shared" si="21"/>
        <v>0</v>
      </c>
    </row>
    <row r="83" spans="1:18" x14ac:dyDescent="0.2">
      <c r="A83" s="25"/>
      <c r="B83" s="25" t="s">
        <v>156</v>
      </c>
      <c r="C83" s="25"/>
      <c r="D83" s="25">
        <v>1</v>
      </c>
      <c r="E83" s="132"/>
      <c r="F83" s="226" t="s">
        <v>42</v>
      </c>
      <c r="G83" s="41">
        <v>0</v>
      </c>
      <c r="H83" s="133"/>
      <c r="I83" s="35">
        <v>0</v>
      </c>
      <c r="J83" s="202">
        <f t="shared" si="19"/>
        <v>0</v>
      </c>
      <c r="K83" s="225">
        <v>0</v>
      </c>
      <c r="L83" s="214"/>
      <c r="M83" s="35">
        <v>0</v>
      </c>
      <c r="N83" s="202">
        <f t="shared" ref="N83:N90" si="22">J83*L83</f>
        <v>0</v>
      </c>
      <c r="O83" s="35">
        <v>0</v>
      </c>
      <c r="P83" s="202">
        <f t="shared" ref="P83:P90" si="23">+J83-N83</f>
        <v>0</v>
      </c>
      <c r="Q83" s="35">
        <v>0</v>
      </c>
      <c r="R83" s="202">
        <f t="shared" ref="R83:R90" si="24">+J83*E$7</f>
        <v>0</v>
      </c>
    </row>
    <row r="84" spans="1:18" x14ac:dyDescent="0.2">
      <c r="A84" s="25"/>
      <c r="B84" s="25" t="s">
        <v>152</v>
      </c>
      <c r="C84" s="25"/>
      <c r="D84" s="25">
        <v>1</v>
      </c>
      <c r="E84" s="132"/>
      <c r="F84" s="226" t="s">
        <v>42</v>
      </c>
      <c r="G84" s="41">
        <v>0</v>
      </c>
      <c r="H84" s="133"/>
      <c r="I84" s="35">
        <v>0</v>
      </c>
      <c r="J84" s="202">
        <f t="shared" si="19"/>
        <v>0</v>
      </c>
      <c r="K84" s="225">
        <v>0</v>
      </c>
      <c r="L84" s="214"/>
      <c r="M84" s="35">
        <v>0</v>
      </c>
      <c r="N84" s="202">
        <f t="shared" si="22"/>
        <v>0</v>
      </c>
      <c r="O84" s="35">
        <v>0</v>
      </c>
      <c r="P84" s="202">
        <f t="shared" si="23"/>
        <v>0</v>
      </c>
      <c r="Q84" s="35">
        <v>0</v>
      </c>
      <c r="R84" s="202">
        <f t="shared" si="24"/>
        <v>0</v>
      </c>
    </row>
    <row r="85" spans="1:18" x14ac:dyDescent="0.2">
      <c r="A85" s="25"/>
      <c r="B85" s="25" t="s">
        <v>137</v>
      </c>
      <c r="C85" s="25"/>
      <c r="D85" s="25">
        <v>1</v>
      </c>
      <c r="E85" s="132"/>
      <c r="F85" s="226" t="s">
        <v>42</v>
      </c>
      <c r="G85" s="41">
        <v>0</v>
      </c>
      <c r="H85" s="133"/>
      <c r="I85" s="35">
        <v>0</v>
      </c>
      <c r="J85" s="202">
        <f t="shared" si="19"/>
        <v>0</v>
      </c>
      <c r="K85" s="225">
        <v>0</v>
      </c>
      <c r="L85" s="214"/>
      <c r="M85" s="35">
        <v>0</v>
      </c>
      <c r="N85" s="202">
        <f t="shared" si="22"/>
        <v>0</v>
      </c>
      <c r="O85" s="35">
        <v>0</v>
      </c>
      <c r="P85" s="202">
        <f t="shared" si="23"/>
        <v>0</v>
      </c>
      <c r="Q85" s="35">
        <v>0</v>
      </c>
      <c r="R85" s="202">
        <f t="shared" si="24"/>
        <v>0</v>
      </c>
    </row>
    <row r="86" spans="1:18" x14ac:dyDescent="0.2">
      <c r="A86" s="25"/>
      <c r="B86" s="25" t="s">
        <v>452</v>
      </c>
      <c r="C86" s="25"/>
      <c r="D86" s="25">
        <v>1</v>
      </c>
      <c r="E86" s="132"/>
      <c r="F86" s="226" t="s">
        <v>42</v>
      </c>
      <c r="G86" s="41">
        <v>50</v>
      </c>
      <c r="H86" s="133"/>
      <c r="I86" s="35">
        <v>50</v>
      </c>
      <c r="J86" s="202">
        <f t="shared" si="19"/>
        <v>0</v>
      </c>
      <c r="K86" s="225">
        <v>0</v>
      </c>
      <c r="L86" s="214"/>
      <c r="M86" s="35">
        <v>0</v>
      </c>
      <c r="N86" s="202">
        <f t="shared" si="22"/>
        <v>0</v>
      </c>
      <c r="O86" s="35">
        <v>50</v>
      </c>
      <c r="P86" s="202">
        <f t="shared" si="23"/>
        <v>0</v>
      </c>
      <c r="Q86" s="35">
        <v>6100</v>
      </c>
      <c r="R86" s="202">
        <f t="shared" si="24"/>
        <v>0</v>
      </c>
    </row>
    <row r="87" spans="1:18" x14ac:dyDescent="0.2">
      <c r="A87" s="25"/>
      <c r="B87" s="25" t="s">
        <v>159</v>
      </c>
      <c r="C87" s="25"/>
      <c r="D87" s="25">
        <v>1</v>
      </c>
      <c r="E87" s="132"/>
      <c r="F87" s="226" t="s">
        <v>42</v>
      </c>
      <c r="G87" s="41">
        <v>0</v>
      </c>
      <c r="H87" s="133"/>
      <c r="I87" s="35">
        <v>0</v>
      </c>
      <c r="J87" s="202">
        <f t="shared" si="19"/>
        <v>0</v>
      </c>
      <c r="K87" s="225">
        <v>0</v>
      </c>
      <c r="L87" s="214"/>
      <c r="M87" s="35">
        <v>0</v>
      </c>
      <c r="N87" s="202">
        <f t="shared" si="22"/>
        <v>0</v>
      </c>
      <c r="O87" s="35">
        <v>0</v>
      </c>
      <c r="P87" s="202">
        <f t="shared" si="23"/>
        <v>0</v>
      </c>
      <c r="Q87" s="35">
        <v>0</v>
      </c>
      <c r="R87" s="202">
        <f t="shared" si="24"/>
        <v>0</v>
      </c>
    </row>
    <row r="88" spans="1:18" x14ac:dyDescent="0.2">
      <c r="A88" s="25"/>
      <c r="B88" s="25" t="s">
        <v>160</v>
      </c>
      <c r="C88" s="25"/>
      <c r="D88" s="25">
        <v>1</v>
      </c>
      <c r="E88" s="132"/>
      <c r="F88" s="226" t="s">
        <v>42</v>
      </c>
      <c r="G88" s="41">
        <v>0</v>
      </c>
      <c r="H88" s="133"/>
      <c r="I88" s="35">
        <v>0</v>
      </c>
      <c r="J88" s="202">
        <f t="shared" si="19"/>
        <v>0</v>
      </c>
      <c r="K88" s="225">
        <v>0</v>
      </c>
      <c r="L88" s="214"/>
      <c r="M88" s="35">
        <v>0</v>
      </c>
      <c r="N88" s="202">
        <f t="shared" si="22"/>
        <v>0</v>
      </c>
      <c r="O88" s="35">
        <v>0</v>
      </c>
      <c r="P88" s="202">
        <f t="shared" si="23"/>
        <v>0</v>
      </c>
      <c r="Q88" s="35">
        <v>0</v>
      </c>
      <c r="R88" s="202">
        <f t="shared" si="24"/>
        <v>0</v>
      </c>
    </row>
    <row r="89" spans="1:18" x14ac:dyDescent="0.2">
      <c r="A89" s="25"/>
      <c r="B89" s="133"/>
      <c r="C89" s="133"/>
      <c r="D89" s="25">
        <v>1</v>
      </c>
      <c r="E89" s="132"/>
      <c r="F89" s="226"/>
      <c r="G89" s="41">
        <v>0</v>
      </c>
      <c r="H89" s="133"/>
      <c r="I89" s="35">
        <v>0</v>
      </c>
      <c r="J89" s="202">
        <f t="shared" si="19"/>
        <v>0</v>
      </c>
      <c r="K89" s="225">
        <v>0</v>
      </c>
      <c r="L89" s="214"/>
      <c r="M89" s="35">
        <v>0</v>
      </c>
      <c r="N89" s="202">
        <f t="shared" si="22"/>
        <v>0</v>
      </c>
      <c r="O89" s="35">
        <v>0</v>
      </c>
      <c r="P89" s="202">
        <f t="shared" si="23"/>
        <v>0</v>
      </c>
      <c r="Q89" s="35">
        <v>0</v>
      </c>
      <c r="R89" s="202">
        <f t="shared" si="24"/>
        <v>0</v>
      </c>
    </row>
    <row r="90" spans="1:18" ht="13.5" thickBot="1" x14ac:dyDescent="0.25">
      <c r="A90" s="25"/>
      <c r="B90" s="133"/>
      <c r="C90" s="133"/>
      <c r="D90" s="25">
        <v>1</v>
      </c>
      <c r="E90" s="132"/>
      <c r="F90" s="226"/>
      <c r="G90" s="41">
        <v>0</v>
      </c>
      <c r="H90" s="133"/>
      <c r="I90" s="35">
        <v>0</v>
      </c>
      <c r="J90" s="202">
        <f>E90*H90</f>
        <v>0</v>
      </c>
      <c r="K90" s="225">
        <v>0</v>
      </c>
      <c r="L90" s="214"/>
      <c r="M90" s="35">
        <v>0</v>
      </c>
      <c r="N90" s="202">
        <f t="shared" si="22"/>
        <v>0</v>
      </c>
      <c r="O90" s="35">
        <v>0</v>
      </c>
      <c r="P90" s="202">
        <f t="shared" si="23"/>
        <v>0</v>
      </c>
      <c r="Q90" s="35">
        <v>0</v>
      </c>
      <c r="R90" s="202">
        <f t="shared" si="24"/>
        <v>0</v>
      </c>
    </row>
    <row r="91" spans="1:18" ht="13.5" thickBot="1" x14ac:dyDescent="0.25">
      <c r="A91" s="25" t="s">
        <v>37</v>
      </c>
      <c r="B91" s="25"/>
      <c r="C91" s="25"/>
      <c r="D91" s="25"/>
      <c r="E91" s="197"/>
      <c r="F91" s="25"/>
      <c r="G91" s="25"/>
      <c r="H91" s="197"/>
      <c r="I91" s="121">
        <v>322.37120684318927</v>
      </c>
      <c r="J91" s="204">
        <f>+SUM(J74:J90)</f>
        <v>0</v>
      </c>
      <c r="K91" s="35"/>
      <c r="L91" s="195"/>
      <c r="M91" s="121">
        <v>0</v>
      </c>
      <c r="N91" s="204">
        <f>+SUM(N74:N90)</f>
        <v>0</v>
      </c>
      <c r="O91" s="121">
        <v>322.37120684318927</v>
      </c>
      <c r="P91" s="204">
        <f>+SUM(P74:P90)</f>
        <v>0</v>
      </c>
      <c r="Q91" s="121">
        <v>39329.287234869094</v>
      </c>
      <c r="R91" s="204">
        <f>+SUM(R74:R90)</f>
        <v>0</v>
      </c>
    </row>
    <row r="92" spans="1:18" ht="14.25" thickTop="1" thickBot="1" x14ac:dyDescent="0.25">
      <c r="A92" s="25" t="s">
        <v>52</v>
      </c>
      <c r="B92" s="25"/>
      <c r="C92" s="25"/>
      <c r="D92" s="25"/>
      <c r="E92" s="197"/>
      <c r="F92" s="25"/>
      <c r="G92" s="25"/>
      <c r="H92" s="197"/>
      <c r="I92" s="87">
        <v>1377.2811955278289</v>
      </c>
      <c r="J92" s="205">
        <f>+J68+J91</f>
        <v>0</v>
      </c>
      <c r="K92" s="35"/>
      <c r="L92" s="195"/>
      <c r="M92" s="87">
        <v>0</v>
      </c>
      <c r="N92" s="205">
        <f>+N68+N91</f>
        <v>0</v>
      </c>
      <c r="O92" s="87">
        <v>1377.2811955278289</v>
      </c>
      <c r="P92" s="205">
        <f>+P68+P91</f>
        <v>0</v>
      </c>
      <c r="Q92" s="87">
        <v>168028.30585439509</v>
      </c>
      <c r="R92" s="205">
        <f>+R68+R91</f>
        <v>0</v>
      </c>
    </row>
    <row r="93" spans="1:18" ht="13.5" thickTop="1" x14ac:dyDescent="0.2">
      <c r="A93" s="25"/>
      <c r="B93" s="25"/>
      <c r="C93" s="25"/>
      <c r="D93" s="25"/>
      <c r="E93" s="197"/>
      <c r="F93" s="25"/>
      <c r="G93" s="25"/>
      <c r="H93" s="197"/>
      <c r="I93" s="35"/>
      <c r="J93" s="184"/>
      <c r="K93" s="35"/>
      <c r="L93" s="195"/>
      <c r="M93" s="35"/>
      <c r="N93" s="184"/>
      <c r="O93" s="35"/>
      <c r="P93" s="184"/>
      <c r="Q93" s="35"/>
      <c r="R93" s="184"/>
    </row>
    <row r="94" spans="1:18" x14ac:dyDescent="0.2">
      <c r="A94" s="25" t="s">
        <v>153</v>
      </c>
      <c r="B94" s="25"/>
      <c r="C94" s="25"/>
      <c r="D94" s="25"/>
      <c r="E94" s="197"/>
      <c r="F94" s="25"/>
      <c r="G94" s="25"/>
      <c r="H94" s="197"/>
      <c r="I94" s="35">
        <v>146.71880447217109</v>
      </c>
      <c r="J94" s="202">
        <f>+J14-J92</f>
        <v>0</v>
      </c>
      <c r="K94" s="35"/>
      <c r="L94" s="195"/>
      <c r="M94" s="35">
        <v>0</v>
      </c>
      <c r="N94" s="202">
        <f>+N14-N92</f>
        <v>0</v>
      </c>
      <c r="O94" s="35">
        <v>146.71880447217109</v>
      </c>
      <c r="P94" s="202">
        <f>+P14-P92</f>
        <v>0</v>
      </c>
      <c r="Q94" s="35">
        <v>17899.69414560491</v>
      </c>
      <c r="R94" s="202">
        <f>+R14-R92</f>
        <v>0</v>
      </c>
    </row>
    <row r="95" spans="1:18" x14ac:dyDescent="0.2">
      <c r="A95" s="25"/>
      <c r="B95" s="25"/>
      <c r="C95" s="25"/>
      <c r="D95" s="25"/>
      <c r="E95" s="197"/>
      <c r="F95" s="25"/>
      <c r="G95" s="25"/>
      <c r="H95" s="197"/>
      <c r="I95" s="35"/>
      <c r="J95" s="206"/>
      <c r="K95" s="35"/>
      <c r="L95" s="195"/>
      <c r="M95" s="35"/>
      <c r="N95" s="195"/>
      <c r="O95" s="35"/>
      <c r="P95" s="195"/>
      <c r="Q95" s="35"/>
      <c r="R95" s="206"/>
    </row>
    <row r="96" spans="1:18" ht="13.5" thickBot="1" x14ac:dyDescent="0.25">
      <c r="A96" s="44" t="s">
        <v>38</v>
      </c>
      <c r="B96" s="44"/>
      <c r="C96" s="44"/>
      <c r="D96" s="44"/>
      <c r="E96" s="201"/>
      <c r="F96" s="44"/>
      <c r="G96" s="45">
        <v>0.70218746368521923</v>
      </c>
      <c r="H96" s="212" t="str">
        <f>IF(E10=0,"n/a",(YTotExp-(YTotExp+YTotRet-J10))/E10)</f>
        <v>n/a</v>
      </c>
      <c r="I96" s="44" t="s">
        <v>83</v>
      </c>
      <c r="J96" s="207"/>
      <c r="K96" s="44"/>
      <c r="L96" s="201"/>
      <c r="M96" s="44"/>
      <c r="N96" s="201"/>
      <c r="O96" s="44"/>
      <c r="P96" s="201"/>
      <c r="Q96" s="44"/>
      <c r="R96" s="207"/>
    </row>
    <row r="97" spans="1:18" ht="13.5" thickTop="1" x14ac:dyDescent="0.2"/>
    <row r="98" spans="1:18" s="17" customFormat="1" ht="15.75" x14ac:dyDescent="0.25">
      <c r="A98"/>
      <c r="B98" s="88"/>
      <c r="C98" s="89"/>
      <c r="D98" s="234" t="s">
        <v>115</v>
      </c>
      <c r="E98" s="235"/>
      <c r="F98" s="235"/>
      <c r="G98" s="235"/>
      <c r="H98" s="235"/>
      <c r="I98" s="235"/>
      <c r="J98" s="99"/>
      <c r="K98" s="99"/>
      <c r="M98"/>
      <c r="N98"/>
    </row>
    <row r="99" spans="1:18" s="17" customFormat="1" ht="15.75" x14ac:dyDescent="0.25">
      <c r="A99"/>
      <c r="B99" s="19" t="s">
        <v>116</v>
      </c>
      <c r="C99" s="19" t="s">
        <v>116</v>
      </c>
      <c r="D99" s="126" t="s">
        <v>170</v>
      </c>
      <c r="E99" s="18"/>
      <c r="F99" s="18"/>
      <c r="G99" s="126" t="s">
        <v>170</v>
      </c>
      <c r="H99" s="18"/>
      <c r="I99" s="18"/>
      <c r="J99" s="18"/>
      <c r="K99" s="18"/>
      <c r="M99"/>
      <c r="N99"/>
    </row>
    <row r="100" spans="1:18" s="17" customFormat="1" x14ac:dyDescent="0.2">
      <c r="A100"/>
      <c r="B100" s="19" t="s">
        <v>81</v>
      </c>
      <c r="C100" s="19" t="s">
        <v>81</v>
      </c>
      <c r="D100" s="126" t="s">
        <v>157</v>
      </c>
      <c r="E100" s="122"/>
      <c r="F100" s="122"/>
      <c r="G100" s="126" t="s">
        <v>11</v>
      </c>
      <c r="H100" s="122"/>
      <c r="I100" s="122"/>
      <c r="J100" s="122"/>
      <c r="K100" s="122"/>
      <c r="M100"/>
      <c r="N100"/>
    </row>
    <row r="101" spans="1:18" s="17" customFormat="1" x14ac:dyDescent="0.2">
      <c r="A101"/>
      <c r="B101" s="19" t="s">
        <v>30</v>
      </c>
      <c r="C101" s="99" t="s">
        <v>83</v>
      </c>
      <c r="D101" s="126" t="s">
        <v>99</v>
      </c>
      <c r="E101" s="122"/>
      <c r="F101" s="122"/>
      <c r="G101" s="126" t="s">
        <v>99</v>
      </c>
      <c r="H101" s="19"/>
      <c r="I101" s="19"/>
      <c r="J101" s="19"/>
      <c r="K101" s="19"/>
      <c r="M101"/>
      <c r="N101"/>
    </row>
    <row r="102" spans="1:18" s="17" customFormat="1" x14ac:dyDescent="0.2">
      <c r="A102"/>
      <c r="B102" s="90">
        <v>0.75</v>
      </c>
      <c r="C102" s="91">
        <v>1125</v>
      </c>
      <c r="D102" s="92">
        <v>0.6496977677196798</v>
      </c>
      <c r="E102" s="93"/>
      <c r="F102" s="94"/>
      <c r="G102" s="92">
        <v>0.93624995158029234</v>
      </c>
      <c r="H102" s="93"/>
      <c r="I102" s="93"/>
      <c r="M102"/>
      <c r="N102"/>
    </row>
    <row r="103" spans="1:18" s="17" customFormat="1" x14ac:dyDescent="0.2">
      <c r="A103"/>
      <c r="B103" s="95">
        <v>0.9</v>
      </c>
      <c r="C103" s="96">
        <v>1350</v>
      </c>
      <c r="D103" s="97">
        <v>0.5414148064330665</v>
      </c>
      <c r="E103" s="83"/>
      <c r="F103" s="98"/>
      <c r="G103" s="97">
        <v>0.78020829298357697</v>
      </c>
      <c r="H103" s="83"/>
      <c r="I103" s="83"/>
      <c r="M103"/>
      <c r="N103"/>
    </row>
    <row r="104" spans="1:18" s="17" customFormat="1" x14ac:dyDescent="0.2">
      <c r="A104"/>
      <c r="B104" s="90">
        <v>1</v>
      </c>
      <c r="C104" s="91">
        <v>1500</v>
      </c>
      <c r="D104" s="92">
        <v>0.48727332578975985</v>
      </c>
      <c r="E104" s="93"/>
      <c r="F104" s="94"/>
      <c r="G104" s="92">
        <v>0.70218746368521923</v>
      </c>
      <c r="H104" s="93"/>
      <c r="I104" s="93"/>
      <c r="M104"/>
      <c r="N104"/>
    </row>
    <row r="105" spans="1:18" s="17" customFormat="1" x14ac:dyDescent="0.2">
      <c r="A105"/>
      <c r="B105" s="95">
        <v>1.1000000000000001</v>
      </c>
      <c r="C105" s="96">
        <v>1650.0000000000002</v>
      </c>
      <c r="D105" s="97">
        <v>0.44297575071796341</v>
      </c>
      <c r="E105" s="83"/>
      <c r="F105" s="98"/>
      <c r="G105" s="97">
        <v>0.63835223971383559</v>
      </c>
      <c r="H105" s="83"/>
      <c r="I105" s="83"/>
      <c r="M105"/>
      <c r="N105"/>
    </row>
    <row r="106" spans="1:18" s="17" customFormat="1" x14ac:dyDescent="0.2">
      <c r="A106"/>
      <c r="B106" s="90">
        <v>1.25</v>
      </c>
      <c r="C106" s="91">
        <v>1875</v>
      </c>
      <c r="D106" s="92">
        <v>0.38981866063180787</v>
      </c>
      <c r="E106" s="93"/>
      <c r="F106" s="94"/>
      <c r="G106" s="92">
        <v>0.56174997094817547</v>
      </c>
      <c r="H106" s="93"/>
      <c r="I106" s="93"/>
      <c r="M106"/>
      <c r="N106"/>
    </row>
    <row r="107" spans="1:18" s="17" customFormat="1" x14ac:dyDescent="0.2">
      <c r="A107"/>
      <c r="M107"/>
      <c r="N107"/>
    </row>
    <row r="108" spans="1:18" x14ac:dyDescent="0.2">
      <c r="A108" s="25" t="s">
        <v>536</v>
      </c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8"/>
      <c r="K109" s="17"/>
      <c r="L109" s="17"/>
      <c r="M109" s="17"/>
      <c r="N109" s="17"/>
      <c r="O109" s="17"/>
      <c r="P109" s="17"/>
      <c r="Q109" s="17"/>
    </row>
    <row r="110" spans="1:18" ht="26.25" customHeight="1" x14ac:dyDescent="0.2">
      <c r="A110" s="236" t="s">
        <v>140</v>
      </c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21"/>
      <c r="N110" s="221"/>
      <c r="O110" s="221"/>
      <c r="P110" s="221"/>
      <c r="Q110" s="221"/>
      <c r="R110" s="221"/>
    </row>
  </sheetData>
  <sheetProtection sheet="1" objects="1" scenarios="1"/>
  <mergeCells count="6">
    <mergeCell ref="D98:I98"/>
    <mergeCell ref="A110:L11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25">
    <tabColor rgb="FF92D050"/>
    <pageSetUpPr fitToPage="1"/>
  </sheetPr>
  <dimension ref="A1:S99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350</v>
      </c>
      <c r="E10" s="132"/>
      <c r="F10" s="226" t="s">
        <v>83</v>
      </c>
      <c r="G10" s="31">
        <v>0.8</v>
      </c>
      <c r="H10" s="133"/>
      <c r="I10" s="35">
        <v>280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280</v>
      </c>
      <c r="P10" s="202">
        <f>+J10-N10</f>
        <v>0</v>
      </c>
      <c r="Q10" s="35">
        <v>34160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0.2555</v>
      </c>
      <c r="E11" s="132"/>
      <c r="F11" s="226" t="s">
        <v>135</v>
      </c>
      <c r="G11" s="31">
        <v>270</v>
      </c>
      <c r="H11" s="133"/>
      <c r="I11" s="35">
        <v>68.984999999999999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68.984999999999999</v>
      </c>
      <c r="P11" s="202">
        <f t="shared" ref="P11:P13" si="3">+J11-N11</f>
        <v>0</v>
      </c>
      <c r="Q11" s="35">
        <v>8416.17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348.98500000000001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348.98500000000001</v>
      </c>
      <c r="P14" s="203">
        <f>SUM(P10:P13)</f>
        <v>0</v>
      </c>
      <c r="Q14" s="36">
        <v>42576.17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499</v>
      </c>
      <c r="D19" s="25">
        <v>34</v>
      </c>
      <c r="E19" s="132"/>
      <c r="F19" s="226" t="s">
        <v>233</v>
      </c>
      <c r="G19" s="41">
        <v>1.4519130434782608</v>
      </c>
      <c r="H19" s="133"/>
      <c r="I19" s="35">
        <v>49.365043478260866</v>
      </c>
      <c r="J19" s="202">
        <f t="shared" ref="J19:J37" si="4">E19*H19</f>
        <v>0</v>
      </c>
      <c r="K19" s="225">
        <v>0</v>
      </c>
      <c r="L19" s="214"/>
      <c r="M19" s="35">
        <v>0</v>
      </c>
      <c r="N19" s="202">
        <f t="shared" ref="N19:N37" si="5">J19*L19</f>
        <v>0</v>
      </c>
      <c r="O19" s="35">
        <v>49.365043478260866</v>
      </c>
      <c r="P19" s="202">
        <f t="shared" ref="P19:P37" si="6">+J19-N19</f>
        <v>0</v>
      </c>
      <c r="Q19" s="35">
        <v>6022.5353043478253</v>
      </c>
      <c r="R19" s="202">
        <f t="shared" ref="R19:R37" si="7">+J19*E$7</f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426</v>
      </c>
      <c r="D21" s="25">
        <v>45</v>
      </c>
      <c r="E21" s="132"/>
      <c r="F21" s="226" t="s">
        <v>83</v>
      </c>
      <c r="G21" s="41">
        <v>0.56000000000000005</v>
      </c>
      <c r="H21" s="133"/>
      <c r="I21" s="35">
        <v>25.200000000000003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25.200000000000003</v>
      </c>
      <c r="P21" s="202">
        <f t="shared" si="6"/>
        <v>0</v>
      </c>
      <c r="Q21" s="35">
        <v>3074.4000000000005</v>
      </c>
      <c r="R21" s="202">
        <f t="shared" si="7"/>
        <v>0</v>
      </c>
    </row>
    <row r="22" spans="1:18" x14ac:dyDescent="0.2">
      <c r="A22" s="25"/>
      <c r="B22" s="25" t="s">
        <v>501</v>
      </c>
      <c r="C22" s="25" t="s">
        <v>431</v>
      </c>
      <c r="D22" s="25">
        <v>27</v>
      </c>
      <c r="E22" s="132"/>
      <c r="F22" s="226" t="s">
        <v>83</v>
      </c>
      <c r="G22" s="41">
        <v>0.42</v>
      </c>
      <c r="H22" s="133"/>
      <c r="I22" s="35">
        <v>11.34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11.34</v>
      </c>
      <c r="P22" s="202">
        <f t="shared" si="6"/>
        <v>0</v>
      </c>
      <c r="Q22" s="35">
        <v>1383.48</v>
      </c>
      <c r="R22" s="202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501</v>
      </c>
      <c r="C24" s="25" t="s">
        <v>441</v>
      </c>
      <c r="D24" s="25">
        <v>1</v>
      </c>
      <c r="E24" s="132"/>
      <c r="F24" s="226" t="s">
        <v>42</v>
      </c>
      <c r="G24" s="41">
        <v>0.25</v>
      </c>
      <c r="H24" s="133"/>
      <c r="I24" s="35">
        <v>0.25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0.25</v>
      </c>
      <c r="P24" s="202">
        <f t="shared" si="6"/>
        <v>0</v>
      </c>
      <c r="Q24" s="35">
        <v>30.5</v>
      </c>
      <c r="R24" s="202">
        <f t="shared" si="7"/>
        <v>0</v>
      </c>
    </row>
    <row r="25" spans="1:18" x14ac:dyDescent="0.2">
      <c r="A25" s="25"/>
      <c r="B25" s="25" t="s">
        <v>501</v>
      </c>
      <c r="C25" s="25" t="s">
        <v>381</v>
      </c>
      <c r="D25" s="25">
        <v>1</v>
      </c>
      <c r="E25" s="132"/>
      <c r="F25" s="226" t="s">
        <v>42</v>
      </c>
      <c r="G25" s="41">
        <v>6.39</v>
      </c>
      <c r="H25" s="133"/>
      <c r="I25" s="35">
        <v>6.39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6.39</v>
      </c>
      <c r="P25" s="202">
        <f t="shared" si="6"/>
        <v>0</v>
      </c>
      <c r="Q25" s="35">
        <v>779.57999999999993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368</v>
      </c>
      <c r="D26" s="25">
        <v>0.9</v>
      </c>
      <c r="E26" s="132"/>
      <c r="F26" s="226" t="s">
        <v>369</v>
      </c>
      <c r="G26" s="41">
        <v>15</v>
      </c>
      <c r="H26" s="133"/>
      <c r="I26" s="35">
        <v>13.5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13.5</v>
      </c>
      <c r="P26" s="202">
        <f t="shared" si="6"/>
        <v>0</v>
      </c>
      <c r="Q26" s="35">
        <v>1647</v>
      </c>
      <c r="R26" s="202">
        <f t="shared" si="7"/>
        <v>0</v>
      </c>
    </row>
    <row r="27" spans="1:18" x14ac:dyDescent="0.2">
      <c r="A27" s="25"/>
      <c r="B27" s="25" t="s">
        <v>501</v>
      </c>
      <c r="C27" s="25" t="s">
        <v>397</v>
      </c>
      <c r="D27" s="25">
        <v>14.28</v>
      </c>
      <c r="E27" s="132"/>
      <c r="F27" s="226" t="s">
        <v>7</v>
      </c>
      <c r="G27" s="41">
        <v>3.75</v>
      </c>
      <c r="H27" s="133"/>
      <c r="I27" s="35">
        <v>53.55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53.55</v>
      </c>
      <c r="P27" s="202">
        <f t="shared" si="6"/>
        <v>0</v>
      </c>
      <c r="Q27" s="35">
        <v>6533.0999999999995</v>
      </c>
      <c r="R27" s="202">
        <f t="shared" si="7"/>
        <v>0</v>
      </c>
    </row>
    <row r="28" spans="1:18" x14ac:dyDescent="0.2">
      <c r="A28" s="25"/>
      <c r="B28" s="25" t="s">
        <v>49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446</v>
      </c>
      <c r="D29" s="25">
        <v>2</v>
      </c>
      <c r="E29" s="132"/>
      <c r="F29" s="226" t="s">
        <v>311</v>
      </c>
      <c r="G29" s="41">
        <v>2.75</v>
      </c>
      <c r="H29" s="133"/>
      <c r="I29" s="35">
        <v>5.5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5.5</v>
      </c>
      <c r="P29" s="202">
        <f t="shared" si="6"/>
        <v>0</v>
      </c>
      <c r="Q29" s="35">
        <v>671</v>
      </c>
      <c r="R29" s="202">
        <f t="shared" si="7"/>
        <v>0</v>
      </c>
    </row>
    <row r="30" spans="1:18" x14ac:dyDescent="0.2">
      <c r="A30" s="25"/>
      <c r="B30" s="25" t="s">
        <v>501</v>
      </c>
      <c r="C30" s="25" t="s">
        <v>471</v>
      </c>
      <c r="D30" s="25">
        <v>64</v>
      </c>
      <c r="E30" s="132"/>
      <c r="F30" s="226" t="s">
        <v>360</v>
      </c>
      <c r="G30" s="41">
        <v>0.1328125</v>
      </c>
      <c r="H30" s="133"/>
      <c r="I30" s="35">
        <v>8.5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8.5</v>
      </c>
      <c r="P30" s="202">
        <f t="shared" si="6"/>
        <v>0</v>
      </c>
      <c r="Q30" s="35">
        <v>1037</v>
      </c>
      <c r="R30" s="202">
        <f t="shared" si="7"/>
        <v>0</v>
      </c>
    </row>
    <row r="31" spans="1:18" x14ac:dyDescent="0.2">
      <c r="A31" s="25"/>
      <c r="B31" s="25" t="s">
        <v>27</v>
      </c>
      <c r="C31" s="25"/>
      <c r="D31" s="25"/>
      <c r="E31" s="25"/>
      <c r="F31" s="25"/>
      <c r="G31" s="25"/>
      <c r="H31" s="25"/>
      <c r="I31" s="25"/>
      <c r="J31" s="25"/>
      <c r="K31" s="225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 t="s">
        <v>501</v>
      </c>
      <c r="C32" s="25" t="s">
        <v>424</v>
      </c>
      <c r="D32" s="25">
        <v>1</v>
      </c>
      <c r="E32" s="132"/>
      <c r="F32" s="226" t="s">
        <v>42</v>
      </c>
      <c r="G32" s="41">
        <v>10.37</v>
      </c>
      <c r="H32" s="133"/>
      <c r="I32" s="35">
        <v>10.37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10.37</v>
      </c>
      <c r="P32" s="202">
        <f t="shared" si="6"/>
        <v>0</v>
      </c>
      <c r="Q32" s="35">
        <v>1265.1399999999999</v>
      </c>
      <c r="R32" s="202">
        <f t="shared" si="7"/>
        <v>0</v>
      </c>
    </row>
    <row r="33" spans="1:18" x14ac:dyDescent="0.2">
      <c r="A33" s="25"/>
      <c r="B33" s="25" t="s">
        <v>501</v>
      </c>
      <c r="C33" s="25" t="s">
        <v>370</v>
      </c>
      <c r="D33" s="25">
        <v>0.7</v>
      </c>
      <c r="E33" s="132"/>
      <c r="F33" s="226" t="s">
        <v>369</v>
      </c>
      <c r="G33" s="41">
        <v>1</v>
      </c>
      <c r="H33" s="133"/>
      <c r="I33" s="35">
        <v>0.7</v>
      </c>
      <c r="J33" s="202">
        <f t="shared" si="4"/>
        <v>0</v>
      </c>
      <c r="K33" s="225">
        <v>0</v>
      </c>
      <c r="L33" s="214"/>
      <c r="M33" s="35">
        <v>0</v>
      </c>
      <c r="N33" s="202">
        <f t="shared" si="5"/>
        <v>0</v>
      </c>
      <c r="O33" s="35">
        <v>0.7</v>
      </c>
      <c r="P33" s="202">
        <f t="shared" si="6"/>
        <v>0</v>
      </c>
      <c r="Q33" s="35">
        <v>85.399999999999991</v>
      </c>
      <c r="R33" s="202">
        <f t="shared" si="7"/>
        <v>0</v>
      </c>
    </row>
    <row r="34" spans="1:18" x14ac:dyDescent="0.2">
      <c r="A34" s="25"/>
      <c r="B34" s="25" t="s">
        <v>80</v>
      </c>
      <c r="C34" s="25"/>
      <c r="D34" s="25"/>
      <c r="E34" s="25"/>
      <c r="F34" s="25"/>
      <c r="G34" s="25"/>
      <c r="H34" s="25"/>
      <c r="I34" s="25"/>
      <c r="J34" s="25"/>
      <c r="K34" s="225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501</v>
      </c>
      <c r="C35" s="25" t="s">
        <v>395</v>
      </c>
      <c r="D35" s="25">
        <v>28</v>
      </c>
      <c r="E35" s="132"/>
      <c r="F35" s="226" t="s">
        <v>360</v>
      </c>
      <c r="G35" s="41">
        <v>0.1796875</v>
      </c>
      <c r="H35" s="133"/>
      <c r="I35" s="35">
        <v>5.03125</v>
      </c>
      <c r="J35" s="202">
        <f t="shared" si="4"/>
        <v>0</v>
      </c>
      <c r="K35" s="225">
        <v>0</v>
      </c>
      <c r="L35" s="214"/>
      <c r="M35" s="35">
        <v>0</v>
      </c>
      <c r="N35" s="202">
        <f t="shared" si="5"/>
        <v>0</v>
      </c>
      <c r="O35" s="35">
        <v>5.03125</v>
      </c>
      <c r="P35" s="202">
        <f t="shared" si="6"/>
        <v>0</v>
      </c>
      <c r="Q35" s="35">
        <v>613.8125</v>
      </c>
      <c r="R35" s="202">
        <f t="shared" si="7"/>
        <v>0</v>
      </c>
    </row>
    <row r="36" spans="1:18" x14ac:dyDescent="0.2">
      <c r="A36" s="25"/>
      <c r="B36" s="133"/>
      <c r="C36" s="133"/>
      <c r="D36" s="25">
        <v>0</v>
      </c>
      <c r="E36" s="132"/>
      <c r="F36" s="226"/>
      <c r="G36" s="41">
        <v>0</v>
      </c>
      <c r="H36" s="133"/>
      <c r="I36" s="35">
        <v>0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0</v>
      </c>
      <c r="P36" s="202">
        <f t="shared" si="6"/>
        <v>0</v>
      </c>
      <c r="Q36" s="35">
        <v>0</v>
      </c>
      <c r="R36" s="202">
        <f t="shared" si="7"/>
        <v>0</v>
      </c>
    </row>
    <row r="37" spans="1:18" x14ac:dyDescent="0.2">
      <c r="A37" s="25"/>
      <c r="B37" s="133"/>
      <c r="C37" s="133"/>
      <c r="D37" s="25">
        <v>0</v>
      </c>
      <c r="E37" s="132"/>
      <c r="F37" s="226"/>
      <c r="G37" s="41">
        <v>0</v>
      </c>
      <c r="H37" s="133"/>
      <c r="I37" s="35">
        <v>0</v>
      </c>
      <c r="J37" s="202">
        <f t="shared" si="4"/>
        <v>0</v>
      </c>
      <c r="K37" s="225">
        <v>0</v>
      </c>
      <c r="L37" s="214"/>
      <c r="M37" s="35">
        <v>0</v>
      </c>
      <c r="N37" s="202">
        <f t="shared" si="5"/>
        <v>0</v>
      </c>
      <c r="O37" s="35">
        <v>0</v>
      </c>
      <c r="P37" s="202">
        <f t="shared" si="6"/>
        <v>0</v>
      </c>
      <c r="Q37" s="35">
        <v>0</v>
      </c>
      <c r="R37" s="202">
        <f t="shared" si="7"/>
        <v>0</v>
      </c>
    </row>
    <row r="38" spans="1:18" x14ac:dyDescent="0.2">
      <c r="A38" s="25"/>
      <c r="B38" s="133"/>
      <c r="C38" s="133"/>
      <c r="D38" s="25">
        <v>0</v>
      </c>
      <c r="E38" s="132"/>
      <c r="F38" s="226"/>
      <c r="G38" s="41">
        <v>0</v>
      </c>
      <c r="H38" s="133"/>
      <c r="I38" s="35">
        <v>0</v>
      </c>
      <c r="J38" s="202">
        <f>E38*H38</f>
        <v>0</v>
      </c>
      <c r="K38" s="225">
        <v>0</v>
      </c>
      <c r="L38" s="214"/>
      <c r="M38" s="35">
        <v>0</v>
      </c>
      <c r="N38" s="202">
        <f>J38*L38</f>
        <v>0</v>
      </c>
      <c r="O38" s="35">
        <v>0</v>
      </c>
      <c r="P38" s="202">
        <f>+J38-N38</f>
        <v>0</v>
      </c>
      <c r="Q38" s="35">
        <v>0</v>
      </c>
      <c r="R38" s="202">
        <f>+J38*E$7</f>
        <v>0</v>
      </c>
    </row>
    <row r="39" spans="1:18" x14ac:dyDescent="0.2">
      <c r="A39" s="25"/>
      <c r="B39" s="25" t="s">
        <v>108</v>
      </c>
      <c r="C39" s="25"/>
      <c r="D39" s="25"/>
      <c r="E39" s="105"/>
      <c r="H39" s="105"/>
      <c r="I39" s="124"/>
      <c r="J39" s="105"/>
      <c r="K39" s="225"/>
      <c r="L39" s="105"/>
      <c r="N39" s="105"/>
      <c r="P39" s="105"/>
      <c r="R39" s="105"/>
    </row>
    <row r="40" spans="1:18" x14ac:dyDescent="0.2">
      <c r="A40" s="25"/>
      <c r="B40" s="25"/>
      <c r="C40" s="25" t="s">
        <v>105</v>
      </c>
      <c r="D40" s="25">
        <v>1.21</v>
      </c>
      <c r="E40" s="132"/>
      <c r="F40" s="226" t="s">
        <v>44</v>
      </c>
      <c r="G40" s="41">
        <v>17.21</v>
      </c>
      <c r="H40" s="133"/>
      <c r="I40" s="35">
        <v>20.824100000000001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20.824100000000001</v>
      </c>
      <c r="P40" s="202">
        <f>+J40-N40</f>
        <v>0</v>
      </c>
      <c r="Q40" s="35">
        <v>2540.5402000000004</v>
      </c>
      <c r="R40" s="202">
        <f>+J40*E$7</f>
        <v>0</v>
      </c>
    </row>
    <row r="41" spans="1:18" x14ac:dyDescent="0.2">
      <c r="A41" s="25"/>
      <c r="B41" s="25"/>
      <c r="C41" s="25" t="s">
        <v>107</v>
      </c>
      <c r="D41" s="25">
        <v>0</v>
      </c>
      <c r="E41" s="132"/>
      <c r="F41" s="226" t="s">
        <v>44</v>
      </c>
      <c r="G41" s="41">
        <v>17.21</v>
      </c>
      <c r="H41" s="133"/>
      <c r="I41" s="35">
        <v>0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0</v>
      </c>
      <c r="P41" s="202">
        <f>+J41-N41</f>
        <v>0</v>
      </c>
      <c r="Q41" s="35">
        <v>0</v>
      </c>
      <c r="R41" s="202">
        <f>+J41*E$7</f>
        <v>0</v>
      </c>
    </row>
    <row r="42" spans="1:18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 t="s">
        <v>51</v>
      </c>
      <c r="C43" s="25"/>
      <c r="D43" s="25"/>
      <c r="E43" s="209"/>
      <c r="F43" s="21"/>
      <c r="G43" s="41"/>
      <c r="H43" s="198"/>
      <c r="I43" s="186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0</v>
      </c>
      <c r="H44" s="133"/>
      <c r="I44" s="35">
        <v>0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0</v>
      </c>
      <c r="P44" s="202">
        <f>+J44-N44</f>
        <v>0</v>
      </c>
      <c r="Q44" s="35">
        <v>0</v>
      </c>
      <c r="R44" s="202">
        <f>+J44*E$7</f>
        <v>0</v>
      </c>
    </row>
    <row r="45" spans="1:18" x14ac:dyDescent="0.2">
      <c r="A45" s="25"/>
      <c r="B45" s="25"/>
      <c r="C45" s="25" t="s">
        <v>105</v>
      </c>
      <c r="D45" s="25">
        <v>11.63</v>
      </c>
      <c r="E45" s="132"/>
      <c r="F45" s="226" t="s">
        <v>79</v>
      </c>
      <c r="G45" s="41">
        <v>3.6</v>
      </c>
      <c r="H45" s="133"/>
      <c r="I45" s="35">
        <v>41.868000000000002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41.868000000000002</v>
      </c>
      <c r="P45" s="202">
        <f>+J45-N45</f>
        <v>0</v>
      </c>
      <c r="Q45" s="35">
        <v>5107.8960000000006</v>
      </c>
      <c r="R45" s="202">
        <f>+J45*E$7</f>
        <v>0</v>
      </c>
    </row>
    <row r="46" spans="1:18" x14ac:dyDescent="0.2">
      <c r="A46" s="25"/>
      <c r="B46" s="25"/>
      <c r="C46" s="25"/>
      <c r="D46" s="25"/>
      <c r="E46" s="209"/>
      <c r="F46" s="21"/>
      <c r="G46" s="41"/>
      <c r="H46" s="198"/>
      <c r="I46" s="35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 t="s">
        <v>29</v>
      </c>
      <c r="C47" s="25"/>
      <c r="D47" s="25"/>
      <c r="E47" s="209"/>
      <c r="F47" s="21"/>
      <c r="G47" s="41"/>
      <c r="H47" s="198"/>
      <c r="I47" s="186"/>
      <c r="J47" s="184"/>
      <c r="K47" s="225"/>
      <c r="L47" s="198"/>
      <c r="M47" s="35"/>
      <c r="N47" s="184"/>
      <c r="O47" s="35"/>
      <c r="P47" s="184"/>
      <c r="Q47" s="35"/>
      <c r="R47" s="184"/>
    </row>
    <row r="48" spans="1:18" x14ac:dyDescent="0.2">
      <c r="A48" s="25"/>
      <c r="B48" s="25"/>
      <c r="C48" s="25" t="s">
        <v>104</v>
      </c>
      <c r="D48" s="25">
        <v>1</v>
      </c>
      <c r="E48" s="132"/>
      <c r="F48" s="226" t="s">
        <v>42</v>
      </c>
      <c r="G48" s="41">
        <v>8.4430327868852455</v>
      </c>
      <c r="H48" s="133"/>
      <c r="I48" s="35">
        <v>8.4430327868852455</v>
      </c>
      <c r="J48" s="202">
        <f>E48*H48</f>
        <v>0</v>
      </c>
      <c r="K48" s="225">
        <v>0</v>
      </c>
      <c r="L48" s="214"/>
      <c r="M48" s="35">
        <v>0</v>
      </c>
      <c r="N48" s="202">
        <f>J48*L48</f>
        <v>0</v>
      </c>
      <c r="O48" s="35">
        <v>8.4430327868852455</v>
      </c>
      <c r="P48" s="202">
        <f>+J48-N48</f>
        <v>0</v>
      </c>
      <c r="Q48" s="35">
        <v>1030.05</v>
      </c>
      <c r="R48" s="202">
        <f>+J48*E$7</f>
        <v>0</v>
      </c>
    </row>
    <row r="49" spans="1:18" x14ac:dyDescent="0.2">
      <c r="A49" s="25"/>
      <c r="B49" s="25"/>
      <c r="C49" s="25" t="s">
        <v>105</v>
      </c>
      <c r="D49" s="25">
        <v>0</v>
      </c>
      <c r="E49" s="132"/>
      <c r="F49" s="226" t="s">
        <v>79</v>
      </c>
      <c r="G49" s="41">
        <v>3.15</v>
      </c>
      <c r="H49" s="133"/>
      <c r="I49" s="35">
        <v>0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0</v>
      </c>
      <c r="P49" s="202">
        <f>+J49-N49</f>
        <v>0</v>
      </c>
      <c r="Q49" s="35">
        <v>0</v>
      </c>
      <c r="R49" s="202">
        <f>+J49*E$7</f>
        <v>0</v>
      </c>
    </row>
    <row r="50" spans="1:18" x14ac:dyDescent="0.2">
      <c r="A50" s="25"/>
      <c r="B50" s="25"/>
      <c r="C50" s="25"/>
      <c r="D50" s="25"/>
      <c r="E50" s="209"/>
      <c r="F50" s="21"/>
      <c r="G50" s="41"/>
      <c r="H50" s="198"/>
      <c r="I50" s="35"/>
      <c r="J50" s="184"/>
      <c r="K50" s="225"/>
      <c r="L50" s="198"/>
      <c r="M50" s="35"/>
      <c r="N50" s="184"/>
      <c r="O50" s="35"/>
      <c r="P50" s="184"/>
      <c r="Q50" s="35"/>
      <c r="R50" s="184"/>
    </row>
    <row r="51" spans="1:18" x14ac:dyDescent="0.2">
      <c r="A51" s="25"/>
      <c r="B51" s="25" t="s">
        <v>47</v>
      </c>
      <c r="C51" s="25"/>
      <c r="D51" s="25"/>
      <c r="E51" s="209"/>
      <c r="F51" s="21"/>
      <c r="G51" s="41"/>
      <c r="H51" s="199"/>
      <c r="I51" s="186"/>
      <c r="J51" s="184"/>
      <c r="K51" s="225"/>
      <c r="L51" s="199"/>
      <c r="M51" s="35"/>
      <c r="N51" s="184"/>
      <c r="O51" s="35"/>
      <c r="P51" s="184"/>
      <c r="Q51" s="35"/>
      <c r="R51" s="184"/>
    </row>
    <row r="52" spans="1:18" x14ac:dyDescent="0.2">
      <c r="A52" s="25"/>
      <c r="B52" s="25"/>
      <c r="C52" s="25" t="s">
        <v>104</v>
      </c>
      <c r="D52" s="25">
        <v>1</v>
      </c>
      <c r="E52" s="132"/>
      <c r="F52" s="226" t="s">
        <v>42</v>
      </c>
      <c r="G52" s="41">
        <v>1.7288114754098363</v>
      </c>
      <c r="H52" s="133"/>
      <c r="I52" s="35">
        <v>1.7288114754098363</v>
      </c>
      <c r="J52" s="202">
        <f t="shared" ref="J52:J57" si="8">E52*H52</f>
        <v>0</v>
      </c>
      <c r="K52" s="225">
        <v>0</v>
      </c>
      <c r="L52" s="214"/>
      <c r="M52" s="35">
        <v>0</v>
      </c>
      <c r="N52" s="202">
        <f t="shared" ref="N52:N57" si="9">J52*L52</f>
        <v>0</v>
      </c>
      <c r="O52" s="35">
        <v>1.7288114754098363</v>
      </c>
      <c r="P52" s="202">
        <f t="shared" ref="P52:P57" si="10">+J52-N52</f>
        <v>0</v>
      </c>
      <c r="Q52" s="35">
        <v>210.91500000000002</v>
      </c>
      <c r="R52" s="202">
        <f t="shared" ref="R52:R57" si="11">+J52*E$7</f>
        <v>0</v>
      </c>
    </row>
    <row r="53" spans="1:18" x14ac:dyDescent="0.2">
      <c r="A53" s="25"/>
      <c r="B53" s="25"/>
      <c r="C53" s="25" t="s">
        <v>46</v>
      </c>
      <c r="D53" s="25">
        <v>1</v>
      </c>
      <c r="E53" s="132"/>
      <c r="F53" s="226" t="s">
        <v>42</v>
      </c>
      <c r="G53" s="41">
        <v>0</v>
      </c>
      <c r="H53" s="133"/>
      <c r="I53" s="35">
        <v>0</v>
      </c>
      <c r="J53" s="202">
        <f t="shared" si="8"/>
        <v>0</v>
      </c>
      <c r="K53" s="225">
        <v>0</v>
      </c>
      <c r="L53" s="214"/>
      <c r="M53" s="35">
        <v>0</v>
      </c>
      <c r="N53" s="202">
        <f t="shared" si="9"/>
        <v>0</v>
      </c>
      <c r="O53" s="35">
        <v>0</v>
      </c>
      <c r="P53" s="202">
        <f t="shared" si="10"/>
        <v>0</v>
      </c>
      <c r="Q53" s="35">
        <v>0</v>
      </c>
      <c r="R53" s="202">
        <f t="shared" si="11"/>
        <v>0</v>
      </c>
    </row>
    <row r="54" spans="1:18" x14ac:dyDescent="0.2">
      <c r="A54" s="25"/>
      <c r="B54" s="25"/>
      <c r="C54" s="25" t="s">
        <v>105</v>
      </c>
      <c r="D54" s="25">
        <v>1</v>
      </c>
      <c r="E54" s="132"/>
      <c r="F54" s="226" t="s">
        <v>42</v>
      </c>
      <c r="G54" s="41">
        <v>28.873993349782964</v>
      </c>
      <c r="H54" s="133"/>
      <c r="I54" s="35">
        <v>28.873993349782964</v>
      </c>
      <c r="J54" s="202">
        <f t="shared" si="8"/>
        <v>0</v>
      </c>
      <c r="K54" s="225">
        <v>0</v>
      </c>
      <c r="L54" s="214"/>
      <c r="M54" s="35">
        <v>0</v>
      </c>
      <c r="N54" s="202">
        <f t="shared" si="9"/>
        <v>0</v>
      </c>
      <c r="O54" s="35">
        <v>28.873993349782964</v>
      </c>
      <c r="P54" s="202">
        <f t="shared" si="10"/>
        <v>0</v>
      </c>
      <c r="Q54" s="35">
        <v>3522.6271886735217</v>
      </c>
      <c r="R54" s="202">
        <f t="shared" si="11"/>
        <v>0</v>
      </c>
    </row>
    <row r="55" spans="1:18" x14ac:dyDescent="0.2">
      <c r="A55" s="25"/>
      <c r="B55" s="25"/>
      <c r="C55" s="25" t="s">
        <v>4</v>
      </c>
      <c r="D55" s="25">
        <v>1</v>
      </c>
      <c r="E55" s="132"/>
      <c r="F55" s="226" t="s">
        <v>42</v>
      </c>
      <c r="G55" s="41">
        <v>12.041512756726899</v>
      </c>
      <c r="H55" s="133"/>
      <c r="I55" s="35">
        <v>12.041512756726899</v>
      </c>
      <c r="J55" s="202">
        <f t="shared" si="8"/>
        <v>0</v>
      </c>
      <c r="K55" s="225">
        <v>0</v>
      </c>
      <c r="L55" s="214"/>
      <c r="M55" s="35">
        <v>0</v>
      </c>
      <c r="N55" s="202">
        <f t="shared" si="9"/>
        <v>0</v>
      </c>
      <c r="O55" s="35">
        <v>12.041512756726899</v>
      </c>
      <c r="P55" s="202">
        <f t="shared" si="10"/>
        <v>0</v>
      </c>
      <c r="Q55" s="35">
        <v>1469.0645563206817</v>
      </c>
      <c r="R55" s="202">
        <f t="shared" si="11"/>
        <v>0</v>
      </c>
    </row>
    <row r="56" spans="1:18" x14ac:dyDescent="0.2">
      <c r="A56" s="25"/>
      <c r="B56" s="133"/>
      <c r="C56" s="133"/>
      <c r="D56" s="25"/>
      <c r="E56" s="132"/>
      <c r="F56" s="226"/>
      <c r="G56" s="41"/>
      <c r="H56" s="133"/>
      <c r="I56" s="35">
        <v>0</v>
      </c>
      <c r="J56" s="202">
        <f t="shared" si="8"/>
        <v>0</v>
      </c>
      <c r="K56" s="225">
        <v>0</v>
      </c>
      <c r="L56" s="214"/>
      <c r="M56" s="35">
        <v>0</v>
      </c>
      <c r="N56" s="202">
        <f t="shared" si="9"/>
        <v>0</v>
      </c>
      <c r="O56" s="35">
        <v>0</v>
      </c>
      <c r="P56" s="202">
        <f t="shared" si="10"/>
        <v>0</v>
      </c>
      <c r="Q56" s="35">
        <v>0</v>
      </c>
      <c r="R56" s="202">
        <f t="shared" si="11"/>
        <v>0</v>
      </c>
    </row>
    <row r="57" spans="1:18" x14ac:dyDescent="0.2">
      <c r="A57" s="25"/>
      <c r="B57" s="133"/>
      <c r="C57" s="133"/>
      <c r="D57" s="25"/>
      <c r="E57" s="132"/>
      <c r="F57" s="226"/>
      <c r="G57" s="41"/>
      <c r="H57" s="133"/>
      <c r="I57" s="35">
        <v>0</v>
      </c>
      <c r="J57" s="202">
        <f t="shared" si="8"/>
        <v>0</v>
      </c>
      <c r="K57" s="225">
        <v>0</v>
      </c>
      <c r="L57" s="214"/>
      <c r="M57" s="35">
        <v>0</v>
      </c>
      <c r="N57" s="202">
        <f t="shared" si="9"/>
        <v>0</v>
      </c>
      <c r="O57" s="35">
        <v>0</v>
      </c>
      <c r="P57" s="202">
        <f t="shared" si="10"/>
        <v>0</v>
      </c>
      <c r="Q57" s="35">
        <v>0</v>
      </c>
      <c r="R57" s="202">
        <f t="shared" si="11"/>
        <v>0</v>
      </c>
    </row>
    <row r="58" spans="1:18" ht="13.5" thickBot="1" x14ac:dyDescent="0.25">
      <c r="A58" s="25"/>
      <c r="B58" s="25" t="s">
        <v>32</v>
      </c>
      <c r="C58" s="25"/>
      <c r="D58" s="25"/>
      <c r="E58" s="197"/>
      <c r="F58" s="21"/>
      <c r="G58" s="39">
        <v>0.08</v>
      </c>
      <c r="H58" s="215"/>
      <c r="I58" s="42">
        <v>7.7105988377365051</v>
      </c>
      <c r="J58" s="202">
        <f>+SUM(J18:J57)/2*H58</f>
        <v>0</v>
      </c>
      <c r="K58" s="86"/>
      <c r="L58" s="137"/>
      <c r="M58" s="42">
        <v>0</v>
      </c>
      <c r="N58" s="202">
        <f>+SUM(N18:N57)/2*L58</f>
        <v>0</v>
      </c>
      <c r="O58" s="42">
        <v>7.7105988377365051</v>
      </c>
      <c r="P58" s="202">
        <f>+SUM(P18:P57)/2*L58</f>
        <v>0</v>
      </c>
      <c r="Q58" s="42">
        <v>940.69305820385364</v>
      </c>
      <c r="R58" s="184">
        <f>+J58*E$7</f>
        <v>0</v>
      </c>
    </row>
    <row r="59" spans="1:18" ht="13.5" thickBot="1" x14ac:dyDescent="0.25">
      <c r="A59" s="25" t="s">
        <v>33</v>
      </c>
      <c r="B59" s="25"/>
      <c r="C59" s="25"/>
      <c r="D59" s="25"/>
      <c r="E59" s="200"/>
      <c r="F59" s="25"/>
      <c r="G59" s="25"/>
      <c r="H59" s="197"/>
      <c r="I59" s="87">
        <v>311.18634268480224</v>
      </c>
      <c r="J59" s="204">
        <f>SUM(J19:J58)</f>
        <v>0</v>
      </c>
      <c r="K59" s="35"/>
      <c r="L59" s="195"/>
      <c r="M59" s="87">
        <v>0</v>
      </c>
      <c r="N59" s="204">
        <f>SUM(N19:N58)</f>
        <v>0</v>
      </c>
      <c r="O59" s="87">
        <v>311.18634268480224</v>
      </c>
      <c r="P59" s="204">
        <f>SUM(P19:P58)</f>
        <v>0</v>
      </c>
      <c r="Q59" s="87">
        <v>37964.73380754589</v>
      </c>
      <c r="R59" s="204">
        <f>SUM(R19:R58)</f>
        <v>0</v>
      </c>
    </row>
    <row r="60" spans="1:18" ht="13.5" thickTop="1" x14ac:dyDescent="0.2">
      <c r="A60" s="25" t="s">
        <v>34</v>
      </c>
      <c r="B60" s="25"/>
      <c r="C60" s="25"/>
      <c r="D60" s="25"/>
      <c r="E60" s="200"/>
      <c r="F60" s="25"/>
      <c r="G60" s="25"/>
      <c r="H60" s="197"/>
      <c r="I60" s="35">
        <v>37.798657315197772</v>
      </c>
      <c r="J60" s="202">
        <f>+J14-J59</f>
        <v>0</v>
      </c>
      <c r="K60" s="35"/>
      <c r="L60" s="195"/>
      <c r="M60" s="35">
        <v>0</v>
      </c>
      <c r="N60" s="202">
        <f>+N14-N59</f>
        <v>0</v>
      </c>
      <c r="O60" s="35">
        <v>37.798657315197772</v>
      </c>
      <c r="P60" s="202">
        <f>+P14-P59</f>
        <v>0</v>
      </c>
      <c r="Q60" s="35">
        <v>4611.4361924541081</v>
      </c>
      <c r="R60" s="202">
        <f>+R14-R59</f>
        <v>0</v>
      </c>
    </row>
    <row r="61" spans="1:18" x14ac:dyDescent="0.2">
      <c r="A61" s="25"/>
      <c r="B61" s="25" t="s">
        <v>35</v>
      </c>
      <c r="C61" s="25"/>
      <c r="D61" s="25"/>
      <c r="E61" s="210"/>
      <c r="F61" s="17"/>
      <c r="G61" s="40">
        <v>0.69200383624229211</v>
      </c>
      <c r="H61" s="210" t="str">
        <f>IF(E10=0,"n/a",(YVarExp-(YTotExp+YTotRet-J10))/E10)</f>
        <v>n/a</v>
      </c>
      <c r="I61" s="25" t="s">
        <v>83</v>
      </c>
      <c r="J61" s="184"/>
      <c r="K61" s="25"/>
      <c r="L61" s="197"/>
      <c r="M61" s="25"/>
      <c r="N61" s="184"/>
      <c r="O61" s="25"/>
      <c r="P61" s="184"/>
      <c r="Q61" s="25"/>
      <c r="R61" s="184"/>
    </row>
    <row r="62" spans="1:18" x14ac:dyDescent="0.2">
      <c r="A62" s="25"/>
      <c r="B62" s="25"/>
      <c r="C62" s="25"/>
      <c r="D62" s="25"/>
      <c r="E62" s="178"/>
      <c r="F62" s="25"/>
      <c r="G62" s="25"/>
      <c r="H62" s="211"/>
      <c r="I62" s="25"/>
      <c r="J62" s="184"/>
      <c r="K62" s="25"/>
      <c r="L62" s="197"/>
      <c r="M62" s="25"/>
      <c r="N62" s="184"/>
      <c r="O62" s="25"/>
      <c r="P62" s="184"/>
      <c r="Q62" s="22" t="s">
        <v>19</v>
      </c>
      <c r="R62" s="184" t="s">
        <v>19</v>
      </c>
    </row>
    <row r="63" spans="1:18" x14ac:dyDescent="0.2">
      <c r="A63" s="23" t="s">
        <v>36</v>
      </c>
      <c r="B63" s="23"/>
      <c r="C63" s="23"/>
      <c r="D63" s="24" t="s">
        <v>2</v>
      </c>
      <c r="E63" s="196" t="s">
        <v>2</v>
      </c>
      <c r="F63" s="24" t="s">
        <v>21</v>
      </c>
      <c r="G63" s="24" t="s">
        <v>22</v>
      </c>
      <c r="H63" s="196" t="s">
        <v>22</v>
      </c>
      <c r="I63" s="24" t="s">
        <v>11</v>
      </c>
      <c r="J63" s="196" t="s">
        <v>11</v>
      </c>
      <c r="K63" s="24" t="s">
        <v>10</v>
      </c>
      <c r="L63" s="196" t="s">
        <v>10</v>
      </c>
      <c r="M63" s="24" t="s">
        <v>9</v>
      </c>
      <c r="N63" s="196" t="s">
        <v>9</v>
      </c>
      <c r="O63" s="24" t="s">
        <v>8</v>
      </c>
      <c r="P63" s="196" t="s">
        <v>8</v>
      </c>
      <c r="Q63" s="24" t="s">
        <v>11</v>
      </c>
      <c r="R63" s="208" t="s">
        <v>11</v>
      </c>
    </row>
    <row r="64" spans="1:18" x14ac:dyDescent="0.2">
      <c r="A64" s="25"/>
      <c r="B64" s="25" t="s">
        <v>106</v>
      </c>
      <c r="C64" s="25"/>
      <c r="D64" s="25"/>
      <c r="E64" s="178"/>
      <c r="F64" s="25"/>
      <c r="G64" s="25"/>
      <c r="H64" s="211"/>
      <c r="I64" s="186"/>
      <c r="J64" s="184"/>
      <c r="K64" s="225"/>
      <c r="L64" s="197"/>
      <c r="M64" s="25"/>
      <c r="N64" s="184"/>
      <c r="O64" s="25"/>
      <c r="P64" s="184"/>
      <c r="Q64" s="25"/>
      <c r="R64" s="184"/>
    </row>
    <row r="65" spans="1:18" x14ac:dyDescent="0.2">
      <c r="A65" s="25"/>
      <c r="B65" s="25"/>
      <c r="C65" s="25" t="s">
        <v>104</v>
      </c>
      <c r="D65" s="25">
        <v>1</v>
      </c>
      <c r="E65" s="132"/>
      <c r="F65" s="226" t="s">
        <v>42</v>
      </c>
      <c r="G65" s="41">
        <v>3.6184426229508202</v>
      </c>
      <c r="H65" s="133"/>
      <c r="I65" s="35">
        <v>3.6184426229508202</v>
      </c>
      <c r="J65" s="202">
        <f t="shared" ref="J65:J67" si="12">E65*H65</f>
        <v>0</v>
      </c>
      <c r="K65" s="225">
        <v>0</v>
      </c>
      <c r="L65" s="214"/>
      <c r="M65" s="35">
        <v>0</v>
      </c>
      <c r="N65" s="202">
        <f>J65*L65</f>
        <v>0</v>
      </c>
      <c r="O65" s="35">
        <v>3.6184426229508202</v>
      </c>
      <c r="P65" s="202">
        <f t="shared" ref="P65:P67" si="13">+J65-N65</f>
        <v>0</v>
      </c>
      <c r="Q65" s="35">
        <v>441.45000000000005</v>
      </c>
      <c r="R65" s="202">
        <f t="shared" ref="R65:R67" si="14">+J65*E$7</f>
        <v>0</v>
      </c>
    </row>
    <row r="66" spans="1:18" x14ac:dyDescent="0.2">
      <c r="A66" s="25"/>
      <c r="B66" s="25"/>
      <c r="C66" s="25" t="s">
        <v>105</v>
      </c>
      <c r="D66" s="25">
        <v>1</v>
      </c>
      <c r="E66" s="132"/>
      <c r="F66" s="226" t="s">
        <v>42</v>
      </c>
      <c r="G66" s="41">
        <v>35.784899140945384</v>
      </c>
      <c r="H66" s="133"/>
      <c r="I66" s="35">
        <v>35.784899140945384</v>
      </c>
      <c r="J66" s="202">
        <f t="shared" si="12"/>
        <v>0</v>
      </c>
      <c r="K66" s="225">
        <v>0</v>
      </c>
      <c r="L66" s="214"/>
      <c r="M66" s="35">
        <v>0</v>
      </c>
      <c r="N66" s="202">
        <f>J66*L66</f>
        <v>0</v>
      </c>
      <c r="O66" s="35">
        <v>35.784899140945384</v>
      </c>
      <c r="P66" s="202">
        <f t="shared" si="13"/>
        <v>0</v>
      </c>
      <c r="Q66" s="35">
        <v>4365.757695195337</v>
      </c>
      <c r="R66" s="202">
        <f t="shared" si="14"/>
        <v>0</v>
      </c>
    </row>
    <row r="67" spans="1:18" x14ac:dyDescent="0.2">
      <c r="A67" s="25"/>
      <c r="B67" s="25"/>
      <c r="C67" s="25" t="s">
        <v>4</v>
      </c>
      <c r="D67" s="25">
        <v>1</v>
      </c>
      <c r="E67" s="132"/>
      <c r="F67" s="226" t="s">
        <v>42</v>
      </c>
      <c r="G67" s="41">
        <v>15.678946573529114</v>
      </c>
      <c r="H67" s="133"/>
      <c r="I67" s="35">
        <v>15.678946573529114</v>
      </c>
      <c r="J67" s="202">
        <f t="shared" si="12"/>
        <v>0</v>
      </c>
      <c r="K67" s="225">
        <v>0</v>
      </c>
      <c r="L67" s="214"/>
      <c r="M67" s="35">
        <v>0</v>
      </c>
      <c r="N67" s="202">
        <f>J67*L67</f>
        <v>0</v>
      </c>
      <c r="O67" s="35">
        <v>15.678946573529114</v>
      </c>
      <c r="P67" s="202">
        <f t="shared" si="13"/>
        <v>0</v>
      </c>
      <c r="Q67" s="35">
        <v>1912.831481970552</v>
      </c>
      <c r="R67" s="202">
        <f t="shared" si="14"/>
        <v>0</v>
      </c>
    </row>
    <row r="68" spans="1:18" x14ac:dyDescent="0.2">
      <c r="A68" s="25"/>
      <c r="B68" s="25" t="s">
        <v>89</v>
      </c>
      <c r="C68" s="25"/>
      <c r="D68" s="25"/>
      <c r="E68" s="197"/>
      <c r="F68" s="21"/>
      <c r="G68" s="41"/>
      <c r="H68" s="197"/>
      <c r="I68" s="186"/>
      <c r="J68" s="184"/>
      <c r="K68" s="225"/>
      <c r="L68" s="197"/>
      <c r="M68" s="35"/>
      <c r="N68" s="184"/>
      <c r="O68" s="35"/>
      <c r="P68" s="184"/>
      <c r="Q68" s="35"/>
      <c r="R68" s="184"/>
    </row>
    <row r="69" spans="1:18" x14ac:dyDescent="0.2">
      <c r="A69" s="25"/>
      <c r="B69" s="25"/>
      <c r="C69" s="25" t="s">
        <v>104</v>
      </c>
      <c r="D69" s="41">
        <v>22.112704918032787</v>
      </c>
      <c r="E69" s="132"/>
      <c r="F69" s="226" t="s">
        <v>100</v>
      </c>
      <c r="G69" s="39">
        <v>0.08</v>
      </c>
      <c r="H69" s="215"/>
      <c r="I69" s="35">
        <v>1.7690163934426231</v>
      </c>
      <c r="J69" s="202">
        <f t="shared" ref="J69:J78" si="15">E69*H69</f>
        <v>0</v>
      </c>
      <c r="K69" s="225">
        <v>0</v>
      </c>
      <c r="L69" s="214"/>
      <c r="M69" s="35">
        <v>0</v>
      </c>
      <c r="N69" s="202">
        <f>J69*L69</f>
        <v>0</v>
      </c>
      <c r="O69" s="35">
        <v>1.7690163934426231</v>
      </c>
      <c r="P69" s="202">
        <f t="shared" ref="P69:P71" si="16">+J69-N69</f>
        <v>0</v>
      </c>
      <c r="Q69" s="35">
        <v>215.82000000000002</v>
      </c>
      <c r="R69" s="202">
        <f t="shared" ref="R69:R71" si="17">+J69*E$7</f>
        <v>0</v>
      </c>
    </row>
    <row r="70" spans="1:18" x14ac:dyDescent="0.2">
      <c r="A70" s="25"/>
      <c r="B70" s="25"/>
      <c r="C70" s="25" t="s">
        <v>105</v>
      </c>
      <c r="D70" s="41">
        <v>310.79562331951422</v>
      </c>
      <c r="E70" s="132"/>
      <c r="F70" s="226" t="s">
        <v>100</v>
      </c>
      <c r="G70" s="39">
        <v>0.08</v>
      </c>
      <c r="H70" s="215"/>
      <c r="I70" s="35">
        <v>24.86364986556114</v>
      </c>
      <c r="J70" s="202">
        <f t="shared" si="15"/>
        <v>0</v>
      </c>
      <c r="K70" s="225">
        <v>0</v>
      </c>
      <c r="L70" s="214"/>
      <c r="M70" s="35">
        <v>0</v>
      </c>
      <c r="N70" s="202">
        <f>J70*L70</f>
        <v>0</v>
      </c>
      <c r="O70" s="35">
        <v>24.86364986556114</v>
      </c>
      <c r="P70" s="202">
        <f t="shared" si="16"/>
        <v>0</v>
      </c>
      <c r="Q70" s="35">
        <v>3033.365283598459</v>
      </c>
      <c r="R70" s="202">
        <f t="shared" si="17"/>
        <v>0</v>
      </c>
    </row>
    <row r="71" spans="1:18" x14ac:dyDescent="0.2">
      <c r="A71" s="25"/>
      <c r="B71" s="25"/>
      <c r="C71" s="25" t="s">
        <v>4</v>
      </c>
      <c r="D71" s="41">
        <v>91.998002332683342</v>
      </c>
      <c r="E71" s="132"/>
      <c r="F71" s="226" t="s">
        <v>100</v>
      </c>
      <c r="G71" s="39">
        <v>0.08</v>
      </c>
      <c r="H71" s="215"/>
      <c r="I71" s="35">
        <v>7.3598401866146679</v>
      </c>
      <c r="J71" s="202">
        <f t="shared" si="15"/>
        <v>0</v>
      </c>
      <c r="K71" s="225">
        <v>0</v>
      </c>
      <c r="L71" s="214"/>
      <c r="M71" s="35">
        <v>0</v>
      </c>
      <c r="N71" s="202">
        <f>J71*L71</f>
        <v>0</v>
      </c>
      <c r="O71" s="35">
        <v>7.3598401866146679</v>
      </c>
      <c r="P71" s="202">
        <f t="shared" si="16"/>
        <v>0</v>
      </c>
      <c r="Q71" s="35">
        <v>897.90050276698946</v>
      </c>
      <c r="R71" s="202">
        <f t="shared" si="17"/>
        <v>0</v>
      </c>
    </row>
    <row r="72" spans="1:18" x14ac:dyDescent="0.2">
      <c r="A72" s="25"/>
      <c r="B72" s="25" t="s">
        <v>156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5"/>
        <v>0</v>
      </c>
      <c r="K72" s="225">
        <v>0</v>
      </c>
      <c r="L72" s="214"/>
      <c r="M72" s="35">
        <v>0</v>
      </c>
      <c r="N72" s="202">
        <f t="shared" ref="N72:N79" si="18">J72*L72</f>
        <v>0</v>
      </c>
      <c r="O72" s="35">
        <v>0</v>
      </c>
      <c r="P72" s="202">
        <f t="shared" ref="P72:P79" si="19">+J72-N72</f>
        <v>0</v>
      </c>
      <c r="Q72" s="35">
        <v>0</v>
      </c>
      <c r="R72" s="202">
        <f t="shared" ref="R72:R79" si="20">+J72*E$7</f>
        <v>0</v>
      </c>
    </row>
    <row r="73" spans="1:18" x14ac:dyDescent="0.2">
      <c r="A73" s="25"/>
      <c r="B73" s="25" t="s">
        <v>152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5"/>
        <v>0</v>
      </c>
      <c r="K73" s="225">
        <v>0</v>
      </c>
      <c r="L73" s="214"/>
      <c r="M73" s="35">
        <v>0</v>
      </c>
      <c r="N73" s="202">
        <f t="shared" si="18"/>
        <v>0</v>
      </c>
      <c r="O73" s="35">
        <v>0</v>
      </c>
      <c r="P73" s="202">
        <f t="shared" si="19"/>
        <v>0</v>
      </c>
      <c r="Q73" s="35">
        <v>0</v>
      </c>
      <c r="R73" s="202">
        <f t="shared" si="20"/>
        <v>0</v>
      </c>
    </row>
    <row r="74" spans="1:18" x14ac:dyDescent="0.2">
      <c r="A74" s="25"/>
      <c r="B74" s="25" t="s">
        <v>137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5"/>
        <v>0</v>
      </c>
      <c r="K74" s="225">
        <v>0</v>
      </c>
      <c r="L74" s="214"/>
      <c r="M74" s="35">
        <v>0</v>
      </c>
      <c r="N74" s="202">
        <f t="shared" si="18"/>
        <v>0</v>
      </c>
      <c r="O74" s="35">
        <v>0</v>
      </c>
      <c r="P74" s="202">
        <f t="shared" si="19"/>
        <v>0</v>
      </c>
      <c r="Q74" s="35">
        <v>0</v>
      </c>
      <c r="R74" s="202">
        <f t="shared" si="20"/>
        <v>0</v>
      </c>
    </row>
    <row r="75" spans="1:18" x14ac:dyDescent="0.2">
      <c r="A75" s="25"/>
      <c r="B75" s="25" t="s">
        <v>454</v>
      </c>
      <c r="C75" s="25"/>
      <c r="D75" s="25">
        <v>1</v>
      </c>
      <c r="E75" s="132"/>
      <c r="F75" s="226" t="s">
        <v>42</v>
      </c>
      <c r="G75" s="41">
        <v>15</v>
      </c>
      <c r="H75" s="133"/>
      <c r="I75" s="35">
        <v>15</v>
      </c>
      <c r="J75" s="202">
        <f t="shared" si="15"/>
        <v>0</v>
      </c>
      <c r="K75" s="225">
        <v>0</v>
      </c>
      <c r="L75" s="214"/>
      <c r="M75" s="35">
        <v>0</v>
      </c>
      <c r="N75" s="202">
        <f t="shared" si="18"/>
        <v>0</v>
      </c>
      <c r="O75" s="35">
        <v>15</v>
      </c>
      <c r="P75" s="202">
        <f t="shared" si="19"/>
        <v>0</v>
      </c>
      <c r="Q75" s="35">
        <v>1830</v>
      </c>
      <c r="R75" s="202">
        <f t="shared" si="20"/>
        <v>0</v>
      </c>
    </row>
    <row r="76" spans="1:18" x14ac:dyDescent="0.2">
      <c r="A76" s="25"/>
      <c r="B76" s="25" t="s">
        <v>159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5"/>
        <v>0</v>
      </c>
      <c r="K76" s="225">
        <v>0</v>
      </c>
      <c r="L76" s="214"/>
      <c r="M76" s="35">
        <v>0</v>
      </c>
      <c r="N76" s="202">
        <f t="shared" si="18"/>
        <v>0</v>
      </c>
      <c r="O76" s="35">
        <v>0</v>
      </c>
      <c r="P76" s="202">
        <f t="shared" si="19"/>
        <v>0</v>
      </c>
      <c r="Q76" s="35">
        <v>0</v>
      </c>
      <c r="R76" s="202">
        <f t="shared" si="20"/>
        <v>0</v>
      </c>
    </row>
    <row r="77" spans="1:18" x14ac:dyDescent="0.2">
      <c r="A77" s="25"/>
      <c r="B77" s="25" t="s">
        <v>160</v>
      </c>
      <c r="C77" s="25"/>
      <c r="D77" s="25">
        <v>1</v>
      </c>
      <c r="E77" s="132"/>
      <c r="F77" s="226" t="s">
        <v>42</v>
      </c>
      <c r="G77" s="41">
        <v>0</v>
      </c>
      <c r="H77" s="133"/>
      <c r="I77" s="35">
        <v>0</v>
      </c>
      <c r="J77" s="202">
        <f t="shared" si="15"/>
        <v>0</v>
      </c>
      <c r="K77" s="225">
        <v>0</v>
      </c>
      <c r="L77" s="214"/>
      <c r="M77" s="35">
        <v>0</v>
      </c>
      <c r="N77" s="202">
        <f t="shared" si="18"/>
        <v>0</v>
      </c>
      <c r="O77" s="35">
        <v>0</v>
      </c>
      <c r="P77" s="202">
        <f t="shared" si="19"/>
        <v>0</v>
      </c>
      <c r="Q77" s="35">
        <v>0</v>
      </c>
      <c r="R77" s="202">
        <f t="shared" si="20"/>
        <v>0</v>
      </c>
    </row>
    <row r="78" spans="1:18" x14ac:dyDescent="0.2">
      <c r="A78" s="25"/>
      <c r="B78" s="133"/>
      <c r="C78" s="133"/>
      <c r="D78" s="25">
        <v>1</v>
      </c>
      <c r="E78" s="132"/>
      <c r="F78" s="226"/>
      <c r="G78" s="41">
        <v>0</v>
      </c>
      <c r="H78" s="133"/>
      <c r="I78" s="35">
        <v>0</v>
      </c>
      <c r="J78" s="202">
        <f t="shared" si="15"/>
        <v>0</v>
      </c>
      <c r="K78" s="225">
        <v>0</v>
      </c>
      <c r="L78" s="214"/>
      <c r="M78" s="35">
        <v>0</v>
      </c>
      <c r="N78" s="202">
        <f t="shared" si="18"/>
        <v>0</v>
      </c>
      <c r="O78" s="35">
        <v>0</v>
      </c>
      <c r="P78" s="202">
        <f t="shared" si="19"/>
        <v>0</v>
      </c>
      <c r="Q78" s="35">
        <v>0</v>
      </c>
      <c r="R78" s="202">
        <f t="shared" si="20"/>
        <v>0</v>
      </c>
    </row>
    <row r="79" spans="1:18" ht="13.5" thickBot="1" x14ac:dyDescent="0.25">
      <c r="A79" s="25"/>
      <c r="B79" s="133"/>
      <c r="C79" s="133"/>
      <c r="D79" s="25">
        <v>1</v>
      </c>
      <c r="E79" s="132"/>
      <c r="F79" s="226"/>
      <c r="G79" s="41">
        <v>0</v>
      </c>
      <c r="H79" s="133"/>
      <c r="I79" s="35">
        <v>0</v>
      </c>
      <c r="J79" s="202">
        <f>E79*H79</f>
        <v>0</v>
      </c>
      <c r="K79" s="225">
        <v>0</v>
      </c>
      <c r="L79" s="214"/>
      <c r="M79" s="35">
        <v>0</v>
      </c>
      <c r="N79" s="202">
        <f t="shared" si="18"/>
        <v>0</v>
      </c>
      <c r="O79" s="35">
        <v>0</v>
      </c>
      <c r="P79" s="202">
        <f t="shared" si="19"/>
        <v>0</v>
      </c>
      <c r="Q79" s="35">
        <v>0</v>
      </c>
      <c r="R79" s="202">
        <f t="shared" si="20"/>
        <v>0</v>
      </c>
    </row>
    <row r="80" spans="1:18" ht="13.5" thickBot="1" x14ac:dyDescent="0.25">
      <c r="A80" s="25" t="s">
        <v>37</v>
      </c>
      <c r="B80" s="25"/>
      <c r="C80" s="25"/>
      <c r="D80" s="25"/>
      <c r="E80" s="197"/>
      <c r="F80" s="25"/>
      <c r="G80" s="25"/>
      <c r="H80" s="197"/>
      <c r="I80" s="121">
        <v>104.07479478304376</v>
      </c>
      <c r="J80" s="204">
        <f>+SUM(J65:J79)</f>
        <v>0</v>
      </c>
      <c r="K80" s="35"/>
      <c r="L80" s="195"/>
      <c r="M80" s="121">
        <v>0</v>
      </c>
      <c r="N80" s="204">
        <f>+SUM(N65:N79)</f>
        <v>0</v>
      </c>
      <c r="O80" s="121">
        <v>104.07479478304376</v>
      </c>
      <c r="P80" s="204">
        <f>+SUM(P65:P79)</f>
        <v>0</v>
      </c>
      <c r="Q80" s="121">
        <v>12697.124963531338</v>
      </c>
      <c r="R80" s="204">
        <f>+SUM(R65:R79)</f>
        <v>0</v>
      </c>
    </row>
    <row r="81" spans="1:18" ht="14.25" thickTop="1" thickBot="1" x14ac:dyDescent="0.25">
      <c r="A81" s="25" t="s">
        <v>52</v>
      </c>
      <c r="B81" s="25"/>
      <c r="C81" s="25"/>
      <c r="D81" s="25"/>
      <c r="E81" s="197"/>
      <c r="F81" s="25"/>
      <c r="G81" s="25"/>
      <c r="H81" s="197"/>
      <c r="I81" s="87">
        <v>415.26113746784597</v>
      </c>
      <c r="J81" s="205">
        <f>+J59+J80</f>
        <v>0</v>
      </c>
      <c r="K81" s="35"/>
      <c r="L81" s="195"/>
      <c r="M81" s="87">
        <v>0</v>
      </c>
      <c r="N81" s="205">
        <f>+N59+N80</f>
        <v>0</v>
      </c>
      <c r="O81" s="87">
        <v>415.26113746784597</v>
      </c>
      <c r="P81" s="205">
        <f>+P59+P80</f>
        <v>0</v>
      </c>
      <c r="Q81" s="87">
        <v>50661.858771077226</v>
      </c>
      <c r="R81" s="205">
        <f>+R59+R80</f>
        <v>0</v>
      </c>
    </row>
    <row r="82" spans="1:18" ht="13.5" thickTop="1" x14ac:dyDescent="0.2">
      <c r="A82" s="25"/>
      <c r="B82" s="25"/>
      <c r="C82" s="25"/>
      <c r="D82" s="25"/>
      <c r="E82" s="197"/>
      <c r="F82" s="25"/>
      <c r="G82" s="25"/>
      <c r="H82" s="197"/>
      <c r="I82" s="35"/>
      <c r="J82" s="184"/>
      <c r="K82" s="35"/>
      <c r="L82" s="195"/>
      <c r="M82" s="35"/>
      <c r="N82" s="184"/>
      <c r="O82" s="35"/>
      <c r="P82" s="184"/>
      <c r="Q82" s="35"/>
      <c r="R82" s="184"/>
    </row>
    <row r="83" spans="1:18" x14ac:dyDescent="0.2">
      <c r="A83" s="25" t="s">
        <v>153</v>
      </c>
      <c r="B83" s="25"/>
      <c r="C83" s="25"/>
      <c r="D83" s="25"/>
      <c r="E83" s="197"/>
      <c r="F83" s="25"/>
      <c r="G83" s="25"/>
      <c r="H83" s="197"/>
      <c r="I83" s="35">
        <v>-66.276137467845956</v>
      </c>
      <c r="J83" s="202">
        <f>+J14-J81</f>
        <v>0</v>
      </c>
      <c r="K83" s="35"/>
      <c r="L83" s="195"/>
      <c r="M83" s="35">
        <v>0</v>
      </c>
      <c r="N83" s="202">
        <f>+N14-N81</f>
        <v>0</v>
      </c>
      <c r="O83" s="35">
        <v>-66.276137467845956</v>
      </c>
      <c r="P83" s="202">
        <f>+P14-P81</f>
        <v>0</v>
      </c>
      <c r="Q83" s="35">
        <v>-8085.688771077228</v>
      </c>
      <c r="R83" s="202">
        <f>+R14-R81</f>
        <v>0</v>
      </c>
    </row>
    <row r="84" spans="1:18" x14ac:dyDescent="0.2">
      <c r="A84" s="25"/>
      <c r="B84" s="25"/>
      <c r="C84" s="25"/>
      <c r="D84" s="25"/>
      <c r="E84" s="197"/>
      <c r="F84" s="25"/>
      <c r="G84" s="25"/>
      <c r="H84" s="197"/>
      <c r="I84" s="35"/>
      <c r="J84" s="206"/>
      <c r="K84" s="35"/>
      <c r="L84" s="195"/>
      <c r="M84" s="35"/>
      <c r="N84" s="195"/>
      <c r="O84" s="35"/>
      <c r="P84" s="195"/>
      <c r="Q84" s="35"/>
      <c r="R84" s="206"/>
    </row>
    <row r="85" spans="1:18" ht="13.5" thickBot="1" x14ac:dyDescent="0.25">
      <c r="A85" s="44" t="s">
        <v>38</v>
      </c>
      <c r="B85" s="44"/>
      <c r="C85" s="44"/>
      <c r="D85" s="44"/>
      <c r="E85" s="201"/>
      <c r="F85" s="44"/>
      <c r="G85" s="45">
        <v>0.98936039276527421</v>
      </c>
      <c r="H85" s="212" t="str">
        <f>IF(E10=0,"n/a",(YTotExp-(YTotExp+YTotRet-J10))/E10)</f>
        <v>n/a</v>
      </c>
      <c r="I85" s="44" t="s">
        <v>83</v>
      </c>
      <c r="J85" s="207"/>
      <c r="K85" s="44"/>
      <c r="L85" s="201"/>
      <c r="M85" s="44"/>
      <c r="N85" s="201"/>
      <c r="O85" s="44"/>
      <c r="P85" s="201"/>
      <c r="Q85" s="44"/>
      <c r="R85" s="207"/>
    </row>
    <row r="86" spans="1:18" ht="13.5" thickTop="1" x14ac:dyDescent="0.2"/>
    <row r="87" spans="1:18" s="17" customFormat="1" ht="15.75" x14ac:dyDescent="0.25">
      <c r="A87"/>
      <c r="B87" s="88"/>
      <c r="C87" s="89"/>
      <c r="D87" s="234" t="s">
        <v>115</v>
      </c>
      <c r="E87" s="235"/>
      <c r="F87" s="235"/>
      <c r="G87" s="235"/>
      <c r="H87" s="235"/>
      <c r="I87" s="235"/>
      <c r="J87" s="99"/>
      <c r="K87" s="99"/>
      <c r="M87"/>
      <c r="N87"/>
    </row>
    <row r="88" spans="1:18" s="17" customFormat="1" ht="15.75" x14ac:dyDescent="0.25">
      <c r="A88"/>
      <c r="B88" s="19" t="s">
        <v>116</v>
      </c>
      <c r="C88" s="19" t="s">
        <v>116</v>
      </c>
      <c r="D88" s="126" t="s">
        <v>170</v>
      </c>
      <c r="E88" s="18"/>
      <c r="F88" s="18"/>
      <c r="G88" s="126" t="s">
        <v>170</v>
      </c>
      <c r="H88" s="18"/>
      <c r="I88" s="18"/>
      <c r="J88" s="18"/>
      <c r="K88" s="18"/>
      <c r="M88"/>
      <c r="N88"/>
    </row>
    <row r="89" spans="1:18" s="17" customFormat="1" x14ac:dyDescent="0.2">
      <c r="A89"/>
      <c r="B89" s="19" t="s">
        <v>81</v>
      </c>
      <c r="C89" s="19" t="s">
        <v>81</v>
      </c>
      <c r="D89" s="126" t="s">
        <v>157</v>
      </c>
      <c r="E89" s="122"/>
      <c r="F89" s="122"/>
      <c r="G89" s="126" t="s">
        <v>11</v>
      </c>
      <c r="H89" s="122"/>
      <c r="I89" s="122"/>
      <c r="J89" s="122"/>
      <c r="K89" s="122"/>
      <c r="M89"/>
      <c r="N89"/>
    </row>
    <row r="90" spans="1:18" s="17" customFormat="1" x14ac:dyDescent="0.2">
      <c r="A90"/>
      <c r="B90" s="19" t="s">
        <v>30</v>
      </c>
      <c r="C90" s="99" t="s">
        <v>83</v>
      </c>
      <c r="D90" s="126" t="s">
        <v>99</v>
      </c>
      <c r="E90" s="122"/>
      <c r="F90" s="122"/>
      <c r="G90" s="126" t="s">
        <v>99</v>
      </c>
      <c r="H90" s="19"/>
      <c r="I90" s="19"/>
      <c r="J90" s="19"/>
      <c r="K90" s="19"/>
      <c r="M90"/>
      <c r="N90"/>
    </row>
    <row r="91" spans="1:18" s="17" customFormat="1" x14ac:dyDescent="0.2">
      <c r="A91"/>
      <c r="B91" s="90">
        <v>0.75</v>
      </c>
      <c r="C91" s="91">
        <v>262.5</v>
      </c>
      <c r="D91" s="92">
        <v>0.92267178165638941</v>
      </c>
      <c r="E91" s="93"/>
      <c r="F91" s="94"/>
      <c r="G91" s="92">
        <v>1.3191471903536989</v>
      </c>
      <c r="H91" s="93"/>
      <c r="I91" s="93"/>
      <c r="M91"/>
      <c r="N91"/>
    </row>
    <row r="92" spans="1:18" s="17" customFormat="1" x14ac:dyDescent="0.2">
      <c r="A92"/>
      <c r="B92" s="95">
        <v>0.9</v>
      </c>
      <c r="C92" s="96">
        <v>315</v>
      </c>
      <c r="D92" s="97">
        <v>0.76889315138032455</v>
      </c>
      <c r="E92" s="83"/>
      <c r="F92" s="98"/>
      <c r="G92" s="97">
        <v>1.0992893252947491</v>
      </c>
      <c r="H92" s="83"/>
      <c r="I92" s="83"/>
      <c r="M92"/>
      <c r="N92"/>
    </row>
    <row r="93" spans="1:18" s="17" customFormat="1" x14ac:dyDescent="0.2">
      <c r="A93"/>
      <c r="B93" s="90">
        <v>1</v>
      </c>
      <c r="C93" s="91">
        <v>350</v>
      </c>
      <c r="D93" s="92">
        <v>0.69200383624229211</v>
      </c>
      <c r="E93" s="93"/>
      <c r="F93" s="94"/>
      <c r="G93" s="92">
        <v>0.98936039276527421</v>
      </c>
      <c r="H93" s="93"/>
      <c r="I93" s="93"/>
      <c r="M93"/>
      <c r="N93"/>
    </row>
    <row r="94" spans="1:18" s="17" customFormat="1" x14ac:dyDescent="0.2">
      <c r="A94"/>
      <c r="B94" s="95">
        <v>1.1000000000000001</v>
      </c>
      <c r="C94" s="96">
        <v>385.00000000000006</v>
      </c>
      <c r="D94" s="97">
        <v>0.62909439658390176</v>
      </c>
      <c r="E94" s="83"/>
      <c r="F94" s="98"/>
      <c r="G94" s="97">
        <v>0.89941853887752188</v>
      </c>
      <c r="H94" s="83"/>
      <c r="I94" s="83"/>
      <c r="M94"/>
      <c r="N94"/>
    </row>
    <row r="95" spans="1:18" s="17" customFormat="1" x14ac:dyDescent="0.2">
      <c r="A95"/>
      <c r="B95" s="90">
        <v>1.25</v>
      </c>
      <c r="C95" s="91">
        <v>437.5</v>
      </c>
      <c r="D95" s="92">
        <v>0.55360306899383371</v>
      </c>
      <c r="E95" s="93"/>
      <c r="F95" s="94"/>
      <c r="G95" s="92">
        <v>0.79148831421221932</v>
      </c>
      <c r="H95" s="93"/>
      <c r="I95" s="93"/>
      <c r="M95"/>
      <c r="N95"/>
    </row>
    <row r="96" spans="1:18" s="17" customFormat="1" x14ac:dyDescent="0.2">
      <c r="A96"/>
      <c r="M96"/>
      <c r="N96"/>
    </row>
    <row r="97" spans="1:18" x14ac:dyDescent="0.2">
      <c r="A97" s="25" t="s">
        <v>536</v>
      </c>
      <c r="B97" s="17"/>
      <c r="C97" s="17"/>
      <c r="D97" s="17"/>
      <c r="E97" s="17"/>
      <c r="F97" s="17"/>
      <c r="G97" s="17"/>
      <c r="H97" s="17"/>
      <c r="I97" s="17"/>
      <c r="J97" s="28"/>
      <c r="K97" s="17"/>
      <c r="L97" s="17"/>
      <c r="M97" s="17"/>
      <c r="N97" s="17"/>
      <c r="O97" s="17"/>
      <c r="P97" s="17"/>
      <c r="Q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28"/>
      <c r="K98" s="17"/>
      <c r="L98" s="17"/>
      <c r="M98" s="17"/>
      <c r="N98" s="17"/>
      <c r="O98" s="17"/>
      <c r="P98" s="17"/>
      <c r="Q98" s="17"/>
    </row>
    <row r="99" spans="1:18" ht="26.25" customHeight="1" x14ac:dyDescent="0.2">
      <c r="A99" s="236" t="s">
        <v>140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21"/>
      <c r="N99" s="221"/>
      <c r="O99" s="221"/>
      <c r="P99" s="221"/>
      <c r="Q99" s="221"/>
      <c r="R99" s="221"/>
    </row>
  </sheetData>
  <sheetProtection sheet="1" objects="1" scenarios="1"/>
  <mergeCells count="6">
    <mergeCell ref="D87:I87"/>
    <mergeCell ref="A99:L9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05">
    <tabColor rgb="FF92D050"/>
    <pageSetUpPr fitToPage="1"/>
  </sheetPr>
  <dimension ref="A1:S100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140625" customWidth="1"/>
    <col min="3" max="3" width="31.5703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505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350</v>
      </c>
      <c r="E10" s="132"/>
      <c r="F10" s="226" t="s">
        <v>83</v>
      </c>
      <c r="G10" s="31">
        <v>0.8</v>
      </c>
      <c r="H10" s="133"/>
      <c r="I10" s="35">
        <v>280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280</v>
      </c>
      <c r="P10" s="202">
        <f>+J10-N10</f>
        <v>0</v>
      </c>
      <c r="Q10" s="35">
        <v>34160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0.2555</v>
      </c>
      <c r="E11" s="132"/>
      <c r="F11" s="226" t="s">
        <v>135</v>
      </c>
      <c r="G11" s="31">
        <v>270</v>
      </c>
      <c r="H11" s="133"/>
      <c r="I11" s="35">
        <v>68.984999999999999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68.984999999999999</v>
      </c>
      <c r="P11" s="202">
        <f t="shared" ref="P11:P13" si="3">+J11-N11</f>
        <v>0</v>
      </c>
      <c r="Q11" s="35">
        <v>8416.17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348.98500000000001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348.98500000000001</v>
      </c>
      <c r="P14" s="203">
        <f>SUM(P10:P13)</f>
        <v>0</v>
      </c>
      <c r="Q14" s="36">
        <v>42576.17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49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446</v>
      </c>
      <c r="D19" s="25">
        <v>2</v>
      </c>
      <c r="E19" s="132"/>
      <c r="F19" s="226" t="s">
        <v>311</v>
      </c>
      <c r="G19" s="41">
        <v>2.75</v>
      </c>
      <c r="H19" s="133"/>
      <c r="I19" s="35">
        <v>5.5</v>
      </c>
      <c r="J19" s="202">
        <f t="shared" ref="J19:J38" si="4">E19*H19</f>
        <v>0</v>
      </c>
      <c r="K19" s="225">
        <v>0</v>
      </c>
      <c r="L19" s="214"/>
      <c r="M19" s="35">
        <v>0</v>
      </c>
      <c r="N19" s="202">
        <f t="shared" ref="N19:N38" si="5">J19*L19</f>
        <v>0</v>
      </c>
      <c r="O19" s="35">
        <v>5.5</v>
      </c>
      <c r="P19" s="202">
        <f t="shared" ref="P19:P38" si="6">+J19-N19</f>
        <v>0</v>
      </c>
      <c r="Q19" s="35">
        <v>671</v>
      </c>
      <c r="R19" s="202">
        <f t="shared" ref="R19:R38" si="7">+J19*E$7</f>
        <v>0</v>
      </c>
    </row>
    <row r="20" spans="1:18" x14ac:dyDescent="0.2">
      <c r="A20" s="25"/>
      <c r="B20" s="25" t="s">
        <v>501</v>
      </c>
      <c r="C20" s="25" t="s">
        <v>471</v>
      </c>
      <c r="D20" s="25">
        <v>64</v>
      </c>
      <c r="E20" s="132"/>
      <c r="F20" s="226" t="s">
        <v>360</v>
      </c>
      <c r="G20" s="41">
        <v>0.1328125</v>
      </c>
      <c r="H20" s="133"/>
      <c r="I20" s="35">
        <v>8.5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8.5</v>
      </c>
      <c r="P20" s="202">
        <f t="shared" si="6"/>
        <v>0</v>
      </c>
      <c r="Q20" s="35">
        <v>1037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504</v>
      </c>
      <c r="D21" s="25">
        <v>44</v>
      </c>
      <c r="E21" s="132"/>
      <c r="F21" s="226" t="s">
        <v>360</v>
      </c>
      <c r="G21" s="41">
        <v>0.5</v>
      </c>
      <c r="H21" s="133"/>
      <c r="I21" s="35">
        <v>22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22</v>
      </c>
      <c r="P21" s="202">
        <f t="shared" si="6"/>
        <v>0</v>
      </c>
      <c r="Q21" s="35">
        <v>2684</v>
      </c>
      <c r="R21" s="202">
        <f t="shared" si="7"/>
        <v>0</v>
      </c>
    </row>
    <row r="22" spans="1:18" x14ac:dyDescent="0.2">
      <c r="A22" s="25"/>
      <c r="B22" s="25" t="s">
        <v>1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503</v>
      </c>
      <c r="D23" s="25">
        <v>34</v>
      </c>
      <c r="E23" s="132"/>
      <c r="F23" s="226" t="s">
        <v>233</v>
      </c>
      <c r="G23" s="41">
        <v>1.4347826086956521</v>
      </c>
      <c r="H23" s="133"/>
      <c r="I23" s="35">
        <v>48.782608695652172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48.782608695652172</v>
      </c>
      <c r="P23" s="202">
        <f t="shared" si="6"/>
        <v>0</v>
      </c>
      <c r="Q23" s="35">
        <v>5951.478260869565</v>
      </c>
      <c r="R23" s="202">
        <f t="shared" si="7"/>
        <v>0</v>
      </c>
    </row>
    <row r="24" spans="1:18" x14ac:dyDescent="0.2">
      <c r="A24" s="25"/>
      <c r="B24" s="25" t="s">
        <v>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472</v>
      </c>
      <c r="D25" s="25">
        <v>45</v>
      </c>
      <c r="E25" s="132"/>
      <c r="F25" s="226" t="s">
        <v>83</v>
      </c>
      <c r="G25" s="41">
        <v>0.56000000000000005</v>
      </c>
      <c r="H25" s="133"/>
      <c r="I25" s="35">
        <v>25.200000000000003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25.200000000000003</v>
      </c>
      <c r="P25" s="202">
        <f t="shared" si="6"/>
        <v>0</v>
      </c>
      <c r="Q25" s="35">
        <v>3074.4000000000005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431</v>
      </c>
      <c r="D26" s="25">
        <v>27</v>
      </c>
      <c r="E26" s="132"/>
      <c r="F26" s="226" t="s">
        <v>83</v>
      </c>
      <c r="G26" s="41">
        <v>0.42</v>
      </c>
      <c r="H26" s="133"/>
      <c r="I26" s="35">
        <v>11.34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11.34</v>
      </c>
      <c r="P26" s="202">
        <f t="shared" si="6"/>
        <v>0</v>
      </c>
      <c r="Q26" s="35">
        <v>1383.48</v>
      </c>
      <c r="R26" s="202">
        <f t="shared" si="7"/>
        <v>0</v>
      </c>
    </row>
    <row r="27" spans="1:18" x14ac:dyDescent="0.2">
      <c r="A27" s="25"/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25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 t="s">
        <v>501</v>
      </c>
      <c r="C28" s="25" t="s">
        <v>441</v>
      </c>
      <c r="D28" s="25">
        <v>1</v>
      </c>
      <c r="E28" s="132"/>
      <c r="F28" s="226" t="s">
        <v>42</v>
      </c>
      <c r="G28" s="41">
        <v>0.25</v>
      </c>
      <c r="H28" s="133"/>
      <c r="I28" s="35">
        <v>0.25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0.25</v>
      </c>
      <c r="P28" s="202">
        <f t="shared" si="6"/>
        <v>0</v>
      </c>
      <c r="Q28" s="35">
        <v>30.5</v>
      </c>
      <c r="R28" s="202">
        <f t="shared" si="7"/>
        <v>0</v>
      </c>
    </row>
    <row r="29" spans="1:18" x14ac:dyDescent="0.2">
      <c r="A29" s="25"/>
      <c r="B29" s="25" t="s">
        <v>501</v>
      </c>
      <c r="C29" s="25" t="s">
        <v>381</v>
      </c>
      <c r="D29" s="25">
        <v>1</v>
      </c>
      <c r="E29" s="132"/>
      <c r="F29" s="226" t="s">
        <v>42</v>
      </c>
      <c r="G29" s="41">
        <v>6.39</v>
      </c>
      <c r="H29" s="133"/>
      <c r="I29" s="35">
        <v>6.39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6.39</v>
      </c>
      <c r="P29" s="202">
        <f t="shared" si="6"/>
        <v>0</v>
      </c>
      <c r="Q29" s="35">
        <v>779.57999999999993</v>
      </c>
      <c r="R29" s="202">
        <f t="shared" si="7"/>
        <v>0</v>
      </c>
    </row>
    <row r="30" spans="1:18" x14ac:dyDescent="0.2">
      <c r="A30" s="25"/>
      <c r="B30" s="25" t="s">
        <v>501</v>
      </c>
      <c r="C30" s="25" t="s">
        <v>368</v>
      </c>
      <c r="D30" s="25">
        <v>0.9</v>
      </c>
      <c r="E30" s="132"/>
      <c r="F30" s="226" t="s">
        <v>369</v>
      </c>
      <c r="G30" s="41">
        <v>15</v>
      </c>
      <c r="H30" s="133"/>
      <c r="I30" s="35">
        <v>13.5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13.5</v>
      </c>
      <c r="P30" s="202">
        <f t="shared" si="6"/>
        <v>0</v>
      </c>
      <c r="Q30" s="35">
        <v>1647</v>
      </c>
      <c r="R30" s="202">
        <f t="shared" si="7"/>
        <v>0</v>
      </c>
    </row>
    <row r="31" spans="1:18" x14ac:dyDescent="0.2">
      <c r="A31" s="25"/>
      <c r="B31" s="25" t="s">
        <v>501</v>
      </c>
      <c r="C31" s="25" t="s">
        <v>397</v>
      </c>
      <c r="D31" s="25">
        <v>14.28</v>
      </c>
      <c r="E31" s="132"/>
      <c r="F31" s="226" t="s">
        <v>7</v>
      </c>
      <c r="G31" s="41">
        <v>3.75</v>
      </c>
      <c r="H31" s="133"/>
      <c r="I31" s="35">
        <v>53.55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53.55</v>
      </c>
      <c r="P31" s="202">
        <f t="shared" si="6"/>
        <v>0</v>
      </c>
      <c r="Q31" s="35">
        <v>6533.0999999999995</v>
      </c>
      <c r="R31" s="202">
        <f t="shared" si="7"/>
        <v>0</v>
      </c>
    </row>
    <row r="32" spans="1:18" x14ac:dyDescent="0.2">
      <c r="A32" s="25"/>
      <c r="B32" s="25" t="s">
        <v>27</v>
      </c>
      <c r="C32" s="25"/>
      <c r="D32" s="25"/>
      <c r="E32" s="25"/>
      <c r="F32" s="25"/>
      <c r="G32" s="25"/>
      <c r="H32" s="25"/>
      <c r="I32" s="25"/>
      <c r="J32" s="25"/>
      <c r="K32" s="225"/>
      <c r="L32" s="25"/>
      <c r="M32" s="25"/>
      <c r="N32" s="25"/>
      <c r="O32" s="25"/>
      <c r="P32" s="25"/>
      <c r="Q32" s="25"/>
      <c r="R32" s="25"/>
    </row>
    <row r="33" spans="1:18" x14ac:dyDescent="0.2">
      <c r="A33" s="25"/>
      <c r="B33" s="25" t="s">
        <v>501</v>
      </c>
      <c r="C33" s="25" t="s">
        <v>424</v>
      </c>
      <c r="D33" s="25">
        <v>1</v>
      </c>
      <c r="E33" s="132"/>
      <c r="F33" s="226" t="s">
        <v>42</v>
      </c>
      <c r="G33" s="41">
        <v>10.37</v>
      </c>
      <c r="H33" s="133"/>
      <c r="I33" s="35">
        <v>10.37</v>
      </c>
      <c r="J33" s="202">
        <f t="shared" si="4"/>
        <v>0</v>
      </c>
      <c r="K33" s="225">
        <v>0</v>
      </c>
      <c r="L33" s="214"/>
      <c r="M33" s="35">
        <v>0</v>
      </c>
      <c r="N33" s="202">
        <f t="shared" si="5"/>
        <v>0</v>
      </c>
      <c r="O33" s="35">
        <v>10.37</v>
      </c>
      <c r="P33" s="202">
        <f t="shared" si="6"/>
        <v>0</v>
      </c>
      <c r="Q33" s="35">
        <v>1265.1399999999999</v>
      </c>
      <c r="R33" s="202">
        <f t="shared" si="7"/>
        <v>0</v>
      </c>
    </row>
    <row r="34" spans="1:18" x14ac:dyDescent="0.2">
      <c r="A34" s="25"/>
      <c r="B34" s="25" t="s">
        <v>501</v>
      </c>
      <c r="C34" s="25" t="s">
        <v>370</v>
      </c>
      <c r="D34" s="25">
        <v>0.7</v>
      </c>
      <c r="E34" s="132"/>
      <c r="F34" s="226" t="s">
        <v>369</v>
      </c>
      <c r="G34" s="41">
        <v>1</v>
      </c>
      <c r="H34" s="133"/>
      <c r="I34" s="35">
        <v>0.7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0.7</v>
      </c>
      <c r="P34" s="202">
        <f t="shared" si="6"/>
        <v>0</v>
      </c>
      <c r="Q34" s="35">
        <v>85.399999999999991</v>
      </c>
      <c r="R34" s="202">
        <f t="shared" si="7"/>
        <v>0</v>
      </c>
    </row>
    <row r="35" spans="1:18" x14ac:dyDescent="0.2">
      <c r="A35" s="25"/>
      <c r="B35" s="25" t="s">
        <v>80</v>
      </c>
      <c r="C35" s="25"/>
      <c r="D35" s="25"/>
      <c r="E35" s="25"/>
      <c r="F35" s="25"/>
      <c r="G35" s="25"/>
      <c r="H35" s="25"/>
      <c r="I35" s="25"/>
      <c r="J35" s="25"/>
      <c r="K35" s="225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501</v>
      </c>
      <c r="C36" s="25" t="s">
        <v>395</v>
      </c>
      <c r="D36" s="25">
        <v>28</v>
      </c>
      <c r="E36" s="132"/>
      <c r="F36" s="226" t="s">
        <v>360</v>
      </c>
      <c r="G36" s="41">
        <v>0.1796875</v>
      </c>
      <c r="H36" s="133"/>
      <c r="I36" s="35">
        <v>5.03125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5.03125</v>
      </c>
      <c r="P36" s="202">
        <f t="shared" si="6"/>
        <v>0</v>
      </c>
      <c r="Q36" s="35">
        <v>613.8125</v>
      </c>
      <c r="R36" s="202">
        <f t="shared" si="7"/>
        <v>0</v>
      </c>
    </row>
    <row r="37" spans="1:18" x14ac:dyDescent="0.2">
      <c r="A37" s="25"/>
      <c r="B37" s="133"/>
      <c r="C37" s="133"/>
      <c r="D37" s="25">
        <v>0</v>
      </c>
      <c r="E37" s="132"/>
      <c r="F37" s="226"/>
      <c r="G37" s="41">
        <v>0</v>
      </c>
      <c r="H37" s="133"/>
      <c r="I37" s="35">
        <v>0</v>
      </c>
      <c r="J37" s="202">
        <f t="shared" si="4"/>
        <v>0</v>
      </c>
      <c r="K37" s="225">
        <v>0</v>
      </c>
      <c r="L37" s="214"/>
      <c r="M37" s="35">
        <v>0</v>
      </c>
      <c r="N37" s="202">
        <f t="shared" si="5"/>
        <v>0</v>
      </c>
      <c r="O37" s="35">
        <v>0</v>
      </c>
      <c r="P37" s="202">
        <f t="shared" si="6"/>
        <v>0</v>
      </c>
      <c r="Q37" s="35">
        <v>0</v>
      </c>
      <c r="R37" s="202">
        <f t="shared" si="7"/>
        <v>0</v>
      </c>
    </row>
    <row r="38" spans="1:18" x14ac:dyDescent="0.2">
      <c r="A38" s="25"/>
      <c r="B38" s="133"/>
      <c r="C38" s="133"/>
      <c r="D38" s="25">
        <v>0</v>
      </c>
      <c r="E38" s="132"/>
      <c r="F38" s="226"/>
      <c r="G38" s="41">
        <v>0</v>
      </c>
      <c r="H38" s="133"/>
      <c r="I38" s="35">
        <v>0</v>
      </c>
      <c r="J38" s="202">
        <f t="shared" si="4"/>
        <v>0</v>
      </c>
      <c r="K38" s="225">
        <v>0</v>
      </c>
      <c r="L38" s="214"/>
      <c r="M38" s="35">
        <v>0</v>
      </c>
      <c r="N38" s="202">
        <f t="shared" si="5"/>
        <v>0</v>
      </c>
      <c r="O38" s="35">
        <v>0</v>
      </c>
      <c r="P38" s="202">
        <f t="shared" si="6"/>
        <v>0</v>
      </c>
      <c r="Q38" s="35">
        <v>0</v>
      </c>
      <c r="R38" s="202">
        <f t="shared" si="7"/>
        <v>0</v>
      </c>
    </row>
    <row r="39" spans="1:18" x14ac:dyDescent="0.2">
      <c r="A39" s="25"/>
      <c r="B39" s="133"/>
      <c r="C39" s="133"/>
      <c r="D39" s="25">
        <v>0</v>
      </c>
      <c r="E39" s="132"/>
      <c r="F39" s="226"/>
      <c r="G39" s="41">
        <v>0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 t="s">
        <v>108</v>
      </c>
      <c r="C40" s="25"/>
      <c r="D40" s="25"/>
      <c r="E40" s="105"/>
      <c r="H40" s="105"/>
      <c r="I40" s="124"/>
      <c r="J40" s="105"/>
      <c r="K40" s="225"/>
      <c r="L40" s="105"/>
      <c r="N40" s="105"/>
      <c r="P40" s="105"/>
      <c r="R40" s="105"/>
    </row>
    <row r="41" spans="1:18" x14ac:dyDescent="0.2">
      <c r="A41" s="25"/>
      <c r="B41" s="25"/>
      <c r="C41" s="25" t="s">
        <v>105</v>
      </c>
      <c r="D41" s="25">
        <v>1.18</v>
      </c>
      <c r="E41" s="132"/>
      <c r="F41" s="226" t="s">
        <v>44</v>
      </c>
      <c r="G41" s="41">
        <v>17.21</v>
      </c>
      <c r="H41" s="133"/>
      <c r="I41" s="35">
        <v>20.3078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20.3078</v>
      </c>
      <c r="P41" s="202">
        <f>+J41-N41</f>
        <v>0</v>
      </c>
      <c r="Q41" s="35">
        <v>2477.5516000000002</v>
      </c>
      <c r="R41" s="202">
        <f>+J41*E$7</f>
        <v>0</v>
      </c>
    </row>
    <row r="42" spans="1:18" x14ac:dyDescent="0.2">
      <c r="A42" s="25"/>
      <c r="B42" s="25"/>
      <c r="C42" s="25" t="s">
        <v>107</v>
      </c>
      <c r="D42" s="25">
        <v>0.03</v>
      </c>
      <c r="E42" s="132"/>
      <c r="F42" s="226" t="s">
        <v>44</v>
      </c>
      <c r="G42" s="41">
        <v>17.21</v>
      </c>
      <c r="H42" s="133"/>
      <c r="I42" s="35">
        <v>0.51629999999999998</v>
      </c>
      <c r="J42" s="202">
        <f>E42*H42</f>
        <v>0</v>
      </c>
      <c r="K42" s="225">
        <v>0</v>
      </c>
      <c r="L42" s="214"/>
      <c r="M42" s="35">
        <v>0</v>
      </c>
      <c r="N42" s="202">
        <f>J42*L42</f>
        <v>0</v>
      </c>
      <c r="O42" s="35">
        <v>0.51629999999999998</v>
      </c>
      <c r="P42" s="202">
        <f>+J42-N42</f>
        <v>0</v>
      </c>
      <c r="Q42" s="35">
        <v>62.988599999999998</v>
      </c>
      <c r="R42" s="202">
        <f>+J42*E$7</f>
        <v>0</v>
      </c>
    </row>
    <row r="43" spans="1:18" x14ac:dyDescent="0.2">
      <c r="A43" s="25"/>
      <c r="B43" s="25"/>
      <c r="C43" s="25"/>
      <c r="D43" s="25"/>
      <c r="E43" s="209"/>
      <c r="F43" s="21"/>
      <c r="G43" s="41"/>
      <c r="H43" s="198"/>
      <c r="I43" s="35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 t="s">
        <v>51</v>
      </c>
      <c r="C44" s="25"/>
      <c r="D44" s="25"/>
      <c r="E44" s="209"/>
      <c r="F44" s="21"/>
      <c r="G44" s="41"/>
      <c r="H44" s="198"/>
      <c r="I44" s="186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/>
      <c r="C45" s="25" t="s">
        <v>104</v>
      </c>
      <c r="D45" s="25">
        <v>1</v>
      </c>
      <c r="E45" s="132"/>
      <c r="F45" s="226" t="s">
        <v>42</v>
      </c>
      <c r="G45" s="41">
        <v>0</v>
      </c>
      <c r="H45" s="133"/>
      <c r="I45" s="35">
        <v>0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0</v>
      </c>
      <c r="P45" s="202">
        <f>+J45-N45</f>
        <v>0</v>
      </c>
      <c r="Q45" s="35">
        <v>0</v>
      </c>
      <c r="R45" s="202">
        <f>+J45*E$7</f>
        <v>0</v>
      </c>
    </row>
    <row r="46" spans="1:18" x14ac:dyDescent="0.2">
      <c r="A46" s="25"/>
      <c r="B46" s="25"/>
      <c r="C46" s="25" t="s">
        <v>105</v>
      </c>
      <c r="D46" s="25">
        <v>11.63</v>
      </c>
      <c r="E46" s="132"/>
      <c r="F46" s="226" t="s">
        <v>79</v>
      </c>
      <c r="G46" s="41">
        <v>3.6</v>
      </c>
      <c r="H46" s="133"/>
      <c r="I46" s="35">
        <v>41.868000000000002</v>
      </c>
      <c r="J46" s="202">
        <f>E46*H46</f>
        <v>0</v>
      </c>
      <c r="K46" s="225">
        <v>0</v>
      </c>
      <c r="L46" s="214"/>
      <c r="M46" s="35">
        <v>0</v>
      </c>
      <c r="N46" s="202">
        <f>J46*L46</f>
        <v>0</v>
      </c>
      <c r="O46" s="35">
        <v>41.868000000000002</v>
      </c>
      <c r="P46" s="202">
        <f>+J46-N46</f>
        <v>0</v>
      </c>
      <c r="Q46" s="35">
        <v>5107.8960000000006</v>
      </c>
      <c r="R46" s="202">
        <f>+J46*E$7</f>
        <v>0</v>
      </c>
    </row>
    <row r="47" spans="1:18" x14ac:dyDescent="0.2">
      <c r="A47" s="25"/>
      <c r="B47" s="25"/>
      <c r="C47" s="25"/>
      <c r="D47" s="25"/>
      <c r="E47" s="209"/>
      <c r="F47" s="21"/>
      <c r="G47" s="41"/>
      <c r="H47" s="198"/>
      <c r="I47" s="35"/>
      <c r="J47" s="184"/>
      <c r="K47" s="225"/>
      <c r="L47" s="198"/>
      <c r="M47" s="35"/>
      <c r="N47" s="184"/>
      <c r="O47" s="35"/>
      <c r="P47" s="184"/>
      <c r="Q47" s="35"/>
      <c r="R47" s="184"/>
    </row>
    <row r="48" spans="1:18" x14ac:dyDescent="0.2">
      <c r="A48" s="25"/>
      <c r="B48" s="25" t="s">
        <v>29</v>
      </c>
      <c r="C48" s="25"/>
      <c r="D48" s="25"/>
      <c r="E48" s="209"/>
      <c r="F48" s="21"/>
      <c r="G48" s="41"/>
      <c r="H48" s="198"/>
      <c r="I48" s="186"/>
      <c r="J48" s="184"/>
      <c r="K48" s="225"/>
      <c r="L48" s="198"/>
      <c r="M48" s="35"/>
      <c r="N48" s="184"/>
      <c r="O48" s="35"/>
      <c r="P48" s="184"/>
      <c r="Q48" s="35"/>
      <c r="R48" s="184"/>
    </row>
    <row r="49" spans="1:18" x14ac:dyDescent="0.2">
      <c r="A49" s="25"/>
      <c r="B49" s="25"/>
      <c r="C49" s="25" t="s">
        <v>104</v>
      </c>
      <c r="D49" s="25">
        <v>1</v>
      </c>
      <c r="E49" s="132"/>
      <c r="F49" s="226" t="s">
        <v>42</v>
      </c>
      <c r="G49" s="41">
        <v>8.4430327868852455</v>
      </c>
      <c r="H49" s="133"/>
      <c r="I49" s="35">
        <v>8.4430327868852455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8.4430327868852455</v>
      </c>
      <c r="P49" s="202">
        <f>+J49-N49</f>
        <v>0</v>
      </c>
      <c r="Q49" s="35">
        <v>1030.05</v>
      </c>
      <c r="R49" s="202">
        <f>+J49*E$7</f>
        <v>0</v>
      </c>
    </row>
    <row r="50" spans="1:18" x14ac:dyDescent="0.2">
      <c r="A50" s="25"/>
      <c r="B50" s="25"/>
      <c r="C50" s="25" t="s">
        <v>105</v>
      </c>
      <c r="D50" s="25">
        <v>0</v>
      </c>
      <c r="E50" s="132"/>
      <c r="F50" s="226" t="s">
        <v>79</v>
      </c>
      <c r="G50" s="41">
        <v>3.15</v>
      </c>
      <c r="H50" s="133"/>
      <c r="I50" s="35">
        <v>0</v>
      </c>
      <c r="J50" s="202">
        <f>E50*H50</f>
        <v>0</v>
      </c>
      <c r="K50" s="225">
        <v>0</v>
      </c>
      <c r="L50" s="214"/>
      <c r="M50" s="35">
        <v>0</v>
      </c>
      <c r="N50" s="202">
        <f>J50*L50</f>
        <v>0</v>
      </c>
      <c r="O50" s="35">
        <v>0</v>
      </c>
      <c r="P50" s="202">
        <f>+J50-N50</f>
        <v>0</v>
      </c>
      <c r="Q50" s="35">
        <v>0</v>
      </c>
      <c r="R50" s="202">
        <f>+J50*E$7</f>
        <v>0</v>
      </c>
    </row>
    <row r="51" spans="1:18" x14ac:dyDescent="0.2">
      <c r="A51" s="25"/>
      <c r="B51" s="25"/>
      <c r="C51" s="25"/>
      <c r="D51" s="25"/>
      <c r="E51" s="209"/>
      <c r="F51" s="21"/>
      <c r="G51" s="41"/>
      <c r="H51" s="198"/>
      <c r="I51" s="35"/>
      <c r="J51" s="184"/>
      <c r="K51" s="225"/>
      <c r="L51" s="198"/>
      <c r="M51" s="35"/>
      <c r="N51" s="184"/>
      <c r="O51" s="35"/>
      <c r="P51" s="184"/>
      <c r="Q51" s="35"/>
      <c r="R51" s="184"/>
    </row>
    <row r="52" spans="1:18" x14ac:dyDescent="0.2">
      <c r="A52" s="25"/>
      <c r="B52" s="25" t="s">
        <v>47</v>
      </c>
      <c r="C52" s="25"/>
      <c r="D52" s="25"/>
      <c r="E52" s="209"/>
      <c r="F52" s="21"/>
      <c r="G52" s="41"/>
      <c r="H52" s="199"/>
      <c r="I52" s="186"/>
      <c r="J52" s="184"/>
      <c r="K52" s="225"/>
      <c r="L52" s="199"/>
      <c r="M52" s="35"/>
      <c r="N52" s="184"/>
      <c r="O52" s="35"/>
      <c r="P52" s="184"/>
      <c r="Q52" s="35"/>
      <c r="R52" s="184"/>
    </row>
    <row r="53" spans="1:18" x14ac:dyDescent="0.2">
      <c r="A53" s="25"/>
      <c r="B53" s="25"/>
      <c r="C53" s="25" t="s">
        <v>104</v>
      </c>
      <c r="D53" s="25">
        <v>1</v>
      </c>
      <c r="E53" s="132"/>
      <c r="F53" s="226" t="s">
        <v>42</v>
      </c>
      <c r="G53" s="41">
        <v>1.7288114754098363</v>
      </c>
      <c r="H53" s="133"/>
      <c r="I53" s="35">
        <v>1.7288114754098363</v>
      </c>
      <c r="J53" s="202">
        <f t="shared" ref="J53:J58" si="8">E53*H53</f>
        <v>0</v>
      </c>
      <c r="K53" s="225">
        <v>0</v>
      </c>
      <c r="L53" s="214"/>
      <c r="M53" s="35">
        <v>0</v>
      </c>
      <c r="N53" s="202">
        <f t="shared" ref="N53:N58" si="9">J53*L53</f>
        <v>0</v>
      </c>
      <c r="O53" s="35">
        <v>1.7288114754098363</v>
      </c>
      <c r="P53" s="202">
        <f t="shared" ref="P53:P58" si="10">+J53-N53</f>
        <v>0</v>
      </c>
      <c r="Q53" s="35">
        <v>210.91500000000002</v>
      </c>
      <c r="R53" s="202">
        <f t="shared" ref="R53:R58" si="11">+J53*E$7</f>
        <v>0</v>
      </c>
    </row>
    <row r="54" spans="1:18" x14ac:dyDescent="0.2">
      <c r="A54" s="25"/>
      <c r="B54" s="25"/>
      <c r="C54" s="25" t="s">
        <v>46</v>
      </c>
      <c r="D54" s="25">
        <v>1</v>
      </c>
      <c r="E54" s="132"/>
      <c r="F54" s="226" t="s">
        <v>42</v>
      </c>
      <c r="G54" s="41">
        <v>0</v>
      </c>
      <c r="H54" s="133"/>
      <c r="I54" s="35">
        <v>0</v>
      </c>
      <c r="J54" s="202">
        <f t="shared" si="8"/>
        <v>0</v>
      </c>
      <c r="K54" s="225">
        <v>0</v>
      </c>
      <c r="L54" s="214"/>
      <c r="M54" s="35">
        <v>0</v>
      </c>
      <c r="N54" s="202">
        <f t="shared" si="9"/>
        <v>0</v>
      </c>
      <c r="O54" s="35">
        <v>0</v>
      </c>
      <c r="P54" s="202">
        <f t="shared" si="10"/>
        <v>0</v>
      </c>
      <c r="Q54" s="35">
        <v>0</v>
      </c>
      <c r="R54" s="202">
        <f t="shared" si="11"/>
        <v>0</v>
      </c>
    </row>
    <row r="55" spans="1:18" x14ac:dyDescent="0.2">
      <c r="A55" s="25"/>
      <c r="B55" s="25"/>
      <c r="C55" s="25" t="s">
        <v>105</v>
      </c>
      <c r="D55" s="25">
        <v>1</v>
      </c>
      <c r="E55" s="132"/>
      <c r="F55" s="226" t="s">
        <v>42</v>
      </c>
      <c r="G55" s="41">
        <v>28.873993349782964</v>
      </c>
      <c r="H55" s="133"/>
      <c r="I55" s="35">
        <v>28.873993349782964</v>
      </c>
      <c r="J55" s="202">
        <f t="shared" si="8"/>
        <v>0</v>
      </c>
      <c r="K55" s="225">
        <v>0</v>
      </c>
      <c r="L55" s="214"/>
      <c r="M55" s="35">
        <v>0</v>
      </c>
      <c r="N55" s="202">
        <f t="shared" si="9"/>
        <v>0</v>
      </c>
      <c r="O55" s="35">
        <v>28.873993349782964</v>
      </c>
      <c r="P55" s="202">
        <f t="shared" si="10"/>
        <v>0</v>
      </c>
      <c r="Q55" s="35">
        <v>3522.6271886735217</v>
      </c>
      <c r="R55" s="202">
        <f t="shared" si="11"/>
        <v>0</v>
      </c>
    </row>
    <row r="56" spans="1:18" x14ac:dyDescent="0.2">
      <c r="A56" s="25"/>
      <c r="B56" s="25"/>
      <c r="C56" s="25" t="s">
        <v>4</v>
      </c>
      <c r="D56" s="25">
        <v>1</v>
      </c>
      <c r="E56" s="132"/>
      <c r="F56" s="226" t="s">
        <v>42</v>
      </c>
      <c r="G56" s="41">
        <v>12.041512756726899</v>
      </c>
      <c r="H56" s="133"/>
      <c r="I56" s="35">
        <v>12.041512756726899</v>
      </c>
      <c r="J56" s="202">
        <f t="shared" si="8"/>
        <v>0</v>
      </c>
      <c r="K56" s="225">
        <v>0</v>
      </c>
      <c r="L56" s="214"/>
      <c r="M56" s="35">
        <v>0</v>
      </c>
      <c r="N56" s="202">
        <f t="shared" si="9"/>
        <v>0</v>
      </c>
      <c r="O56" s="35">
        <v>12.041512756726899</v>
      </c>
      <c r="P56" s="202">
        <f t="shared" si="10"/>
        <v>0</v>
      </c>
      <c r="Q56" s="35">
        <v>1469.0645563206817</v>
      </c>
      <c r="R56" s="202">
        <f t="shared" si="11"/>
        <v>0</v>
      </c>
    </row>
    <row r="57" spans="1:18" x14ac:dyDescent="0.2">
      <c r="A57" s="25"/>
      <c r="B57" s="133"/>
      <c r="C57" s="133"/>
      <c r="D57" s="25"/>
      <c r="E57" s="132"/>
      <c r="F57" s="226"/>
      <c r="G57" s="41"/>
      <c r="H57" s="133"/>
      <c r="I57" s="35">
        <v>0</v>
      </c>
      <c r="J57" s="202">
        <f t="shared" si="8"/>
        <v>0</v>
      </c>
      <c r="K57" s="225">
        <v>0</v>
      </c>
      <c r="L57" s="214"/>
      <c r="M57" s="35">
        <v>0</v>
      </c>
      <c r="N57" s="202">
        <f t="shared" si="9"/>
        <v>0</v>
      </c>
      <c r="O57" s="35">
        <v>0</v>
      </c>
      <c r="P57" s="202">
        <f t="shared" si="10"/>
        <v>0</v>
      </c>
      <c r="Q57" s="35">
        <v>0</v>
      </c>
      <c r="R57" s="202">
        <f t="shared" si="11"/>
        <v>0</v>
      </c>
    </row>
    <row r="58" spans="1:18" x14ac:dyDescent="0.2">
      <c r="A58" s="25"/>
      <c r="B58" s="133"/>
      <c r="C58" s="133"/>
      <c r="D58" s="25"/>
      <c r="E58" s="132"/>
      <c r="F58" s="226"/>
      <c r="G58" s="41"/>
      <c r="H58" s="133"/>
      <c r="I58" s="35">
        <v>0</v>
      </c>
      <c r="J58" s="202">
        <f t="shared" si="8"/>
        <v>0</v>
      </c>
      <c r="K58" s="225">
        <v>0</v>
      </c>
      <c r="L58" s="214"/>
      <c r="M58" s="35">
        <v>0</v>
      </c>
      <c r="N58" s="202">
        <f t="shared" si="9"/>
        <v>0</v>
      </c>
      <c r="O58" s="35">
        <v>0</v>
      </c>
      <c r="P58" s="202">
        <f t="shared" si="10"/>
        <v>0</v>
      </c>
      <c r="Q58" s="35">
        <v>0</v>
      </c>
      <c r="R58" s="202">
        <f t="shared" si="11"/>
        <v>0</v>
      </c>
    </row>
    <row r="59" spans="1:18" ht="13.5" thickBot="1" x14ac:dyDescent="0.25">
      <c r="A59" s="25"/>
      <c r="B59" s="25" t="s">
        <v>32</v>
      </c>
      <c r="C59" s="25"/>
      <c r="D59" s="25"/>
      <c r="E59" s="197"/>
      <c r="F59" s="21"/>
      <c r="G59" s="39">
        <v>0.08</v>
      </c>
      <c r="H59" s="215"/>
      <c r="I59" s="42">
        <v>8.1741381825846293</v>
      </c>
      <c r="J59" s="202">
        <f>+SUM(J18:J58)/2*H59</f>
        <v>0</v>
      </c>
      <c r="K59" s="86"/>
      <c r="L59" s="137"/>
      <c r="M59" s="42">
        <v>0</v>
      </c>
      <c r="N59" s="202">
        <f>+SUM(N18:N58)/2*L59</f>
        <v>0</v>
      </c>
      <c r="O59" s="42">
        <v>8.1741381825846293</v>
      </c>
      <c r="P59" s="202">
        <f>+SUM(P18:P58)/2*L59</f>
        <v>0</v>
      </c>
      <c r="Q59" s="42">
        <v>997.24485827532476</v>
      </c>
      <c r="R59" s="184">
        <f>+J59*E$7</f>
        <v>0</v>
      </c>
    </row>
    <row r="60" spans="1:18" ht="13.5" thickBot="1" x14ac:dyDescent="0.25">
      <c r="A60" s="25" t="s">
        <v>33</v>
      </c>
      <c r="B60" s="25"/>
      <c r="C60" s="25"/>
      <c r="D60" s="25"/>
      <c r="E60" s="200"/>
      <c r="F60" s="25"/>
      <c r="G60" s="25"/>
      <c r="H60" s="197"/>
      <c r="I60" s="87">
        <v>333.06744724704168</v>
      </c>
      <c r="J60" s="204">
        <f>SUM(J19:J59)</f>
        <v>0</v>
      </c>
      <c r="K60" s="35"/>
      <c r="L60" s="195"/>
      <c r="M60" s="87">
        <v>0</v>
      </c>
      <c r="N60" s="204">
        <f>SUM(N19:N59)</f>
        <v>0</v>
      </c>
      <c r="O60" s="87">
        <v>333.06744724704168</v>
      </c>
      <c r="P60" s="204">
        <f>SUM(P19:P59)</f>
        <v>0</v>
      </c>
      <c r="Q60" s="87">
        <v>40634.228564139106</v>
      </c>
      <c r="R60" s="204">
        <f>SUM(R19:R59)</f>
        <v>0</v>
      </c>
    </row>
    <row r="61" spans="1:18" ht="13.5" thickTop="1" x14ac:dyDescent="0.2">
      <c r="A61" s="25" t="s">
        <v>34</v>
      </c>
      <c r="B61" s="25"/>
      <c r="C61" s="25"/>
      <c r="D61" s="25"/>
      <c r="E61" s="200"/>
      <c r="F61" s="25"/>
      <c r="G61" s="25"/>
      <c r="H61" s="197"/>
      <c r="I61" s="35">
        <v>15.917552752958329</v>
      </c>
      <c r="J61" s="202">
        <f>+J14-J60</f>
        <v>0</v>
      </c>
      <c r="K61" s="35"/>
      <c r="L61" s="195"/>
      <c r="M61" s="35">
        <v>0</v>
      </c>
      <c r="N61" s="202">
        <f>+N14-N60</f>
        <v>0</v>
      </c>
      <c r="O61" s="35">
        <v>15.917552752958329</v>
      </c>
      <c r="P61" s="202">
        <f>+P14-P60</f>
        <v>0</v>
      </c>
      <c r="Q61" s="35">
        <v>1941.9414358608919</v>
      </c>
      <c r="R61" s="202">
        <f>+R14-R60</f>
        <v>0</v>
      </c>
    </row>
    <row r="62" spans="1:18" x14ac:dyDescent="0.2">
      <c r="A62" s="25"/>
      <c r="B62" s="25" t="s">
        <v>35</v>
      </c>
      <c r="C62" s="25"/>
      <c r="D62" s="25"/>
      <c r="E62" s="210"/>
      <c r="F62" s="17"/>
      <c r="G62" s="40">
        <v>0.7545212778486905</v>
      </c>
      <c r="H62" s="210" t="str">
        <f>IF(E10=0,"n/a",(YVarExp-(YTotExp+YTotRet-J10))/E10)</f>
        <v>n/a</v>
      </c>
      <c r="I62" s="25" t="s">
        <v>83</v>
      </c>
      <c r="J62" s="184"/>
      <c r="K62" s="25"/>
      <c r="L62" s="197"/>
      <c r="M62" s="25"/>
      <c r="N62" s="184"/>
      <c r="O62" s="25"/>
      <c r="P62" s="184"/>
      <c r="Q62" s="25"/>
      <c r="R62" s="184"/>
    </row>
    <row r="63" spans="1:18" x14ac:dyDescent="0.2">
      <c r="A63" s="25"/>
      <c r="B63" s="25"/>
      <c r="C63" s="25"/>
      <c r="D63" s="25"/>
      <c r="E63" s="178"/>
      <c r="F63" s="25"/>
      <c r="G63" s="25"/>
      <c r="H63" s="211"/>
      <c r="I63" s="25"/>
      <c r="J63" s="184"/>
      <c r="K63" s="25"/>
      <c r="L63" s="197"/>
      <c r="M63" s="25"/>
      <c r="N63" s="184"/>
      <c r="O63" s="25"/>
      <c r="P63" s="184"/>
      <c r="Q63" s="22" t="s">
        <v>19</v>
      </c>
      <c r="R63" s="184" t="s">
        <v>19</v>
      </c>
    </row>
    <row r="64" spans="1:18" x14ac:dyDescent="0.2">
      <c r="A64" s="23" t="s">
        <v>36</v>
      </c>
      <c r="B64" s="23"/>
      <c r="C64" s="23"/>
      <c r="D64" s="24" t="s">
        <v>2</v>
      </c>
      <c r="E64" s="196" t="s">
        <v>2</v>
      </c>
      <c r="F64" s="24" t="s">
        <v>21</v>
      </c>
      <c r="G64" s="24" t="s">
        <v>22</v>
      </c>
      <c r="H64" s="196" t="s">
        <v>22</v>
      </c>
      <c r="I64" s="24" t="s">
        <v>11</v>
      </c>
      <c r="J64" s="196" t="s">
        <v>11</v>
      </c>
      <c r="K64" s="24" t="s">
        <v>10</v>
      </c>
      <c r="L64" s="196" t="s">
        <v>10</v>
      </c>
      <c r="M64" s="24" t="s">
        <v>9</v>
      </c>
      <c r="N64" s="196" t="s">
        <v>9</v>
      </c>
      <c r="O64" s="24" t="s">
        <v>8</v>
      </c>
      <c r="P64" s="196" t="s">
        <v>8</v>
      </c>
      <c r="Q64" s="24" t="s">
        <v>11</v>
      </c>
      <c r="R64" s="208" t="s">
        <v>11</v>
      </c>
    </row>
    <row r="65" spans="1:18" x14ac:dyDescent="0.2">
      <c r="A65" s="25"/>
      <c r="B65" s="25" t="s">
        <v>106</v>
      </c>
      <c r="C65" s="25"/>
      <c r="D65" s="25"/>
      <c r="E65" s="178"/>
      <c r="F65" s="25"/>
      <c r="G65" s="25"/>
      <c r="H65" s="211"/>
      <c r="I65" s="186"/>
      <c r="J65" s="184"/>
      <c r="K65" s="225"/>
      <c r="L65" s="197"/>
      <c r="M65" s="25"/>
      <c r="N65" s="184"/>
      <c r="O65" s="25"/>
      <c r="P65" s="184"/>
      <c r="Q65" s="25"/>
      <c r="R65" s="184"/>
    </row>
    <row r="66" spans="1:18" x14ac:dyDescent="0.2">
      <c r="A66" s="25"/>
      <c r="B66" s="25"/>
      <c r="C66" s="25" t="s">
        <v>104</v>
      </c>
      <c r="D66" s="25">
        <v>1</v>
      </c>
      <c r="E66" s="132"/>
      <c r="F66" s="226" t="s">
        <v>42</v>
      </c>
      <c r="G66" s="41">
        <v>3.6184426229508202</v>
      </c>
      <c r="H66" s="133"/>
      <c r="I66" s="35">
        <v>3.6184426229508202</v>
      </c>
      <c r="J66" s="202">
        <f t="shared" ref="J66:J68" si="12">E66*H66</f>
        <v>0</v>
      </c>
      <c r="K66" s="225">
        <v>0</v>
      </c>
      <c r="L66" s="214"/>
      <c r="M66" s="35">
        <v>0</v>
      </c>
      <c r="N66" s="202">
        <f>J66*L66</f>
        <v>0</v>
      </c>
      <c r="O66" s="35">
        <v>3.6184426229508202</v>
      </c>
      <c r="P66" s="202">
        <f t="shared" ref="P66:P68" si="13">+J66-N66</f>
        <v>0</v>
      </c>
      <c r="Q66" s="35">
        <v>441.45000000000005</v>
      </c>
      <c r="R66" s="202">
        <f t="shared" ref="R66:R68" si="14">+J66*E$7</f>
        <v>0</v>
      </c>
    </row>
    <row r="67" spans="1:18" x14ac:dyDescent="0.2">
      <c r="A67" s="25"/>
      <c r="B67" s="25"/>
      <c r="C67" s="25" t="s">
        <v>105</v>
      </c>
      <c r="D67" s="25">
        <v>1</v>
      </c>
      <c r="E67" s="132"/>
      <c r="F67" s="226" t="s">
        <v>42</v>
      </c>
      <c r="G67" s="41">
        <v>35.784899140945384</v>
      </c>
      <c r="H67" s="133"/>
      <c r="I67" s="35">
        <v>35.784899140945384</v>
      </c>
      <c r="J67" s="202">
        <f t="shared" si="12"/>
        <v>0</v>
      </c>
      <c r="K67" s="225">
        <v>0</v>
      </c>
      <c r="L67" s="214"/>
      <c r="M67" s="35">
        <v>0</v>
      </c>
      <c r="N67" s="202">
        <f>J67*L67</f>
        <v>0</v>
      </c>
      <c r="O67" s="35">
        <v>35.784899140945384</v>
      </c>
      <c r="P67" s="202">
        <f t="shared" si="13"/>
        <v>0</v>
      </c>
      <c r="Q67" s="35">
        <v>4365.757695195337</v>
      </c>
      <c r="R67" s="202">
        <f t="shared" si="14"/>
        <v>0</v>
      </c>
    </row>
    <row r="68" spans="1:18" x14ac:dyDescent="0.2">
      <c r="A68" s="25"/>
      <c r="B68" s="25"/>
      <c r="C68" s="25" t="s">
        <v>4</v>
      </c>
      <c r="D68" s="25">
        <v>1</v>
      </c>
      <c r="E68" s="132"/>
      <c r="F68" s="226" t="s">
        <v>42</v>
      </c>
      <c r="G68" s="41">
        <v>15.678946573529114</v>
      </c>
      <c r="H68" s="133"/>
      <c r="I68" s="35">
        <v>15.678946573529114</v>
      </c>
      <c r="J68" s="202">
        <f t="shared" si="12"/>
        <v>0</v>
      </c>
      <c r="K68" s="225">
        <v>0</v>
      </c>
      <c r="L68" s="214"/>
      <c r="M68" s="35">
        <v>0</v>
      </c>
      <c r="N68" s="202">
        <f>J68*L68</f>
        <v>0</v>
      </c>
      <c r="O68" s="35">
        <v>15.678946573529114</v>
      </c>
      <c r="P68" s="202">
        <f t="shared" si="13"/>
        <v>0</v>
      </c>
      <c r="Q68" s="35">
        <v>1912.831481970552</v>
      </c>
      <c r="R68" s="202">
        <f t="shared" si="14"/>
        <v>0</v>
      </c>
    </row>
    <row r="69" spans="1:18" x14ac:dyDescent="0.2">
      <c r="A69" s="25"/>
      <c r="B69" s="25" t="s">
        <v>89</v>
      </c>
      <c r="C69" s="25"/>
      <c r="D69" s="25"/>
      <c r="E69" s="197"/>
      <c r="F69" s="21"/>
      <c r="G69" s="41"/>
      <c r="H69" s="197"/>
      <c r="I69" s="186"/>
      <c r="J69" s="184"/>
      <c r="K69" s="225"/>
      <c r="L69" s="197"/>
      <c r="M69" s="35"/>
      <c r="N69" s="184"/>
      <c r="O69" s="35"/>
      <c r="P69" s="184"/>
      <c r="Q69" s="35"/>
      <c r="R69" s="184"/>
    </row>
    <row r="70" spans="1:18" x14ac:dyDescent="0.2">
      <c r="A70" s="25"/>
      <c r="B70" s="25"/>
      <c r="C70" s="25" t="s">
        <v>104</v>
      </c>
      <c r="D70" s="41">
        <v>22.112704918032787</v>
      </c>
      <c r="E70" s="132"/>
      <c r="F70" s="226" t="s">
        <v>100</v>
      </c>
      <c r="G70" s="39">
        <v>0.08</v>
      </c>
      <c r="H70" s="215"/>
      <c r="I70" s="35">
        <v>1.7690163934426231</v>
      </c>
      <c r="J70" s="202">
        <f t="shared" ref="J70:J79" si="15">E70*H70</f>
        <v>0</v>
      </c>
      <c r="K70" s="225">
        <v>0</v>
      </c>
      <c r="L70" s="214"/>
      <c r="M70" s="35">
        <v>0</v>
      </c>
      <c r="N70" s="202">
        <f>J70*L70</f>
        <v>0</v>
      </c>
      <c r="O70" s="35">
        <v>1.7690163934426231</v>
      </c>
      <c r="P70" s="202">
        <f t="shared" ref="P70:P72" si="16">+J70-N70</f>
        <v>0</v>
      </c>
      <c r="Q70" s="35">
        <v>215.82000000000002</v>
      </c>
      <c r="R70" s="202">
        <f t="shared" ref="R70:R72" si="17">+J70*E$7</f>
        <v>0</v>
      </c>
    </row>
    <row r="71" spans="1:18" x14ac:dyDescent="0.2">
      <c r="A71" s="25"/>
      <c r="B71" s="25"/>
      <c r="C71" s="25" t="s">
        <v>105</v>
      </c>
      <c r="D71" s="41">
        <v>310.79562331951422</v>
      </c>
      <c r="E71" s="132"/>
      <c r="F71" s="226" t="s">
        <v>100</v>
      </c>
      <c r="G71" s="39">
        <v>0.08</v>
      </c>
      <c r="H71" s="215"/>
      <c r="I71" s="35">
        <v>24.86364986556114</v>
      </c>
      <c r="J71" s="202">
        <f t="shared" si="15"/>
        <v>0</v>
      </c>
      <c r="K71" s="225">
        <v>0</v>
      </c>
      <c r="L71" s="214"/>
      <c r="M71" s="35">
        <v>0</v>
      </c>
      <c r="N71" s="202">
        <f>J71*L71</f>
        <v>0</v>
      </c>
      <c r="O71" s="35">
        <v>24.86364986556114</v>
      </c>
      <c r="P71" s="202">
        <f t="shared" si="16"/>
        <v>0</v>
      </c>
      <c r="Q71" s="35">
        <v>3033.365283598459</v>
      </c>
      <c r="R71" s="202">
        <f t="shared" si="17"/>
        <v>0</v>
      </c>
    </row>
    <row r="72" spans="1:18" x14ac:dyDescent="0.2">
      <c r="A72" s="25"/>
      <c r="B72" s="25"/>
      <c r="C72" s="25" t="s">
        <v>4</v>
      </c>
      <c r="D72" s="41">
        <v>91.998002332683342</v>
      </c>
      <c r="E72" s="132"/>
      <c r="F72" s="226" t="s">
        <v>100</v>
      </c>
      <c r="G72" s="39">
        <v>0.08</v>
      </c>
      <c r="H72" s="215"/>
      <c r="I72" s="35">
        <v>7.3598401866146679</v>
      </c>
      <c r="J72" s="202">
        <f t="shared" si="15"/>
        <v>0</v>
      </c>
      <c r="K72" s="225">
        <v>0</v>
      </c>
      <c r="L72" s="214"/>
      <c r="M72" s="35">
        <v>0</v>
      </c>
      <c r="N72" s="202">
        <f>J72*L72</f>
        <v>0</v>
      </c>
      <c r="O72" s="35">
        <v>7.3598401866146679</v>
      </c>
      <c r="P72" s="202">
        <f t="shared" si="16"/>
        <v>0</v>
      </c>
      <c r="Q72" s="35">
        <v>897.90050276698946</v>
      </c>
      <c r="R72" s="202">
        <f t="shared" si="17"/>
        <v>0</v>
      </c>
    </row>
    <row r="73" spans="1:18" x14ac:dyDescent="0.2">
      <c r="A73" s="25"/>
      <c r="B73" s="25" t="s">
        <v>156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5"/>
        <v>0</v>
      </c>
      <c r="K73" s="225">
        <v>0</v>
      </c>
      <c r="L73" s="214"/>
      <c r="M73" s="35">
        <v>0</v>
      </c>
      <c r="N73" s="202">
        <f t="shared" ref="N73:N80" si="18">J73*L73</f>
        <v>0</v>
      </c>
      <c r="O73" s="35">
        <v>0</v>
      </c>
      <c r="P73" s="202">
        <f t="shared" ref="P73:P80" si="19">+J73-N73</f>
        <v>0</v>
      </c>
      <c r="Q73" s="35">
        <v>0</v>
      </c>
      <c r="R73" s="202">
        <f t="shared" ref="R73:R80" si="20">+J73*E$7</f>
        <v>0</v>
      </c>
    </row>
    <row r="74" spans="1:18" x14ac:dyDescent="0.2">
      <c r="A74" s="25"/>
      <c r="B74" s="25" t="s">
        <v>152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5"/>
        <v>0</v>
      </c>
      <c r="K74" s="225">
        <v>0</v>
      </c>
      <c r="L74" s="214"/>
      <c r="M74" s="35">
        <v>0</v>
      </c>
      <c r="N74" s="202">
        <f t="shared" si="18"/>
        <v>0</v>
      </c>
      <c r="O74" s="35">
        <v>0</v>
      </c>
      <c r="P74" s="202">
        <f t="shared" si="19"/>
        <v>0</v>
      </c>
      <c r="Q74" s="35">
        <v>0</v>
      </c>
      <c r="R74" s="202">
        <f t="shared" si="20"/>
        <v>0</v>
      </c>
    </row>
    <row r="75" spans="1:18" x14ac:dyDescent="0.2">
      <c r="A75" s="25"/>
      <c r="B75" s="25" t="s">
        <v>137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5"/>
        <v>0</v>
      </c>
      <c r="K75" s="225">
        <v>0</v>
      </c>
      <c r="L75" s="214"/>
      <c r="M75" s="35">
        <v>0</v>
      </c>
      <c r="N75" s="202">
        <f t="shared" si="18"/>
        <v>0</v>
      </c>
      <c r="O75" s="35">
        <v>0</v>
      </c>
      <c r="P75" s="202">
        <f t="shared" si="19"/>
        <v>0</v>
      </c>
      <c r="Q75" s="35">
        <v>0</v>
      </c>
      <c r="R75" s="202">
        <f t="shared" si="20"/>
        <v>0</v>
      </c>
    </row>
    <row r="76" spans="1:18" x14ac:dyDescent="0.2">
      <c r="A76" s="25"/>
      <c r="B76" s="25" t="s">
        <v>454</v>
      </c>
      <c r="C76" s="25"/>
      <c r="D76" s="25">
        <v>1</v>
      </c>
      <c r="E76" s="132"/>
      <c r="F76" s="226" t="s">
        <v>42</v>
      </c>
      <c r="G76" s="41">
        <v>15</v>
      </c>
      <c r="H76" s="133"/>
      <c r="I76" s="35">
        <v>15</v>
      </c>
      <c r="J76" s="202">
        <f t="shared" si="15"/>
        <v>0</v>
      </c>
      <c r="K76" s="225">
        <v>0</v>
      </c>
      <c r="L76" s="214"/>
      <c r="M76" s="35">
        <v>0</v>
      </c>
      <c r="N76" s="202">
        <f t="shared" si="18"/>
        <v>0</v>
      </c>
      <c r="O76" s="35">
        <v>15</v>
      </c>
      <c r="P76" s="202">
        <f t="shared" si="19"/>
        <v>0</v>
      </c>
      <c r="Q76" s="35">
        <v>1830</v>
      </c>
      <c r="R76" s="202">
        <f t="shared" si="20"/>
        <v>0</v>
      </c>
    </row>
    <row r="77" spans="1:18" x14ac:dyDescent="0.2">
      <c r="A77" s="25"/>
      <c r="B77" s="25" t="s">
        <v>159</v>
      </c>
      <c r="C77" s="25"/>
      <c r="D77" s="25">
        <v>1</v>
      </c>
      <c r="E77" s="132"/>
      <c r="F77" s="226" t="s">
        <v>42</v>
      </c>
      <c r="G77" s="41">
        <v>0</v>
      </c>
      <c r="H77" s="133"/>
      <c r="I77" s="35">
        <v>0</v>
      </c>
      <c r="J77" s="202">
        <f t="shared" si="15"/>
        <v>0</v>
      </c>
      <c r="K77" s="225">
        <v>0</v>
      </c>
      <c r="L77" s="214"/>
      <c r="M77" s="35">
        <v>0</v>
      </c>
      <c r="N77" s="202">
        <f t="shared" si="18"/>
        <v>0</v>
      </c>
      <c r="O77" s="35">
        <v>0</v>
      </c>
      <c r="P77" s="202">
        <f t="shared" si="19"/>
        <v>0</v>
      </c>
      <c r="Q77" s="35">
        <v>0</v>
      </c>
      <c r="R77" s="202">
        <f t="shared" si="20"/>
        <v>0</v>
      </c>
    </row>
    <row r="78" spans="1:18" x14ac:dyDescent="0.2">
      <c r="A78" s="25"/>
      <c r="B78" s="25" t="s">
        <v>160</v>
      </c>
      <c r="C78" s="25"/>
      <c r="D78" s="25">
        <v>1</v>
      </c>
      <c r="E78" s="132"/>
      <c r="F78" s="226" t="s">
        <v>42</v>
      </c>
      <c r="G78" s="41">
        <v>0</v>
      </c>
      <c r="H78" s="133"/>
      <c r="I78" s="35">
        <v>0</v>
      </c>
      <c r="J78" s="202">
        <f t="shared" si="15"/>
        <v>0</v>
      </c>
      <c r="K78" s="225">
        <v>0</v>
      </c>
      <c r="L78" s="214"/>
      <c r="M78" s="35">
        <v>0</v>
      </c>
      <c r="N78" s="202">
        <f t="shared" si="18"/>
        <v>0</v>
      </c>
      <c r="O78" s="35">
        <v>0</v>
      </c>
      <c r="P78" s="202">
        <f t="shared" si="19"/>
        <v>0</v>
      </c>
      <c r="Q78" s="35">
        <v>0</v>
      </c>
      <c r="R78" s="202">
        <f t="shared" si="20"/>
        <v>0</v>
      </c>
    </row>
    <row r="79" spans="1:18" x14ac:dyDescent="0.2">
      <c r="A79" s="25"/>
      <c r="B79" s="133"/>
      <c r="C79" s="133"/>
      <c r="D79" s="25">
        <v>1</v>
      </c>
      <c r="E79" s="132"/>
      <c r="F79" s="226"/>
      <c r="G79" s="41">
        <v>0</v>
      </c>
      <c r="H79" s="133"/>
      <c r="I79" s="35">
        <v>0</v>
      </c>
      <c r="J79" s="202">
        <f t="shared" si="15"/>
        <v>0</v>
      </c>
      <c r="K79" s="225">
        <v>0</v>
      </c>
      <c r="L79" s="214"/>
      <c r="M79" s="35">
        <v>0</v>
      </c>
      <c r="N79" s="202">
        <f t="shared" si="18"/>
        <v>0</v>
      </c>
      <c r="O79" s="35">
        <v>0</v>
      </c>
      <c r="P79" s="202">
        <f t="shared" si="19"/>
        <v>0</v>
      </c>
      <c r="Q79" s="35">
        <v>0</v>
      </c>
      <c r="R79" s="202">
        <f t="shared" si="20"/>
        <v>0</v>
      </c>
    </row>
    <row r="80" spans="1:18" ht="13.5" thickBot="1" x14ac:dyDescent="0.25">
      <c r="A80" s="25"/>
      <c r="B80" s="133"/>
      <c r="C80" s="133"/>
      <c r="D80" s="25">
        <v>1</v>
      </c>
      <c r="E80" s="132"/>
      <c r="F80" s="226"/>
      <c r="G80" s="41">
        <v>0</v>
      </c>
      <c r="H80" s="133"/>
      <c r="I80" s="35">
        <v>0</v>
      </c>
      <c r="J80" s="202">
        <f>E80*H80</f>
        <v>0</v>
      </c>
      <c r="K80" s="225">
        <v>0</v>
      </c>
      <c r="L80" s="214"/>
      <c r="M80" s="35">
        <v>0</v>
      </c>
      <c r="N80" s="202">
        <f t="shared" si="18"/>
        <v>0</v>
      </c>
      <c r="O80" s="35">
        <v>0</v>
      </c>
      <c r="P80" s="202">
        <f t="shared" si="19"/>
        <v>0</v>
      </c>
      <c r="Q80" s="35">
        <v>0</v>
      </c>
      <c r="R80" s="202">
        <f t="shared" si="20"/>
        <v>0</v>
      </c>
    </row>
    <row r="81" spans="1:18" ht="13.5" thickBot="1" x14ac:dyDescent="0.25">
      <c r="A81" s="25" t="s">
        <v>37</v>
      </c>
      <c r="B81" s="25"/>
      <c r="C81" s="25"/>
      <c r="D81" s="25"/>
      <c r="E81" s="197"/>
      <c r="F81" s="25"/>
      <c r="G81" s="25"/>
      <c r="H81" s="197"/>
      <c r="I81" s="121">
        <v>104.07479478304376</v>
      </c>
      <c r="J81" s="204">
        <f>+SUM(J66:J80)</f>
        <v>0</v>
      </c>
      <c r="K81" s="35"/>
      <c r="L81" s="195"/>
      <c r="M81" s="121">
        <v>0</v>
      </c>
      <c r="N81" s="204">
        <f>+SUM(N66:N80)</f>
        <v>0</v>
      </c>
      <c r="O81" s="121">
        <v>104.07479478304376</v>
      </c>
      <c r="P81" s="204">
        <f>+SUM(P66:P80)</f>
        <v>0</v>
      </c>
      <c r="Q81" s="121">
        <v>12697.124963531338</v>
      </c>
      <c r="R81" s="204">
        <f>+SUM(R66:R80)</f>
        <v>0</v>
      </c>
    </row>
    <row r="82" spans="1:18" ht="14.25" thickTop="1" thickBot="1" x14ac:dyDescent="0.25">
      <c r="A82" s="25" t="s">
        <v>52</v>
      </c>
      <c r="B82" s="25"/>
      <c r="C82" s="25"/>
      <c r="D82" s="25"/>
      <c r="E82" s="197"/>
      <c r="F82" s="25"/>
      <c r="G82" s="25"/>
      <c r="H82" s="197"/>
      <c r="I82" s="87">
        <v>437.14224203008541</v>
      </c>
      <c r="J82" s="205">
        <f>+J60+J81</f>
        <v>0</v>
      </c>
      <c r="K82" s="35"/>
      <c r="L82" s="195"/>
      <c r="M82" s="87">
        <v>0</v>
      </c>
      <c r="N82" s="205">
        <f>+N60+N81</f>
        <v>0</v>
      </c>
      <c r="O82" s="87">
        <v>437.14224203008541</v>
      </c>
      <c r="P82" s="205">
        <f>+P60+P81</f>
        <v>0</v>
      </c>
      <c r="Q82" s="87">
        <v>53331.353527670442</v>
      </c>
      <c r="R82" s="205">
        <f>+R60+R81</f>
        <v>0</v>
      </c>
    </row>
    <row r="83" spans="1:18" ht="13.5" thickTop="1" x14ac:dyDescent="0.2">
      <c r="A83" s="25"/>
      <c r="B83" s="25"/>
      <c r="C83" s="25"/>
      <c r="D83" s="25"/>
      <c r="E83" s="197"/>
      <c r="F83" s="25"/>
      <c r="G83" s="25"/>
      <c r="H83" s="197"/>
      <c r="I83" s="35"/>
      <c r="J83" s="184"/>
      <c r="K83" s="35"/>
      <c r="L83" s="195"/>
      <c r="M83" s="35"/>
      <c r="N83" s="184"/>
      <c r="O83" s="35"/>
      <c r="P83" s="184"/>
      <c r="Q83" s="35"/>
      <c r="R83" s="184"/>
    </row>
    <row r="84" spans="1:18" x14ac:dyDescent="0.2">
      <c r="A84" s="25" t="s">
        <v>153</v>
      </c>
      <c r="B84" s="25"/>
      <c r="C84" s="25"/>
      <c r="D84" s="25"/>
      <c r="E84" s="197"/>
      <c r="F84" s="25"/>
      <c r="G84" s="25"/>
      <c r="H84" s="197"/>
      <c r="I84" s="35">
        <v>-88.157242030085399</v>
      </c>
      <c r="J84" s="202">
        <f>+J14-J82</f>
        <v>0</v>
      </c>
      <c r="K84" s="35"/>
      <c r="L84" s="195"/>
      <c r="M84" s="35">
        <v>0</v>
      </c>
      <c r="N84" s="202">
        <f>+N14-N82</f>
        <v>0</v>
      </c>
      <c r="O84" s="35">
        <v>-88.157242030085399</v>
      </c>
      <c r="P84" s="202">
        <f>+P14-P82</f>
        <v>0</v>
      </c>
      <c r="Q84" s="35">
        <v>-10755.183527670444</v>
      </c>
      <c r="R84" s="202">
        <f>+R14-R82</f>
        <v>0</v>
      </c>
    </row>
    <row r="85" spans="1:18" x14ac:dyDescent="0.2">
      <c r="A85" s="25"/>
      <c r="B85" s="25"/>
      <c r="C85" s="25"/>
      <c r="D85" s="25"/>
      <c r="E85" s="197"/>
      <c r="F85" s="25"/>
      <c r="G85" s="25"/>
      <c r="H85" s="197"/>
      <c r="I85" s="35"/>
      <c r="J85" s="206"/>
      <c r="K85" s="35"/>
      <c r="L85" s="195"/>
      <c r="M85" s="35"/>
      <c r="N85" s="195"/>
      <c r="O85" s="35"/>
      <c r="P85" s="195"/>
      <c r="Q85" s="35"/>
      <c r="R85" s="206"/>
    </row>
    <row r="86" spans="1:18" ht="13.5" thickBot="1" x14ac:dyDescent="0.25">
      <c r="A86" s="44" t="s">
        <v>38</v>
      </c>
      <c r="B86" s="44"/>
      <c r="C86" s="44"/>
      <c r="D86" s="44"/>
      <c r="E86" s="201"/>
      <c r="F86" s="44"/>
      <c r="G86" s="45">
        <v>1.0518778343716726</v>
      </c>
      <c r="H86" s="212" t="str">
        <f>IF(E10=0,"n/a",(YTotExp-(YTotExp+YTotRet-J10))/E10)</f>
        <v>n/a</v>
      </c>
      <c r="I86" s="44" t="s">
        <v>83</v>
      </c>
      <c r="J86" s="207"/>
      <c r="K86" s="44"/>
      <c r="L86" s="201"/>
      <c r="M86" s="44"/>
      <c r="N86" s="201"/>
      <c r="O86" s="44"/>
      <c r="P86" s="201"/>
      <c r="Q86" s="44"/>
      <c r="R86" s="207"/>
    </row>
    <row r="87" spans="1:18" ht="13.5" thickTop="1" x14ac:dyDescent="0.2"/>
    <row r="88" spans="1:18" s="17" customFormat="1" ht="15.75" x14ac:dyDescent="0.25">
      <c r="A88"/>
      <c r="B88" s="88"/>
      <c r="C88" s="89"/>
      <c r="D88" s="234" t="s">
        <v>115</v>
      </c>
      <c r="E88" s="235"/>
      <c r="F88" s="235"/>
      <c r="G88" s="235"/>
      <c r="H88" s="235"/>
      <c r="I88" s="235"/>
      <c r="J88" s="99"/>
      <c r="K88" s="99"/>
      <c r="M88"/>
      <c r="N88"/>
    </row>
    <row r="89" spans="1:18" s="17" customFormat="1" ht="15.75" x14ac:dyDescent="0.25">
      <c r="A89"/>
      <c r="B89" s="19" t="s">
        <v>116</v>
      </c>
      <c r="C89" s="19" t="s">
        <v>116</v>
      </c>
      <c r="D89" s="126" t="s">
        <v>170</v>
      </c>
      <c r="E89" s="18"/>
      <c r="F89" s="18"/>
      <c r="G89" s="126" t="s">
        <v>170</v>
      </c>
      <c r="H89" s="18"/>
      <c r="I89" s="18"/>
      <c r="J89" s="18"/>
      <c r="K89" s="18"/>
      <c r="M89"/>
      <c r="N89"/>
    </row>
    <row r="90" spans="1:18" s="17" customFormat="1" x14ac:dyDescent="0.2">
      <c r="A90"/>
      <c r="B90" s="19" t="s">
        <v>81</v>
      </c>
      <c r="C90" s="19" t="s">
        <v>81</v>
      </c>
      <c r="D90" s="126" t="s">
        <v>157</v>
      </c>
      <c r="E90" s="122"/>
      <c r="F90" s="122"/>
      <c r="G90" s="126" t="s">
        <v>11</v>
      </c>
      <c r="H90" s="122"/>
      <c r="I90" s="122"/>
      <c r="J90" s="122"/>
      <c r="K90" s="122"/>
      <c r="M90"/>
      <c r="N90"/>
    </row>
    <row r="91" spans="1:18" s="17" customFormat="1" x14ac:dyDescent="0.2">
      <c r="A91"/>
      <c r="B91" s="19" t="s">
        <v>30</v>
      </c>
      <c r="C91" s="99" t="s">
        <v>83</v>
      </c>
      <c r="D91" s="126" t="s">
        <v>99</v>
      </c>
      <c r="E91" s="122"/>
      <c r="F91" s="122"/>
      <c r="G91" s="126" t="s">
        <v>99</v>
      </c>
      <c r="H91" s="19"/>
      <c r="I91" s="19"/>
      <c r="J91" s="19"/>
      <c r="K91" s="19"/>
      <c r="M91"/>
      <c r="N91"/>
    </row>
    <row r="92" spans="1:18" s="17" customFormat="1" x14ac:dyDescent="0.2">
      <c r="A92"/>
      <c r="B92" s="90">
        <v>0.75</v>
      </c>
      <c r="C92" s="91">
        <v>262.5</v>
      </c>
      <c r="D92" s="92">
        <v>1.0060283704649207</v>
      </c>
      <c r="E92" s="93"/>
      <c r="F92" s="94"/>
      <c r="G92" s="92">
        <v>1.4025037791622301</v>
      </c>
      <c r="H92" s="93"/>
      <c r="I92" s="93"/>
      <c r="M92"/>
      <c r="N92"/>
    </row>
    <row r="93" spans="1:18" s="17" customFormat="1" x14ac:dyDescent="0.2">
      <c r="A93"/>
      <c r="B93" s="95">
        <v>0.9</v>
      </c>
      <c r="C93" s="96">
        <v>315</v>
      </c>
      <c r="D93" s="97">
        <v>0.83835697538743392</v>
      </c>
      <c r="E93" s="83"/>
      <c r="F93" s="98"/>
      <c r="G93" s="97">
        <v>1.1687531493018584</v>
      </c>
      <c r="H93" s="83"/>
      <c r="I93" s="83"/>
      <c r="M93"/>
      <c r="N93"/>
    </row>
    <row r="94" spans="1:18" s="17" customFormat="1" x14ac:dyDescent="0.2">
      <c r="A94"/>
      <c r="B94" s="90">
        <v>1</v>
      </c>
      <c r="C94" s="91">
        <v>350</v>
      </c>
      <c r="D94" s="92">
        <v>0.7545212778486905</v>
      </c>
      <c r="E94" s="93"/>
      <c r="F94" s="94"/>
      <c r="G94" s="92">
        <v>1.0518778343716726</v>
      </c>
      <c r="H94" s="93"/>
      <c r="I94" s="93"/>
      <c r="M94"/>
      <c r="N94"/>
    </row>
    <row r="95" spans="1:18" s="17" customFormat="1" x14ac:dyDescent="0.2">
      <c r="A95"/>
      <c r="B95" s="95">
        <v>1.1000000000000001</v>
      </c>
      <c r="C95" s="96">
        <v>385.00000000000006</v>
      </c>
      <c r="D95" s="97">
        <v>0.6859284344079003</v>
      </c>
      <c r="E95" s="83"/>
      <c r="F95" s="98"/>
      <c r="G95" s="97">
        <v>0.95625257670152042</v>
      </c>
      <c r="H95" s="83"/>
      <c r="I95" s="83"/>
      <c r="M95"/>
      <c r="N95"/>
    </row>
    <row r="96" spans="1:18" s="17" customFormat="1" x14ac:dyDescent="0.2">
      <c r="A96"/>
      <c r="B96" s="90">
        <v>1.25</v>
      </c>
      <c r="C96" s="91">
        <v>437.5</v>
      </c>
      <c r="D96" s="92">
        <v>0.60361702227895242</v>
      </c>
      <c r="E96" s="93"/>
      <c r="F96" s="94"/>
      <c r="G96" s="92">
        <v>0.84150226749733803</v>
      </c>
      <c r="H96" s="93"/>
      <c r="I96" s="93"/>
      <c r="M96"/>
      <c r="N96"/>
    </row>
    <row r="97" spans="1:18" s="17" customFormat="1" x14ac:dyDescent="0.2">
      <c r="A97"/>
      <c r="M97"/>
      <c r="N97"/>
    </row>
    <row r="98" spans="1:18" x14ac:dyDescent="0.2">
      <c r="A98" s="25" t="s">
        <v>536</v>
      </c>
      <c r="B98" s="17"/>
      <c r="C98" s="17"/>
      <c r="D98" s="17"/>
      <c r="E98" s="17"/>
      <c r="F98" s="17"/>
      <c r="G98" s="17"/>
      <c r="H98" s="17"/>
      <c r="I98" s="17"/>
      <c r="J98" s="28"/>
      <c r="K98" s="17"/>
      <c r="L98" s="17"/>
      <c r="M98" s="17"/>
      <c r="N98" s="17"/>
      <c r="O98" s="17"/>
      <c r="P98" s="17"/>
      <c r="Q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28"/>
      <c r="K99" s="17"/>
      <c r="L99" s="17"/>
      <c r="M99" s="17"/>
      <c r="N99" s="17"/>
      <c r="O99" s="17"/>
      <c r="P99" s="17"/>
      <c r="Q99" s="17"/>
    </row>
    <row r="100" spans="1:18" ht="26.25" customHeight="1" x14ac:dyDescent="0.2">
      <c r="A100" s="236" t="s">
        <v>140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21"/>
      <c r="N100" s="221"/>
      <c r="O100" s="221"/>
      <c r="P100" s="221"/>
      <c r="Q100" s="221"/>
      <c r="R100" s="221"/>
    </row>
  </sheetData>
  <sheetProtection sheet="1" objects="1" scenarios="1"/>
  <mergeCells count="6">
    <mergeCell ref="D88:I88"/>
    <mergeCell ref="A100:L10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07">
    <tabColor rgb="FF92D050"/>
    <pageSetUpPr fitToPage="1"/>
  </sheetPr>
  <dimension ref="A1:S98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140625" customWidth="1"/>
    <col min="3" max="3" width="32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40.6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511</v>
      </c>
      <c r="R9" s="191" t="str">
        <f>"(" &amp; E7 &amp; " acres)"</f>
        <v>( acres)</v>
      </c>
      <c r="S9" s="12"/>
    </row>
    <row r="10" spans="1:19" x14ac:dyDescent="0.2">
      <c r="A10" s="25"/>
      <c r="B10" t="s">
        <v>304</v>
      </c>
      <c r="C10" s="25"/>
      <c r="D10" s="50">
        <v>47.6</v>
      </c>
      <c r="E10" s="132"/>
      <c r="F10" s="226" t="s">
        <v>7</v>
      </c>
      <c r="G10" s="31">
        <v>8.93</v>
      </c>
      <c r="H10" s="133"/>
      <c r="I10" s="35">
        <v>425.06799999999998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425.06799999999998</v>
      </c>
      <c r="P10" s="202">
        <f>+J10-N10</f>
        <v>0</v>
      </c>
      <c r="Q10" s="35">
        <v>17257.7608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425.06799999999998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425.06799999999998</v>
      </c>
      <c r="P13" s="203">
        <f>SUM(P10:P12)</f>
        <v>0</v>
      </c>
      <c r="Q13" s="36">
        <v>17257.7608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49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366</v>
      </c>
      <c r="D18" s="25">
        <v>0.5</v>
      </c>
      <c r="E18" s="132"/>
      <c r="F18" s="226" t="s">
        <v>367</v>
      </c>
      <c r="G18" s="41">
        <v>3.43</v>
      </c>
      <c r="H18" s="133"/>
      <c r="I18" s="35">
        <v>1.7150000000000001</v>
      </c>
      <c r="J18" s="202">
        <f t="shared" ref="J18:J31" si="4">E18*H18</f>
        <v>0</v>
      </c>
      <c r="K18" s="225">
        <v>0</v>
      </c>
      <c r="L18" s="214"/>
      <c r="M18" s="35">
        <v>0</v>
      </c>
      <c r="N18" s="202">
        <f t="shared" ref="N18:N31" si="5">J18*L18</f>
        <v>0</v>
      </c>
      <c r="O18" s="35">
        <v>1.7150000000000001</v>
      </c>
      <c r="P18" s="202">
        <f t="shared" ref="P18:P31" si="6">+J18-N18</f>
        <v>0</v>
      </c>
      <c r="Q18" s="35">
        <v>69.629000000000005</v>
      </c>
      <c r="R18" s="202">
        <f t="shared" ref="R18:R31" si="7">+J18*E$7</f>
        <v>0</v>
      </c>
    </row>
    <row r="19" spans="1:18" x14ac:dyDescent="0.2">
      <c r="A19" s="25"/>
      <c r="B19" s="25" t="s">
        <v>501</v>
      </c>
      <c r="C19" s="25" t="s">
        <v>410</v>
      </c>
      <c r="D19" s="25">
        <v>16</v>
      </c>
      <c r="E19" s="132"/>
      <c r="F19" s="226" t="s">
        <v>360</v>
      </c>
      <c r="G19" s="41">
        <v>0.88280000000000003</v>
      </c>
      <c r="H19" s="133"/>
      <c r="I19" s="35">
        <v>14.1248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14.1248</v>
      </c>
      <c r="P19" s="202">
        <f t="shared" si="6"/>
        <v>0</v>
      </c>
      <c r="Q19" s="35">
        <v>573.46688000000006</v>
      </c>
      <c r="R19" s="202">
        <f t="shared" si="7"/>
        <v>0</v>
      </c>
    </row>
    <row r="20" spans="1:18" x14ac:dyDescent="0.2">
      <c r="A20" s="25"/>
      <c r="B20" s="25" t="s">
        <v>1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401</v>
      </c>
      <c r="D21" s="25">
        <v>8</v>
      </c>
      <c r="E21" s="132"/>
      <c r="F21" s="226" t="s">
        <v>373</v>
      </c>
      <c r="G21" s="41">
        <v>3.98</v>
      </c>
      <c r="H21" s="133"/>
      <c r="I21" s="35">
        <v>31.84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31.84</v>
      </c>
      <c r="P21" s="202">
        <f t="shared" si="6"/>
        <v>0</v>
      </c>
      <c r="Q21" s="35">
        <v>1292.704</v>
      </c>
      <c r="R21" s="202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431</v>
      </c>
      <c r="D23" s="25">
        <v>60</v>
      </c>
      <c r="E23" s="132"/>
      <c r="F23" s="226" t="s">
        <v>83</v>
      </c>
      <c r="G23" s="41">
        <v>0.42</v>
      </c>
      <c r="H23" s="133"/>
      <c r="I23" s="35">
        <v>25.2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25.2</v>
      </c>
      <c r="P23" s="202">
        <f t="shared" si="6"/>
        <v>0</v>
      </c>
      <c r="Q23" s="35">
        <v>1023.12</v>
      </c>
      <c r="R23" s="202">
        <f t="shared" si="7"/>
        <v>0</v>
      </c>
    </row>
    <row r="24" spans="1:18" x14ac:dyDescent="0.2">
      <c r="A24" s="25"/>
      <c r="B24" s="25" t="s">
        <v>501</v>
      </c>
      <c r="C24" s="25" t="s">
        <v>422</v>
      </c>
      <c r="D24" s="25">
        <v>83.2</v>
      </c>
      <c r="E24" s="132"/>
      <c r="F24" s="226" t="s">
        <v>83</v>
      </c>
      <c r="G24" s="41">
        <v>0.53</v>
      </c>
      <c r="H24" s="133"/>
      <c r="I24" s="35">
        <v>44.096000000000004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44.096000000000004</v>
      </c>
      <c r="P24" s="202">
        <f t="shared" si="6"/>
        <v>0</v>
      </c>
      <c r="Q24" s="35">
        <v>1790.2976000000001</v>
      </c>
      <c r="R24" s="202">
        <f t="shared" si="7"/>
        <v>0</v>
      </c>
    </row>
    <row r="25" spans="1:18" x14ac:dyDescent="0.2">
      <c r="A25" s="25"/>
      <c r="B25" s="25" t="s">
        <v>50</v>
      </c>
      <c r="C25" s="25"/>
      <c r="D25" s="25"/>
      <c r="E25" s="25"/>
      <c r="F25" s="25"/>
      <c r="G25" s="25"/>
      <c r="H25" s="25"/>
      <c r="I25" s="25"/>
      <c r="J25" s="25"/>
      <c r="K25" s="225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501</v>
      </c>
      <c r="C26" s="25" t="s">
        <v>442</v>
      </c>
      <c r="D26" s="25">
        <v>1</v>
      </c>
      <c r="E26" s="132"/>
      <c r="F26" s="226" t="s">
        <v>42</v>
      </c>
      <c r="G26" s="41">
        <v>0.5</v>
      </c>
      <c r="H26" s="133"/>
      <c r="I26" s="35">
        <v>0.5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0.5</v>
      </c>
      <c r="P26" s="202">
        <f t="shared" si="6"/>
        <v>0</v>
      </c>
      <c r="Q26" s="35">
        <v>20.3</v>
      </c>
      <c r="R26" s="202">
        <f t="shared" si="7"/>
        <v>0</v>
      </c>
    </row>
    <row r="27" spans="1:18" x14ac:dyDescent="0.2">
      <c r="A27" s="25"/>
      <c r="B27" s="25" t="s">
        <v>501</v>
      </c>
      <c r="C27" s="25" t="s">
        <v>406</v>
      </c>
      <c r="D27" s="25">
        <v>85</v>
      </c>
      <c r="E27" s="132"/>
      <c r="F27" s="226" t="s">
        <v>84</v>
      </c>
      <c r="G27" s="41">
        <v>0.27</v>
      </c>
      <c r="H27" s="133"/>
      <c r="I27" s="35">
        <v>22.950000000000003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22.950000000000003</v>
      </c>
      <c r="P27" s="202">
        <f t="shared" si="6"/>
        <v>0</v>
      </c>
      <c r="Q27" s="35">
        <v>931.7700000000001</v>
      </c>
      <c r="R27" s="202">
        <f t="shared" si="7"/>
        <v>0</v>
      </c>
    </row>
    <row r="28" spans="1:18" x14ac:dyDescent="0.2">
      <c r="A28" s="25"/>
      <c r="B28" s="25" t="s">
        <v>27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475</v>
      </c>
      <c r="D29" s="25">
        <v>1</v>
      </c>
      <c r="E29" s="132"/>
      <c r="F29" s="226" t="s">
        <v>42</v>
      </c>
      <c r="G29" s="41">
        <v>10.38</v>
      </c>
      <c r="H29" s="133"/>
      <c r="I29" s="35">
        <v>10.38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10.38</v>
      </c>
      <c r="P29" s="202">
        <f t="shared" si="6"/>
        <v>0</v>
      </c>
      <c r="Q29" s="35">
        <v>421.42800000000005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0</v>
      </c>
      <c r="P31" s="202">
        <f t="shared" si="6"/>
        <v>0</v>
      </c>
      <c r="Q31" s="35">
        <v>0</v>
      </c>
      <c r="R31" s="202">
        <f t="shared" si="7"/>
        <v>0</v>
      </c>
    </row>
    <row r="32" spans="1:18" x14ac:dyDescent="0.2">
      <c r="A32" s="25"/>
      <c r="B32" s="133"/>
      <c r="C32" s="133"/>
      <c r="D32" s="25">
        <v>0</v>
      </c>
      <c r="E32" s="132"/>
      <c r="F32" s="226"/>
      <c r="G32" s="41">
        <v>0</v>
      </c>
      <c r="H32" s="133"/>
      <c r="I32" s="35">
        <v>0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0</v>
      </c>
      <c r="P32" s="202">
        <f>+J32-N32</f>
        <v>0</v>
      </c>
      <c r="Q32" s="35">
        <v>0</v>
      </c>
      <c r="R32" s="202">
        <f>+J32*E$7</f>
        <v>0</v>
      </c>
    </row>
    <row r="33" spans="1:18" x14ac:dyDescent="0.2">
      <c r="A33" s="25"/>
      <c r="B33" s="25" t="s">
        <v>45</v>
      </c>
      <c r="C33" s="25"/>
      <c r="D33" s="25"/>
      <c r="E33" s="209"/>
      <c r="F33" s="21"/>
      <c r="G33" s="41"/>
      <c r="H33" s="198"/>
      <c r="I33" s="186"/>
      <c r="J33" s="184"/>
      <c r="K33" s="225"/>
      <c r="L33" s="198"/>
      <c r="M33" s="35"/>
      <c r="N33" s="184"/>
      <c r="O33" s="35"/>
      <c r="P33" s="184"/>
      <c r="Q33" s="35"/>
      <c r="R33" s="184"/>
    </row>
    <row r="34" spans="1:18" x14ac:dyDescent="0.2">
      <c r="A34" s="25"/>
      <c r="B34" s="25"/>
      <c r="C34" s="25" t="s">
        <v>146</v>
      </c>
      <c r="D34" s="34">
        <v>8</v>
      </c>
      <c r="E34" s="132"/>
      <c r="F34" s="226" t="s">
        <v>141</v>
      </c>
      <c r="G34" s="41">
        <v>12.576539114798555</v>
      </c>
      <c r="H34" s="133"/>
      <c r="I34" s="35">
        <v>100.61231291838844</v>
      </c>
      <c r="J34" s="202">
        <f t="shared" ref="J34:J35" si="8">E34*H34</f>
        <v>0</v>
      </c>
      <c r="K34" s="225">
        <v>0</v>
      </c>
      <c r="L34" s="214"/>
      <c r="M34" s="35">
        <v>0</v>
      </c>
      <c r="N34" s="202">
        <f t="shared" ref="N34:N35" si="9">J34*L34</f>
        <v>0</v>
      </c>
      <c r="O34" s="35">
        <v>100.61231291838844</v>
      </c>
      <c r="P34" s="202">
        <f t="shared" ref="P34:P35" si="10">+J34-N34</f>
        <v>0</v>
      </c>
      <c r="Q34" s="35">
        <v>4084.8599044865709</v>
      </c>
      <c r="R34" s="202">
        <f t="shared" ref="R34:R35" si="11">+J34*E$7</f>
        <v>0</v>
      </c>
    </row>
    <row r="35" spans="1:18" x14ac:dyDescent="0.2">
      <c r="A35" s="25"/>
      <c r="B35" s="25"/>
      <c r="C35" s="25" t="s">
        <v>136</v>
      </c>
      <c r="D35" s="34">
        <v>3.0394000000000001</v>
      </c>
      <c r="E35" s="132"/>
      <c r="F35" s="226" t="s">
        <v>44</v>
      </c>
      <c r="G35" s="41">
        <v>17.5</v>
      </c>
      <c r="H35" s="133"/>
      <c r="I35" s="35">
        <v>53.189500000000002</v>
      </c>
      <c r="J35" s="202">
        <f t="shared" si="8"/>
        <v>0</v>
      </c>
      <c r="K35" s="225">
        <v>0</v>
      </c>
      <c r="L35" s="214"/>
      <c r="M35" s="35">
        <v>0</v>
      </c>
      <c r="N35" s="202">
        <f t="shared" si="9"/>
        <v>0</v>
      </c>
      <c r="O35" s="35">
        <v>53.189500000000002</v>
      </c>
      <c r="P35" s="202">
        <f t="shared" si="10"/>
        <v>0</v>
      </c>
      <c r="Q35" s="35">
        <v>2159.4937</v>
      </c>
      <c r="R35" s="202">
        <f t="shared" si="11"/>
        <v>0</v>
      </c>
    </row>
    <row r="36" spans="1:18" x14ac:dyDescent="0.2">
      <c r="A36" s="25"/>
      <c r="B36" s="25" t="s">
        <v>108</v>
      </c>
      <c r="C36" s="25"/>
      <c r="D36" s="25"/>
      <c r="E36" s="105"/>
      <c r="H36" s="105"/>
      <c r="I36" s="124"/>
      <c r="J36" s="105"/>
      <c r="K36" s="225"/>
      <c r="L36" s="105"/>
      <c r="N36" s="105"/>
      <c r="P36" s="105"/>
      <c r="R36" s="105"/>
    </row>
    <row r="37" spans="1:18" x14ac:dyDescent="0.2">
      <c r="A37" s="25"/>
      <c r="B37" s="25"/>
      <c r="C37" s="25" t="s">
        <v>105</v>
      </c>
      <c r="D37" s="25">
        <v>0.69</v>
      </c>
      <c r="E37" s="132"/>
      <c r="F37" s="226" t="s">
        <v>44</v>
      </c>
      <c r="G37" s="41">
        <v>17.21</v>
      </c>
      <c r="H37" s="133"/>
      <c r="I37" s="35">
        <v>11.8749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11.8749</v>
      </c>
      <c r="P37" s="202">
        <f>+J37-N37</f>
        <v>0</v>
      </c>
      <c r="Q37" s="35">
        <v>482.12094000000002</v>
      </c>
      <c r="R37" s="202">
        <f>+J37*E$7</f>
        <v>0</v>
      </c>
    </row>
    <row r="38" spans="1:18" x14ac:dyDescent="0.2">
      <c r="A38" s="25"/>
      <c r="B38" s="25"/>
      <c r="C38" s="25" t="s">
        <v>107</v>
      </c>
      <c r="D38" s="25">
        <v>0.02</v>
      </c>
      <c r="E38" s="132"/>
      <c r="F38" s="226" t="s">
        <v>44</v>
      </c>
      <c r="G38" s="41">
        <v>17.21</v>
      </c>
      <c r="H38" s="133"/>
      <c r="I38" s="35">
        <v>0.34420000000000001</v>
      </c>
      <c r="J38" s="202">
        <f>E38*H38</f>
        <v>0</v>
      </c>
      <c r="K38" s="225">
        <v>0</v>
      </c>
      <c r="L38" s="214"/>
      <c r="M38" s="35">
        <v>0</v>
      </c>
      <c r="N38" s="202">
        <f>J38*L38</f>
        <v>0</v>
      </c>
      <c r="O38" s="35">
        <v>0.34420000000000001</v>
      </c>
      <c r="P38" s="202">
        <f>+J38-N38</f>
        <v>0</v>
      </c>
      <c r="Q38" s="35">
        <v>13.97452</v>
      </c>
      <c r="R38" s="202">
        <f>+J38*E$7</f>
        <v>0</v>
      </c>
    </row>
    <row r="39" spans="1:18" x14ac:dyDescent="0.2">
      <c r="A39" s="25"/>
      <c r="B39" s="25"/>
      <c r="C39" s="25"/>
      <c r="D39" s="25"/>
      <c r="E39" s="209"/>
      <c r="F39" s="21"/>
      <c r="G39" s="41"/>
      <c r="H39" s="198"/>
      <c r="I39" s="35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 t="s">
        <v>51</v>
      </c>
      <c r="C40" s="25"/>
      <c r="D40" s="25"/>
      <c r="E40" s="209"/>
      <c r="F40" s="21"/>
      <c r="G40" s="41"/>
      <c r="H40" s="198"/>
      <c r="I40" s="186"/>
      <c r="J40" s="184"/>
      <c r="K40" s="225"/>
      <c r="L40" s="198"/>
      <c r="M40" s="35"/>
      <c r="N40" s="184"/>
      <c r="O40" s="35"/>
      <c r="P40" s="184"/>
      <c r="Q40" s="35"/>
      <c r="R40" s="184"/>
    </row>
    <row r="41" spans="1:18" x14ac:dyDescent="0.2">
      <c r="A41" s="25"/>
      <c r="B41" s="25"/>
      <c r="C41" s="25" t="s">
        <v>104</v>
      </c>
      <c r="D41" s="25">
        <v>1</v>
      </c>
      <c r="E41" s="132"/>
      <c r="F41" s="226" t="s">
        <v>42</v>
      </c>
      <c r="G41" s="41">
        <v>0</v>
      </c>
      <c r="H41" s="133"/>
      <c r="I41" s="35">
        <v>0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0</v>
      </c>
      <c r="P41" s="202">
        <f>+J41-N41</f>
        <v>0</v>
      </c>
      <c r="Q41" s="35">
        <v>0</v>
      </c>
      <c r="R41" s="202">
        <f>+J41*E$7</f>
        <v>0</v>
      </c>
    </row>
    <row r="42" spans="1:18" x14ac:dyDescent="0.2">
      <c r="A42" s="25"/>
      <c r="B42" s="25"/>
      <c r="C42" s="25" t="s">
        <v>105</v>
      </c>
      <c r="D42" s="25">
        <v>6.76</v>
      </c>
      <c r="E42" s="132"/>
      <c r="F42" s="226" t="s">
        <v>79</v>
      </c>
      <c r="G42" s="41">
        <v>3.6</v>
      </c>
      <c r="H42" s="133"/>
      <c r="I42" s="35">
        <v>24.335999999999999</v>
      </c>
      <c r="J42" s="202">
        <f>E42*H42</f>
        <v>0</v>
      </c>
      <c r="K42" s="225">
        <v>0</v>
      </c>
      <c r="L42" s="214"/>
      <c r="M42" s="35">
        <v>0</v>
      </c>
      <c r="N42" s="202">
        <f>J42*L42</f>
        <v>0</v>
      </c>
      <c r="O42" s="35">
        <v>24.335999999999999</v>
      </c>
      <c r="P42" s="202">
        <f>+J42-N42</f>
        <v>0</v>
      </c>
      <c r="Q42" s="35">
        <v>988.04160000000002</v>
      </c>
      <c r="R42" s="202">
        <f>+J42*E$7</f>
        <v>0</v>
      </c>
    </row>
    <row r="43" spans="1:18" x14ac:dyDescent="0.2">
      <c r="A43" s="25"/>
      <c r="B43" s="25"/>
      <c r="C43" s="25"/>
      <c r="D43" s="25"/>
      <c r="E43" s="209"/>
      <c r="F43" s="21"/>
      <c r="G43" s="41"/>
      <c r="H43" s="198"/>
      <c r="I43" s="35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 t="s">
        <v>29</v>
      </c>
      <c r="C44" s="25"/>
      <c r="D44" s="25"/>
      <c r="E44" s="209"/>
      <c r="F44" s="21"/>
      <c r="G44" s="41"/>
      <c r="H44" s="198"/>
      <c r="I44" s="186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/>
      <c r="C45" s="25" t="s">
        <v>104</v>
      </c>
      <c r="D45" s="25">
        <v>1</v>
      </c>
      <c r="E45" s="132"/>
      <c r="F45" s="226" t="s">
        <v>42</v>
      </c>
      <c r="G45" s="41">
        <v>8.1465517241379306</v>
      </c>
      <c r="H45" s="133"/>
      <c r="I45" s="35">
        <v>8.1465517241379306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8.1465517241379306</v>
      </c>
      <c r="P45" s="202">
        <f>+J45-N45</f>
        <v>0</v>
      </c>
      <c r="Q45" s="35">
        <v>330.75</v>
      </c>
      <c r="R45" s="202">
        <f>+J45*E$7</f>
        <v>0</v>
      </c>
    </row>
    <row r="46" spans="1:18" x14ac:dyDescent="0.2">
      <c r="A46" s="25"/>
      <c r="B46" s="25"/>
      <c r="C46" s="25" t="s">
        <v>105</v>
      </c>
      <c r="D46" s="25">
        <v>0</v>
      </c>
      <c r="E46" s="132"/>
      <c r="F46" s="226" t="s">
        <v>79</v>
      </c>
      <c r="G46" s="41">
        <v>3.15</v>
      </c>
      <c r="H46" s="133"/>
      <c r="I46" s="35">
        <v>0</v>
      </c>
      <c r="J46" s="202">
        <f>E46*H46</f>
        <v>0</v>
      </c>
      <c r="K46" s="225">
        <v>0</v>
      </c>
      <c r="L46" s="214"/>
      <c r="M46" s="35">
        <v>0</v>
      </c>
      <c r="N46" s="202">
        <f>J46*L46</f>
        <v>0</v>
      </c>
      <c r="O46" s="35">
        <v>0</v>
      </c>
      <c r="P46" s="202">
        <f>+J46-N46</f>
        <v>0</v>
      </c>
      <c r="Q46" s="35">
        <v>0</v>
      </c>
      <c r="R46" s="202">
        <f>+J46*E$7</f>
        <v>0</v>
      </c>
    </row>
    <row r="47" spans="1:18" x14ac:dyDescent="0.2">
      <c r="A47" s="25"/>
      <c r="B47" s="25"/>
      <c r="C47" s="25"/>
      <c r="D47" s="25"/>
      <c r="E47" s="209"/>
      <c r="F47" s="21"/>
      <c r="G47" s="41"/>
      <c r="H47" s="198"/>
      <c r="I47" s="35"/>
      <c r="J47" s="184"/>
      <c r="K47" s="225"/>
      <c r="L47" s="198"/>
      <c r="M47" s="35"/>
      <c r="N47" s="184"/>
      <c r="O47" s="35"/>
      <c r="P47" s="184"/>
      <c r="Q47" s="35"/>
      <c r="R47" s="184"/>
    </row>
    <row r="48" spans="1:18" x14ac:dyDescent="0.2">
      <c r="A48" s="25"/>
      <c r="B48" s="25" t="s">
        <v>47</v>
      </c>
      <c r="C48" s="25"/>
      <c r="D48" s="25"/>
      <c r="E48" s="209"/>
      <c r="F48" s="21"/>
      <c r="G48" s="41"/>
      <c r="H48" s="199"/>
      <c r="I48" s="186"/>
      <c r="J48" s="184"/>
      <c r="K48" s="225"/>
      <c r="L48" s="199"/>
      <c r="M48" s="35"/>
      <c r="N48" s="184"/>
      <c r="O48" s="35"/>
      <c r="P48" s="184"/>
      <c r="Q48" s="35"/>
      <c r="R48" s="184"/>
    </row>
    <row r="49" spans="1:18" x14ac:dyDescent="0.2">
      <c r="A49" s="25"/>
      <c r="B49" s="25"/>
      <c r="C49" s="25" t="s">
        <v>104</v>
      </c>
      <c r="D49" s="25">
        <v>1</v>
      </c>
      <c r="E49" s="132"/>
      <c r="F49" s="226" t="s">
        <v>42</v>
      </c>
      <c r="G49" s="41">
        <v>1.6681034482758619</v>
      </c>
      <c r="H49" s="133"/>
      <c r="I49" s="35">
        <v>1.6681034482758619</v>
      </c>
      <c r="J49" s="202">
        <f t="shared" ref="J49:J54" si="12">E49*H49</f>
        <v>0</v>
      </c>
      <c r="K49" s="225">
        <v>0</v>
      </c>
      <c r="L49" s="214"/>
      <c r="M49" s="35">
        <v>0</v>
      </c>
      <c r="N49" s="202">
        <f t="shared" ref="N49:N54" si="13">J49*L49</f>
        <v>0</v>
      </c>
      <c r="O49" s="35">
        <v>1.6681034482758619</v>
      </c>
      <c r="P49" s="202">
        <f t="shared" ref="P49:P54" si="14">+J49-N49</f>
        <v>0</v>
      </c>
      <c r="Q49" s="35">
        <v>67.724999999999994</v>
      </c>
      <c r="R49" s="202">
        <f t="shared" ref="R49:R54" si="15">+J49*E$7</f>
        <v>0</v>
      </c>
    </row>
    <row r="50" spans="1:18" x14ac:dyDescent="0.2">
      <c r="A50" s="25"/>
      <c r="B50" s="25"/>
      <c r="C50" s="25" t="s">
        <v>46</v>
      </c>
      <c r="D50" s="25">
        <v>1</v>
      </c>
      <c r="E50" s="132"/>
      <c r="F50" s="226" t="s">
        <v>42</v>
      </c>
      <c r="G50" s="41">
        <v>3.5200000000000005</v>
      </c>
      <c r="H50" s="133"/>
      <c r="I50" s="35">
        <v>3.5200000000000005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3.5200000000000005</v>
      </c>
      <c r="P50" s="202">
        <f t="shared" si="14"/>
        <v>0</v>
      </c>
      <c r="Q50" s="35">
        <v>142.91200000000003</v>
      </c>
      <c r="R50" s="202">
        <f t="shared" si="15"/>
        <v>0</v>
      </c>
    </row>
    <row r="51" spans="1:18" x14ac:dyDescent="0.2">
      <c r="A51" s="25"/>
      <c r="B51" s="25"/>
      <c r="C51" s="25" t="s">
        <v>105</v>
      </c>
      <c r="D51" s="25">
        <v>1</v>
      </c>
      <c r="E51" s="132"/>
      <c r="F51" s="226" t="s">
        <v>42</v>
      </c>
      <c r="G51" s="41">
        <v>26.736218557211057</v>
      </c>
      <c r="H51" s="133"/>
      <c r="I51" s="35">
        <v>26.736218557211057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26.736218557211057</v>
      </c>
      <c r="P51" s="202">
        <f t="shared" si="14"/>
        <v>0</v>
      </c>
      <c r="Q51" s="35">
        <v>1085.4904734227689</v>
      </c>
      <c r="R51" s="202">
        <f t="shared" si="15"/>
        <v>0</v>
      </c>
    </row>
    <row r="52" spans="1:18" x14ac:dyDescent="0.2">
      <c r="A52" s="25"/>
      <c r="B52" s="25"/>
      <c r="C52" s="25" t="s">
        <v>4</v>
      </c>
      <c r="D52" s="25">
        <v>1</v>
      </c>
      <c r="E52" s="132"/>
      <c r="F52" s="226" t="s">
        <v>42</v>
      </c>
      <c r="G52" s="41">
        <v>12.567047816874522</v>
      </c>
      <c r="H52" s="133"/>
      <c r="I52" s="35">
        <v>12.567047816874522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12.567047816874522</v>
      </c>
      <c r="P52" s="202">
        <f t="shared" si="14"/>
        <v>0</v>
      </c>
      <c r="Q52" s="35">
        <v>510.22214136510564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x14ac:dyDescent="0.2">
      <c r="A54" s="25"/>
      <c r="B54" s="133"/>
      <c r="C54" s="133"/>
      <c r="D54" s="25"/>
      <c r="E54" s="132"/>
      <c r="F54" s="226"/>
      <c r="G54" s="41"/>
      <c r="H54" s="133"/>
      <c r="I54" s="35">
        <v>0</v>
      </c>
      <c r="J54" s="202">
        <f t="shared" si="12"/>
        <v>0</v>
      </c>
      <c r="K54" s="225">
        <v>0</v>
      </c>
      <c r="L54" s="214"/>
      <c r="M54" s="35">
        <v>0</v>
      </c>
      <c r="N54" s="202">
        <f t="shared" si="13"/>
        <v>0</v>
      </c>
      <c r="O54" s="35">
        <v>0</v>
      </c>
      <c r="P54" s="202">
        <f t="shared" si="14"/>
        <v>0</v>
      </c>
      <c r="Q54" s="35">
        <v>0</v>
      </c>
      <c r="R54" s="202">
        <f t="shared" si="15"/>
        <v>0</v>
      </c>
    </row>
    <row r="55" spans="1:18" ht="13.5" thickBot="1" x14ac:dyDescent="0.25">
      <c r="A55" s="25"/>
      <c r="B55" s="25" t="s">
        <v>32</v>
      </c>
      <c r="C55" s="25"/>
      <c r="D55" s="25"/>
      <c r="E55" s="197"/>
      <c r="F55" s="21"/>
      <c r="G55" s="39">
        <v>0.08</v>
      </c>
      <c r="H55" s="215"/>
      <c r="I55" s="42">
        <v>16.562597168508585</v>
      </c>
      <c r="J55" s="202">
        <f>+SUM(J17:J54)/2*H55</f>
        <v>0</v>
      </c>
      <c r="K55" s="86"/>
      <c r="L55" s="137"/>
      <c r="M55" s="42">
        <v>0</v>
      </c>
      <c r="N55" s="202">
        <f>+SUM(N17:N54)/2*L55</f>
        <v>0</v>
      </c>
      <c r="O55" s="42">
        <v>16.562597168508585</v>
      </c>
      <c r="P55" s="202">
        <f>+SUM(P17:P54)/2*L55</f>
        <v>0</v>
      </c>
      <c r="Q55" s="42">
        <v>672.44144504144856</v>
      </c>
      <c r="R55" s="184">
        <f>+J55*E$7</f>
        <v>0</v>
      </c>
    </row>
    <row r="56" spans="1:18" ht="13.5" thickBot="1" x14ac:dyDescent="0.25">
      <c r="A56" s="25" t="s">
        <v>33</v>
      </c>
      <c r="B56" s="25"/>
      <c r="C56" s="25"/>
      <c r="D56" s="25"/>
      <c r="E56" s="200"/>
      <c r="F56" s="25"/>
      <c r="G56" s="25"/>
      <c r="H56" s="197"/>
      <c r="I56" s="87">
        <v>410.36323163339642</v>
      </c>
      <c r="J56" s="204">
        <f>SUM(J18:J55)</f>
        <v>0</v>
      </c>
      <c r="K56" s="35"/>
      <c r="L56" s="195"/>
      <c r="M56" s="87">
        <v>0</v>
      </c>
      <c r="N56" s="204">
        <f>SUM(N18:N55)</f>
        <v>0</v>
      </c>
      <c r="O56" s="87">
        <v>410.36323163339642</v>
      </c>
      <c r="P56" s="204">
        <f>SUM(P18:P55)</f>
        <v>0</v>
      </c>
      <c r="Q56" s="87">
        <v>16660.747204315896</v>
      </c>
      <c r="R56" s="204">
        <f>SUM(R18:R55)</f>
        <v>0</v>
      </c>
    </row>
    <row r="57" spans="1:18" ht="13.5" thickTop="1" x14ac:dyDescent="0.2">
      <c r="A57" s="25" t="s">
        <v>34</v>
      </c>
      <c r="B57" s="25"/>
      <c r="C57" s="25"/>
      <c r="D57" s="25"/>
      <c r="E57" s="200"/>
      <c r="F57" s="25"/>
      <c r="G57" s="25"/>
      <c r="H57" s="197"/>
      <c r="I57" s="35">
        <v>14.70476836660356</v>
      </c>
      <c r="J57" s="202">
        <f>+J13-J56</f>
        <v>0</v>
      </c>
      <c r="K57" s="35"/>
      <c r="L57" s="195"/>
      <c r="M57" s="35">
        <v>0</v>
      </c>
      <c r="N57" s="202">
        <f>+N13-N56</f>
        <v>0</v>
      </c>
      <c r="O57" s="35">
        <v>14.70476836660356</v>
      </c>
      <c r="P57" s="202">
        <f>+P13-P56</f>
        <v>0</v>
      </c>
      <c r="Q57" s="35">
        <v>597.01359568410408</v>
      </c>
      <c r="R57" s="202">
        <f>+R13-R56</f>
        <v>0</v>
      </c>
    </row>
    <row r="58" spans="1:18" x14ac:dyDescent="0.2">
      <c r="A58" s="25"/>
      <c r="B58" s="25" t="s">
        <v>35</v>
      </c>
      <c r="C58" s="25"/>
      <c r="D58" s="25"/>
      <c r="E58" s="210"/>
      <c r="F58" s="17"/>
      <c r="G58" s="40">
        <v>8.6210762948192521</v>
      </c>
      <c r="H58" s="210" t="str">
        <f>IF(E10=0,"n/a",(YVarExp-(YTotExp+YTotRet-J10))/E10)</f>
        <v>n/a</v>
      </c>
      <c r="I58" s="25" t="s">
        <v>7</v>
      </c>
      <c r="J58" s="184"/>
      <c r="K58" s="25"/>
      <c r="L58" s="197"/>
      <c r="M58" s="25"/>
      <c r="N58" s="184"/>
      <c r="O58" s="25"/>
      <c r="P58" s="184"/>
      <c r="Q58" s="25"/>
      <c r="R58" s="184"/>
    </row>
    <row r="59" spans="1:18" x14ac:dyDescent="0.2">
      <c r="A59" s="25"/>
      <c r="B59" s="25"/>
      <c r="C59" s="25"/>
      <c r="D59" s="25"/>
      <c r="E59" s="178"/>
      <c r="F59" s="25"/>
      <c r="G59" s="25"/>
      <c r="H59" s="211"/>
      <c r="I59" s="25"/>
      <c r="J59" s="184"/>
      <c r="K59" s="25"/>
      <c r="L59" s="197"/>
      <c r="M59" s="25"/>
      <c r="N59" s="184"/>
      <c r="O59" s="25"/>
      <c r="P59" s="184"/>
      <c r="Q59" s="22" t="s">
        <v>19</v>
      </c>
      <c r="R59" s="184" t="s">
        <v>19</v>
      </c>
    </row>
    <row r="60" spans="1:18" x14ac:dyDescent="0.2">
      <c r="A60" s="23" t="s">
        <v>36</v>
      </c>
      <c r="B60" s="23"/>
      <c r="C60" s="23"/>
      <c r="D60" s="24" t="s">
        <v>2</v>
      </c>
      <c r="E60" s="196" t="s">
        <v>2</v>
      </c>
      <c r="F60" s="24" t="s">
        <v>21</v>
      </c>
      <c r="G60" s="24" t="s">
        <v>22</v>
      </c>
      <c r="H60" s="196" t="s">
        <v>22</v>
      </c>
      <c r="I60" s="24" t="s">
        <v>11</v>
      </c>
      <c r="J60" s="196" t="s">
        <v>11</v>
      </c>
      <c r="K60" s="24" t="s">
        <v>10</v>
      </c>
      <c r="L60" s="196" t="s">
        <v>10</v>
      </c>
      <c r="M60" s="24" t="s">
        <v>9</v>
      </c>
      <c r="N60" s="196" t="s">
        <v>9</v>
      </c>
      <c r="O60" s="24" t="s">
        <v>8</v>
      </c>
      <c r="P60" s="196" t="s">
        <v>8</v>
      </c>
      <c r="Q60" s="24" t="s">
        <v>11</v>
      </c>
      <c r="R60" s="208" t="s">
        <v>11</v>
      </c>
    </row>
    <row r="61" spans="1:18" x14ac:dyDescent="0.2">
      <c r="A61" s="25"/>
      <c r="B61" s="25" t="s">
        <v>106</v>
      </c>
      <c r="C61" s="25"/>
      <c r="D61" s="25"/>
      <c r="E61" s="178"/>
      <c r="F61" s="25"/>
      <c r="G61" s="25"/>
      <c r="H61" s="211"/>
      <c r="I61" s="186"/>
      <c r="J61" s="184"/>
      <c r="K61" s="225"/>
      <c r="L61" s="197"/>
      <c r="M61" s="25"/>
      <c r="N61" s="184"/>
      <c r="O61" s="25"/>
      <c r="P61" s="184"/>
      <c r="Q61" s="25"/>
      <c r="R61" s="184"/>
    </row>
    <row r="62" spans="1:18" x14ac:dyDescent="0.2">
      <c r="A62" s="25"/>
      <c r="B62" s="25"/>
      <c r="C62" s="25" t="s">
        <v>104</v>
      </c>
      <c r="D62" s="25">
        <v>1</v>
      </c>
      <c r="E62" s="132"/>
      <c r="F62" s="226" t="s">
        <v>42</v>
      </c>
      <c r="G62" s="41">
        <v>3.4913793103448274</v>
      </c>
      <c r="H62" s="133"/>
      <c r="I62" s="35">
        <v>3.4913793103448274</v>
      </c>
      <c r="J62" s="202">
        <f t="shared" ref="J62:J65" si="16">E62*H62</f>
        <v>0</v>
      </c>
      <c r="K62" s="225">
        <v>0</v>
      </c>
      <c r="L62" s="214"/>
      <c r="M62" s="35">
        <v>0</v>
      </c>
      <c r="N62" s="202">
        <f>J62*L62</f>
        <v>0</v>
      </c>
      <c r="O62" s="35">
        <v>3.4913793103448274</v>
      </c>
      <c r="P62" s="202">
        <f t="shared" ref="P62:P65" si="17">+J62-N62</f>
        <v>0</v>
      </c>
      <c r="Q62" s="35">
        <v>141.75</v>
      </c>
      <c r="R62" s="202">
        <f t="shared" ref="R62:R65" si="18">+J62*E$7</f>
        <v>0</v>
      </c>
    </row>
    <row r="63" spans="1:18" x14ac:dyDescent="0.2">
      <c r="A63" s="25"/>
      <c r="B63" s="25"/>
      <c r="C63" s="25" t="s">
        <v>46</v>
      </c>
      <c r="D63" s="25">
        <v>1</v>
      </c>
      <c r="E63" s="132"/>
      <c r="F63" s="226" t="s">
        <v>42</v>
      </c>
      <c r="G63" s="41">
        <v>95.116371428571426</v>
      </c>
      <c r="H63" s="133"/>
      <c r="I63" s="35">
        <v>95.116371428571426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95.116371428571426</v>
      </c>
      <c r="P63" s="202">
        <f t="shared" si="17"/>
        <v>0</v>
      </c>
      <c r="Q63" s="35">
        <v>3861.7246800000003</v>
      </c>
      <c r="R63" s="202">
        <f t="shared" si="18"/>
        <v>0</v>
      </c>
    </row>
    <row r="64" spans="1:18" x14ac:dyDescent="0.2">
      <c r="A64" s="25"/>
      <c r="B64" s="25"/>
      <c r="C64" s="25" t="s">
        <v>105</v>
      </c>
      <c r="D64" s="25">
        <v>1</v>
      </c>
      <c r="E64" s="132"/>
      <c r="F64" s="226" t="s">
        <v>42</v>
      </c>
      <c r="G64" s="41">
        <v>26.546115495589564</v>
      </c>
      <c r="H64" s="133"/>
      <c r="I64" s="35">
        <v>26.546115495589564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26.546115495589564</v>
      </c>
      <c r="P64" s="202">
        <f t="shared" si="17"/>
        <v>0</v>
      </c>
      <c r="Q64" s="35">
        <v>1077.7722891209364</v>
      </c>
      <c r="R64" s="202">
        <f t="shared" si="18"/>
        <v>0</v>
      </c>
    </row>
    <row r="65" spans="1:18" x14ac:dyDescent="0.2">
      <c r="A65" s="25"/>
      <c r="B65" s="25"/>
      <c r="C65" s="25" t="s">
        <v>4</v>
      </c>
      <c r="D65" s="25">
        <v>1</v>
      </c>
      <c r="E65" s="132"/>
      <c r="F65" s="226" t="s">
        <v>42</v>
      </c>
      <c r="G65" s="41">
        <v>16.043238916301654</v>
      </c>
      <c r="H65" s="133"/>
      <c r="I65" s="35">
        <v>16.043238916301654</v>
      </c>
      <c r="J65" s="202">
        <f t="shared" si="16"/>
        <v>0</v>
      </c>
      <c r="K65" s="225">
        <v>0</v>
      </c>
      <c r="L65" s="214"/>
      <c r="M65" s="35">
        <v>0</v>
      </c>
      <c r="N65" s="202">
        <f>J65*L65</f>
        <v>0</v>
      </c>
      <c r="O65" s="35">
        <v>16.043238916301654</v>
      </c>
      <c r="P65" s="202">
        <f t="shared" si="17"/>
        <v>0</v>
      </c>
      <c r="Q65" s="35">
        <v>651.35550000184719</v>
      </c>
      <c r="R65" s="202">
        <f t="shared" si="18"/>
        <v>0</v>
      </c>
    </row>
    <row r="66" spans="1:18" x14ac:dyDescent="0.2">
      <c r="A66" s="25"/>
      <c r="B66" s="25" t="s">
        <v>89</v>
      </c>
      <c r="C66" s="25"/>
      <c r="D66" s="25"/>
      <c r="E66" s="197"/>
      <c r="F66" s="21"/>
      <c r="G66" s="41"/>
      <c r="H66" s="197"/>
      <c r="I66" s="186"/>
      <c r="J66" s="184"/>
      <c r="K66" s="225"/>
      <c r="L66" s="197"/>
      <c r="M66" s="35"/>
      <c r="N66" s="184"/>
      <c r="O66" s="35"/>
      <c r="P66" s="184"/>
      <c r="Q66" s="35"/>
      <c r="R66" s="184"/>
    </row>
    <row r="67" spans="1:18" x14ac:dyDescent="0.2">
      <c r="A67" s="25"/>
      <c r="B67" s="25"/>
      <c r="C67" s="25" t="s">
        <v>104</v>
      </c>
      <c r="D67" s="41">
        <v>21.336206896551726</v>
      </c>
      <c r="E67" s="132"/>
      <c r="F67" s="226" t="s">
        <v>100</v>
      </c>
      <c r="G67" s="39">
        <v>0.08</v>
      </c>
      <c r="H67" s="215"/>
      <c r="I67" s="35">
        <v>1.7068965517241381</v>
      </c>
      <c r="J67" s="202">
        <f t="shared" ref="J67:J77" si="19">E67*H67</f>
        <v>0</v>
      </c>
      <c r="K67" s="225">
        <v>0</v>
      </c>
      <c r="L67" s="214"/>
      <c r="M67" s="35">
        <v>0</v>
      </c>
      <c r="N67" s="202">
        <f>J67*L67</f>
        <v>0</v>
      </c>
      <c r="O67" s="35">
        <v>1.7068965517241381</v>
      </c>
      <c r="P67" s="202">
        <f t="shared" ref="P67:P70" si="20">+J67-N67</f>
        <v>0</v>
      </c>
      <c r="Q67" s="35">
        <v>69.300000000000011</v>
      </c>
      <c r="R67" s="202">
        <f t="shared" ref="R67:R70" si="21">+J67*E$7</f>
        <v>0</v>
      </c>
    </row>
    <row r="68" spans="1:18" x14ac:dyDescent="0.2">
      <c r="A68" s="25"/>
      <c r="B68" s="25"/>
      <c r="C68" s="25" t="s">
        <v>46</v>
      </c>
      <c r="D68" s="41">
        <v>970.37914285714282</v>
      </c>
      <c r="E68" s="132"/>
      <c r="F68" s="226" t="s">
        <v>100</v>
      </c>
      <c r="G68" s="39">
        <v>0.08</v>
      </c>
      <c r="H68" s="215"/>
      <c r="I68" s="35">
        <v>77.630331428571424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77.630331428571424</v>
      </c>
      <c r="P68" s="202">
        <f t="shared" si="20"/>
        <v>0</v>
      </c>
      <c r="Q68" s="35">
        <v>3151.7914559999999</v>
      </c>
      <c r="R68" s="202">
        <f t="shared" si="21"/>
        <v>0</v>
      </c>
    </row>
    <row r="69" spans="1:18" x14ac:dyDescent="0.2">
      <c r="A69" s="25"/>
      <c r="B69" s="25"/>
      <c r="C69" s="25" t="s">
        <v>105</v>
      </c>
      <c r="D69" s="41">
        <v>202.00108280010232</v>
      </c>
      <c r="E69" s="132"/>
      <c r="F69" s="226" t="s">
        <v>100</v>
      </c>
      <c r="G69" s="39">
        <v>0.08</v>
      </c>
      <c r="H69" s="215"/>
      <c r="I69" s="35">
        <v>16.160086624008187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16.160086624008187</v>
      </c>
      <c r="P69" s="202">
        <f t="shared" si="20"/>
        <v>0</v>
      </c>
      <c r="Q69" s="35">
        <v>656.09951693473238</v>
      </c>
      <c r="R69" s="202">
        <f t="shared" si="21"/>
        <v>0</v>
      </c>
    </row>
    <row r="70" spans="1:18" x14ac:dyDescent="0.2">
      <c r="A70" s="25"/>
      <c r="B70" s="25"/>
      <c r="C70" s="25" t="s">
        <v>4</v>
      </c>
      <c r="D70" s="41">
        <v>77.763933792815251</v>
      </c>
      <c r="E70" s="132"/>
      <c r="F70" s="226" t="s">
        <v>100</v>
      </c>
      <c r="G70" s="39">
        <v>0.08</v>
      </c>
      <c r="H70" s="215"/>
      <c r="I70" s="35">
        <v>6.2211147034252203</v>
      </c>
      <c r="J70" s="202">
        <f t="shared" si="19"/>
        <v>0</v>
      </c>
      <c r="K70" s="225">
        <v>0</v>
      </c>
      <c r="L70" s="214"/>
      <c r="M70" s="35">
        <v>0</v>
      </c>
      <c r="N70" s="202">
        <f>J70*L70</f>
        <v>0</v>
      </c>
      <c r="O70" s="35">
        <v>6.2211147034252203</v>
      </c>
      <c r="P70" s="202">
        <f t="shared" si="20"/>
        <v>0</v>
      </c>
      <c r="Q70" s="35">
        <v>252.57725695906396</v>
      </c>
      <c r="R70" s="202">
        <f t="shared" si="21"/>
        <v>0</v>
      </c>
    </row>
    <row r="71" spans="1:18" x14ac:dyDescent="0.2">
      <c r="A71" s="25"/>
      <c r="B71" s="25" t="s">
        <v>156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ref="N71:N78" si="22">J71*L71</f>
        <v>0</v>
      </c>
      <c r="O71" s="35">
        <v>0</v>
      </c>
      <c r="P71" s="202">
        <f t="shared" ref="P71:P78" si="23">+J71-N71</f>
        <v>0</v>
      </c>
      <c r="Q71" s="35">
        <v>0</v>
      </c>
      <c r="R71" s="202">
        <f t="shared" ref="R71:R78" si="24">+J71*E$7</f>
        <v>0</v>
      </c>
    </row>
    <row r="72" spans="1:18" x14ac:dyDescent="0.2">
      <c r="A72" s="25"/>
      <c r="B72" s="25" t="s">
        <v>152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0</v>
      </c>
      <c r="P72" s="202">
        <f t="shared" si="23"/>
        <v>0</v>
      </c>
      <c r="Q72" s="35">
        <v>0</v>
      </c>
      <c r="R72" s="202">
        <f t="shared" si="24"/>
        <v>0</v>
      </c>
    </row>
    <row r="73" spans="1:18" x14ac:dyDescent="0.2">
      <c r="A73" s="25"/>
      <c r="B73" s="25" t="s">
        <v>137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0</v>
      </c>
      <c r="P73" s="202">
        <f t="shared" si="23"/>
        <v>0</v>
      </c>
      <c r="Q73" s="35">
        <v>0</v>
      </c>
      <c r="R73" s="202">
        <f t="shared" si="24"/>
        <v>0</v>
      </c>
    </row>
    <row r="74" spans="1:18" x14ac:dyDescent="0.2">
      <c r="A74" s="25"/>
      <c r="B74" s="25" t="s">
        <v>452</v>
      </c>
      <c r="C74" s="25"/>
      <c r="D74" s="25">
        <v>1</v>
      </c>
      <c r="E74" s="132"/>
      <c r="F74" s="226" t="s">
        <v>42</v>
      </c>
      <c r="G74" s="41">
        <v>50</v>
      </c>
      <c r="H74" s="133"/>
      <c r="I74" s="35">
        <v>50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50</v>
      </c>
      <c r="P74" s="202">
        <f t="shared" si="23"/>
        <v>0</v>
      </c>
      <c r="Q74" s="35">
        <v>2030</v>
      </c>
      <c r="R74" s="202">
        <f t="shared" si="24"/>
        <v>0</v>
      </c>
    </row>
    <row r="75" spans="1:18" x14ac:dyDescent="0.2">
      <c r="A75" s="25"/>
      <c r="B75" s="25" t="s">
        <v>159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25" t="s">
        <v>160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x14ac:dyDescent="0.2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 t="shared" si="19"/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/>
      <c r="B78" s="133"/>
      <c r="C78" s="133"/>
      <c r="D78" s="25">
        <v>1</v>
      </c>
      <c r="E78" s="132"/>
      <c r="F78" s="226"/>
      <c r="G78" s="41">
        <v>0</v>
      </c>
      <c r="H78" s="133"/>
      <c r="I78" s="35">
        <v>0</v>
      </c>
      <c r="J78" s="202">
        <f>E78*H78</f>
        <v>0</v>
      </c>
      <c r="K78" s="225">
        <v>0</v>
      </c>
      <c r="L78" s="214"/>
      <c r="M78" s="35">
        <v>0</v>
      </c>
      <c r="N78" s="202">
        <f t="shared" si="22"/>
        <v>0</v>
      </c>
      <c r="O78" s="35">
        <v>0</v>
      </c>
      <c r="P78" s="202">
        <f t="shared" si="23"/>
        <v>0</v>
      </c>
      <c r="Q78" s="35">
        <v>0</v>
      </c>
      <c r="R78" s="202">
        <f t="shared" si="24"/>
        <v>0</v>
      </c>
    </row>
    <row r="79" spans="1:18" ht="13.5" thickBot="1" x14ac:dyDescent="0.25">
      <c r="A79" s="25" t="s">
        <v>37</v>
      </c>
      <c r="B79" s="25"/>
      <c r="C79" s="25"/>
      <c r="D79" s="25"/>
      <c r="E79" s="197"/>
      <c r="F79" s="25"/>
      <c r="G79" s="25"/>
      <c r="H79" s="197"/>
      <c r="I79" s="121">
        <v>292.9155344585364</v>
      </c>
      <c r="J79" s="204">
        <f>+SUM(J62:J78)</f>
        <v>0</v>
      </c>
      <c r="K79" s="35"/>
      <c r="L79" s="195"/>
      <c r="M79" s="121">
        <v>0</v>
      </c>
      <c r="N79" s="204">
        <f>+SUM(N62:N78)</f>
        <v>0</v>
      </c>
      <c r="O79" s="121">
        <v>292.9155344585364</v>
      </c>
      <c r="P79" s="204">
        <f>+SUM(P62:P78)</f>
        <v>0</v>
      </c>
      <c r="Q79" s="121">
        <v>11892.370699016581</v>
      </c>
      <c r="R79" s="204">
        <f>+SUM(R62:R78)</f>
        <v>0</v>
      </c>
    </row>
    <row r="80" spans="1:18" ht="14.25" thickTop="1" thickBot="1" x14ac:dyDescent="0.25">
      <c r="A80" s="25" t="s">
        <v>52</v>
      </c>
      <c r="B80" s="25"/>
      <c r="C80" s="25"/>
      <c r="D80" s="25"/>
      <c r="E80" s="197"/>
      <c r="F80" s="25"/>
      <c r="G80" s="25"/>
      <c r="H80" s="197"/>
      <c r="I80" s="87">
        <v>703.27876609193277</v>
      </c>
      <c r="J80" s="205">
        <f>+J56+J79</f>
        <v>0</v>
      </c>
      <c r="K80" s="35"/>
      <c r="L80" s="195"/>
      <c r="M80" s="87">
        <v>0</v>
      </c>
      <c r="N80" s="205">
        <f>+N56+N79</f>
        <v>0</v>
      </c>
      <c r="O80" s="87">
        <v>703.27876609193277</v>
      </c>
      <c r="P80" s="205">
        <f>+P56+P79</f>
        <v>0</v>
      </c>
      <c r="Q80" s="87">
        <v>28553.117903332477</v>
      </c>
      <c r="R80" s="205">
        <f>+R56+R79</f>
        <v>0</v>
      </c>
    </row>
    <row r="81" spans="1:18" ht="13.5" thickTop="1" x14ac:dyDescent="0.2">
      <c r="A81" s="25"/>
      <c r="B81" s="25"/>
      <c r="C81" s="25"/>
      <c r="D81" s="25"/>
      <c r="E81" s="197"/>
      <c r="F81" s="25"/>
      <c r="G81" s="25"/>
      <c r="H81" s="197"/>
      <c r="I81" s="35"/>
      <c r="J81" s="184"/>
      <c r="K81" s="35"/>
      <c r="L81" s="195"/>
      <c r="M81" s="35"/>
      <c r="N81" s="184"/>
      <c r="O81" s="35"/>
      <c r="P81" s="184"/>
      <c r="Q81" s="35"/>
      <c r="R81" s="184"/>
    </row>
    <row r="82" spans="1:18" x14ac:dyDescent="0.2">
      <c r="A82" s="25" t="s">
        <v>153</v>
      </c>
      <c r="B82" s="25"/>
      <c r="C82" s="25"/>
      <c r="D82" s="25"/>
      <c r="E82" s="197"/>
      <c r="F82" s="25"/>
      <c r="G82" s="25"/>
      <c r="H82" s="197"/>
      <c r="I82" s="35">
        <v>-278.21076609193278</v>
      </c>
      <c r="J82" s="202">
        <f>+J13-J80</f>
        <v>0</v>
      </c>
      <c r="K82" s="35"/>
      <c r="L82" s="195"/>
      <c r="M82" s="35">
        <v>0</v>
      </c>
      <c r="N82" s="202">
        <f>+N13-N80</f>
        <v>0</v>
      </c>
      <c r="O82" s="35">
        <v>-278.21076609193278</v>
      </c>
      <c r="P82" s="202">
        <f>+P13-P80</f>
        <v>0</v>
      </c>
      <c r="Q82" s="35">
        <v>-11295.357103332477</v>
      </c>
      <c r="R82" s="202">
        <f>+R13-R80</f>
        <v>0</v>
      </c>
    </row>
    <row r="83" spans="1:18" x14ac:dyDescent="0.2">
      <c r="A83" s="25"/>
      <c r="B83" s="25"/>
      <c r="C83" s="25"/>
      <c r="D83" s="25"/>
      <c r="E83" s="197"/>
      <c r="F83" s="25"/>
      <c r="G83" s="25"/>
      <c r="H83" s="197"/>
      <c r="I83" s="35"/>
      <c r="J83" s="206"/>
      <c r="K83" s="35"/>
      <c r="L83" s="195"/>
      <c r="M83" s="35"/>
      <c r="N83" s="195"/>
      <c r="O83" s="35"/>
      <c r="P83" s="195"/>
      <c r="Q83" s="35"/>
      <c r="R83" s="206"/>
    </row>
    <row r="84" spans="1:18" ht="13.5" thickBot="1" x14ac:dyDescent="0.25">
      <c r="A84" s="44" t="s">
        <v>38</v>
      </c>
      <c r="B84" s="44"/>
      <c r="C84" s="44"/>
      <c r="D84" s="44"/>
      <c r="E84" s="201"/>
      <c r="F84" s="44"/>
      <c r="G84" s="45">
        <v>14.774763993528</v>
      </c>
      <c r="H84" s="212" t="str">
        <f>IF(E10=0,"n/a",(YTotExp-(YTotExp+YTotRet-J10))/E10)</f>
        <v>n/a</v>
      </c>
      <c r="I84" s="44" t="s">
        <v>7</v>
      </c>
      <c r="J84" s="207"/>
      <c r="K84" s="44"/>
      <c r="L84" s="201"/>
      <c r="M84" s="44"/>
      <c r="N84" s="201"/>
      <c r="O84" s="44"/>
      <c r="P84" s="201"/>
      <c r="Q84" s="44"/>
      <c r="R84" s="207"/>
    </row>
    <row r="85" spans="1:18" ht="13.5" thickTop="1" x14ac:dyDescent="0.2"/>
    <row r="86" spans="1:18" s="17" customFormat="1" ht="15.75" x14ac:dyDescent="0.25">
      <c r="A86"/>
      <c r="B86" s="88"/>
      <c r="C86" s="89"/>
      <c r="D86" s="234" t="s">
        <v>115</v>
      </c>
      <c r="E86" s="235"/>
      <c r="F86" s="235"/>
      <c r="G86" s="235"/>
      <c r="H86" s="235"/>
      <c r="I86" s="235"/>
      <c r="J86" s="99"/>
      <c r="K86" s="99"/>
      <c r="M86"/>
      <c r="N86"/>
    </row>
    <row r="87" spans="1:18" s="17" customFormat="1" ht="15.75" x14ac:dyDescent="0.25">
      <c r="A87"/>
      <c r="B87" s="19" t="s">
        <v>116</v>
      </c>
      <c r="C87" s="19" t="s">
        <v>116</v>
      </c>
      <c r="D87" s="126" t="s">
        <v>170</v>
      </c>
      <c r="E87" s="18"/>
      <c r="F87" s="18"/>
      <c r="G87" s="126" t="s">
        <v>170</v>
      </c>
      <c r="H87" s="18"/>
      <c r="I87" s="18"/>
      <c r="J87" s="18"/>
      <c r="K87" s="18"/>
      <c r="M87"/>
      <c r="N87"/>
    </row>
    <row r="88" spans="1:18" s="17" customFormat="1" x14ac:dyDescent="0.2">
      <c r="A88"/>
      <c r="B88" s="19" t="s">
        <v>81</v>
      </c>
      <c r="C88" s="19" t="s">
        <v>81</v>
      </c>
      <c r="D88" s="126" t="s">
        <v>157</v>
      </c>
      <c r="E88" s="122"/>
      <c r="F88" s="122"/>
      <c r="G88" s="126" t="s">
        <v>11</v>
      </c>
      <c r="H88" s="122"/>
      <c r="I88" s="122"/>
      <c r="J88" s="122"/>
      <c r="K88" s="122"/>
      <c r="M88"/>
      <c r="N88"/>
    </row>
    <row r="89" spans="1:18" s="17" customFormat="1" x14ac:dyDescent="0.2">
      <c r="A89"/>
      <c r="B89" s="19" t="s">
        <v>30</v>
      </c>
      <c r="C89" s="99" t="s">
        <v>7</v>
      </c>
      <c r="D89" s="126" t="s">
        <v>99</v>
      </c>
      <c r="E89" s="122"/>
      <c r="F89" s="122"/>
      <c r="G89" s="126" t="s">
        <v>99</v>
      </c>
      <c r="H89" s="19"/>
      <c r="I89" s="19"/>
      <c r="J89" s="19"/>
      <c r="K89" s="19"/>
      <c r="M89"/>
      <c r="N89"/>
    </row>
    <row r="90" spans="1:18" s="17" customFormat="1" x14ac:dyDescent="0.2">
      <c r="A90"/>
      <c r="B90" s="90">
        <v>0.75</v>
      </c>
      <c r="C90" s="91">
        <v>35.700000000000003</v>
      </c>
      <c r="D90" s="92">
        <v>11.494768393092336</v>
      </c>
      <c r="E90" s="93"/>
      <c r="F90" s="94"/>
      <c r="G90" s="92">
        <v>19.699685324703996</v>
      </c>
      <c r="H90" s="93"/>
      <c r="I90" s="93"/>
      <c r="M90"/>
      <c r="N90"/>
    </row>
    <row r="91" spans="1:18" s="17" customFormat="1" x14ac:dyDescent="0.2">
      <c r="A91"/>
      <c r="B91" s="95">
        <v>0.9</v>
      </c>
      <c r="C91" s="96">
        <v>42.84</v>
      </c>
      <c r="D91" s="97">
        <v>9.5789736609102807</v>
      </c>
      <c r="E91" s="83"/>
      <c r="F91" s="98"/>
      <c r="G91" s="97">
        <v>16.41640443725333</v>
      </c>
      <c r="H91" s="83"/>
      <c r="I91" s="83"/>
      <c r="M91"/>
      <c r="N91"/>
    </row>
    <row r="92" spans="1:18" s="17" customFormat="1" x14ac:dyDescent="0.2">
      <c r="A92"/>
      <c r="B92" s="90">
        <v>1</v>
      </c>
      <c r="C92" s="91">
        <v>47.6</v>
      </c>
      <c r="D92" s="92">
        <v>8.6210762948192521</v>
      </c>
      <c r="E92" s="93"/>
      <c r="F92" s="94"/>
      <c r="G92" s="92">
        <v>14.774763993528</v>
      </c>
      <c r="H92" s="93"/>
      <c r="I92" s="93"/>
      <c r="M92"/>
      <c r="N92"/>
    </row>
    <row r="93" spans="1:18" s="17" customFormat="1" x14ac:dyDescent="0.2">
      <c r="A93"/>
      <c r="B93" s="95">
        <v>1.1000000000000001</v>
      </c>
      <c r="C93" s="96">
        <v>52.360000000000007</v>
      </c>
      <c r="D93" s="97">
        <v>7.8373420861993193</v>
      </c>
      <c r="E93" s="83"/>
      <c r="F93" s="98"/>
      <c r="G93" s="97">
        <v>13.431603630479998</v>
      </c>
      <c r="H93" s="83"/>
      <c r="I93" s="83"/>
      <c r="M93"/>
      <c r="N93"/>
    </row>
    <row r="94" spans="1:18" s="17" customFormat="1" x14ac:dyDescent="0.2">
      <c r="A94"/>
      <c r="B94" s="90">
        <v>1.25</v>
      </c>
      <c r="C94" s="91">
        <v>59.5</v>
      </c>
      <c r="D94" s="92">
        <v>6.8968610358554017</v>
      </c>
      <c r="E94" s="93"/>
      <c r="F94" s="94"/>
      <c r="G94" s="92">
        <v>11.8198111948224</v>
      </c>
      <c r="H94" s="93"/>
      <c r="I94" s="93"/>
      <c r="M94"/>
      <c r="N94"/>
    </row>
    <row r="95" spans="1:18" s="17" customFormat="1" x14ac:dyDescent="0.2">
      <c r="A95"/>
      <c r="M95"/>
      <c r="N95"/>
    </row>
    <row r="96" spans="1:18" x14ac:dyDescent="0.2">
      <c r="A96" s="25" t="s">
        <v>536</v>
      </c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28"/>
      <c r="K97" s="17"/>
      <c r="L97" s="17"/>
      <c r="M97" s="17"/>
      <c r="N97" s="17"/>
      <c r="O97" s="17"/>
      <c r="P97" s="17"/>
      <c r="Q97" s="17"/>
    </row>
    <row r="98" spans="1:18" ht="26.25" customHeight="1" x14ac:dyDescent="0.2">
      <c r="A98" s="236" t="s">
        <v>140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21"/>
      <c r="N98" s="221"/>
      <c r="O98" s="221"/>
      <c r="P98" s="221"/>
      <c r="Q98" s="221"/>
      <c r="R98" s="221"/>
    </row>
  </sheetData>
  <sheetProtection sheet="1" objects="1" scenarios="1"/>
  <mergeCells count="6">
    <mergeCell ref="D86:I86"/>
    <mergeCell ref="A98:L98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I29"/>
  <sheetViews>
    <sheetView showGridLines="0" showRowColHeaders="0" zoomScaleNormal="100" zoomScaleSheetLayoutView="125" workbookViewId="0">
      <selection activeCell="B24" sqref="B24"/>
    </sheetView>
  </sheetViews>
  <sheetFormatPr defaultColWidth="8.5703125" defaultRowHeight="12.75" x14ac:dyDescent="0.2"/>
  <cols>
    <col min="1" max="1" width="5.140625" customWidth="1"/>
    <col min="2" max="2" width="14.140625" customWidth="1"/>
    <col min="3" max="3" width="10.42578125" customWidth="1"/>
    <col min="5" max="5" width="8.85546875" customWidth="1"/>
    <col min="10" max="10" width="12.42578125" customWidth="1"/>
  </cols>
  <sheetData>
    <row r="2" spans="2:9" ht="15.75" x14ac:dyDescent="0.25">
      <c r="B2" s="228" t="s">
        <v>133</v>
      </c>
      <c r="C2" s="230"/>
      <c r="D2" s="230"/>
      <c r="E2" s="230"/>
      <c r="F2" s="230"/>
      <c r="G2" s="230"/>
      <c r="H2" s="230"/>
      <c r="I2" s="230"/>
    </row>
    <row r="3" spans="2:9" x14ac:dyDescent="0.2">
      <c r="B3" s="231" t="s">
        <v>332</v>
      </c>
      <c r="C3" s="230"/>
      <c r="D3" s="230"/>
      <c r="E3" s="230"/>
      <c r="F3" s="230"/>
      <c r="G3" s="230"/>
      <c r="H3" s="230"/>
      <c r="I3" s="230"/>
    </row>
    <row r="4" spans="2:9" x14ac:dyDescent="0.2">
      <c r="B4" s="231" t="s">
        <v>333</v>
      </c>
      <c r="C4" s="230"/>
      <c r="D4" s="230"/>
      <c r="E4" s="230"/>
      <c r="F4" s="230"/>
      <c r="G4" s="230"/>
      <c r="H4" s="230"/>
      <c r="I4" s="230"/>
    </row>
    <row r="6" spans="2:9" ht="12.95" customHeight="1" x14ac:dyDescent="0.2">
      <c r="B6" s="232" t="s">
        <v>334</v>
      </c>
      <c r="C6" s="230"/>
      <c r="D6" s="230"/>
      <c r="E6" s="230"/>
      <c r="F6" s="230"/>
      <c r="G6" s="230"/>
      <c r="H6" s="230"/>
      <c r="I6" s="230"/>
    </row>
    <row r="7" spans="2:9" x14ac:dyDescent="0.2">
      <c r="B7" s="3"/>
      <c r="C7" s="3"/>
      <c r="D7" s="3"/>
      <c r="E7" s="3"/>
      <c r="F7" s="3"/>
      <c r="G7" s="3"/>
      <c r="H7" s="12"/>
    </row>
    <row r="8" spans="2:9" x14ac:dyDescent="0.2">
      <c r="B8" s="233" t="s">
        <v>14</v>
      </c>
      <c r="C8" s="233"/>
      <c r="D8" s="3"/>
      <c r="E8" s="3"/>
      <c r="F8" s="3"/>
      <c r="G8" s="19" t="s">
        <v>331</v>
      </c>
    </row>
    <row r="9" spans="2:9" x14ac:dyDescent="0.2">
      <c r="B9" s="3"/>
      <c r="C9" s="3"/>
      <c r="D9" s="3"/>
      <c r="E9" s="3"/>
      <c r="F9" s="3"/>
      <c r="G9" s="3"/>
    </row>
    <row r="10" spans="2:9" x14ac:dyDescent="0.2">
      <c r="B10" s="233" t="s">
        <v>326</v>
      </c>
      <c r="C10" s="233"/>
      <c r="D10" s="3"/>
      <c r="E10" s="3"/>
      <c r="F10" s="3"/>
      <c r="G10" s="3"/>
    </row>
    <row r="11" spans="2:9" x14ac:dyDescent="0.2">
      <c r="B11" s="3"/>
      <c r="C11" s="3"/>
      <c r="D11" s="3"/>
      <c r="E11" s="3"/>
      <c r="F11" s="3"/>
      <c r="G11" s="3"/>
    </row>
    <row r="12" spans="2:9" ht="26.45" customHeight="1" x14ac:dyDescent="0.2">
      <c r="B12" s="229" t="s">
        <v>329</v>
      </c>
      <c r="C12" s="229"/>
      <c r="D12" s="3"/>
      <c r="E12" s="3"/>
      <c r="F12" s="3"/>
    </row>
    <row r="13" spans="2:9" ht="12.95" customHeight="1" x14ac:dyDescent="0.2">
      <c r="B13" s="3"/>
      <c r="C13" s="3"/>
      <c r="D13" s="3"/>
      <c r="E13" s="3"/>
      <c r="F13" s="3"/>
      <c r="G13" s="3"/>
    </row>
    <row r="14" spans="2:9" x14ac:dyDescent="0.2">
      <c r="B14" s="233" t="s">
        <v>328</v>
      </c>
      <c r="C14" s="233"/>
      <c r="D14" s="3"/>
      <c r="E14" s="3"/>
      <c r="F14" s="3"/>
      <c r="G14" s="3"/>
    </row>
    <row r="15" spans="2:9" x14ac:dyDescent="0.2">
      <c r="B15" s="3"/>
      <c r="C15" s="3"/>
      <c r="D15" s="3"/>
      <c r="E15" s="3"/>
      <c r="F15" s="3"/>
      <c r="G15" s="219"/>
    </row>
    <row r="16" spans="2:9" x14ac:dyDescent="0.2">
      <c r="B16" s="233" t="s">
        <v>327</v>
      </c>
      <c r="C16" s="23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233" t="s">
        <v>16</v>
      </c>
      <c r="C18" s="23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233" t="s">
        <v>15</v>
      </c>
      <c r="C20" s="233"/>
      <c r="D20" s="3"/>
      <c r="E20" s="3"/>
      <c r="F20" s="3"/>
      <c r="G20" s="3"/>
    </row>
    <row r="21" spans="2:7" x14ac:dyDescent="0.2">
      <c r="B21" s="3"/>
      <c r="C21" s="3"/>
      <c r="D21" s="3"/>
      <c r="E21" s="7"/>
      <c r="F21" s="3"/>
    </row>
    <row r="22" spans="2:7" ht="25.5" customHeight="1" x14ac:dyDescent="0.2">
      <c r="B22" s="229" t="s">
        <v>330</v>
      </c>
      <c r="C22" s="229"/>
      <c r="D22" s="12"/>
      <c r="E22" s="12"/>
      <c r="F22" s="3"/>
    </row>
    <row r="23" spans="2:7" x14ac:dyDescent="0.2">
      <c r="B23" s="3"/>
      <c r="C23" s="3"/>
      <c r="D23" s="3"/>
      <c r="E23" s="219"/>
      <c r="F23" s="219"/>
    </row>
    <row r="24" spans="2:7" x14ac:dyDescent="0.2">
      <c r="B24" s="218" t="s">
        <v>335</v>
      </c>
      <c r="C24" s="218"/>
      <c r="D24" s="220"/>
      <c r="E24" s="220"/>
      <c r="F24" s="3"/>
    </row>
    <row r="25" spans="2:7" x14ac:dyDescent="0.2">
      <c r="B25" s="3"/>
      <c r="C25" s="3"/>
      <c r="D25" s="3"/>
      <c r="E25" s="3"/>
      <c r="F25" s="3"/>
    </row>
    <row r="26" spans="2:7" x14ac:dyDescent="0.2">
      <c r="B26" s="12" t="s">
        <v>535</v>
      </c>
      <c r="C26" s="3"/>
      <c r="D26" s="3"/>
      <c r="E26" s="3"/>
      <c r="F26" s="3"/>
    </row>
    <row r="27" spans="2:7" ht="12.6" customHeight="1" x14ac:dyDescent="0.2">
      <c r="B27" s="3"/>
      <c r="C27" s="3"/>
      <c r="D27" s="3"/>
      <c r="E27" s="3"/>
      <c r="F27" s="3"/>
    </row>
    <row r="28" spans="2:7" x14ac:dyDescent="0.2">
      <c r="B28" s="3"/>
      <c r="C28" s="3"/>
      <c r="D28" s="3"/>
      <c r="E28" s="3"/>
      <c r="F28" s="3"/>
    </row>
    <row r="29" spans="2:7" x14ac:dyDescent="0.2">
      <c r="B29" s="3"/>
      <c r="C29" s="3"/>
      <c r="D29" s="3"/>
      <c r="E29" s="3"/>
      <c r="F29" s="3"/>
    </row>
  </sheetData>
  <sheetProtection sheet="1" objects="1" scenarios="1"/>
  <mergeCells count="12">
    <mergeCell ref="B22:C22"/>
    <mergeCell ref="B2:I2"/>
    <mergeCell ref="B3:I3"/>
    <mergeCell ref="B4:I4"/>
    <mergeCell ref="B6:I6"/>
    <mergeCell ref="B12:C12"/>
    <mergeCell ref="B8:C8"/>
    <mergeCell ref="B14:C14"/>
    <mergeCell ref="B10:C10"/>
    <mergeCell ref="B20:C20"/>
    <mergeCell ref="B18:C18"/>
    <mergeCell ref="B16:C16"/>
  </mergeCells>
  <phoneticPr fontId="0" type="noConversion"/>
  <hyperlinks>
    <hyperlink ref="B8" r:id="rId1" xr:uid="{00000000-0004-0000-0100-000000000000}"/>
    <hyperlink ref="B20" r:id="rId2" xr:uid="{00000000-0004-0000-0100-000001000000}"/>
    <hyperlink ref="B18" r:id="rId3" xr:uid="{00000000-0004-0000-0100-000002000000}"/>
    <hyperlink ref="B16" r:id="rId4" display="Market Outlook" xr:uid="{00000000-0004-0000-0100-000003000000}"/>
    <hyperlink ref="B14" r:id="rId5" display="Lubbock A&amp;M Center" xr:uid="{00000000-0004-0000-0100-000004000000}"/>
    <hyperlink ref="B10:C10" r:id="rId6" display="Supporting Resources" xr:uid="{00000000-0004-0000-0100-000005000000}"/>
    <hyperlink ref="B8:C8" r:id="rId7" display="Contact Us" xr:uid="{00000000-0004-0000-0100-000006000000}"/>
    <hyperlink ref="B16:C16" r:id="rId8" display="Basis Tables" xr:uid="{00000000-0004-0000-0100-000007000000}"/>
    <hyperlink ref="B14:C14" r:id="rId9" display="Lubbock A&amp;M Center" xr:uid="{00000000-0004-0000-0100-000008000000}"/>
    <hyperlink ref="B24:C24" r:id="rId10" display="Events" xr:uid="{00000000-0004-0000-0100-000009000000}"/>
    <hyperlink ref="B24:E24" location="Menu!A1" display="Menu Page" xr:uid="{00000000-0004-0000-0100-00000A000000}"/>
    <hyperlink ref="B12" r:id="rId11" display="Futures Charts and Prices" xr:uid="{00000000-0004-0000-0100-00000B000000}"/>
    <hyperlink ref="B12:C12" r:id="rId12" display="Decision Aids (includes Machinery Cost Estimator)" xr:uid="{E4BA8B82-84DC-4134-A279-8A088B20F585}"/>
    <hyperlink ref="B22:C22" r:id="rId13" display="Department of Agricultural Economics" xr:uid="{5EF1EAD0-1684-4774-BEAE-D96F403C392C}"/>
  </hyperlinks>
  <pageMargins left="0.75" right="0.75" top="1" bottom="1" header="0.5" footer="0.5"/>
  <pageSetup orientation="portrait" r:id="rId14"/>
  <headerFooter alignWithMargins="0">
    <oddFooter>&amp;CTexas AgriLife Extension Service provides this software for educational use, solely on an “AS IS” basis and  assumes no liability for its use.</oddFooter>
  </headerFooter>
  <drawing r:id="rId15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09">
    <tabColor rgb="FF92D050"/>
    <pageSetUpPr fitToPage="1"/>
  </sheetPr>
  <dimension ref="A1:S109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5.5703125" customWidth="1"/>
    <col min="3" max="3" width="34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1400</v>
      </c>
      <c r="E10" s="132"/>
      <c r="F10" s="226" t="s">
        <v>83</v>
      </c>
      <c r="G10" s="31">
        <v>0.8</v>
      </c>
      <c r="H10" s="133"/>
      <c r="I10" s="35">
        <v>1120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1120</v>
      </c>
      <c r="P10" s="202">
        <f>+J10-N10</f>
        <v>0</v>
      </c>
      <c r="Q10" s="35">
        <v>136640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1.0128999999999999</v>
      </c>
      <c r="E11" s="132"/>
      <c r="F11" s="226" t="s">
        <v>135</v>
      </c>
      <c r="G11" s="31">
        <v>270</v>
      </c>
      <c r="H11" s="133"/>
      <c r="I11" s="35">
        <v>273.483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273.483</v>
      </c>
      <c r="P11" s="202">
        <f t="shared" ref="P11:P13" si="3">+J11-N11</f>
        <v>0</v>
      </c>
      <c r="Q11" s="35">
        <v>33364.925999999999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1393.4829999999999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1393.4829999999999</v>
      </c>
      <c r="P14" s="203">
        <f>SUM(P10:P13)</f>
        <v>0</v>
      </c>
      <c r="Q14" s="36">
        <v>170004.92600000001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49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446</v>
      </c>
      <c r="D19" s="25">
        <v>2</v>
      </c>
      <c r="E19" s="132"/>
      <c r="F19" s="226" t="s">
        <v>311</v>
      </c>
      <c r="G19" s="41">
        <v>2.75</v>
      </c>
      <c r="H19" s="133"/>
      <c r="I19" s="35">
        <v>5.5</v>
      </c>
      <c r="J19" s="202">
        <f t="shared" ref="J19:J42" si="4">E19*H19</f>
        <v>0</v>
      </c>
      <c r="K19" s="225">
        <v>0</v>
      </c>
      <c r="L19" s="214"/>
      <c r="M19" s="35">
        <v>0</v>
      </c>
      <c r="N19" s="202">
        <f t="shared" ref="N19:N42" si="5">J19*L19</f>
        <v>0</v>
      </c>
      <c r="O19" s="35">
        <v>5.5</v>
      </c>
      <c r="P19" s="202">
        <f t="shared" ref="P19:P42" si="6">+J19-N19</f>
        <v>0</v>
      </c>
      <c r="Q19" s="35">
        <v>671</v>
      </c>
      <c r="R19" s="202">
        <f t="shared" ref="R19:R42" si="7">+J19*E$7</f>
        <v>0</v>
      </c>
    </row>
    <row r="20" spans="1:18" x14ac:dyDescent="0.2">
      <c r="A20" s="25"/>
      <c r="B20" s="25" t="s">
        <v>501</v>
      </c>
      <c r="C20" s="25" t="s">
        <v>419</v>
      </c>
      <c r="D20" s="25">
        <v>22</v>
      </c>
      <c r="E20" s="132"/>
      <c r="F20" s="226" t="s">
        <v>360</v>
      </c>
      <c r="G20" s="41">
        <v>6.25E-2</v>
      </c>
      <c r="H20" s="133"/>
      <c r="I20" s="35">
        <v>1.375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1.375</v>
      </c>
      <c r="P20" s="202">
        <f t="shared" si="6"/>
        <v>0</v>
      </c>
      <c r="Q20" s="35">
        <v>167.75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400</v>
      </c>
      <c r="D21" s="25">
        <v>64</v>
      </c>
      <c r="E21" s="132"/>
      <c r="F21" s="226" t="s">
        <v>360</v>
      </c>
      <c r="G21" s="41">
        <v>0.1328125</v>
      </c>
      <c r="H21" s="133"/>
      <c r="I21" s="35">
        <v>8.5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8.5</v>
      </c>
      <c r="P21" s="202">
        <f t="shared" si="6"/>
        <v>0</v>
      </c>
      <c r="Q21" s="35">
        <v>1037</v>
      </c>
      <c r="R21" s="202">
        <f t="shared" si="7"/>
        <v>0</v>
      </c>
    </row>
    <row r="22" spans="1:18" x14ac:dyDescent="0.2">
      <c r="A22" s="25"/>
      <c r="B22" s="25" t="s">
        <v>1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498</v>
      </c>
      <c r="D23" s="25">
        <v>40</v>
      </c>
      <c r="E23" s="132"/>
      <c r="F23" s="226" t="s">
        <v>233</v>
      </c>
      <c r="G23" s="41">
        <v>1.6521739</v>
      </c>
      <c r="H23" s="133"/>
      <c r="I23" s="35">
        <v>66.086956000000001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66.086956000000001</v>
      </c>
      <c r="P23" s="202">
        <f t="shared" si="6"/>
        <v>0</v>
      </c>
      <c r="Q23" s="35">
        <v>8062.6086320000004</v>
      </c>
      <c r="R23" s="202">
        <f t="shared" si="7"/>
        <v>0</v>
      </c>
    </row>
    <row r="24" spans="1:18" x14ac:dyDescent="0.2">
      <c r="A24" s="25"/>
      <c r="B24" s="25" t="s">
        <v>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431</v>
      </c>
      <c r="D25" s="25">
        <v>75</v>
      </c>
      <c r="E25" s="132"/>
      <c r="F25" s="226" t="s">
        <v>83</v>
      </c>
      <c r="G25" s="41">
        <v>0.42</v>
      </c>
      <c r="H25" s="133"/>
      <c r="I25" s="35">
        <v>31.5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31.5</v>
      </c>
      <c r="P25" s="202">
        <f t="shared" si="6"/>
        <v>0</v>
      </c>
      <c r="Q25" s="35">
        <v>3843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422</v>
      </c>
      <c r="D26" s="25">
        <v>140</v>
      </c>
      <c r="E26" s="132"/>
      <c r="F26" s="226" t="s">
        <v>83</v>
      </c>
      <c r="G26" s="41">
        <v>0.53</v>
      </c>
      <c r="H26" s="133"/>
      <c r="I26" s="35">
        <v>74.2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74.2</v>
      </c>
      <c r="P26" s="202">
        <f t="shared" si="6"/>
        <v>0</v>
      </c>
      <c r="Q26" s="35">
        <v>9052.4</v>
      </c>
      <c r="R26" s="202">
        <f t="shared" si="7"/>
        <v>0</v>
      </c>
    </row>
    <row r="27" spans="1:18" x14ac:dyDescent="0.2">
      <c r="A27" s="25"/>
      <c r="B27" s="25" t="s">
        <v>501</v>
      </c>
      <c r="C27" s="25" t="s">
        <v>429</v>
      </c>
      <c r="D27" s="25">
        <v>32</v>
      </c>
      <c r="E27" s="132"/>
      <c r="F27" s="226" t="s">
        <v>83</v>
      </c>
      <c r="G27" s="41">
        <v>0.41</v>
      </c>
      <c r="H27" s="133"/>
      <c r="I27" s="35">
        <v>13.12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13.12</v>
      </c>
      <c r="P27" s="202">
        <f t="shared" si="6"/>
        <v>0</v>
      </c>
      <c r="Q27" s="35">
        <v>1600.6399999999999</v>
      </c>
      <c r="R27" s="202">
        <f t="shared" si="7"/>
        <v>0</v>
      </c>
    </row>
    <row r="28" spans="1:18" x14ac:dyDescent="0.2">
      <c r="A28" s="25"/>
      <c r="B28" s="25" t="s">
        <v>50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381</v>
      </c>
      <c r="D29" s="25">
        <v>2</v>
      </c>
      <c r="E29" s="132"/>
      <c r="F29" s="226" t="s">
        <v>42</v>
      </c>
      <c r="G29" s="41">
        <v>6.39</v>
      </c>
      <c r="H29" s="133"/>
      <c r="I29" s="35">
        <v>12.78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12.78</v>
      </c>
      <c r="P29" s="202">
        <f t="shared" si="6"/>
        <v>0</v>
      </c>
      <c r="Q29" s="35">
        <v>1559.1599999999999</v>
      </c>
      <c r="R29" s="202">
        <f t="shared" si="7"/>
        <v>0</v>
      </c>
    </row>
    <row r="30" spans="1:18" x14ac:dyDescent="0.2">
      <c r="A30" s="25"/>
      <c r="B30" s="25" t="s">
        <v>501</v>
      </c>
      <c r="C30" s="25" t="s">
        <v>368</v>
      </c>
      <c r="D30" s="25">
        <v>3</v>
      </c>
      <c r="E30" s="132"/>
      <c r="F30" s="226" t="s">
        <v>369</v>
      </c>
      <c r="G30" s="41">
        <v>15</v>
      </c>
      <c r="H30" s="133"/>
      <c r="I30" s="35">
        <v>45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45</v>
      </c>
      <c r="P30" s="202">
        <f t="shared" si="6"/>
        <v>0</v>
      </c>
      <c r="Q30" s="35">
        <v>5490</v>
      </c>
      <c r="R30" s="202">
        <f t="shared" si="7"/>
        <v>0</v>
      </c>
    </row>
    <row r="31" spans="1:18" x14ac:dyDescent="0.2">
      <c r="A31" s="25"/>
      <c r="B31" s="25" t="s">
        <v>501</v>
      </c>
      <c r="C31" s="25" t="s">
        <v>442</v>
      </c>
      <c r="D31" s="25">
        <v>1</v>
      </c>
      <c r="E31" s="132"/>
      <c r="F31" s="226" t="s">
        <v>42</v>
      </c>
      <c r="G31" s="41">
        <v>0.5</v>
      </c>
      <c r="H31" s="133"/>
      <c r="I31" s="35">
        <v>0.5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0.5</v>
      </c>
      <c r="P31" s="202">
        <f t="shared" si="6"/>
        <v>0</v>
      </c>
      <c r="Q31" s="35">
        <v>61</v>
      </c>
      <c r="R31" s="202">
        <f t="shared" si="7"/>
        <v>0</v>
      </c>
    </row>
    <row r="32" spans="1:18" x14ac:dyDescent="0.2">
      <c r="A32" s="25"/>
      <c r="B32" s="25" t="s">
        <v>27</v>
      </c>
      <c r="C32" s="25"/>
      <c r="D32" s="25"/>
      <c r="E32" s="25"/>
      <c r="F32" s="25"/>
      <c r="G32" s="25"/>
      <c r="H32" s="25"/>
      <c r="I32" s="25"/>
      <c r="J32" s="25"/>
      <c r="K32" s="225"/>
      <c r="L32" s="25"/>
      <c r="M32" s="25"/>
      <c r="N32" s="25"/>
      <c r="O32" s="25"/>
      <c r="P32" s="25"/>
      <c r="Q32" s="25"/>
      <c r="R32" s="25"/>
    </row>
    <row r="33" spans="1:18" x14ac:dyDescent="0.2">
      <c r="A33" s="25"/>
      <c r="B33" s="25" t="s">
        <v>501</v>
      </c>
      <c r="C33" s="25" t="s">
        <v>370</v>
      </c>
      <c r="D33" s="25">
        <v>2.8</v>
      </c>
      <c r="E33" s="132"/>
      <c r="F33" s="226" t="s">
        <v>369</v>
      </c>
      <c r="G33" s="41">
        <v>1</v>
      </c>
      <c r="H33" s="133"/>
      <c r="I33" s="35">
        <v>2.8</v>
      </c>
      <c r="J33" s="202">
        <f t="shared" si="4"/>
        <v>0</v>
      </c>
      <c r="K33" s="225">
        <v>0</v>
      </c>
      <c r="L33" s="214"/>
      <c r="M33" s="35">
        <v>0</v>
      </c>
      <c r="N33" s="202">
        <f t="shared" si="5"/>
        <v>0</v>
      </c>
      <c r="O33" s="35">
        <v>2.8</v>
      </c>
      <c r="P33" s="202">
        <f t="shared" si="6"/>
        <v>0</v>
      </c>
      <c r="Q33" s="35">
        <v>341.59999999999997</v>
      </c>
      <c r="R33" s="202">
        <f t="shared" si="7"/>
        <v>0</v>
      </c>
    </row>
    <row r="34" spans="1:18" x14ac:dyDescent="0.2">
      <c r="A34" s="25"/>
      <c r="B34" s="25" t="s">
        <v>501</v>
      </c>
      <c r="C34" s="25" t="s">
        <v>414</v>
      </c>
      <c r="D34" s="25">
        <v>1</v>
      </c>
      <c r="E34" s="132"/>
      <c r="F34" s="226" t="s">
        <v>42</v>
      </c>
      <c r="G34" s="41">
        <v>18.98</v>
      </c>
      <c r="H34" s="133"/>
      <c r="I34" s="35">
        <v>18.98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18.98</v>
      </c>
      <c r="P34" s="202">
        <f t="shared" si="6"/>
        <v>0</v>
      </c>
      <c r="Q34" s="35">
        <v>2315.56</v>
      </c>
      <c r="R34" s="202">
        <f t="shared" si="7"/>
        <v>0</v>
      </c>
    </row>
    <row r="35" spans="1:18" x14ac:dyDescent="0.2">
      <c r="A35" s="25"/>
      <c r="B35" s="25" t="s">
        <v>107</v>
      </c>
      <c r="C35" s="25"/>
      <c r="D35" s="25"/>
      <c r="E35" s="25"/>
      <c r="F35" s="25"/>
      <c r="G35" s="25"/>
      <c r="H35" s="25"/>
      <c r="I35" s="25"/>
      <c r="J35" s="25"/>
      <c r="K35" s="225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501</v>
      </c>
      <c r="C36" s="25" t="s">
        <v>404</v>
      </c>
      <c r="D36" s="25">
        <v>0.77639999999999998</v>
      </c>
      <c r="E36" s="132"/>
      <c r="F36" s="226" t="s">
        <v>44</v>
      </c>
      <c r="G36" s="41">
        <v>10</v>
      </c>
      <c r="H36" s="133"/>
      <c r="I36" s="35">
        <v>7.7639999999999993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7.7639999999999993</v>
      </c>
      <c r="P36" s="202">
        <f t="shared" si="6"/>
        <v>0</v>
      </c>
      <c r="Q36" s="35">
        <v>947.20799999999997</v>
      </c>
      <c r="R36" s="202">
        <f t="shared" si="7"/>
        <v>0</v>
      </c>
    </row>
    <row r="37" spans="1:18" x14ac:dyDescent="0.2">
      <c r="A37" s="25"/>
      <c r="B37" s="25" t="s">
        <v>103</v>
      </c>
      <c r="C37" s="25"/>
      <c r="D37" s="25"/>
      <c r="E37" s="25"/>
      <c r="F37" s="25"/>
      <c r="G37" s="25"/>
      <c r="H37" s="25"/>
      <c r="I37" s="25"/>
      <c r="J37" s="25"/>
      <c r="K37" s="225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501</v>
      </c>
      <c r="C38" s="25" t="s">
        <v>390</v>
      </c>
      <c r="D38" s="25">
        <v>1.5</v>
      </c>
      <c r="E38" s="132"/>
      <c r="F38" s="226" t="s">
        <v>311</v>
      </c>
      <c r="G38" s="41">
        <v>3.8125</v>
      </c>
      <c r="H38" s="133"/>
      <c r="I38" s="35">
        <v>5.71875</v>
      </c>
      <c r="J38" s="202">
        <f t="shared" si="4"/>
        <v>0</v>
      </c>
      <c r="K38" s="225">
        <v>0</v>
      </c>
      <c r="L38" s="214"/>
      <c r="M38" s="35">
        <v>0</v>
      </c>
      <c r="N38" s="202">
        <f t="shared" si="5"/>
        <v>0</v>
      </c>
      <c r="O38" s="35">
        <v>5.71875</v>
      </c>
      <c r="P38" s="202">
        <f t="shared" si="6"/>
        <v>0</v>
      </c>
      <c r="Q38" s="35">
        <v>697.6875</v>
      </c>
      <c r="R38" s="202">
        <f t="shared" si="7"/>
        <v>0</v>
      </c>
    </row>
    <row r="39" spans="1:18" x14ac:dyDescent="0.2">
      <c r="A39" s="25"/>
      <c r="B39" s="25" t="s">
        <v>501</v>
      </c>
      <c r="C39" s="25" t="s">
        <v>395</v>
      </c>
      <c r="D39" s="25">
        <v>28</v>
      </c>
      <c r="E39" s="132"/>
      <c r="F39" s="226" t="s">
        <v>360</v>
      </c>
      <c r="G39" s="41">
        <v>0.1796875</v>
      </c>
      <c r="H39" s="133"/>
      <c r="I39" s="35">
        <v>5.03125</v>
      </c>
      <c r="J39" s="202">
        <f t="shared" si="4"/>
        <v>0</v>
      </c>
      <c r="K39" s="225">
        <v>0</v>
      </c>
      <c r="L39" s="214"/>
      <c r="M39" s="35">
        <v>0</v>
      </c>
      <c r="N39" s="202">
        <f t="shared" si="5"/>
        <v>0</v>
      </c>
      <c r="O39" s="35">
        <v>5.03125</v>
      </c>
      <c r="P39" s="202">
        <f t="shared" si="6"/>
        <v>0</v>
      </c>
      <c r="Q39" s="35">
        <v>613.8125</v>
      </c>
      <c r="R39" s="202">
        <f t="shared" si="7"/>
        <v>0</v>
      </c>
    </row>
    <row r="40" spans="1:18" x14ac:dyDescent="0.2">
      <c r="A40" s="25"/>
      <c r="B40" s="25" t="s">
        <v>501</v>
      </c>
      <c r="C40" s="25" t="s">
        <v>500</v>
      </c>
      <c r="D40" s="25">
        <v>5</v>
      </c>
      <c r="E40" s="132"/>
      <c r="F40" s="226" t="s">
        <v>360</v>
      </c>
      <c r="G40" s="41">
        <v>0.921875</v>
      </c>
      <c r="H40" s="133"/>
      <c r="I40" s="35">
        <v>4.609375</v>
      </c>
      <c r="J40" s="202">
        <f t="shared" si="4"/>
        <v>0</v>
      </c>
      <c r="K40" s="225">
        <v>0</v>
      </c>
      <c r="L40" s="214"/>
      <c r="M40" s="35">
        <v>0</v>
      </c>
      <c r="N40" s="202">
        <f t="shared" si="5"/>
        <v>0</v>
      </c>
      <c r="O40" s="35">
        <v>4.609375</v>
      </c>
      <c r="P40" s="202">
        <f t="shared" si="6"/>
        <v>0</v>
      </c>
      <c r="Q40" s="35">
        <v>562.34375</v>
      </c>
      <c r="R40" s="202">
        <f t="shared" si="7"/>
        <v>0</v>
      </c>
    </row>
    <row r="41" spans="1:18" x14ac:dyDescent="0.2">
      <c r="A41" s="25"/>
      <c r="B41" s="133"/>
      <c r="C41" s="133"/>
      <c r="D41" s="25">
        <v>0</v>
      </c>
      <c r="E41" s="132"/>
      <c r="F41" s="226"/>
      <c r="G41" s="41">
        <v>0</v>
      </c>
      <c r="H41" s="133"/>
      <c r="I41" s="35">
        <v>0</v>
      </c>
      <c r="J41" s="202">
        <f t="shared" si="4"/>
        <v>0</v>
      </c>
      <c r="K41" s="225">
        <v>0</v>
      </c>
      <c r="L41" s="214"/>
      <c r="M41" s="35">
        <v>0</v>
      </c>
      <c r="N41" s="202">
        <f t="shared" si="5"/>
        <v>0</v>
      </c>
      <c r="O41" s="35">
        <v>0</v>
      </c>
      <c r="P41" s="202">
        <f t="shared" si="6"/>
        <v>0</v>
      </c>
      <c r="Q41" s="35">
        <v>0</v>
      </c>
      <c r="R41" s="202">
        <f t="shared" si="7"/>
        <v>0</v>
      </c>
    </row>
    <row r="42" spans="1:18" x14ac:dyDescent="0.2">
      <c r="A42" s="25"/>
      <c r="B42" s="133"/>
      <c r="C42" s="133"/>
      <c r="D42" s="25">
        <v>0</v>
      </c>
      <c r="E42" s="132"/>
      <c r="F42" s="226"/>
      <c r="G42" s="41">
        <v>0</v>
      </c>
      <c r="H42" s="133"/>
      <c r="I42" s="35">
        <v>0</v>
      </c>
      <c r="J42" s="202">
        <f t="shared" si="4"/>
        <v>0</v>
      </c>
      <c r="K42" s="225">
        <v>0</v>
      </c>
      <c r="L42" s="214"/>
      <c r="M42" s="35">
        <v>0</v>
      </c>
      <c r="N42" s="202">
        <f t="shared" si="5"/>
        <v>0</v>
      </c>
      <c r="O42" s="35">
        <v>0</v>
      </c>
      <c r="P42" s="202">
        <f t="shared" si="6"/>
        <v>0</v>
      </c>
      <c r="Q42" s="35">
        <v>0</v>
      </c>
      <c r="R42" s="202">
        <f t="shared" si="7"/>
        <v>0</v>
      </c>
    </row>
    <row r="43" spans="1:18" x14ac:dyDescent="0.2">
      <c r="A43" s="25"/>
      <c r="B43" s="133"/>
      <c r="C43" s="133"/>
      <c r="D43" s="25">
        <v>0</v>
      </c>
      <c r="E43" s="132"/>
      <c r="F43" s="226"/>
      <c r="G43" s="41">
        <v>0</v>
      </c>
      <c r="H43" s="133"/>
      <c r="I43" s="35">
        <v>0</v>
      </c>
      <c r="J43" s="202">
        <f>E43*H43</f>
        <v>0</v>
      </c>
      <c r="K43" s="225">
        <v>0</v>
      </c>
      <c r="L43" s="214"/>
      <c r="M43" s="35">
        <v>0</v>
      </c>
      <c r="N43" s="202">
        <f>J43*L43</f>
        <v>0</v>
      </c>
      <c r="O43" s="35">
        <v>0</v>
      </c>
      <c r="P43" s="202">
        <f>+J43-N43</f>
        <v>0</v>
      </c>
      <c r="Q43" s="35">
        <v>0</v>
      </c>
      <c r="R43" s="202">
        <f>+J43*E$7</f>
        <v>0</v>
      </c>
    </row>
    <row r="44" spans="1:18" x14ac:dyDescent="0.2">
      <c r="A44" s="25"/>
      <c r="B44" s="25" t="s">
        <v>45</v>
      </c>
      <c r="C44" s="25"/>
      <c r="D44" s="25"/>
      <c r="E44" s="209"/>
      <c r="F44" s="21"/>
      <c r="G44" s="41"/>
      <c r="H44" s="198"/>
      <c r="I44" s="186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/>
      <c r="C45" s="25" t="s">
        <v>146</v>
      </c>
      <c r="D45" s="34">
        <v>28</v>
      </c>
      <c r="E45" s="132"/>
      <c r="F45" s="226" t="s">
        <v>141</v>
      </c>
      <c r="G45" s="41">
        <v>5.0896691715038518</v>
      </c>
      <c r="H45" s="133"/>
      <c r="I45" s="35">
        <v>142.51073680210786</v>
      </c>
      <c r="J45" s="202">
        <f t="shared" ref="J45:J46" si="8">E45*H45</f>
        <v>0</v>
      </c>
      <c r="K45" s="225">
        <v>0</v>
      </c>
      <c r="L45" s="214"/>
      <c r="M45" s="35">
        <v>0</v>
      </c>
      <c r="N45" s="202">
        <f t="shared" ref="N45:N46" si="9">J45*L45</f>
        <v>0</v>
      </c>
      <c r="O45" s="35">
        <v>142.51073680210786</v>
      </c>
      <c r="P45" s="202">
        <f t="shared" ref="P45:P46" si="10">+J45-N45</f>
        <v>0</v>
      </c>
      <c r="Q45" s="35">
        <v>17386.309889857159</v>
      </c>
      <c r="R45" s="202">
        <f t="shared" ref="R45:R46" si="11">+J45*E$7</f>
        <v>0</v>
      </c>
    </row>
    <row r="46" spans="1:18" x14ac:dyDescent="0.2">
      <c r="A46" s="25"/>
      <c r="B46" s="25"/>
      <c r="C46" s="25" t="s">
        <v>136</v>
      </c>
      <c r="D46" s="34">
        <v>0.99999999999999989</v>
      </c>
      <c r="E46" s="132"/>
      <c r="F46" s="226" t="s">
        <v>44</v>
      </c>
      <c r="G46" s="41">
        <v>17.5</v>
      </c>
      <c r="H46" s="133"/>
      <c r="I46" s="35">
        <v>17.499999999999996</v>
      </c>
      <c r="J46" s="202">
        <f t="shared" si="8"/>
        <v>0</v>
      </c>
      <c r="K46" s="225">
        <v>0</v>
      </c>
      <c r="L46" s="214"/>
      <c r="M46" s="35">
        <v>0</v>
      </c>
      <c r="N46" s="202">
        <f t="shared" si="9"/>
        <v>0</v>
      </c>
      <c r="O46" s="35">
        <v>17.499999999999996</v>
      </c>
      <c r="P46" s="202">
        <f t="shared" si="10"/>
        <v>0</v>
      </c>
      <c r="Q46" s="35">
        <v>2134.9999999999995</v>
      </c>
      <c r="R46" s="202">
        <f t="shared" si="11"/>
        <v>0</v>
      </c>
    </row>
    <row r="47" spans="1:18" x14ac:dyDescent="0.2">
      <c r="A47" s="25"/>
      <c r="B47" s="25" t="s">
        <v>108</v>
      </c>
      <c r="C47" s="25"/>
      <c r="D47" s="25"/>
      <c r="E47" s="105"/>
      <c r="H47" s="105"/>
      <c r="I47" s="124"/>
      <c r="J47" s="105"/>
      <c r="K47" s="225"/>
      <c r="L47" s="105"/>
      <c r="N47" s="105"/>
      <c r="P47" s="105"/>
      <c r="R47" s="105"/>
    </row>
    <row r="48" spans="1:18" x14ac:dyDescent="0.2">
      <c r="A48" s="25"/>
      <c r="B48" s="25"/>
      <c r="C48" s="25" t="s">
        <v>105</v>
      </c>
      <c r="D48" s="25">
        <v>1.62</v>
      </c>
      <c r="E48" s="132"/>
      <c r="F48" s="226" t="s">
        <v>44</v>
      </c>
      <c r="G48" s="41">
        <v>17.21</v>
      </c>
      <c r="H48" s="133"/>
      <c r="I48" s="35">
        <v>27.880200000000002</v>
      </c>
      <c r="J48" s="202">
        <f>E48*H48</f>
        <v>0</v>
      </c>
      <c r="K48" s="225">
        <v>0</v>
      </c>
      <c r="L48" s="214"/>
      <c r="M48" s="35">
        <v>0</v>
      </c>
      <c r="N48" s="202">
        <f>J48*L48</f>
        <v>0</v>
      </c>
      <c r="O48" s="35">
        <v>27.880200000000002</v>
      </c>
      <c r="P48" s="202">
        <f>+J48-N48</f>
        <v>0</v>
      </c>
      <c r="Q48" s="35">
        <v>3401.3844000000004</v>
      </c>
      <c r="R48" s="202">
        <f>+J48*E$7</f>
        <v>0</v>
      </c>
    </row>
    <row r="49" spans="1:18" x14ac:dyDescent="0.2">
      <c r="A49" s="25"/>
      <c r="B49" s="25"/>
      <c r="C49" s="25" t="s">
        <v>107</v>
      </c>
      <c r="D49" s="25">
        <v>0</v>
      </c>
      <c r="E49" s="132"/>
      <c r="F49" s="226" t="s">
        <v>44</v>
      </c>
      <c r="G49" s="41">
        <v>17.21</v>
      </c>
      <c r="H49" s="133"/>
      <c r="I49" s="35">
        <v>0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0</v>
      </c>
      <c r="P49" s="202">
        <f>+J49-N49</f>
        <v>0</v>
      </c>
      <c r="Q49" s="35">
        <v>0</v>
      </c>
      <c r="R49" s="202">
        <f>+J49*E$7</f>
        <v>0</v>
      </c>
    </row>
    <row r="50" spans="1:18" x14ac:dyDescent="0.2">
      <c r="A50" s="25"/>
      <c r="B50" s="25"/>
      <c r="C50" s="25"/>
      <c r="D50" s="25"/>
      <c r="E50" s="209"/>
      <c r="F50" s="21"/>
      <c r="G50" s="41"/>
      <c r="H50" s="198"/>
      <c r="I50" s="35"/>
      <c r="J50" s="184"/>
      <c r="K50" s="225"/>
      <c r="L50" s="198"/>
      <c r="M50" s="35"/>
      <c r="N50" s="184"/>
      <c r="O50" s="35"/>
      <c r="P50" s="184"/>
      <c r="Q50" s="35"/>
      <c r="R50" s="184"/>
    </row>
    <row r="51" spans="1:18" x14ac:dyDescent="0.2">
      <c r="A51" s="25"/>
      <c r="B51" s="25" t="s">
        <v>51</v>
      </c>
      <c r="C51" s="25"/>
      <c r="D51" s="25"/>
      <c r="E51" s="209"/>
      <c r="F51" s="21"/>
      <c r="G51" s="41"/>
      <c r="H51" s="198"/>
      <c r="I51" s="186"/>
      <c r="J51" s="184"/>
      <c r="K51" s="225"/>
      <c r="L51" s="198"/>
      <c r="M51" s="35"/>
      <c r="N51" s="184"/>
      <c r="O51" s="35"/>
      <c r="P51" s="184"/>
      <c r="Q51" s="35"/>
      <c r="R51" s="184"/>
    </row>
    <row r="52" spans="1:18" x14ac:dyDescent="0.2">
      <c r="A52" s="25"/>
      <c r="B52" s="25"/>
      <c r="C52" s="25" t="s">
        <v>104</v>
      </c>
      <c r="D52" s="25">
        <v>1</v>
      </c>
      <c r="E52" s="132"/>
      <c r="F52" s="226" t="s">
        <v>42</v>
      </c>
      <c r="G52" s="41">
        <v>0</v>
      </c>
      <c r="H52" s="133"/>
      <c r="I52" s="35">
        <v>0</v>
      </c>
      <c r="J52" s="202">
        <f>E52*H52</f>
        <v>0</v>
      </c>
      <c r="K52" s="225">
        <v>0</v>
      </c>
      <c r="L52" s="214"/>
      <c r="M52" s="35">
        <v>0</v>
      </c>
      <c r="N52" s="202">
        <f>J52*L52</f>
        <v>0</v>
      </c>
      <c r="O52" s="35">
        <v>0</v>
      </c>
      <c r="P52" s="202">
        <f>+J52-N52</f>
        <v>0</v>
      </c>
      <c r="Q52" s="35">
        <v>0</v>
      </c>
      <c r="R52" s="202">
        <f>+J52*E$7</f>
        <v>0</v>
      </c>
    </row>
    <row r="53" spans="1:18" x14ac:dyDescent="0.2">
      <c r="A53" s="25"/>
      <c r="B53" s="25"/>
      <c r="C53" s="25" t="s">
        <v>105</v>
      </c>
      <c r="D53" s="25">
        <v>12.72</v>
      </c>
      <c r="E53" s="132"/>
      <c r="F53" s="226" t="s">
        <v>79</v>
      </c>
      <c r="G53" s="41">
        <v>3.6</v>
      </c>
      <c r="H53" s="133"/>
      <c r="I53" s="35">
        <v>45.792000000000002</v>
      </c>
      <c r="J53" s="202">
        <f>E53*H53</f>
        <v>0</v>
      </c>
      <c r="K53" s="225">
        <v>0</v>
      </c>
      <c r="L53" s="214"/>
      <c r="M53" s="35">
        <v>0</v>
      </c>
      <c r="N53" s="202">
        <f>J53*L53</f>
        <v>0</v>
      </c>
      <c r="O53" s="35">
        <v>45.792000000000002</v>
      </c>
      <c r="P53" s="202">
        <f>+J53-N53</f>
        <v>0</v>
      </c>
      <c r="Q53" s="35">
        <v>5586.6239999999998</v>
      </c>
      <c r="R53" s="202">
        <f>+J53*E$7</f>
        <v>0</v>
      </c>
    </row>
    <row r="54" spans="1:18" x14ac:dyDescent="0.2">
      <c r="A54" s="25"/>
      <c r="B54" s="25"/>
      <c r="C54" s="25"/>
      <c r="D54" s="25"/>
      <c r="E54" s="209"/>
      <c r="F54" s="21"/>
      <c r="G54" s="41"/>
      <c r="H54" s="198"/>
      <c r="I54" s="35"/>
      <c r="J54" s="184"/>
      <c r="K54" s="225"/>
      <c r="L54" s="198"/>
      <c r="M54" s="35"/>
      <c r="N54" s="184"/>
      <c r="O54" s="35"/>
      <c r="P54" s="184"/>
      <c r="Q54" s="35"/>
      <c r="R54" s="184"/>
    </row>
    <row r="55" spans="1:18" x14ac:dyDescent="0.2">
      <c r="A55" s="25"/>
      <c r="B55" s="25" t="s">
        <v>29</v>
      </c>
      <c r="C55" s="25"/>
      <c r="D55" s="25"/>
      <c r="E55" s="209"/>
      <c r="F55" s="21"/>
      <c r="G55" s="41"/>
      <c r="H55" s="198"/>
      <c r="I55" s="186"/>
      <c r="J55" s="184"/>
      <c r="K55" s="225"/>
      <c r="L55" s="198"/>
      <c r="M55" s="35"/>
      <c r="N55" s="184"/>
      <c r="O55" s="35"/>
      <c r="P55" s="184"/>
      <c r="Q55" s="35"/>
      <c r="R55" s="184"/>
    </row>
    <row r="56" spans="1:18" x14ac:dyDescent="0.2">
      <c r="A56" s="25"/>
      <c r="B56" s="25"/>
      <c r="C56" s="25" t="s">
        <v>104</v>
      </c>
      <c r="D56" s="25">
        <v>1</v>
      </c>
      <c r="E56" s="132"/>
      <c r="F56" s="226" t="s">
        <v>42</v>
      </c>
      <c r="G56" s="41">
        <v>17.738114754098362</v>
      </c>
      <c r="H56" s="133"/>
      <c r="I56" s="35">
        <v>17.738114754098362</v>
      </c>
      <c r="J56" s="202">
        <f>E56*H56</f>
        <v>0</v>
      </c>
      <c r="K56" s="225">
        <v>0</v>
      </c>
      <c r="L56" s="214"/>
      <c r="M56" s="35">
        <v>0</v>
      </c>
      <c r="N56" s="202">
        <f>J56*L56</f>
        <v>0</v>
      </c>
      <c r="O56" s="35">
        <v>17.738114754098362</v>
      </c>
      <c r="P56" s="202">
        <f>+J56-N56</f>
        <v>0</v>
      </c>
      <c r="Q56" s="35">
        <v>2164.0500000000002</v>
      </c>
      <c r="R56" s="202">
        <f>+J56*E$7</f>
        <v>0</v>
      </c>
    </row>
    <row r="57" spans="1:18" x14ac:dyDescent="0.2">
      <c r="A57" s="25"/>
      <c r="B57" s="25"/>
      <c r="C57" s="25" t="s">
        <v>105</v>
      </c>
      <c r="D57" s="25">
        <v>0</v>
      </c>
      <c r="E57" s="132"/>
      <c r="F57" s="226" t="s">
        <v>79</v>
      </c>
      <c r="G57" s="41">
        <v>3.15</v>
      </c>
      <c r="H57" s="133"/>
      <c r="I57" s="35">
        <v>0</v>
      </c>
      <c r="J57" s="202">
        <f>E57*H57</f>
        <v>0</v>
      </c>
      <c r="K57" s="225">
        <v>0</v>
      </c>
      <c r="L57" s="214"/>
      <c r="M57" s="35">
        <v>0</v>
      </c>
      <c r="N57" s="202">
        <f>J57*L57</f>
        <v>0</v>
      </c>
      <c r="O57" s="35">
        <v>0</v>
      </c>
      <c r="P57" s="202">
        <f>+J57-N57</f>
        <v>0</v>
      </c>
      <c r="Q57" s="35">
        <v>0</v>
      </c>
      <c r="R57" s="202">
        <f>+J57*E$7</f>
        <v>0</v>
      </c>
    </row>
    <row r="58" spans="1:18" x14ac:dyDescent="0.2">
      <c r="A58" s="25"/>
      <c r="B58" s="25"/>
      <c r="C58" s="25"/>
      <c r="D58" s="25"/>
      <c r="E58" s="209"/>
      <c r="F58" s="21"/>
      <c r="G58" s="41"/>
      <c r="H58" s="198"/>
      <c r="I58" s="35"/>
      <c r="J58" s="184"/>
      <c r="K58" s="225"/>
      <c r="L58" s="198"/>
      <c r="M58" s="35"/>
      <c r="N58" s="184"/>
      <c r="O58" s="35"/>
      <c r="P58" s="184"/>
      <c r="Q58" s="35"/>
      <c r="R58" s="184"/>
    </row>
    <row r="59" spans="1:18" x14ac:dyDescent="0.2">
      <c r="A59" s="25"/>
      <c r="B59" s="25" t="s">
        <v>47</v>
      </c>
      <c r="C59" s="25"/>
      <c r="D59" s="25"/>
      <c r="E59" s="209"/>
      <c r="F59" s="21"/>
      <c r="G59" s="41"/>
      <c r="H59" s="199"/>
      <c r="I59" s="186"/>
      <c r="J59" s="184"/>
      <c r="K59" s="225"/>
      <c r="L59" s="199"/>
      <c r="M59" s="35"/>
      <c r="N59" s="184"/>
      <c r="O59" s="35"/>
      <c r="P59" s="184"/>
      <c r="Q59" s="35"/>
      <c r="R59" s="184"/>
    </row>
    <row r="60" spans="1:18" x14ac:dyDescent="0.2">
      <c r="A60" s="25"/>
      <c r="B60" s="25"/>
      <c r="C60" s="25" t="s">
        <v>104</v>
      </c>
      <c r="D60" s="25">
        <v>1</v>
      </c>
      <c r="E60" s="132"/>
      <c r="F60" s="226" t="s">
        <v>42</v>
      </c>
      <c r="G60" s="41">
        <v>3.2042213114754099</v>
      </c>
      <c r="H60" s="133"/>
      <c r="I60" s="35">
        <v>3.2042213114754099</v>
      </c>
      <c r="J60" s="202">
        <f t="shared" ref="J60:J65" si="12">E60*H60</f>
        <v>0</v>
      </c>
      <c r="K60" s="225">
        <v>0</v>
      </c>
      <c r="L60" s="214"/>
      <c r="M60" s="35">
        <v>0</v>
      </c>
      <c r="N60" s="202">
        <f t="shared" ref="N60:N65" si="13">J60*L60</f>
        <v>0</v>
      </c>
      <c r="O60" s="35">
        <v>3.2042213114754099</v>
      </c>
      <c r="P60" s="202">
        <f t="shared" ref="P60:P65" si="14">+J60-N60</f>
        <v>0</v>
      </c>
      <c r="Q60" s="35">
        <v>390.91500000000002</v>
      </c>
      <c r="R60" s="202">
        <f t="shared" ref="R60:R65" si="15">+J60*E$7</f>
        <v>0</v>
      </c>
    </row>
    <row r="61" spans="1:18" x14ac:dyDescent="0.2">
      <c r="A61" s="25"/>
      <c r="B61" s="25"/>
      <c r="C61" s="25" t="s">
        <v>46</v>
      </c>
      <c r="D61" s="25">
        <v>1</v>
      </c>
      <c r="E61" s="132"/>
      <c r="F61" s="226" t="s">
        <v>42</v>
      </c>
      <c r="G61" s="41">
        <v>13.045199999999998</v>
      </c>
      <c r="H61" s="133"/>
      <c r="I61" s="35">
        <v>13.045199999999998</v>
      </c>
      <c r="J61" s="202">
        <f t="shared" si="12"/>
        <v>0</v>
      </c>
      <c r="K61" s="225">
        <v>0</v>
      </c>
      <c r="L61" s="214"/>
      <c r="M61" s="35">
        <v>0</v>
      </c>
      <c r="N61" s="202">
        <f t="shared" si="13"/>
        <v>0</v>
      </c>
      <c r="O61" s="35">
        <v>13.045199999999998</v>
      </c>
      <c r="P61" s="202">
        <f t="shared" si="14"/>
        <v>0</v>
      </c>
      <c r="Q61" s="35">
        <v>1591.5143999999998</v>
      </c>
      <c r="R61" s="202">
        <f t="shared" si="15"/>
        <v>0</v>
      </c>
    </row>
    <row r="62" spans="1:18" x14ac:dyDescent="0.2">
      <c r="A62" s="25"/>
      <c r="B62" s="25"/>
      <c r="C62" s="25" t="s">
        <v>105</v>
      </c>
      <c r="D62" s="25">
        <v>1</v>
      </c>
      <c r="E62" s="132"/>
      <c r="F62" s="226" t="s">
        <v>42</v>
      </c>
      <c r="G62" s="41">
        <v>32.761552519484212</v>
      </c>
      <c r="H62" s="133"/>
      <c r="I62" s="35">
        <v>32.761552519484212</v>
      </c>
      <c r="J62" s="202">
        <f t="shared" si="12"/>
        <v>0</v>
      </c>
      <c r="K62" s="225">
        <v>0</v>
      </c>
      <c r="L62" s="214"/>
      <c r="M62" s="35">
        <v>0</v>
      </c>
      <c r="N62" s="202">
        <f t="shared" si="13"/>
        <v>0</v>
      </c>
      <c r="O62" s="35">
        <v>32.761552519484212</v>
      </c>
      <c r="P62" s="202">
        <f t="shared" si="14"/>
        <v>0</v>
      </c>
      <c r="Q62" s="35">
        <v>3996.9094073770739</v>
      </c>
      <c r="R62" s="202">
        <f t="shared" si="15"/>
        <v>0</v>
      </c>
    </row>
    <row r="63" spans="1:18" x14ac:dyDescent="0.2">
      <c r="A63" s="25"/>
      <c r="B63" s="25"/>
      <c r="C63" s="25" t="s">
        <v>4</v>
      </c>
      <c r="D63" s="25">
        <v>1</v>
      </c>
      <c r="E63" s="132"/>
      <c r="F63" s="226" t="s">
        <v>42</v>
      </c>
      <c r="G63" s="41">
        <v>14.918437733583069</v>
      </c>
      <c r="H63" s="133"/>
      <c r="I63" s="35">
        <v>14.918437733583069</v>
      </c>
      <c r="J63" s="202">
        <f t="shared" si="12"/>
        <v>0</v>
      </c>
      <c r="K63" s="225">
        <v>0</v>
      </c>
      <c r="L63" s="214"/>
      <c r="M63" s="35">
        <v>0</v>
      </c>
      <c r="N63" s="202">
        <f t="shared" si="13"/>
        <v>0</v>
      </c>
      <c r="O63" s="35">
        <v>14.918437733583069</v>
      </c>
      <c r="P63" s="202">
        <f t="shared" si="14"/>
        <v>0</v>
      </c>
      <c r="Q63" s="35">
        <v>1820.0494034971343</v>
      </c>
      <c r="R63" s="202">
        <f t="shared" si="15"/>
        <v>0</v>
      </c>
    </row>
    <row r="64" spans="1:18" x14ac:dyDescent="0.2">
      <c r="A64" s="25"/>
      <c r="B64" s="133"/>
      <c r="C64" s="133"/>
      <c r="D64" s="25"/>
      <c r="E64" s="132"/>
      <c r="F64" s="226"/>
      <c r="G64" s="41"/>
      <c r="H64" s="133"/>
      <c r="I64" s="35">
        <v>0</v>
      </c>
      <c r="J64" s="202">
        <f t="shared" si="12"/>
        <v>0</v>
      </c>
      <c r="K64" s="225">
        <v>0</v>
      </c>
      <c r="L64" s="214"/>
      <c r="M64" s="35">
        <v>0</v>
      </c>
      <c r="N64" s="202">
        <f t="shared" si="13"/>
        <v>0</v>
      </c>
      <c r="O64" s="35">
        <v>0</v>
      </c>
      <c r="P64" s="202">
        <f t="shared" si="14"/>
        <v>0</v>
      </c>
      <c r="Q64" s="35">
        <v>0</v>
      </c>
      <c r="R64" s="202">
        <f t="shared" si="15"/>
        <v>0</v>
      </c>
    </row>
    <row r="65" spans="1:18" x14ac:dyDescent="0.2">
      <c r="A65" s="25"/>
      <c r="B65" s="133"/>
      <c r="C65" s="133"/>
      <c r="D65" s="25"/>
      <c r="E65" s="132"/>
      <c r="F65" s="226"/>
      <c r="G65" s="41"/>
      <c r="H65" s="133"/>
      <c r="I65" s="35">
        <v>0</v>
      </c>
      <c r="J65" s="202">
        <f t="shared" si="12"/>
        <v>0</v>
      </c>
      <c r="K65" s="225">
        <v>0</v>
      </c>
      <c r="L65" s="214"/>
      <c r="M65" s="35">
        <v>0</v>
      </c>
      <c r="N65" s="202">
        <f t="shared" si="13"/>
        <v>0</v>
      </c>
      <c r="O65" s="35">
        <v>0</v>
      </c>
      <c r="P65" s="202">
        <f t="shared" si="14"/>
        <v>0</v>
      </c>
      <c r="Q65" s="35">
        <v>0</v>
      </c>
      <c r="R65" s="202">
        <f t="shared" si="15"/>
        <v>0</v>
      </c>
    </row>
    <row r="66" spans="1:18" ht="13.5" thickBot="1" x14ac:dyDescent="0.25">
      <c r="A66" s="25"/>
      <c r="B66" s="25" t="s">
        <v>32</v>
      </c>
      <c r="C66" s="25"/>
      <c r="D66" s="25"/>
      <c r="E66" s="197"/>
      <c r="F66" s="21"/>
      <c r="G66" s="39">
        <v>0.08</v>
      </c>
      <c r="H66" s="215"/>
      <c r="I66" s="42">
        <v>15.92531858978799</v>
      </c>
      <c r="J66" s="202">
        <f>+SUM(J18:J65)/2*H66</f>
        <v>0</v>
      </c>
      <c r="K66" s="86"/>
      <c r="L66" s="137"/>
      <c r="M66" s="42">
        <v>0</v>
      </c>
      <c r="N66" s="202">
        <f>+SUM(N18:N65)/2*L66</f>
        <v>0</v>
      </c>
      <c r="O66" s="42">
        <v>15.92531858978799</v>
      </c>
      <c r="P66" s="202">
        <f>+SUM(P18:P65)/2*L66</f>
        <v>0</v>
      </c>
      <c r="Q66" s="42">
        <v>1942.8888679541349</v>
      </c>
      <c r="R66" s="184">
        <f>+J66*E$7</f>
        <v>0</v>
      </c>
    </row>
    <row r="67" spans="1:18" ht="13.5" thickBot="1" x14ac:dyDescent="0.25">
      <c r="A67" s="25" t="s">
        <v>33</v>
      </c>
      <c r="B67" s="25"/>
      <c r="C67" s="25"/>
      <c r="D67" s="25"/>
      <c r="E67" s="200"/>
      <c r="F67" s="25"/>
      <c r="G67" s="25"/>
      <c r="H67" s="197"/>
      <c r="I67" s="87">
        <v>634.74111271053687</v>
      </c>
      <c r="J67" s="204">
        <f>SUM(J19:J66)</f>
        <v>0</v>
      </c>
      <c r="K67" s="35"/>
      <c r="L67" s="195"/>
      <c r="M67" s="87">
        <v>0</v>
      </c>
      <c r="N67" s="204">
        <f>SUM(N19:N66)</f>
        <v>0</v>
      </c>
      <c r="O67" s="87">
        <v>634.74111271053687</v>
      </c>
      <c r="P67" s="204">
        <f>SUM(P19:P66)</f>
        <v>0</v>
      </c>
      <c r="Q67" s="87">
        <v>77438.415750685497</v>
      </c>
      <c r="R67" s="204">
        <f>SUM(R19:R66)</f>
        <v>0</v>
      </c>
    </row>
    <row r="68" spans="1:18" ht="13.5" thickTop="1" x14ac:dyDescent="0.2">
      <c r="A68" s="25" t="s">
        <v>34</v>
      </c>
      <c r="B68" s="25"/>
      <c r="C68" s="25"/>
      <c r="D68" s="25"/>
      <c r="E68" s="200"/>
      <c r="F68" s="25"/>
      <c r="G68" s="25"/>
      <c r="H68" s="197"/>
      <c r="I68" s="35">
        <v>758.74188728946308</v>
      </c>
      <c r="J68" s="202">
        <f>+J14-J67</f>
        <v>0</v>
      </c>
      <c r="K68" s="35"/>
      <c r="L68" s="195"/>
      <c r="M68" s="35">
        <v>0</v>
      </c>
      <c r="N68" s="202">
        <f>+N14-N67</f>
        <v>0</v>
      </c>
      <c r="O68" s="35">
        <v>758.74188728946308</v>
      </c>
      <c r="P68" s="202">
        <f>+P14-P67</f>
        <v>0</v>
      </c>
      <c r="Q68" s="35">
        <v>92566.51024931451</v>
      </c>
      <c r="R68" s="202">
        <f>+R14-R67</f>
        <v>0</v>
      </c>
    </row>
    <row r="69" spans="1:18" x14ac:dyDescent="0.2">
      <c r="A69" s="25"/>
      <c r="B69" s="25" t="s">
        <v>35</v>
      </c>
      <c r="C69" s="25"/>
      <c r="D69" s="25"/>
      <c r="E69" s="210"/>
      <c r="F69" s="17"/>
      <c r="G69" s="40">
        <v>0.2580415090789549</v>
      </c>
      <c r="H69" s="210" t="str">
        <f>IF(E10=0,"n/a",(YVarExp-(YTotExp+YTotRet-J10))/E10)</f>
        <v>n/a</v>
      </c>
      <c r="I69" s="25" t="s">
        <v>83</v>
      </c>
      <c r="J69" s="184"/>
      <c r="K69" s="25"/>
      <c r="L69" s="197"/>
      <c r="M69" s="25"/>
      <c r="N69" s="184"/>
      <c r="O69" s="25"/>
      <c r="P69" s="184"/>
      <c r="Q69" s="25"/>
      <c r="R69" s="184"/>
    </row>
    <row r="70" spans="1:18" x14ac:dyDescent="0.2">
      <c r="A70" s="25"/>
      <c r="B70" s="25"/>
      <c r="C70" s="25"/>
      <c r="D70" s="25"/>
      <c r="E70" s="178"/>
      <c r="F70" s="25"/>
      <c r="G70" s="25"/>
      <c r="H70" s="211"/>
      <c r="I70" s="25"/>
      <c r="J70" s="184"/>
      <c r="K70" s="25"/>
      <c r="L70" s="197"/>
      <c r="M70" s="25"/>
      <c r="N70" s="184"/>
      <c r="O70" s="25"/>
      <c r="P70" s="184"/>
      <c r="Q70" s="22" t="s">
        <v>19</v>
      </c>
      <c r="R70" s="184" t="s">
        <v>19</v>
      </c>
    </row>
    <row r="71" spans="1:18" x14ac:dyDescent="0.2">
      <c r="A71" s="23" t="s">
        <v>36</v>
      </c>
      <c r="B71" s="23"/>
      <c r="C71" s="23"/>
      <c r="D71" s="24" t="s">
        <v>2</v>
      </c>
      <c r="E71" s="196" t="s">
        <v>2</v>
      </c>
      <c r="F71" s="24" t="s">
        <v>21</v>
      </c>
      <c r="G71" s="24" t="s">
        <v>22</v>
      </c>
      <c r="H71" s="196" t="s">
        <v>22</v>
      </c>
      <c r="I71" s="24" t="s">
        <v>11</v>
      </c>
      <c r="J71" s="196" t="s">
        <v>11</v>
      </c>
      <c r="K71" s="24" t="s">
        <v>10</v>
      </c>
      <c r="L71" s="196" t="s">
        <v>10</v>
      </c>
      <c r="M71" s="24" t="s">
        <v>9</v>
      </c>
      <c r="N71" s="196" t="s">
        <v>9</v>
      </c>
      <c r="O71" s="24" t="s">
        <v>8</v>
      </c>
      <c r="P71" s="196" t="s">
        <v>8</v>
      </c>
      <c r="Q71" s="24" t="s">
        <v>11</v>
      </c>
      <c r="R71" s="208" t="s">
        <v>11</v>
      </c>
    </row>
    <row r="72" spans="1:18" x14ac:dyDescent="0.2">
      <c r="A72" s="25"/>
      <c r="B72" s="25" t="s">
        <v>106</v>
      </c>
      <c r="C72" s="25"/>
      <c r="D72" s="25"/>
      <c r="E72" s="178"/>
      <c r="F72" s="25"/>
      <c r="G72" s="25"/>
      <c r="H72" s="211"/>
      <c r="I72" s="186"/>
      <c r="J72" s="184"/>
      <c r="K72" s="225"/>
      <c r="L72" s="197"/>
      <c r="M72" s="25"/>
      <c r="N72" s="184"/>
      <c r="O72" s="25"/>
      <c r="P72" s="184"/>
      <c r="Q72" s="25"/>
      <c r="R72" s="184"/>
    </row>
    <row r="73" spans="1:18" x14ac:dyDescent="0.2">
      <c r="A73" s="25"/>
      <c r="B73" s="25"/>
      <c r="C73" s="25" t="s">
        <v>104</v>
      </c>
      <c r="D73" s="25">
        <v>1</v>
      </c>
      <c r="E73" s="132"/>
      <c r="F73" s="226" t="s">
        <v>42</v>
      </c>
      <c r="G73" s="41">
        <v>9.151229508196721</v>
      </c>
      <c r="H73" s="133"/>
      <c r="I73" s="35">
        <v>9.151229508196721</v>
      </c>
      <c r="J73" s="202">
        <f t="shared" ref="J73:J76" si="16">E73*H73</f>
        <v>0</v>
      </c>
      <c r="K73" s="225">
        <v>0</v>
      </c>
      <c r="L73" s="214"/>
      <c r="M73" s="35">
        <v>0</v>
      </c>
      <c r="N73" s="202">
        <f>J73*L73</f>
        <v>0</v>
      </c>
      <c r="O73" s="35">
        <v>9.151229508196721</v>
      </c>
      <c r="P73" s="202">
        <f t="shared" ref="P73:P76" si="17">+J73-N73</f>
        <v>0</v>
      </c>
      <c r="Q73" s="35">
        <v>1116.45</v>
      </c>
      <c r="R73" s="202">
        <f t="shared" ref="R73:R76" si="18">+J73*E$7</f>
        <v>0</v>
      </c>
    </row>
    <row r="74" spans="1:18" x14ac:dyDescent="0.2">
      <c r="A74" s="25"/>
      <c r="B74" s="25"/>
      <c r="C74" s="25" t="s">
        <v>46</v>
      </c>
      <c r="D74" s="25">
        <v>1</v>
      </c>
      <c r="E74" s="132"/>
      <c r="F74" s="226" t="s">
        <v>42</v>
      </c>
      <c r="G74" s="41">
        <v>54.371584699453557</v>
      </c>
      <c r="H74" s="133"/>
      <c r="I74" s="35">
        <v>54.371584699453557</v>
      </c>
      <c r="J74" s="202">
        <f t="shared" si="16"/>
        <v>0</v>
      </c>
      <c r="K74" s="225">
        <v>0</v>
      </c>
      <c r="L74" s="214"/>
      <c r="M74" s="35">
        <v>0</v>
      </c>
      <c r="N74" s="202">
        <f>J74*L74</f>
        <v>0</v>
      </c>
      <c r="O74" s="35">
        <v>54.371584699453557</v>
      </c>
      <c r="P74" s="202">
        <f t="shared" si="17"/>
        <v>0</v>
      </c>
      <c r="Q74" s="35">
        <v>6633.3333333333339</v>
      </c>
      <c r="R74" s="202">
        <f t="shared" si="18"/>
        <v>0</v>
      </c>
    </row>
    <row r="75" spans="1:18" x14ac:dyDescent="0.2">
      <c r="A75" s="25"/>
      <c r="B75" s="25"/>
      <c r="C75" s="25" t="s">
        <v>105</v>
      </c>
      <c r="D75" s="25">
        <v>1</v>
      </c>
      <c r="E75" s="132"/>
      <c r="F75" s="226" t="s">
        <v>42</v>
      </c>
      <c r="G75" s="41">
        <v>36.534052901498306</v>
      </c>
      <c r="H75" s="133"/>
      <c r="I75" s="35">
        <v>36.534052901498306</v>
      </c>
      <c r="J75" s="202">
        <f t="shared" si="16"/>
        <v>0</v>
      </c>
      <c r="K75" s="225">
        <v>0</v>
      </c>
      <c r="L75" s="214"/>
      <c r="M75" s="35">
        <v>0</v>
      </c>
      <c r="N75" s="202">
        <f>J75*L75</f>
        <v>0</v>
      </c>
      <c r="O75" s="35">
        <v>36.534052901498306</v>
      </c>
      <c r="P75" s="202">
        <f t="shared" si="17"/>
        <v>0</v>
      </c>
      <c r="Q75" s="35">
        <v>4457.1544539827937</v>
      </c>
      <c r="R75" s="202">
        <f t="shared" si="18"/>
        <v>0</v>
      </c>
    </row>
    <row r="76" spans="1:18" x14ac:dyDescent="0.2">
      <c r="A76" s="25"/>
      <c r="B76" s="25"/>
      <c r="C76" s="25" t="s">
        <v>4</v>
      </c>
      <c r="D76" s="25">
        <v>1</v>
      </c>
      <c r="E76" s="132"/>
      <c r="F76" s="226" t="s">
        <v>42</v>
      </c>
      <c r="G76" s="41">
        <v>18.559788264939247</v>
      </c>
      <c r="H76" s="133"/>
      <c r="I76" s="35">
        <v>18.559788264939247</v>
      </c>
      <c r="J76" s="202">
        <f t="shared" si="16"/>
        <v>0</v>
      </c>
      <c r="K76" s="225">
        <v>0</v>
      </c>
      <c r="L76" s="214"/>
      <c r="M76" s="35">
        <v>0</v>
      </c>
      <c r="N76" s="202">
        <f>J76*L76</f>
        <v>0</v>
      </c>
      <c r="O76" s="35">
        <v>18.559788264939247</v>
      </c>
      <c r="P76" s="202">
        <f t="shared" si="17"/>
        <v>0</v>
      </c>
      <c r="Q76" s="35">
        <v>2264.2941683225881</v>
      </c>
      <c r="R76" s="202">
        <f t="shared" si="18"/>
        <v>0</v>
      </c>
    </row>
    <row r="77" spans="1:18" x14ac:dyDescent="0.2">
      <c r="A77" s="25"/>
      <c r="B77" s="25" t="s">
        <v>89</v>
      </c>
      <c r="C77" s="25"/>
      <c r="D77" s="25"/>
      <c r="E77" s="197"/>
      <c r="F77" s="21"/>
      <c r="G77" s="41"/>
      <c r="H77" s="197"/>
      <c r="I77" s="186"/>
      <c r="J77" s="184"/>
      <c r="K77" s="225"/>
      <c r="L77" s="197"/>
      <c r="M77" s="35"/>
      <c r="N77" s="184"/>
      <c r="O77" s="35"/>
      <c r="P77" s="184"/>
      <c r="Q77" s="35"/>
      <c r="R77" s="184"/>
    </row>
    <row r="78" spans="1:18" x14ac:dyDescent="0.2">
      <c r="A78" s="25"/>
      <c r="B78" s="25"/>
      <c r="C78" s="25" t="s">
        <v>104</v>
      </c>
      <c r="D78" s="41">
        <v>45.165983606557376</v>
      </c>
      <c r="E78" s="132"/>
      <c r="F78" s="226" t="s">
        <v>100</v>
      </c>
      <c r="G78" s="39">
        <v>0.08</v>
      </c>
      <c r="H78" s="215"/>
      <c r="I78" s="35">
        <v>3.61327868852459</v>
      </c>
      <c r="J78" s="202">
        <f t="shared" ref="J78:J88" si="19">E78*H78</f>
        <v>0</v>
      </c>
      <c r="K78" s="225">
        <v>0</v>
      </c>
      <c r="L78" s="214"/>
      <c r="M78" s="35">
        <v>0</v>
      </c>
      <c r="N78" s="202">
        <f>J78*L78</f>
        <v>0</v>
      </c>
      <c r="O78" s="35">
        <v>3.61327868852459</v>
      </c>
      <c r="P78" s="202">
        <f t="shared" ref="P78:P81" si="20">+J78-N78</f>
        <v>0</v>
      </c>
      <c r="Q78" s="35">
        <v>440.82</v>
      </c>
      <c r="R78" s="202">
        <f t="shared" ref="R78:R81" si="21">+J78*E$7</f>
        <v>0</v>
      </c>
    </row>
    <row r="79" spans="1:18" x14ac:dyDescent="0.2">
      <c r="A79" s="25"/>
      <c r="B79" s="25"/>
      <c r="C79" s="25" t="s">
        <v>46</v>
      </c>
      <c r="D79" s="41">
        <v>407.78688524590166</v>
      </c>
      <c r="E79" s="132"/>
      <c r="F79" s="226" t="s">
        <v>100</v>
      </c>
      <c r="G79" s="39">
        <v>0.08</v>
      </c>
      <c r="H79" s="215"/>
      <c r="I79" s="35">
        <v>32.622950819672134</v>
      </c>
      <c r="J79" s="202">
        <f t="shared" si="19"/>
        <v>0</v>
      </c>
      <c r="K79" s="225">
        <v>0</v>
      </c>
      <c r="L79" s="214"/>
      <c r="M79" s="35">
        <v>0</v>
      </c>
      <c r="N79" s="202">
        <f>J79*L79</f>
        <v>0</v>
      </c>
      <c r="O79" s="35">
        <v>32.622950819672134</v>
      </c>
      <c r="P79" s="202">
        <f t="shared" si="20"/>
        <v>0</v>
      </c>
      <c r="Q79" s="35">
        <v>3980.0000000000005</v>
      </c>
      <c r="R79" s="202">
        <f t="shared" si="21"/>
        <v>0</v>
      </c>
    </row>
    <row r="80" spans="1:18" x14ac:dyDescent="0.2">
      <c r="A80" s="25"/>
      <c r="B80" s="25"/>
      <c r="C80" s="25" t="s">
        <v>105</v>
      </c>
      <c r="D80" s="41">
        <v>318.1451389902565</v>
      </c>
      <c r="E80" s="132"/>
      <c r="F80" s="226" t="s">
        <v>100</v>
      </c>
      <c r="G80" s="39">
        <v>0.08</v>
      </c>
      <c r="H80" s="215"/>
      <c r="I80" s="35">
        <v>25.451611119220519</v>
      </c>
      <c r="J80" s="202">
        <f t="shared" si="19"/>
        <v>0</v>
      </c>
      <c r="K80" s="225">
        <v>0</v>
      </c>
      <c r="L80" s="214"/>
      <c r="M80" s="35">
        <v>0</v>
      </c>
      <c r="N80" s="202">
        <f>J80*L80</f>
        <v>0</v>
      </c>
      <c r="O80" s="35">
        <v>25.451611119220519</v>
      </c>
      <c r="P80" s="202">
        <f t="shared" si="20"/>
        <v>0</v>
      </c>
      <c r="Q80" s="35">
        <v>3105.0965565449033</v>
      </c>
      <c r="R80" s="202">
        <f t="shared" si="21"/>
        <v>0</v>
      </c>
    </row>
    <row r="81" spans="1:18" x14ac:dyDescent="0.2">
      <c r="A81" s="25"/>
      <c r="B81" s="25"/>
      <c r="C81" s="25" t="s">
        <v>4</v>
      </c>
      <c r="D81" s="41">
        <v>104.32160290149335</v>
      </c>
      <c r="E81" s="132"/>
      <c r="F81" s="226" t="s">
        <v>100</v>
      </c>
      <c r="G81" s="39">
        <v>0.08</v>
      </c>
      <c r="H81" s="215"/>
      <c r="I81" s="35">
        <v>8.3457282321194679</v>
      </c>
      <c r="J81" s="202">
        <f t="shared" si="19"/>
        <v>0</v>
      </c>
      <c r="K81" s="225">
        <v>0</v>
      </c>
      <c r="L81" s="214"/>
      <c r="M81" s="35">
        <v>0</v>
      </c>
      <c r="N81" s="202">
        <f>J81*L81</f>
        <v>0</v>
      </c>
      <c r="O81" s="35">
        <v>8.3457282321194679</v>
      </c>
      <c r="P81" s="202">
        <f t="shared" si="20"/>
        <v>0</v>
      </c>
      <c r="Q81" s="35">
        <v>1018.1788443185751</v>
      </c>
      <c r="R81" s="202">
        <f t="shared" si="21"/>
        <v>0</v>
      </c>
    </row>
    <row r="82" spans="1:18" x14ac:dyDescent="0.2">
      <c r="A82" s="25"/>
      <c r="B82" s="25" t="s">
        <v>156</v>
      </c>
      <c r="C82" s="25"/>
      <c r="D82" s="25">
        <v>1</v>
      </c>
      <c r="E82" s="132"/>
      <c r="F82" s="226" t="s">
        <v>42</v>
      </c>
      <c r="G82" s="41">
        <v>0</v>
      </c>
      <c r="H82" s="133"/>
      <c r="I82" s="35">
        <v>0</v>
      </c>
      <c r="J82" s="202">
        <f t="shared" si="19"/>
        <v>0</v>
      </c>
      <c r="K82" s="225">
        <v>0</v>
      </c>
      <c r="L82" s="214"/>
      <c r="M82" s="35">
        <v>0</v>
      </c>
      <c r="N82" s="202">
        <f t="shared" ref="N82:N89" si="22">J82*L82</f>
        <v>0</v>
      </c>
      <c r="O82" s="35">
        <v>0</v>
      </c>
      <c r="P82" s="202">
        <f t="shared" ref="P82:P89" si="23">+J82-N82</f>
        <v>0</v>
      </c>
      <c r="Q82" s="35">
        <v>0</v>
      </c>
      <c r="R82" s="202">
        <f t="shared" ref="R82:R89" si="24">+J82*E$7</f>
        <v>0</v>
      </c>
    </row>
    <row r="83" spans="1:18" x14ac:dyDescent="0.2">
      <c r="A83" s="25"/>
      <c r="B83" s="25" t="s">
        <v>152</v>
      </c>
      <c r="C83" s="25"/>
      <c r="D83" s="25">
        <v>1</v>
      </c>
      <c r="E83" s="132"/>
      <c r="F83" s="226" t="s">
        <v>42</v>
      </c>
      <c r="G83" s="41">
        <v>0</v>
      </c>
      <c r="H83" s="133"/>
      <c r="I83" s="35">
        <v>0</v>
      </c>
      <c r="J83" s="202">
        <f t="shared" si="19"/>
        <v>0</v>
      </c>
      <c r="K83" s="225">
        <v>0</v>
      </c>
      <c r="L83" s="214"/>
      <c r="M83" s="35">
        <v>0</v>
      </c>
      <c r="N83" s="202">
        <f t="shared" si="22"/>
        <v>0</v>
      </c>
      <c r="O83" s="35">
        <v>0</v>
      </c>
      <c r="P83" s="202">
        <f t="shared" si="23"/>
        <v>0</v>
      </c>
      <c r="Q83" s="35">
        <v>0</v>
      </c>
      <c r="R83" s="202">
        <f t="shared" si="24"/>
        <v>0</v>
      </c>
    </row>
    <row r="84" spans="1:18" x14ac:dyDescent="0.2">
      <c r="A84" s="25"/>
      <c r="B84" s="25" t="s">
        <v>137</v>
      </c>
      <c r="C84" s="25"/>
      <c r="D84" s="25">
        <v>1</v>
      </c>
      <c r="E84" s="132"/>
      <c r="F84" s="226" t="s">
        <v>42</v>
      </c>
      <c r="G84" s="41">
        <v>0</v>
      </c>
      <c r="H84" s="133"/>
      <c r="I84" s="35">
        <v>0</v>
      </c>
      <c r="J84" s="202">
        <f t="shared" si="19"/>
        <v>0</v>
      </c>
      <c r="K84" s="225">
        <v>0</v>
      </c>
      <c r="L84" s="214"/>
      <c r="M84" s="35">
        <v>0</v>
      </c>
      <c r="N84" s="202">
        <f t="shared" si="22"/>
        <v>0</v>
      </c>
      <c r="O84" s="35">
        <v>0</v>
      </c>
      <c r="P84" s="202">
        <f t="shared" si="23"/>
        <v>0</v>
      </c>
      <c r="Q84" s="35">
        <v>0</v>
      </c>
      <c r="R84" s="202">
        <f t="shared" si="24"/>
        <v>0</v>
      </c>
    </row>
    <row r="85" spans="1:18" x14ac:dyDescent="0.2">
      <c r="A85" s="25"/>
      <c r="B85" s="25" t="s">
        <v>453</v>
      </c>
      <c r="C85" s="25"/>
      <c r="D85" s="25">
        <v>1</v>
      </c>
      <c r="E85" s="132"/>
      <c r="F85" s="226" t="s">
        <v>42</v>
      </c>
      <c r="G85" s="41">
        <v>50</v>
      </c>
      <c r="H85" s="133"/>
      <c r="I85" s="35">
        <v>50</v>
      </c>
      <c r="J85" s="202">
        <f t="shared" si="19"/>
        <v>0</v>
      </c>
      <c r="K85" s="225">
        <v>0</v>
      </c>
      <c r="L85" s="214"/>
      <c r="M85" s="35">
        <v>0</v>
      </c>
      <c r="N85" s="202">
        <f t="shared" si="22"/>
        <v>0</v>
      </c>
      <c r="O85" s="35">
        <v>50</v>
      </c>
      <c r="P85" s="202">
        <f t="shared" si="23"/>
        <v>0</v>
      </c>
      <c r="Q85" s="35">
        <v>6100</v>
      </c>
      <c r="R85" s="202">
        <f t="shared" si="24"/>
        <v>0</v>
      </c>
    </row>
    <row r="86" spans="1:18" x14ac:dyDescent="0.2">
      <c r="A86" s="25"/>
      <c r="B86" s="25" t="s">
        <v>159</v>
      </c>
      <c r="C86" s="25"/>
      <c r="D86" s="25">
        <v>1</v>
      </c>
      <c r="E86" s="132"/>
      <c r="F86" s="226" t="s">
        <v>42</v>
      </c>
      <c r="G86" s="41">
        <v>0</v>
      </c>
      <c r="H86" s="133"/>
      <c r="I86" s="35">
        <v>0</v>
      </c>
      <c r="J86" s="202">
        <f t="shared" si="19"/>
        <v>0</v>
      </c>
      <c r="K86" s="225">
        <v>0</v>
      </c>
      <c r="L86" s="214"/>
      <c r="M86" s="35">
        <v>0</v>
      </c>
      <c r="N86" s="202">
        <f t="shared" si="22"/>
        <v>0</v>
      </c>
      <c r="O86" s="35">
        <v>0</v>
      </c>
      <c r="P86" s="202">
        <f t="shared" si="23"/>
        <v>0</v>
      </c>
      <c r="Q86" s="35">
        <v>0</v>
      </c>
      <c r="R86" s="202">
        <f t="shared" si="24"/>
        <v>0</v>
      </c>
    </row>
    <row r="87" spans="1:18" x14ac:dyDescent="0.2">
      <c r="A87" s="25"/>
      <c r="B87" s="25" t="s">
        <v>160</v>
      </c>
      <c r="C87" s="25"/>
      <c r="D87" s="25">
        <v>1</v>
      </c>
      <c r="E87" s="132"/>
      <c r="F87" s="226" t="s">
        <v>42</v>
      </c>
      <c r="G87" s="41">
        <v>0</v>
      </c>
      <c r="H87" s="133"/>
      <c r="I87" s="35">
        <v>0</v>
      </c>
      <c r="J87" s="202">
        <f t="shared" si="19"/>
        <v>0</v>
      </c>
      <c r="K87" s="225">
        <v>0</v>
      </c>
      <c r="L87" s="214"/>
      <c r="M87" s="35">
        <v>0</v>
      </c>
      <c r="N87" s="202">
        <f t="shared" si="22"/>
        <v>0</v>
      </c>
      <c r="O87" s="35">
        <v>0</v>
      </c>
      <c r="P87" s="202">
        <f t="shared" si="23"/>
        <v>0</v>
      </c>
      <c r="Q87" s="35">
        <v>0</v>
      </c>
      <c r="R87" s="202">
        <f t="shared" si="24"/>
        <v>0</v>
      </c>
    </row>
    <row r="88" spans="1:18" x14ac:dyDescent="0.2">
      <c r="A88" s="25"/>
      <c r="B88" s="133"/>
      <c r="C88" s="133"/>
      <c r="D88" s="25">
        <v>1</v>
      </c>
      <c r="E88" s="132"/>
      <c r="F88" s="226"/>
      <c r="G88" s="41">
        <v>0</v>
      </c>
      <c r="H88" s="133"/>
      <c r="I88" s="35">
        <v>0</v>
      </c>
      <c r="J88" s="202">
        <f t="shared" si="19"/>
        <v>0</v>
      </c>
      <c r="K88" s="225">
        <v>0</v>
      </c>
      <c r="L88" s="214"/>
      <c r="M88" s="35">
        <v>0</v>
      </c>
      <c r="N88" s="202">
        <f t="shared" si="22"/>
        <v>0</v>
      </c>
      <c r="O88" s="35">
        <v>0</v>
      </c>
      <c r="P88" s="202">
        <f t="shared" si="23"/>
        <v>0</v>
      </c>
      <c r="Q88" s="35">
        <v>0</v>
      </c>
      <c r="R88" s="202">
        <f t="shared" si="24"/>
        <v>0</v>
      </c>
    </row>
    <row r="89" spans="1:18" ht="13.5" thickBot="1" x14ac:dyDescent="0.25">
      <c r="A89" s="25"/>
      <c r="B89" s="133"/>
      <c r="C89" s="133"/>
      <c r="D89" s="25">
        <v>1</v>
      </c>
      <c r="E89" s="132"/>
      <c r="F89" s="226"/>
      <c r="G89" s="41">
        <v>0</v>
      </c>
      <c r="H89" s="133"/>
      <c r="I89" s="35">
        <v>0</v>
      </c>
      <c r="J89" s="202">
        <f>E89*H89</f>
        <v>0</v>
      </c>
      <c r="K89" s="225">
        <v>0</v>
      </c>
      <c r="L89" s="214"/>
      <c r="M89" s="35">
        <v>0</v>
      </c>
      <c r="N89" s="202">
        <f t="shared" si="22"/>
        <v>0</v>
      </c>
      <c r="O89" s="35">
        <v>0</v>
      </c>
      <c r="P89" s="202">
        <f t="shared" si="23"/>
        <v>0</v>
      </c>
      <c r="Q89" s="35">
        <v>0</v>
      </c>
      <c r="R89" s="202">
        <f t="shared" si="24"/>
        <v>0</v>
      </c>
    </row>
    <row r="90" spans="1:18" ht="13.5" thickBot="1" x14ac:dyDescent="0.25">
      <c r="A90" s="25" t="s">
        <v>37</v>
      </c>
      <c r="B90" s="25"/>
      <c r="C90" s="25"/>
      <c r="D90" s="25"/>
      <c r="E90" s="197"/>
      <c r="F90" s="25"/>
      <c r="G90" s="25"/>
      <c r="H90" s="197"/>
      <c r="I90" s="121">
        <v>238.65022423362453</v>
      </c>
      <c r="J90" s="204">
        <f>+SUM(J73:J89)</f>
        <v>0</v>
      </c>
      <c r="K90" s="35"/>
      <c r="L90" s="195"/>
      <c r="M90" s="121">
        <v>0</v>
      </c>
      <c r="N90" s="204">
        <f>+SUM(N73:N89)</f>
        <v>0</v>
      </c>
      <c r="O90" s="121">
        <v>238.65022423362453</v>
      </c>
      <c r="P90" s="204">
        <f>+SUM(P73:P89)</f>
        <v>0</v>
      </c>
      <c r="Q90" s="121">
        <v>29115.327356502195</v>
      </c>
      <c r="R90" s="204">
        <f>+SUM(R73:R89)</f>
        <v>0</v>
      </c>
    </row>
    <row r="91" spans="1:18" ht="14.25" thickTop="1" thickBot="1" x14ac:dyDescent="0.25">
      <c r="A91" s="25" t="s">
        <v>52</v>
      </c>
      <c r="B91" s="25"/>
      <c r="C91" s="25"/>
      <c r="D91" s="25"/>
      <c r="E91" s="197"/>
      <c r="F91" s="25"/>
      <c r="G91" s="25"/>
      <c r="H91" s="197"/>
      <c r="I91" s="87">
        <v>873.39133694416137</v>
      </c>
      <c r="J91" s="205">
        <f>+J67+J90</f>
        <v>0</v>
      </c>
      <c r="K91" s="35"/>
      <c r="L91" s="195"/>
      <c r="M91" s="87">
        <v>0</v>
      </c>
      <c r="N91" s="205">
        <f>+N67+N90</f>
        <v>0</v>
      </c>
      <c r="O91" s="87">
        <v>873.39133694416137</v>
      </c>
      <c r="P91" s="205">
        <f>+P67+P90</f>
        <v>0</v>
      </c>
      <c r="Q91" s="87">
        <v>106553.74310718769</v>
      </c>
      <c r="R91" s="205">
        <f>+R67+R90</f>
        <v>0</v>
      </c>
    </row>
    <row r="92" spans="1:18" ht="13.5" thickTop="1" x14ac:dyDescent="0.2">
      <c r="A92" s="25"/>
      <c r="B92" s="25"/>
      <c r="C92" s="25"/>
      <c r="D92" s="25"/>
      <c r="E92" s="197"/>
      <c r="F92" s="25"/>
      <c r="G92" s="25"/>
      <c r="H92" s="197"/>
      <c r="I92" s="35"/>
      <c r="J92" s="184"/>
      <c r="K92" s="35"/>
      <c r="L92" s="195"/>
      <c r="M92" s="35"/>
      <c r="N92" s="184"/>
      <c r="O92" s="35"/>
      <c r="P92" s="184"/>
      <c r="Q92" s="35"/>
      <c r="R92" s="184"/>
    </row>
    <row r="93" spans="1:18" x14ac:dyDescent="0.2">
      <c r="A93" s="25" t="s">
        <v>153</v>
      </c>
      <c r="B93" s="25"/>
      <c r="C93" s="25"/>
      <c r="D93" s="25"/>
      <c r="E93" s="197"/>
      <c r="F93" s="25"/>
      <c r="G93" s="25"/>
      <c r="H93" s="197"/>
      <c r="I93" s="35">
        <v>520.09166305583858</v>
      </c>
      <c r="J93" s="202">
        <f>+J14-J91</f>
        <v>0</v>
      </c>
      <c r="K93" s="35"/>
      <c r="L93" s="195"/>
      <c r="M93" s="35">
        <v>0</v>
      </c>
      <c r="N93" s="202">
        <f>+N14-N91</f>
        <v>0</v>
      </c>
      <c r="O93" s="35">
        <v>520.09166305583858</v>
      </c>
      <c r="P93" s="202">
        <f>+P14-P91</f>
        <v>0</v>
      </c>
      <c r="Q93" s="35">
        <v>63451.182892812314</v>
      </c>
      <c r="R93" s="202">
        <f>+R14-R91</f>
        <v>0</v>
      </c>
    </row>
    <row r="94" spans="1:18" x14ac:dyDescent="0.2">
      <c r="A94" s="25"/>
      <c r="B94" s="25"/>
      <c r="C94" s="25"/>
      <c r="D94" s="25"/>
      <c r="E94" s="197"/>
      <c r="F94" s="25"/>
      <c r="G94" s="25"/>
      <c r="H94" s="197"/>
      <c r="I94" s="35"/>
      <c r="J94" s="206"/>
      <c r="K94" s="35"/>
      <c r="L94" s="195"/>
      <c r="M94" s="35"/>
      <c r="N94" s="195"/>
      <c r="O94" s="35"/>
      <c r="P94" s="195"/>
      <c r="Q94" s="35"/>
      <c r="R94" s="206"/>
    </row>
    <row r="95" spans="1:18" ht="13.5" thickBot="1" x14ac:dyDescent="0.25">
      <c r="A95" s="44" t="s">
        <v>38</v>
      </c>
      <c r="B95" s="44"/>
      <c r="C95" s="44"/>
      <c r="D95" s="44"/>
      <c r="E95" s="201"/>
      <c r="F95" s="44"/>
      <c r="G95" s="45">
        <v>0.42850595496011529</v>
      </c>
      <c r="H95" s="212" t="str">
        <f>IF(E10=0,"n/a",(YTotExp-(YTotExp+YTotRet-J10))/E10)</f>
        <v>n/a</v>
      </c>
      <c r="I95" s="44" t="s">
        <v>83</v>
      </c>
      <c r="J95" s="207"/>
      <c r="K95" s="44"/>
      <c r="L95" s="201"/>
      <c r="M95" s="44"/>
      <c r="N95" s="201"/>
      <c r="O95" s="44"/>
      <c r="P95" s="201"/>
      <c r="Q95" s="44"/>
      <c r="R95" s="207"/>
    </row>
    <row r="96" spans="1:18" ht="13.5" thickTop="1" x14ac:dyDescent="0.2"/>
    <row r="97" spans="1:18" s="17" customFormat="1" ht="15.75" x14ac:dyDescent="0.25">
      <c r="A97"/>
      <c r="B97" s="88"/>
      <c r="C97" s="89"/>
      <c r="D97" s="234" t="s">
        <v>115</v>
      </c>
      <c r="E97" s="235"/>
      <c r="F97" s="235"/>
      <c r="G97" s="235"/>
      <c r="H97" s="235"/>
      <c r="I97" s="235"/>
      <c r="J97" s="99"/>
      <c r="K97" s="99"/>
      <c r="M97"/>
      <c r="N97"/>
    </row>
    <row r="98" spans="1:18" s="17" customFormat="1" ht="15.75" x14ac:dyDescent="0.25">
      <c r="A98"/>
      <c r="B98" s="19" t="s">
        <v>116</v>
      </c>
      <c r="C98" s="19" t="s">
        <v>116</v>
      </c>
      <c r="D98" s="126" t="s">
        <v>170</v>
      </c>
      <c r="E98" s="18"/>
      <c r="F98" s="18"/>
      <c r="G98" s="126" t="s">
        <v>170</v>
      </c>
      <c r="H98" s="18"/>
      <c r="I98" s="18"/>
      <c r="J98" s="18"/>
      <c r="K98" s="18"/>
      <c r="M98"/>
      <c r="N98"/>
    </row>
    <row r="99" spans="1:18" s="17" customFormat="1" x14ac:dyDescent="0.2">
      <c r="A99"/>
      <c r="B99" s="19" t="s">
        <v>81</v>
      </c>
      <c r="C99" s="19" t="s">
        <v>81</v>
      </c>
      <c r="D99" s="126" t="s">
        <v>157</v>
      </c>
      <c r="E99" s="122"/>
      <c r="F99" s="122"/>
      <c r="G99" s="126" t="s">
        <v>11</v>
      </c>
      <c r="H99" s="122"/>
      <c r="I99" s="122"/>
      <c r="J99" s="122"/>
      <c r="K99" s="122"/>
      <c r="M99"/>
      <c r="N99"/>
    </row>
    <row r="100" spans="1:18" s="17" customFormat="1" x14ac:dyDescent="0.2">
      <c r="A100"/>
      <c r="B100" s="19" t="s">
        <v>30</v>
      </c>
      <c r="C100" s="99" t="s">
        <v>83</v>
      </c>
      <c r="D100" s="126" t="s">
        <v>99</v>
      </c>
      <c r="E100" s="122"/>
      <c r="F100" s="122"/>
      <c r="G100" s="126" t="s">
        <v>99</v>
      </c>
      <c r="H100" s="19"/>
      <c r="I100" s="19"/>
      <c r="J100" s="19"/>
      <c r="K100" s="19"/>
      <c r="M100"/>
      <c r="N100"/>
    </row>
    <row r="101" spans="1:18" s="17" customFormat="1" x14ac:dyDescent="0.2">
      <c r="A101"/>
      <c r="B101" s="90">
        <v>0.75</v>
      </c>
      <c r="C101" s="91">
        <v>1050</v>
      </c>
      <c r="D101" s="92">
        <v>0.34405534543860655</v>
      </c>
      <c r="E101" s="93"/>
      <c r="F101" s="94"/>
      <c r="G101" s="92">
        <v>0.57134127328015372</v>
      </c>
      <c r="H101" s="93"/>
      <c r="I101" s="93"/>
      <c r="M101"/>
      <c r="N101"/>
    </row>
    <row r="102" spans="1:18" s="17" customFormat="1" x14ac:dyDescent="0.2">
      <c r="A102"/>
      <c r="B102" s="95">
        <v>0.9</v>
      </c>
      <c r="C102" s="96">
        <v>1260</v>
      </c>
      <c r="D102" s="97">
        <v>0.28671278786550547</v>
      </c>
      <c r="E102" s="83"/>
      <c r="F102" s="98"/>
      <c r="G102" s="97">
        <v>0.47611772773346145</v>
      </c>
      <c r="H102" s="83"/>
      <c r="I102" s="83"/>
      <c r="M102"/>
      <c r="N102"/>
    </row>
    <row r="103" spans="1:18" s="17" customFormat="1" x14ac:dyDescent="0.2">
      <c r="A103"/>
      <c r="B103" s="90">
        <v>1</v>
      </c>
      <c r="C103" s="91">
        <v>1400</v>
      </c>
      <c r="D103" s="92">
        <v>0.2580415090789549</v>
      </c>
      <c r="E103" s="93"/>
      <c r="F103" s="94"/>
      <c r="G103" s="92">
        <v>0.42850595496011529</v>
      </c>
      <c r="H103" s="93"/>
      <c r="I103" s="93"/>
      <c r="M103"/>
      <c r="N103"/>
    </row>
    <row r="104" spans="1:18" s="17" customFormat="1" x14ac:dyDescent="0.2">
      <c r="A104"/>
      <c r="B104" s="95">
        <v>1.1000000000000001</v>
      </c>
      <c r="C104" s="96">
        <v>1540.0000000000002</v>
      </c>
      <c r="D104" s="97">
        <v>0.23458319007177714</v>
      </c>
      <c r="E104" s="83"/>
      <c r="F104" s="98"/>
      <c r="G104" s="97">
        <v>0.38955086814555928</v>
      </c>
      <c r="H104" s="83"/>
      <c r="I104" s="83"/>
      <c r="M104"/>
      <c r="N104"/>
    </row>
    <row r="105" spans="1:18" s="17" customFormat="1" x14ac:dyDescent="0.2">
      <c r="A105"/>
      <c r="B105" s="90">
        <v>1.25</v>
      </c>
      <c r="C105" s="91">
        <v>1750</v>
      </c>
      <c r="D105" s="92">
        <v>0.20643320726316391</v>
      </c>
      <c r="E105" s="93"/>
      <c r="F105" s="94"/>
      <c r="G105" s="92">
        <v>0.34280476396809223</v>
      </c>
      <c r="H105" s="93"/>
      <c r="I105" s="93"/>
      <c r="M105"/>
      <c r="N105"/>
    </row>
    <row r="106" spans="1:18" s="17" customFormat="1" x14ac:dyDescent="0.2">
      <c r="A106"/>
      <c r="M106"/>
      <c r="N106"/>
    </row>
    <row r="107" spans="1:18" x14ac:dyDescent="0.2">
      <c r="A107" s="25" t="s">
        <v>536</v>
      </c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ht="26.25" customHeight="1" x14ac:dyDescent="0.2">
      <c r="A109" s="236" t="s">
        <v>140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21"/>
      <c r="N109" s="221"/>
      <c r="O109" s="221"/>
      <c r="P109" s="221"/>
      <c r="Q109" s="221"/>
      <c r="R109" s="221"/>
    </row>
  </sheetData>
  <sheetProtection sheet="1" objects="1" scenarios="1"/>
  <mergeCells count="6">
    <mergeCell ref="D97:I97"/>
    <mergeCell ref="A109:L10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11">
    <tabColor rgb="FF92D050"/>
    <pageSetUpPr fitToPage="1"/>
  </sheetPr>
  <dimension ref="A1:S110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1500</v>
      </c>
      <c r="E10" s="132"/>
      <c r="F10" s="226" t="s">
        <v>83</v>
      </c>
      <c r="G10" s="31">
        <v>0.8</v>
      </c>
      <c r="H10" s="133"/>
      <c r="I10" s="35">
        <v>1200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1200</v>
      </c>
      <c r="P10" s="202">
        <f>+J10-N10</f>
        <v>0</v>
      </c>
      <c r="Q10" s="35">
        <v>146400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1.4</v>
      </c>
      <c r="E11" s="132"/>
      <c r="F11" s="226" t="s">
        <v>135</v>
      </c>
      <c r="G11" s="31">
        <v>270</v>
      </c>
      <c r="H11" s="133"/>
      <c r="I11" s="35">
        <v>378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378</v>
      </c>
      <c r="P11" s="202">
        <f t="shared" ref="P11:P13" si="3">+J11-N11</f>
        <v>0</v>
      </c>
      <c r="Q11" s="35">
        <v>46116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1578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1578</v>
      </c>
      <c r="P14" s="203">
        <f>SUM(P10:P13)</f>
        <v>0</v>
      </c>
      <c r="Q14" s="36">
        <v>192516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498</v>
      </c>
      <c r="D19" s="25">
        <v>40</v>
      </c>
      <c r="E19" s="132"/>
      <c r="F19" s="226" t="s">
        <v>233</v>
      </c>
      <c r="G19" s="41">
        <v>1.6521739</v>
      </c>
      <c r="H19" s="133"/>
      <c r="I19" s="35">
        <v>66.086956000000001</v>
      </c>
      <c r="J19" s="202">
        <f t="shared" ref="J19:J43" si="4">E19*H19</f>
        <v>0</v>
      </c>
      <c r="K19" s="225">
        <v>0</v>
      </c>
      <c r="L19" s="214"/>
      <c r="M19" s="35">
        <v>0</v>
      </c>
      <c r="N19" s="202">
        <f t="shared" ref="N19:N43" si="5">J19*L19</f>
        <v>0</v>
      </c>
      <c r="O19" s="35">
        <v>66.086956000000001</v>
      </c>
      <c r="P19" s="202">
        <f t="shared" ref="P19:P43" si="6">+J19-N19</f>
        <v>0</v>
      </c>
      <c r="Q19" s="35">
        <v>8062.6086320000004</v>
      </c>
      <c r="R19" s="202">
        <f t="shared" ref="R19:R43" si="7">+J19*E$7</f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431</v>
      </c>
      <c r="D21" s="25">
        <v>75</v>
      </c>
      <c r="E21" s="132"/>
      <c r="F21" s="226" t="s">
        <v>83</v>
      </c>
      <c r="G21" s="41">
        <v>0.42</v>
      </c>
      <c r="H21" s="133"/>
      <c r="I21" s="35">
        <v>31.5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31.5</v>
      </c>
      <c r="P21" s="202">
        <f t="shared" si="6"/>
        <v>0</v>
      </c>
      <c r="Q21" s="35">
        <v>3843</v>
      </c>
      <c r="R21" s="202">
        <f t="shared" si="7"/>
        <v>0</v>
      </c>
    </row>
    <row r="22" spans="1:18" x14ac:dyDescent="0.2">
      <c r="A22" s="25"/>
      <c r="B22" s="25" t="s">
        <v>501</v>
      </c>
      <c r="C22" s="25" t="s">
        <v>422</v>
      </c>
      <c r="D22" s="25">
        <v>140</v>
      </c>
      <c r="E22" s="132"/>
      <c r="F22" s="226" t="s">
        <v>83</v>
      </c>
      <c r="G22" s="41">
        <v>0.53</v>
      </c>
      <c r="H22" s="133"/>
      <c r="I22" s="35">
        <v>74.2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74.2</v>
      </c>
      <c r="P22" s="202">
        <f t="shared" si="6"/>
        <v>0</v>
      </c>
      <c r="Q22" s="35">
        <v>9052.4</v>
      </c>
      <c r="R22" s="202">
        <f t="shared" si="7"/>
        <v>0</v>
      </c>
    </row>
    <row r="23" spans="1:18" x14ac:dyDescent="0.2">
      <c r="A23" s="25"/>
      <c r="B23" s="25" t="s">
        <v>501</v>
      </c>
      <c r="C23" s="25" t="s">
        <v>429</v>
      </c>
      <c r="D23" s="25">
        <v>32</v>
      </c>
      <c r="E23" s="132"/>
      <c r="F23" s="226" t="s">
        <v>83</v>
      </c>
      <c r="G23" s="41">
        <v>0.41</v>
      </c>
      <c r="H23" s="133"/>
      <c r="I23" s="35">
        <v>13.12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13.12</v>
      </c>
      <c r="P23" s="202">
        <f t="shared" si="6"/>
        <v>0</v>
      </c>
      <c r="Q23" s="35">
        <v>1600.6399999999999</v>
      </c>
      <c r="R23" s="202">
        <f t="shared" si="7"/>
        <v>0</v>
      </c>
    </row>
    <row r="24" spans="1:18" x14ac:dyDescent="0.2">
      <c r="A24" s="25"/>
      <c r="B24" s="25" t="s">
        <v>50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442</v>
      </c>
      <c r="D25" s="25">
        <v>1</v>
      </c>
      <c r="E25" s="132"/>
      <c r="F25" s="226" t="s">
        <v>42</v>
      </c>
      <c r="G25" s="41">
        <v>0.5</v>
      </c>
      <c r="H25" s="133"/>
      <c r="I25" s="35">
        <v>0.5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0.5</v>
      </c>
      <c r="P25" s="202">
        <f t="shared" si="6"/>
        <v>0</v>
      </c>
      <c r="Q25" s="35">
        <v>61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381</v>
      </c>
      <c r="D26" s="25">
        <v>2</v>
      </c>
      <c r="E26" s="132"/>
      <c r="F26" s="226" t="s">
        <v>42</v>
      </c>
      <c r="G26" s="41">
        <v>6.39</v>
      </c>
      <c r="H26" s="133"/>
      <c r="I26" s="35">
        <v>12.78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12.78</v>
      </c>
      <c r="P26" s="202">
        <f t="shared" si="6"/>
        <v>0</v>
      </c>
      <c r="Q26" s="35">
        <v>1559.1599999999999</v>
      </c>
      <c r="R26" s="202">
        <f t="shared" si="7"/>
        <v>0</v>
      </c>
    </row>
    <row r="27" spans="1:18" x14ac:dyDescent="0.2">
      <c r="A27" s="25"/>
      <c r="B27" s="25" t="s">
        <v>501</v>
      </c>
      <c r="C27" s="25" t="s">
        <v>368</v>
      </c>
      <c r="D27" s="25">
        <v>2.5</v>
      </c>
      <c r="E27" s="132"/>
      <c r="F27" s="226" t="s">
        <v>369</v>
      </c>
      <c r="G27" s="41">
        <v>15</v>
      </c>
      <c r="H27" s="133"/>
      <c r="I27" s="35">
        <v>37.5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37.5</v>
      </c>
      <c r="P27" s="202">
        <f t="shared" si="6"/>
        <v>0</v>
      </c>
      <c r="Q27" s="35">
        <v>4575</v>
      </c>
      <c r="R27" s="202">
        <f t="shared" si="7"/>
        <v>0</v>
      </c>
    </row>
    <row r="28" spans="1:18" x14ac:dyDescent="0.2">
      <c r="A28" s="25"/>
      <c r="B28" s="25" t="s">
        <v>501</v>
      </c>
      <c r="C28" s="25" t="s">
        <v>397</v>
      </c>
      <c r="D28" s="25">
        <v>53.57</v>
      </c>
      <c r="E28" s="132"/>
      <c r="F28" s="226" t="s">
        <v>7</v>
      </c>
      <c r="G28" s="41">
        <v>3.75</v>
      </c>
      <c r="H28" s="133"/>
      <c r="I28" s="35">
        <v>200.88749999999999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200.88749999999999</v>
      </c>
      <c r="P28" s="202">
        <f t="shared" si="6"/>
        <v>0</v>
      </c>
      <c r="Q28" s="35">
        <v>24508.274999999998</v>
      </c>
      <c r="R28" s="202">
        <f t="shared" si="7"/>
        <v>0</v>
      </c>
    </row>
    <row r="29" spans="1:18" x14ac:dyDescent="0.2">
      <c r="A29" s="25"/>
      <c r="B29" s="25" t="s">
        <v>49</v>
      </c>
      <c r="C29" s="25"/>
      <c r="D29" s="25"/>
      <c r="E29" s="25"/>
      <c r="F29" s="25"/>
      <c r="G29" s="25"/>
      <c r="H29" s="25"/>
      <c r="I29" s="25"/>
      <c r="J29" s="25"/>
      <c r="K29" s="225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501</v>
      </c>
      <c r="C30" s="25" t="s">
        <v>446</v>
      </c>
      <c r="D30" s="25">
        <v>2</v>
      </c>
      <c r="E30" s="132"/>
      <c r="F30" s="226" t="s">
        <v>311</v>
      </c>
      <c r="G30" s="41">
        <v>2.75</v>
      </c>
      <c r="H30" s="133"/>
      <c r="I30" s="35">
        <v>5.5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5.5</v>
      </c>
      <c r="P30" s="202">
        <f t="shared" si="6"/>
        <v>0</v>
      </c>
      <c r="Q30" s="35">
        <v>671</v>
      </c>
      <c r="R30" s="202">
        <f t="shared" si="7"/>
        <v>0</v>
      </c>
    </row>
    <row r="31" spans="1:18" x14ac:dyDescent="0.2">
      <c r="A31" s="25"/>
      <c r="B31" s="25" t="s">
        <v>501</v>
      </c>
      <c r="C31" s="25" t="s">
        <v>374</v>
      </c>
      <c r="D31" s="25">
        <v>24</v>
      </c>
      <c r="E31" s="132"/>
      <c r="F31" s="226" t="s">
        <v>360</v>
      </c>
      <c r="G31" s="41">
        <v>0.25390000000000001</v>
      </c>
      <c r="H31" s="133"/>
      <c r="I31" s="35">
        <v>6.0936000000000003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6.0936000000000003</v>
      </c>
      <c r="P31" s="202">
        <f t="shared" si="6"/>
        <v>0</v>
      </c>
      <c r="Q31" s="35">
        <v>743.41920000000005</v>
      </c>
      <c r="R31" s="202">
        <f t="shared" si="7"/>
        <v>0</v>
      </c>
    </row>
    <row r="32" spans="1:18" x14ac:dyDescent="0.2">
      <c r="A32" s="25"/>
      <c r="B32" s="25" t="s">
        <v>501</v>
      </c>
      <c r="C32" s="25" t="s">
        <v>400</v>
      </c>
      <c r="D32" s="25">
        <v>64</v>
      </c>
      <c r="E32" s="132"/>
      <c r="F32" s="226" t="s">
        <v>360</v>
      </c>
      <c r="G32" s="41">
        <v>0.1328125</v>
      </c>
      <c r="H32" s="133"/>
      <c r="I32" s="35">
        <v>8.5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8.5</v>
      </c>
      <c r="P32" s="202">
        <f t="shared" si="6"/>
        <v>0</v>
      </c>
      <c r="Q32" s="35">
        <v>1037</v>
      </c>
      <c r="R32" s="202">
        <f t="shared" si="7"/>
        <v>0</v>
      </c>
    </row>
    <row r="33" spans="1:18" x14ac:dyDescent="0.2">
      <c r="A33" s="25"/>
      <c r="B33" s="25" t="s">
        <v>501</v>
      </c>
      <c r="C33" s="25" t="s">
        <v>386</v>
      </c>
      <c r="D33" s="25">
        <v>2</v>
      </c>
      <c r="E33" s="132"/>
      <c r="F33" s="226" t="s">
        <v>311</v>
      </c>
      <c r="G33" s="41">
        <v>2.74</v>
      </c>
      <c r="H33" s="133"/>
      <c r="I33" s="35">
        <v>5.48</v>
      </c>
      <c r="J33" s="202">
        <f t="shared" si="4"/>
        <v>0</v>
      </c>
      <c r="K33" s="225">
        <v>0</v>
      </c>
      <c r="L33" s="214"/>
      <c r="M33" s="35">
        <v>0</v>
      </c>
      <c r="N33" s="202">
        <f t="shared" si="5"/>
        <v>0</v>
      </c>
      <c r="O33" s="35">
        <v>5.48</v>
      </c>
      <c r="P33" s="202">
        <f t="shared" si="6"/>
        <v>0</v>
      </c>
      <c r="Q33" s="35">
        <v>668.56000000000006</v>
      </c>
      <c r="R33" s="202">
        <f t="shared" si="7"/>
        <v>0</v>
      </c>
    </row>
    <row r="34" spans="1:18" x14ac:dyDescent="0.2">
      <c r="A34" s="25"/>
      <c r="B34" s="25" t="s">
        <v>501</v>
      </c>
      <c r="C34" s="25" t="s">
        <v>419</v>
      </c>
      <c r="D34" s="25">
        <v>22</v>
      </c>
      <c r="E34" s="132"/>
      <c r="F34" s="226" t="s">
        <v>360</v>
      </c>
      <c r="G34" s="41">
        <v>6.25E-2</v>
      </c>
      <c r="H34" s="133"/>
      <c r="I34" s="35">
        <v>1.375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1.375</v>
      </c>
      <c r="P34" s="202">
        <f t="shared" si="6"/>
        <v>0</v>
      </c>
      <c r="Q34" s="35">
        <v>167.75</v>
      </c>
      <c r="R34" s="202">
        <f t="shared" si="7"/>
        <v>0</v>
      </c>
    </row>
    <row r="35" spans="1:18" x14ac:dyDescent="0.2">
      <c r="A35" s="25"/>
      <c r="B35" s="25" t="s">
        <v>103</v>
      </c>
      <c r="C35" s="25"/>
      <c r="D35" s="25"/>
      <c r="E35" s="25"/>
      <c r="F35" s="25"/>
      <c r="G35" s="25"/>
      <c r="H35" s="25"/>
      <c r="I35" s="25"/>
      <c r="J35" s="25"/>
      <c r="K35" s="225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501</v>
      </c>
      <c r="C36" s="25" t="s">
        <v>390</v>
      </c>
      <c r="D36" s="25">
        <v>1.5</v>
      </c>
      <c r="E36" s="132"/>
      <c r="F36" s="226" t="s">
        <v>311</v>
      </c>
      <c r="G36" s="41">
        <v>3.8125</v>
      </c>
      <c r="H36" s="133"/>
      <c r="I36" s="35">
        <v>5.71875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5.71875</v>
      </c>
      <c r="P36" s="202">
        <f t="shared" si="6"/>
        <v>0</v>
      </c>
      <c r="Q36" s="35">
        <v>697.6875</v>
      </c>
      <c r="R36" s="202">
        <f t="shared" si="7"/>
        <v>0</v>
      </c>
    </row>
    <row r="37" spans="1:18" x14ac:dyDescent="0.2">
      <c r="A37" s="25"/>
      <c r="B37" s="25" t="s">
        <v>501</v>
      </c>
      <c r="C37" s="25" t="s">
        <v>395</v>
      </c>
      <c r="D37" s="25">
        <v>28</v>
      </c>
      <c r="E37" s="132"/>
      <c r="F37" s="226" t="s">
        <v>360</v>
      </c>
      <c r="G37" s="41">
        <v>0.1796875</v>
      </c>
      <c r="H37" s="133"/>
      <c r="I37" s="35">
        <v>5.03125</v>
      </c>
      <c r="J37" s="202">
        <f t="shared" si="4"/>
        <v>0</v>
      </c>
      <c r="K37" s="225">
        <v>0</v>
      </c>
      <c r="L37" s="214"/>
      <c r="M37" s="35">
        <v>0</v>
      </c>
      <c r="N37" s="202">
        <f t="shared" si="5"/>
        <v>0</v>
      </c>
      <c r="O37" s="35">
        <v>5.03125</v>
      </c>
      <c r="P37" s="202">
        <f t="shared" si="6"/>
        <v>0</v>
      </c>
      <c r="Q37" s="35">
        <v>613.8125</v>
      </c>
      <c r="R37" s="202">
        <f t="shared" si="7"/>
        <v>0</v>
      </c>
    </row>
    <row r="38" spans="1:18" x14ac:dyDescent="0.2">
      <c r="A38" s="25"/>
      <c r="B38" s="25" t="s">
        <v>501</v>
      </c>
      <c r="C38" s="25" t="s">
        <v>500</v>
      </c>
      <c r="D38" s="25">
        <v>5</v>
      </c>
      <c r="E38" s="132"/>
      <c r="F38" s="226" t="s">
        <v>360</v>
      </c>
      <c r="G38" s="41">
        <v>0.921875</v>
      </c>
      <c r="H38" s="133"/>
      <c r="I38" s="35">
        <v>4.609375</v>
      </c>
      <c r="J38" s="202">
        <f t="shared" si="4"/>
        <v>0</v>
      </c>
      <c r="K38" s="225">
        <v>0</v>
      </c>
      <c r="L38" s="214"/>
      <c r="M38" s="35">
        <v>0</v>
      </c>
      <c r="N38" s="202">
        <f t="shared" si="5"/>
        <v>0</v>
      </c>
      <c r="O38" s="35">
        <v>4.609375</v>
      </c>
      <c r="P38" s="202">
        <f t="shared" si="6"/>
        <v>0</v>
      </c>
      <c r="Q38" s="35">
        <v>562.34375</v>
      </c>
      <c r="R38" s="202">
        <f t="shared" si="7"/>
        <v>0</v>
      </c>
    </row>
    <row r="39" spans="1:18" x14ac:dyDescent="0.2">
      <c r="A39" s="25"/>
      <c r="B39" s="25" t="s">
        <v>27</v>
      </c>
      <c r="C39" s="25"/>
      <c r="D39" s="25"/>
      <c r="E39" s="25"/>
      <c r="F39" s="25"/>
      <c r="G39" s="25"/>
      <c r="H39" s="25"/>
      <c r="I39" s="25"/>
      <c r="J39" s="25"/>
      <c r="K39" s="225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25" t="s">
        <v>501</v>
      </c>
      <c r="C40" s="25" t="s">
        <v>370</v>
      </c>
      <c r="D40" s="25">
        <v>3</v>
      </c>
      <c r="E40" s="132"/>
      <c r="F40" s="226" t="s">
        <v>369</v>
      </c>
      <c r="G40" s="41">
        <v>1</v>
      </c>
      <c r="H40" s="133"/>
      <c r="I40" s="35">
        <v>3</v>
      </c>
      <c r="J40" s="202">
        <f t="shared" si="4"/>
        <v>0</v>
      </c>
      <c r="K40" s="225">
        <v>0</v>
      </c>
      <c r="L40" s="214"/>
      <c r="M40" s="35">
        <v>0</v>
      </c>
      <c r="N40" s="202">
        <f t="shared" si="5"/>
        <v>0</v>
      </c>
      <c r="O40" s="35">
        <v>3</v>
      </c>
      <c r="P40" s="202">
        <f t="shared" si="6"/>
        <v>0</v>
      </c>
      <c r="Q40" s="35">
        <v>366</v>
      </c>
      <c r="R40" s="202">
        <f t="shared" si="7"/>
        <v>0</v>
      </c>
    </row>
    <row r="41" spans="1:18" x14ac:dyDescent="0.2">
      <c r="A41" s="25"/>
      <c r="B41" s="25" t="s">
        <v>501</v>
      </c>
      <c r="C41" s="25" t="s">
        <v>414</v>
      </c>
      <c r="D41" s="25">
        <v>1</v>
      </c>
      <c r="E41" s="132"/>
      <c r="F41" s="226" t="s">
        <v>42</v>
      </c>
      <c r="G41" s="41">
        <v>18.98</v>
      </c>
      <c r="H41" s="133"/>
      <c r="I41" s="35">
        <v>18.98</v>
      </c>
      <c r="J41" s="202">
        <f t="shared" si="4"/>
        <v>0</v>
      </c>
      <c r="K41" s="225">
        <v>0</v>
      </c>
      <c r="L41" s="214"/>
      <c r="M41" s="35">
        <v>0</v>
      </c>
      <c r="N41" s="202">
        <f t="shared" si="5"/>
        <v>0</v>
      </c>
      <c r="O41" s="35">
        <v>18.98</v>
      </c>
      <c r="P41" s="202">
        <f t="shared" si="6"/>
        <v>0</v>
      </c>
      <c r="Q41" s="35">
        <v>2315.56</v>
      </c>
      <c r="R41" s="202">
        <f t="shared" si="7"/>
        <v>0</v>
      </c>
    </row>
    <row r="42" spans="1:18" x14ac:dyDescent="0.2">
      <c r="A42" s="25"/>
      <c r="B42" s="133"/>
      <c r="C42" s="133"/>
      <c r="D42" s="25">
        <v>0</v>
      </c>
      <c r="E42" s="132"/>
      <c r="F42" s="226"/>
      <c r="G42" s="41">
        <v>0</v>
      </c>
      <c r="H42" s="133"/>
      <c r="I42" s="35">
        <v>0</v>
      </c>
      <c r="J42" s="202">
        <f t="shared" si="4"/>
        <v>0</v>
      </c>
      <c r="K42" s="225">
        <v>0</v>
      </c>
      <c r="L42" s="214"/>
      <c r="M42" s="35">
        <v>0</v>
      </c>
      <c r="N42" s="202">
        <f t="shared" si="5"/>
        <v>0</v>
      </c>
      <c r="O42" s="35">
        <v>0</v>
      </c>
      <c r="P42" s="202">
        <f t="shared" si="6"/>
        <v>0</v>
      </c>
      <c r="Q42" s="35">
        <v>0</v>
      </c>
      <c r="R42" s="202">
        <f t="shared" si="7"/>
        <v>0</v>
      </c>
    </row>
    <row r="43" spans="1:18" x14ac:dyDescent="0.2">
      <c r="A43" s="25"/>
      <c r="B43" s="133"/>
      <c r="C43" s="133"/>
      <c r="D43" s="25">
        <v>0</v>
      </c>
      <c r="E43" s="132"/>
      <c r="F43" s="226"/>
      <c r="G43" s="41">
        <v>0</v>
      </c>
      <c r="H43" s="133"/>
      <c r="I43" s="35">
        <v>0</v>
      </c>
      <c r="J43" s="202">
        <f t="shared" si="4"/>
        <v>0</v>
      </c>
      <c r="K43" s="225">
        <v>0</v>
      </c>
      <c r="L43" s="214"/>
      <c r="M43" s="35">
        <v>0</v>
      </c>
      <c r="N43" s="202">
        <f t="shared" si="5"/>
        <v>0</v>
      </c>
      <c r="O43" s="35">
        <v>0</v>
      </c>
      <c r="P43" s="202">
        <f t="shared" si="6"/>
        <v>0</v>
      </c>
      <c r="Q43" s="35">
        <v>0</v>
      </c>
      <c r="R43" s="202">
        <f t="shared" si="7"/>
        <v>0</v>
      </c>
    </row>
    <row r="44" spans="1:18" x14ac:dyDescent="0.2">
      <c r="A44" s="25"/>
      <c r="B44" s="133"/>
      <c r="C44" s="133"/>
      <c r="D44" s="25">
        <v>0</v>
      </c>
      <c r="E44" s="132"/>
      <c r="F44" s="226"/>
      <c r="G44" s="41">
        <v>0</v>
      </c>
      <c r="H44" s="133"/>
      <c r="I44" s="35">
        <v>0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0</v>
      </c>
      <c r="P44" s="202">
        <f>+J44-N44</f>
        <v>0</v>
      </c>
      <c r="Q44" s="35">
        <v>0</v>
      </c>
      <c r="R44" s="202">
        <f>+J44*E$7</f>
        <v>0</v>
      </c>
    </row>
    <row r="45" spans="1:18" x14ac:dyDescent="0.2">
      <c r="A45" s="25"/>
      <c r="B45" s="25" t="s">
        <v>45</v>
      </c>
      <c r="C45" s="25"/>
      <c r="D45" s="25"/>
      <c r="E45" s="209"/>
      <c r="F45" s="21"/>
      <c r="G45" s="41"/>
      <c r="H45" s="198"/>
      <c r="I45" s="186"/>
      <c r="J45" s="184"/>
      <c r="K45" s="225"/>
      <c r="L45" s="198"/>
      <c r="M45" s="35"/>
      <c r="N45" s="184"/>
      <c r="O45" s="35"/>
      <c r="P45" s="184"/>
      <c r="Q45" s="35"/>
      <c r="R45" s="184"/>
    </row>
    <row r="46" spans="1:18" x14ac:dyDescent="0.2">
      <c r="A46" s="25"/>
      <c r="B46" s="25"/>
      <c r="C46" s="25" t="s">
        <v>146</v>
      </c>
      <c r="D46" s="34">
        <v>27</v>
      </c>
      <c r="E46" s="132"/>
      <c r="F46" s="226" t="s">
        <v>141</v>
      </c>
      <c r="G46" s="41">
        <v>6.7138932491127186</v>
      </c>
      <c r="H46" s="133"/>
      <c r="I46" s="35">
        <v>181.27511772604339</v>
      </c>
      <c r="J46" s="202">
        <f t="shared" ref="J46:J47" si="8">E46*H46</f>
        <v>0</v>
      </c>
      <c r="K46" s="225">
        <v>0</v>
      </c>
      <c r="L46" s="214"/>
      <c r="M46" s="35">
        <v>0</v>
      </c>
      <c r="N46" s="202">
        <f t="shared" ref="N46:N47" si="9">J46*L46</f>
        <v>0</v>
      </c>
      <c r="O46" s="35">
        <v>181.27511772604339</v>
      </c>
      <c r="P46" s="202">
        <f t="shared" ref="P46:P47" si="10">+J46-N46</f>
        <v>0</v>
      </c>
      <c r="Q46" s="35">
        <v>22115.564362577294</v>
      </c>
      <c r="R46" s="202">
        <f t="shared" ref="R46:R47" si="11">+J46*E$7</f>
        <v>0</v>
      </c>
    </row>
    <row r="47" spans="1:18" x14ac:dyDescent="0.2">
      <c r="A47" s="25"/>
      <c r="B47" s="25"/>
      <c r="C47" s="25" t="s">
        <v>136</v>
      </c>
      <c r="D47" s="34">
        <v>0.11819999999999999</v>
      </c>
      <c r="E47" s="132"/>
      <c r="F47" s="226" t="s">
        <v>44</v>
      </c>
      <c r="G47" s="41">
        <v>17.5</v>
      </c>
      <c r="H47" s="133"/>
      <c r="I47" s="35">
        <v>2.0684999999999998</v>
      </c>
      <c r="J47" s="202">
        <f t="shared" si="8"/>
        <v>0</v>
      </c>
      <c r="K47" s="225">
        <v>0</v>
      </c>
      <c r="L47" s="214"/>
      <c r="M47" s="35">
        <v>0</v>
      </c>
      <c r="N47" s="202">
        <f t="shared" si="9"/>
        <v>0</v>
      </c>
      <c r="O47" s="35">
        <v>2.0684999999999998</v>
      </c>
      <c r="P47" s="202">
        <f t="shared" si="10"/>
        <v>0</v>
      </c>
      <c r="Q47" s="35">
        <v>252.35699999999997</v>
      </c>
      <c r="R47" s="202">
        <f t="shared" si="11"/>
        <v>0</v>
      </c>
    </row>
    <row r="48" spans="1:18" x14ac:dyDescent="0.2">
      <c r="A48" s="25"/>
      <c r="B48" s="25" t="s">
        <v>108</v>
      </c>
      <c r="C48" s="25"/>
      <c r="D48" s="25"/>
      <c r="E48" s="105"/>
      <c r="H48" s="105"/>
      <c r="I48" s="124"/>
      <c r="J48" s="105"/>
      <c r="K48" s="225"/>
      <c r="L48" s="105"/>
      <c r="N48" s="105"/>
      <c r="P48" s="105"/>
      <c r="R48" s="105"/>
    </row>
    <row r="49" spans="1:18" x14ac:dyDescent="0.2">
      <c r="A49" s="25"/>
      <c r="B49" s="25"/>
      <c r="C49" s="25" t="s">
        <v>105</v>
      </c>
      <c r="D49" s="25">
        <v>1.54</v>
      </c>
      <c r="E49" s="132"/>
      <c r="F49" s="226" t="s">
        <v>44</v>
      </c>
      <c r="G49" s="41">
        <v>17.21</v>
      </c>
      <c r="H49" s="133"/>
      <c r="I49" s="35">
        <v>26.503400000000003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26.503400000000003</v>
      </c>
      <c r="P49" s="202">
        <f>+J49-N49</f>
        <v>0</v>
      </c>
      <c r="Q49" s="35">
        <v>3233.4148000000005</v>
      </c>
      <c r="R49" s="202">
        <f>+J49*E$7</f>
        <v>0</v>
      </c>
    </row>
    <row r="50" spans="1:18" x14ac:dyDescent="0.2">
      <c r="A50" s="25"/>
      <c r="B50" s="25"/>
      <c r="C50" s="25" t="s">
        <v>107</v>
      </c>
      <c r="D50" s="25">
        <v>0</v>
      </c>
      <c r="E50" s="132"/>
      <c r="F50" s="226" t="s">
        <v>44</v>
      </c>
      <c r="G50" s="41">
        <v>17.21</v>
      </c>
      <c r="H50" s="133"/>
      <c r="I50" s="35">
        <v>0</v>
      </c>
      <c r="J50" s="202">
        <f>E50*H50</f>
        <v>0</v>
      </c>
      <c r="K50" s="225">
        <v>0</v>
      </c>
      <c r="L50" s="214"/>
      <c r="M50" s="35">
        <v>0</v>
      </c>
      <c r="N50" s="202">
        <f>J50*L50</f>
        <v>0</v>
      </c>
      <c r="O50" s="35">
        <v>0</v>
      </c>
      <c r="P50" s="202">
        <f>+J50-N50</f>
        <v>0</v>
      </c>
      <c r="Q50" s="35">
        <v>0</v>
      </c>
      <c r="R50" s="202">
        <f>+J50*E$7</f>
        <v>0</v>
      </c>
    </row>
    <row r="51" spans="1:18" x14ac:dyDescent="0.2">
      <c r="A51" s="25"/>
      <c r="B51" s="25"/>
      <c r="C51" s="25"/>
      <c r="D51" s="25"/>
      <c r="E51" s="209"/>
      <c r="F51" s="21"/>
      <c r="G51" s="41"/>
      <c r="H51" s="198"/>
      <c r="I51" s="35"/>
      <c r="J51" s="184"/>
      <c r="K51" s="225"/>
      <c r="L51" s="198"/>
      <c r="M51" s="35"/>
      <c r="N51" s="184"/>
      <c r="O51" s="35"/>
      <c r="P51" s="184"/>
      <c r="Q51" s="35"/>
      <c r="R51" s="184"/>
    </row>
    <row r="52" spans="1:18" x14ac:dyDescent="0.2">
      <c r="A52" s="25"/>
      <c r="B52" s="25" t="s">
        <v>51</v>
      </c>
      <c r="C52" s="25"/>
      <c r="D52" s="25"/>
      <c r="E52" s="209"/>
      <c r="F52" s="21"/>
      <c r="G52" s="41"/>
      <c r="H52" s="198"/>
      <c r="I52" s="186"/>
      <c r="J52" s="184"/>
      <c r="K52" s="225"/>
      <c r="L52" s="198"/>
      <c r="M52" s="35"/>
      <c r="N52" s="184"/>
      <c r="O52" s="35"/>
      <c r="P52" s="184"/>
      <c r="Q52" s="35"/>
      <c r="R52" s="184"/>
    </row>
    <row r="53" spans="1:18" x14ac:dyDescent="0.2">
      <c r="A53" s="25"/>
      <c r="B53" s="25"/>
      <c r="C53" s="25" t="s">
        <v>104</v>
      </c>
      <c r="D53" s="25">
        <v>1</v>
      </c>
      <c r="E53" s="132"/>
      <c r="F53" s="226" t="s">
        <v>42</v>
      </c>
      <c r="G53" s="41">
        <v>0</v>
      </c>
      <c r="H53" s="133"/>
      <c r="I53" s="35">
        <v>0</v>
      </c>
      <c r="J53" s="202">
        <f>E53*H53</f>
        <v>0</v>
      </c>
      <c r="K53" s="225">
        <v>0</v>
      </c>
      <c r="L53" s="214"/>
      <c r="M53" s="35">
        <v>0</v>
      </c>
      <c r="N53" s="202">
        <f>J53*L53</f>
        <v>0</v>
      </c>
      <c r="O53" s="35">
        <v>0</v>
      </c>
      <c r="P53" s="202">
        <f>+J53-N53</f>
        <v>0</v>
      </c>
      <c r="Q53" s="35">
        <v>0</v>
      </c>
      <c r="R53" s="202">
        <f>+J53*E$7</f>
        <v>0</v>
      </c>
    </row>
    <row r="54" spans="1:18" x14ac:dyDescent="0.2">
      <c r="A54" s="25"/>
      <c r="B54" s="25"/>
      <c r="C54" s="25" t="s">
        <v>105</v>
      </c>
      <c r="D54" s="25">
        <v>12.14</v>
      </c>
      <c r="E54" s="132"/>
      <c r="F54" s="226" t="s">
        <v>79</v>
      </c>
      <c r="G54" s="41">
        <v>3.6</v>
      </c>
      <c r="H54" s="133"/>
      <c r="I54" s="35">
        <v>43.704000000000001</v>
      </c>
      <c r="J54" s="202">
        <f>E54*H54</f>
        <v>0</v>
      </c>
      <c r="K54" s="225">
        <v>0</v>
      </c>
      <c r="L54" s="214"/>
      <c r="M54" s="35">
        <v>0</v>
      </c>
      <c r="N54" s="202">
        <f>J54*L54</f>
        <v>0</v>
      </c>
      <c r="O54" s="35">
        <v>43.704000000000001</v>
      </c>
      <c r="P54" s="202">
        <f>+J54-N54</f>
        <v>0</v>
      </c>
      <c r="Q54" s="35">
        <v>5331.8879999999999</v>
      </c>
      <c r="R54" s="202">
        <f>+J54*E$7</f>
        <v>0</v>
      </c>
    </row>
    <row r="55" spans="1:18" x14ac:dyDescent="0.2">
      <c r="A55" s="25"/>
      <c r="B55" s="25"/>
      <c r="C55" s="25"/>
      <c r="D55" s="25"/>
      <c r="E55" s="209"/>
      <c r="F55" s="21"/>
      <c r="G55" s="41"/>
      <c r="H55" s="198"/>
      <c r="I55" s="35"/>
      <c r="J55" s="184"/>
      <c r="K55" s="225"/>
      <c r="L55" s="198"/>
      <c r="M55" s="35"/>
      <c r="N55" s="184"/>
      <c r="O55" s="35"/>
      <c r="P55" s="184"/>
      <c r="Q55" s="35"/>
      <c r="R55" s="184"/>
    </row>
    <row r="56" spans="1:18" x14ac:dyDescent="0.2">
      <c r="A56" s="25"/>
      <c r="B56" s="25" t="s">
        <v>29</v>
      </c>
      <c r="C56" s="25"/>
      <c r="D56" s="25"/>
      <c r="E56" s="209"/>
      <c r="F56" s="21"/>
      <c r="G56" s="41"/>
      <c r="H56" s="198"/>
      <c r="I56" s="186"/>
      <c r="J56" s="184"/>
      <c r="K56" s="225"/>
      <c r="L56" s="198"/>
      <c r="M56" s="35"/>
      <c r="N56" s="184"/>
      <c r="O56" s="35"/>
      <c r="P56" s="184"/>
      <c r="Q56" s="35"/>
      <c r="R56" s="184"/>
    </row>
    <row r="57" spans="1:18" x14ac:dyDescent="0.2">
      <c r="A57" s="25"/>
      <c r="B57" s="25"/>
      <c r="C57" s="25" t="s">
        <v>104</v>
      </c>
      <c r="D57" s="25">
        <v>1</v>
      </c>
      <c r="E57" s="132"/>
      <c r="F57" s="226" t="s">
        <v>42</v>
      </c>
      <c r="G57" s="41">
        <v>17.738114754098362</v>
      </c>
      <c r="H57" s="133"/>
      <c r="I57" s="35">
        <v>17.738114754098362</v>
      </c>
      <c r="J57" s="202">
        <f>E57*H57</f>
        <v>0</v>
      </c>
      <c r="K57" s="225">
        <v>0</v>
      </c>
      <c r="L57" s="214"/>
      <c r="M57" s="35">
        <v>0</v>
      </c>
      <c r="N57" s="202">
        <f>J57*L57</f>
        <v>0</v>
      </c>
      <c r="O57" s="35">
        <v>17.738114754098362</v>
      </c>
      <c r="P57" s="202">
        <f>+J57-N57</f>
        <v>0</v>
      </c>
      <c r="Q57" s="35">
        <v>2164.0500000000002</v>
      </c>
      <c r="R57" s="202">
        <f>+J57*E$7</f>
        <v>0</v>
      </c>
    </row>
    <row r="58" spans="1:18" x14ac:dyDescent="0.2">
      <c r="A58" s="25"/>
      <c r="B58" s="25"/>
      <c r="C58" s="25" t="s">
        <v>105</v>
      </c>
      <c r="D58" s="25">
        <v>0</v>
      </c>
      <c r="E58" s="132"/>
      <c r="F58" s="226" t="s">
        <v>79</v>
      </c>
      <c r="G58" s="41">
        <v>3.15</v>
      </c>
      <c r="H58" s="133"/>
      <c r="I58" s="35">
        <v>0</v>
      </c>
      <c r="J58" s="202">
        <f>E58*H58</f>
        <v>0</v>
      </c>
      <c r="K58" s="225">
        <v>0</v>
      </c>
      <c r="L58" s="214"/>
      <c r="M58" s="35">
        <v>0</v>
      </c>
      <c r="N58" s="202">
        <f>J58*L58</f>
        <v>0</v>
      </c>
      <c r="O58" s="35">
        <v>0</v>
      </c>
      <c r="P58" s="202">
        <f>+J58-N58</f>
        <v>0</v>
      </c>
      <c r="Q58" s="35">
        <v>0</v>
      </c>
      <c r="R58" s="202">
        <f>+J58*E$7</f>
        <v>0</v>
      </c>
    </row>
    <row r="59" spans="1:18" x14ac:dyDescent="0.2">
      <c r="A59" s="25"/>
      <c r="B59" s="25"/>
      <c r="C59" s="25"/>
      <c r="D59" s="25"/>
      <c r="E59" s="209"/>
      <c r="F59" s="21"/>
      <c r="G59" s="41"/>
      <c r="H59" s="198"/>
      <c r="I59" s="35"/>
      <c r="J59" s="184"/>
      <c r="K59" s="225"/>
      <c r="L59" s="198"/>
      <c r="M59" s="35"/>
      <c r="N59" s="184"/>
      <c r="O59" s="35"/>
      <c r="P59" s="184"/>
      <c r="Q59" s="35"/>
      <c r="R59" s="184"/>
    </row>
    <row r="60" spans="1:18" x14ac:dyDescent="0.2">
      <c r="A60" s="25"/>
      <c r="B60" s="25" t="s">
        <v>47</v>
      </c>
      <c r="C60" s="25"/>
      <c r="D60" s="25"/>
      <c r="E60" s="209"/>
      <c r="F60" s="21"/>
      <c r="G60" s="41"/>
      <c r="H60" s="199"/>
      <c r="I60" s="186"/>
      <c r="J60" s="184"/>
      <c r="K60" s="225"/>
      <c r="L60" s="199"/>
      <c r="M60" s="35"/>
      <c r="N60" s="184"/>
      <c r="O60" s="35"/>
      <c r="P60" s="184"/>
      <c r="Q60" s="35"/>
      <c r="R60" s="184"/>
    </row>
    <row r="61" spans="1:18" x14ac:dyDescent="0.2">
      <c r="A61" s="25"/>
      <c r="B61" s="25"/>
      <c r="C61" s="25" t="s">
        <v>104</v>
      </c>
      <c r="D61" s="25">
        <v>1</v>
      </c>
      <c r="E61" s="132"/>
      <c r="F61" s="226" t="s">
        <v>42</v>
      </c>
      <c r="G61" s="41">
        <v>3.2042213114754099</v>
      </c>
      <c r="H61" s="133"/>
      <c r="I61" s="35">
        <v>3.2042213114754099</v>
      </c>
      <c r="J61" s="202">
        <f t="shared" ref="J61:J66" si="12">E61*H61</f>
        <v>0</v>
      </c>
      <c r="K61" s="225">
        <v>0</v>
      </c>
      <c r="L61" s="214"/>
      <c r="M61" s="35">
        <v>0</v>
      </c>
      <c r="N61" s="202">
        <f t="shared" ref="N61:N66" si="13">J61*L61</f>
        <v>0</v>
      </c>
      <c r="O61" s="35">
        <v>3.2042213114754099</v>
      </c>
      <c r="P61" s="202">
        <f t="shared" ref="P61:P66" si="14">+J61-N61</f>
        <v>0</v>
      </c>
      <c r="Q61" s="35">
        <v>390.91500000000002</v>
      </c>
      <c r="R61" s="202">
        <f t="shared" ref="R61:R66" si="15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2"/>
      <c r="F62" s="226" t="s">
        <v>42</v>
      </c>
      <c r="G62" s="41">
        <v>71.209800000000001</v>
      </c>
      <c r="H62" s="133"/>
      <c r="I62" s="35">
        <v>71.209800000000001</v>
      </c>
      <c r="J62" s="202">
        <f t="shared" si="12"/>
        <v>0</v>
      </c>
      <c r="K62" s="225">
        <v>0</v>
      </c>
      <c r="L62" s="214"/>
      <c r="M62" s="35">
        <v>0</v>
      </c>
      <c r="N62" s="202">
        <f t="shared" si="13"/>
        <v>0</v>
      </c>
      <c r="O62" s="35">
        <v>71.209800000000001</v>
      </c>
      <c r="P62" s="202">
        <f t="shared" si="14"/>
        <v>0</v>
      </c>
      <c r="Q62" s="35">
        <v>8687.5956000000006</v>
      </c>
      <c r="R62" s="202">
        <f t="shared" si="15"/>
        <v>0</v>
      </c>
    </row>
    <row r="63" spans="1:18" x14ac:dyDescent="0.2">
      <c r="A63" s="25"/>
      <c r="B63" s="25"/>
      <c r="C63" s="25" t="s">
        <v>105</v>
      </c>
      <c r="D63" s="25">
        <v>1</v>
      </c>
      <c r="E63" s="132"/>
      <c r="F63" s="226" t="s">
        <v>42</v>
      </c>
      <c r="G63" s="41">
        <v>35.462133375712675</v>
      </c>
      <c r="H63" s="133"/>
      <c r="I63" s="35">
        <v>35.462133375712675</v>
      </c>
      <c r="J63" s="202">
        <f t="shared" si="12"/>
        <v>0</v>
      </c>
      <c r="K63" s="225">
        <v>0</v>
      </c>
      <c r="L63" s="214"/>
      <c r="M63" s="35">
        <v>0</v>
      </c>
      <c r="N63" s="202">
        <f t="shared" si="13"/>
        <v>0</v>
      </c>
      <c r="O63" s="35">
        <v>35.462133375712675</v>
      </c>
      <c r="P63" s="202">
        <f t="shared" si="14"/>
        <v>0</v>
      </c>
      <c r="Q63" s="35">
        <v>4326.3802718369461</v>
      </c>
      <c r="R63" s="202">
        <f t="shared" si="15"/>
        <v>0</v>
      </c>
    </row>
    <row r="64" spans="1:18" x14ac:dyDescent="0.2">
      <c r="A64" s="25"/>
      <c r="B64" s="25"/>
      <c r="C64" s="25" t="s">
        <v>4</v>
      </c>
      <c r="D64" s="25">
        <v>1</v>
      </c>
      <c r="E64" s="132"/>
      <c r="F64" s="226" t="s">
        <v>42</v>
      </c>
      <c r="G64" s="41">
        <v>13.650687566428987</v>
      </c>
      <c r="H64" s="133"/>
      <c r="I64" s="35">
        <v>13.650687566428987</v>
      </c>
      <c r="J64" s="202">
        <f t="shared" si="12"/>
        <v>0</v>
      </c>
      <c r="K64" s="225">
        <v>0</v>
      </c>
      <c r="L64" s="214"/>
      <c r="M64" s="35">
        <v>0</v>
      </c>
      <c r="N64" s="202">
        <f t="shared" si="13"/>
        <v>0</v>
      </c>
      <c r="O64" s="35">
        <v>13.650687566428987</v>
      </c>
      <c r="P64" s="202">
        <f t="shared" si="14"/>
        <v>0</v>
      </c>
      <c r="Q64" s="35">
        <v>1665.3838831043363</v>
      </c>
      <c r="R64" s="202">
        <f t="shared" si="15"/>
        <v>0</v>
      </c>
    </row>
    <row r="65" spans="1:18" x14ac:dyDescent="0.2">
      <c r="A65" s="25"/>
      <c r="B65" s="133"/>
      <c r="C65" s="133"/>
      <c r="D65" s="25"/>
      <c r="E65" s="132"/>
      <c r="F65" s="226"/>
      <c r="G65" s="41"/>
      <c r="H65" s="133"/>
      <c r="I65" s="35">
        <v>0</v>
      </c>
      <c r="J65" s="202">
        <f t="shared" si="12"/>
        <v>0</v>
      </c>
      <c r="K65" s="225">
        <v>0</v>
      </c>
      <c r="L65" s="214"/>
      <c r="M65" s="35">
        <v>0</v>
      </c>
      <c r="N65" s="202">
        <f t="shared" si="13"/>
        <v>0</v>
      </c>
      <c r="O65" s="35">
        <v>0</v>
      </c>
      <c r="P65" s="202">
        <f t="shared" si="14"/>
        <v>0</v>
      </c>
      <c r="Q65" s="35">
        <v>0</v>
      </c>
      <c r="R65" s="202">
        <f t="shared" si="15"/>
        <v>0</v>
      </c>
    </row>
    <row r="66" spans="1:18" x14ac:dyDescent="0.2">
      <c r="A66" s="25"/>
      <c r="B66" s="133"/>
      <c r="C66" s="133"/>
      <c r="D66" s="25"/>
      <c r="E66" s="132"/>
      <c r="F66" s="226"/>
      <c r="G66" s="41"/>
      <c r="H66" s="133"/>
      <c r="I66" s="35">
        <v>0</v>
      </c>
      <c r="J66" s="202">
        <f t="shared" si="12"/>
        <v>0</v>
      </c>
      <c r="K66" s="225">
        <v>0</v>
      </c>
      <c r="L66" s="214"/>
      <c r="M66" s="35">
        <v>0</v>
      </c>
      <c r="N66" s="202">
        <f t="shared" si="13"/>
        <v>0</v>
      </c>
      <c r="O66" s="35">
        <v>0</v>
      </c>
      <c r="P66" s="202">
        <f t="shared" si="14"/>
        <v>0</v>
      </c>
      <c r="Q66" s="35">
        <v>0</v>
      </c>
      <c r="R66" s="202">
        <f t="shared" si="15"/>
        <v>0</v>
      </c>
    </row>
    <row r="67" spans="1:18" ht="13.5" thickBot="1" x14ac:dyDescent="0.25">
      <c r="A67" s="25"/>
      <c r="B67" s="25" t="s">
        <v>32</v>
      </c>
      <c r="C67" s="25"/>
      <c r="D67" s="25"/>
      <c r="E67" s="197"/>
      <c r="F67" s="21"/>
      <c r="G67" s="39">
        <v>0.08</v>
      </c>
      <c r="H67" s="215"/>
      <c r="I67" s="42">
        <v>18.61515267974351</v>
      </c>
      <c r="J67" s="202">
        <f>+SUM(J18:J66)/2*H67</f>
        <v>0</v>
      </c>
      <c r="K67" s="86"/>
      <c r="L67" s="137"/>
      <c r="M67" s="42">
        <v>0</v>
      </c>
      <c r="N67" s="202">
        <f>+SUM(N18:N66)/2*L67</f>
        <v>0</v>
      </c>
      <c r="O67" s="42">
        <v>18.61515267974351</v>
      </c>
      <c r="P67" s="202">
        <f>+SUM(P18:P66)/2*L67</f>
        <v>0</v>
      </c>
      <c r="Q67" s="42">
        <v>2271.048626928708</v>
      </c>
      <c r="R67" s="184">
        <f>+J67*E$7</f>
        <v>0</v>
      </c>
    </row>
    <row r="68" spans="1:18" ht="13.5" thickBot="1" x14ac:dyDescent="0.25">
      <c r="A68" s="25" t="s">
        <v>33</v>
      </c>
      <c r="B68" s="25"/>
      <c r="C68" s="25"/>
      <c r="D68" s="25"/>
      <c r="E68" s="200"/>
      <c r="F68" s="25"/>
      <c r="G68" s="25"/>
      <c r="H68" s="197"/>
      <c r="I68" s="87">
        <v>914.2935584135023</v>
      </c>
      <c r="J68" s="204">
        <f>SUM(J19:J67)</f>
        <v>0</v>
      </c>
      <c r="K68" s="35"/>
      <c r="L68" s="195"/>
      <c r="M68" s="87">
        <v>0</v>
      </c>
      <c r="N68" s="204">
        <f>SUM(N19:N67)</f>
        <v>0</v>
      </c>
      <c r="O68" s="87">
        <v>914.2935584135023</v>
      </c>
      <c r="P68" s="204">
        <f>SUM(P19:P67)</f>
        <v>0</v>
      </c>
      <c r="Q68" s="87">
        <v>111543.81412644727</v>
      </c>
      <c r="R68" s="204">
        <f>SUM(R19:R67)</f>
        <v>0</v>
      </c>
    </row>
    <row r="69" spans="1:18" ht="13.5" thickTop="1" x14ac:dyDescent="0.2">
      <c r="A69" s="25" t="s">
        <v>34</v>
      </c>
      <c r="B69" s="25"/>
      <c r="C69" s="25"/>
      <c r="D69" s="25"/>
      <c r="E69" s="200"/>
      <c r="F69" s="25"/>
      <c r="G69" s="25"/>
      <c r="H69" s="197"/>
      <c r="I69" s="35">
        <v>663.7064415864977</v>
      </c>
      <c r="J69" s="202">
        <f>+J14-J68</f>
        <v>0</v>
      </c>
      <c r="K69" s="35"/>
      <c r="L69" s="195"/>
      <c r="M69" s="35">
        <v>0</v>
      </c>
      <c r="N69" s="202">
        <f>+N14-N68</f>
        <v>0</v>
      </c>
      <c r="O69" s="35">
        <v>663.7064415864977</v>
      </c>
      <c r="P69" s="202">
        <f>+P14-P68</f>
        <v>0</v>
      </c>
      <c r="Q69" s="35">
        <v>80972.185873552735</v>
      </c>
      <c r="R69" s="202">
        <f>+R14-R68</f>
        <v>0</v>
      </c>
    </row>
    <row r="70" spans="1:18" x14ac:dyDescent="0.2">
      <c r="A70" s="25"/>
      <c r="B70" s="25" t="s">
        <v>35</v>
      </c>
      <c r="C70" s="25"/>
      <c r="D70" s="25"/>
      <c r="E70" s="210"/>
      <c r="F70" s="17"/>
      <c r="G70" s="40">
        <v>0.35752903894233484</v>
      </c>
      <c r="H70" s="210" t="str">
        <f>IF(E10=0,"n/a",(YVarExp-(YTotExp+YTotRet-J10))/E10)</f>
        <v>n/a</v>
      </c>
      <c r="I70" s="25" t="s">
        <v>83</v>
      </c>
      <c r="J70" s="184"/>
      <c r="K70" s="25"/>
      <c r="L70" s="197"/>
      <c r="M70" s="25"/>
      <c r="N70" s="184"/>
      <c r="O70" s="25"/>
      <c r="P70" s="184"/>
      <c r="Q70" s="25"/>
      <c r="R70" s="184"/>
    </row>
    <row r="71" spans="1:18" x14ac:dyDescent="0.2">
      <c r="A71" s="25"/>
      <c r="B71" s="25"/>
      <c r="C71" s="25"/>
      <c r="D71" s="25"/>
      <c r="E71" s="178"/>
      <c r="F71" s="25"/>
      <c r="G71" s="25"/>
      <c r="H71" s="211"/>
      <c r="I71" s="25"/>
      <c r="J71" s="184"/>
      <c r="K71" s="25"/>
      <c r="L71" s="197"/>
      <c r="M71" s="25"/>
      <c r="N71" s="184"/>
      <c r="O71" s="25"/>
      <c r="P71" s="184"/>
      <c r="Q71" s="22" t="s">
        <v>19</v>
      </c>
      <c r="R71" s="184" t="s">
        <v>19</v>
      </c>
    </row>
    <row r="72" spans="1:18" x14ac:dyDescent="0.2">
      <c r="A72" s="23" t="s">
        <v>36</v>
      </c>
      <c r="B72" s="23"/>
      <c r="C72" s="23"/>
      <c r="D72" s="24" t="s">
        <v>2</v>
      </c>
      <c r="E72" s="196" t="s">
        <v>2</v>
      </c>
      <c r="F72" s="24" t="s">
        <v>21</v>
      </c>
      <c r="G72" s="24" t="s">
        <v>22</v>
      </c>
      <c r="H72" s="196" t="s">
        <v>22</v>
      </c>
      <c r="I72" s="24" t="s">
        <v>11</v>
      </c>
      <c r="J72" s="196" t="s">
        <v>11</v>
      </c>
      <c r="K72" s="24" t="s">
        <v>10</v>
      </c>
      <c r="L72" s="196" t="s">
        <v>10</v>
      </c>
      <c r="M72" s="24" t="s">
        <v>9</v>
      </c>
      <c r="N72" s="196" t="s">
        <v>9</v>
      </c>
      <c r="O72" s="24" t="s">
        <v>8</v>
      </c>
      <c r="P72" s="196" t="s">
        <v>8</v>
      </c>
      <c r="Q72" s="24" t="s">
        <v>11</v>
      </c>
      <c r="R72" s="208" t="s">
        <v>11</v>
      </c>
    </row>
    <row r="73" spans="1:18" x14ac:dyDescent="0.2">
      <c r="A73" s="25"/>
      <c r="B73" s="25" t="s">
        <v>106</v>
      </c>
      <c r="C73" s="25"/>
      <c r="D73" s="25"/>
      <c r="E73" s="178"/>
      <c r="F73" s="25"/>
      <c r="G73" s="25"/>
      <c r="H73" s="211"/>
      <c r="I73" s="186"/>
      <c r="J73" s="184"/>
      <c r="K73" s="225"/>
      <c r="L73" s="197"/>
      <c r="M73" s="25"/>
      <c r="N73" s="184"/>
      <c r="O73" s="25"/>
      <c r="P73" s="184"/>
      <c r="Q73" s="25"/>
      <c r="R73" s="184"/>
    </row>
    <row r="74" spans="1:18" x14ac:dyDescent="0.2">
      <c r="A74" s="25"/>
      <c r="B74" s="25"/>
      <c r="C74" s="25" t="s">
        <v>104</v>
      </c>
      <c r="D74" s="25">
        <v>1</v>
      </c>
      <c r="E74" s="132"/>
      <c r="F74" s="226" t="s">
        <v>42</v>
      </c>
      <c r="G74" s="41">
        <v>9.151229508196721</v>
      </c>
      <c r="H74" s="133"/>
      <c r="I74" s="35">
        <v>9.151229508196721</v>
      </c>
      <c r="J74" s="202">
        <f t="shared" ref="J74:J77" si="16">E74*H74</f>
        <v>0</v>
      </c>
      <c r="K74" s="225">
        <v>0</v>
      </c>
      <c r="L74" s="214"/>
      <c r="M74" s="35">
        <v>0</v>
      </c>
      <c r="N74" s="202">
        <f>J74*L74</f>
        <v>0</v>
      </c>
      <c r="O74" s="35">
        <v>9.151229508196721</v>
      </c>
      <c r="P74" s="202">
        <f t="shared" ref="P74:P77" si="17">+J74-N74</f>
        <v>0</v>
      </c>
      <c r="Q74" s="35">
        <v>1116.45</v>
      </c>
      <c r="R74" s="202">
        <f t="shared" ref="R74:R77" si="18">+J74*E$7</f>
        <v>0</v>
      </c>
    </row>
    <row r="75" spans="1:18" x14ac:dyDescent="0.2">
      <c r="A75" s="25"/>
      <c r="B75" s="25"/>
      <c r="C75" s="25" t="s">
        <v>46</v>
      </c>
      <c r="D75" s="25">
        <v>1</v>
      </c>
      <c r="E75" s="132"/>
      <c r="F75" s="226" t="s">
        <v>42</v>
      </c>
      <c r="G75" s="41">
        <v>59.229508196721312</v>
      </c>
      <c r="H75" s="133"/>
      <c r="I75" s="35">
        <v>59.229508196721312</v>
      </c>
      <c r="J75" s="202">
        <f t="shared" si="16"/>
        <v>0</v>
      </c>
      <c r="K75" s="225">
        <v>0</v>
      </c>
      <c r="L75" s="214"/>
      <c r="M75" s="35">
        <v>0</v>
      </c>
      <c r="N75" s="202">
        <f>J75*L75</f>
        <v>0</v>
      </c>
      <c r="O75" s="35">
        <v>59.229508196721312</v>
      </c>
      <c r="P75" s="202">
        <f t="shared" si="17"/>
        <v>0</v>
      </c>
      <c r="Q75" s="35">
        <v>7226</v>
      </c>
      <c r="R75" s="202">
        <f t="shared" si="18"/>
        <v>0</v>
      </c>
    </row>
    <row r="76" spans="1:18" x14ac:dyDescent="0.2">
      <c r="A76" s="25"/>
      <c r="B76" s="25"/>
      <c r="C76" s="25" t="s">
        <v>105</v>
      </c>
      <c r="D76" s="25">
        <v>1</v>
      </c>
      <c r="E76" s="132"/>
      <c r="F76" s="226" t="s">
        <v>42</v>
      </c>
      <c r="G76" s="41">
        <v>39.23240192804063</v>
      </c>
      <c r="H76" s="133"/>
      <c r="I76" s="35">
        <v>39.23240192804063</v>
      </c>
      <c r="J76" s="202">
        <f t="shared" si="16"/>
        <v>0</v>
      </c>
      <c r="K76" s="225">
        <v>0</v>
      </c>
      <c r="L76" s="214"/>
      <c r="M76" s="35">
        <v>0</v>
      </c>
      <c r="N76" s="202">
        <f>J76*L76</f>
        <v>0</v>
      </c>
      <c r="O76" s="35">
        <v>39.23240192804063</v>
      </c>
      <c r="P76" s="202">
        <f t="shared" si="17"/>
        <v>0</v>
      </c>
      <c r="Q76" s="35">
        <v>4786.3530352209573</v>
      </c>
      <c r="R76" s="202">
        <f t="shared" si="18"/>
        <v>0</v>
      </c>
    </row>
    <row r="77" spans="1:18" x14ac:dyDescent="0.2">
      <c r="A77" s="25"/>
      <c r="B77" s="25"/>
      <c r="C77" s="25" t="s">
        <v>4</v>
      </c>
      <c r="D77" s="25">
        <v>1</v>
      </c>
      <c r="E77" s="132"/>
      <c r="F77" s="226" t="s">
        <v>42</v>
      </c>
      <c r="G77" s="41">
        <v>17.133569326890903</v>
      </c>
      <c r="H77" s="133"/>
      <c r="I77" s="35">
        <v>17.133569326890903</v>
      </c>
      <c r="J77" s="202">
        <f t="shared" si="16"/>
        <v>0</v>
      </c>
      <c r="K77" s="225">
        <v>0</v>
      </c>
      <c r="L77" s="214"/>
      <c r="M77" s="35">
        <v>0</v>
      </c>
      <c r="N77" s="202">
        <f>J77*L77</f>
        <v>0</v>
      </c>
      <c r="O77" s="35">
        <v>17.133569326890903</v>
      </c>
      <c r="P77" s="202">
        <f t="shared" si="17"/>
        <v>0</v>
      </c>
      <c r="Q77" s="35">
        <v>2090.2954578806903</v>
      </c>
      <c r="R77" s="202">
        <f t="shared" si="18"/>
        <v>0</v>
      </c>
    </row>
    <row r="78" spans="1:18" x14ac:dyDescent="0.2">
      <c r="A78" s="25"/>
      <c r="B78" s="25" t="s">
        <v>89</v>
      </c>
      <c r="C78" s="25"/>
      <c r="D78" s="25"/>
      <c r="E78" s="197"/>
      <c r="F78" s="21"/>
      <c r="G78" s="41"/>
      <c r="H78" s="197"/>
      <c r="I78" s="186"/>
      <c r="J78" s="184"/>
      <c r="K78" s="225"/>
      <c r="L78" s="197"/>
      <c r="M78" s="35"/>
      <c r="N78" s="184"/>
      <c r="O78" s="35"/>
      <c r="P78" s="184"/>
      <c r="Q78" s="35"/>
      <c r="R78" s="184"/>
    </row>
    <row r="79" spans="1:18" x14ac:dyDescent="0.2">
      <c r="A79" s="25"/>
      <c r="B79" s="25"/>
      <c r="C79" s="25" t="s">
        <v>104</v>
      </c>
      <c r="D79" s="41">
        <v>45.165983606557376</v>
      </c>
      <c r="E79" s="132"/>
      <c r="F79" s="226" t="s">
        <v>100</v>
      </c>
      <c r="G79" s="39">
        <v>0.08</v>
      </c>
      <c r="H79" s="215"/>
      <c r="I79" s="35">
        <v>3.61327868852459</v>
      </c>
      <c r="J79" s="202">
        <f t="shared" ref="J79:J89" si="19">E79*H79</f>
        <v>0</v>
      </c>
      <c r="K79" s="225">
        <v>0</v>
      </c>
      <c r="L79" s="214"/>
      <c r="M79" s="35">
        <v>0</v>
      </c>
      <c r="N79" s="202">
        <f>J79*L79</f>
        <v>0</v>
      </c>
      <c r="O79" s="35">
        <v>3.61327868852459</v>
      </c>
      <c r="P79" s="202">
        <f t="shared" ref="P79:P82" si="20">+J79-N79</f>
        <v>0</v>
      </c>
      <c r="Q79" s="35">
        <v>440.82</v>
      </c>
      <c r="R79" s="202">
        <f t="shared" ref="R79:R82" si="21">+J79*E$7</f>
        <v>0</v>
      </c>
    </row>
    <row r="80" spans="1:18" x14ac:dyDescent="0.2">
      <c r="A80" s="25"/>
      <c r="B80" s="25"/>
      <c r="C80" s="25" t="s">
        <v>46</v>
      </c>
      <c r="D80" s="41">
        <v>444.22131147540983</v>
      </c>
      <c r="E80" s="132"/>
      <c r="F80" s="226" t="s">
        <v>100</v>
      </c>
      <c r="G80" s="39">
        <v>0.08</v>
      </c>
      <c r="H80" s="215"/>
      <c r="I80" s="35">
        <v>35.537704918032787</v>
      </c>
      <c r="J80" s="202">
        <f t="shared" si="19"/>
        <v>0</v>
      </c>
      <c r="K80" s="225">
        <v>0</v>
      </c>
      <c r="L80" s="214"/>
      <c r="M80" s="35">
        <v>0</v>
      </c>
      <c r="N80" s="202">
        <f>J80*L80</f>
        <v>0</v>
      </c>
      <c r="O80" s="35">
        <v>35.537704918032787</v>
      </c>
      <c r="P80" s="202">
        <f t="shared" si="20"/>
        <v>0</v>
      </c>
      <c r="Q80" s="35">
        <v>4335.6000000000004</v>
      </c>
      <c r="R80" s="202">
        <f t="shared" si="21"/>
        <v>0</v>
      </c>
    </row>
    <row r="81" spans="1:18" x14ac:dyDescent="0.2">
      <c r="A81" s="25"/>
      <c r="B81" s="25"/>
      <c r="C81" s="25" t="s">
        <v>105</v>
      </c>
      <c r="D81" s="41">
        <v>338.01672825379723</v>
      </c>
      <c r="E81" s="132"/>
      <c r="F81" s="226" t="s">
        <v>100</v>
      </c>
      <c r="G81" s="39">
        <v>0.08</v>
      </c>
      <c r="H81" s="215"/>
      <c r="I81" s="35">
        <v>27.041338260303778</v>
      </c>
      <c r="J81" s="202">
        <f t="shared" si="19"/>
        <v>0</v>
      </c>
      <c r="K81" s="225">
        <v>0</v>
      </c>
      <c r="L81" s="214"/>
      <c r="M81" s="35">
        <v>0</v>
      </c>
      <c r="N81" s="202">
        <f>J81*L81</f>
        <v>0</v>
      </c>
      <c r="O81" s="35">
        <v>27.041338260303778</v>
      </c>
      <c r="P81" s="202">
        <f t="shared" si="20"/>
        <v>0</v>
      </c>
      <c r="Q81" s="35">
        <v>3299.0432677570611</v>
      </c>
      <c r="R81" s="202">
        <f t="shared" si="21"/>
        <v>0</v>
      </c>
    </row>
    <row r="82" spans="1:18" x14ac:dyDescent="0.2">
      <c r="A82" s="25"/>
      <c r="B82" s="25"/>
      <c r="C82" s="25" t="s">
        <v>4</v>
      </c>
      <c r="D82" s="41">
        <v>98.220555222064334</v>
      </c>
      <c r="E82" s="132"/>
      <c r="F82" s="226" t="s">
        <v>100</v>
      </c>
      <c r="G82" s="39">
        <v>0.08</v>
      </c>
      <c r="H82" s="215"/>
      <c r="I82" s="35">
        <v>7.8576444177651465</v>
      </c>
      <c r="J82" s="202">
        <f t="shared" si="19"/>
        <v>0</v>
      </c>
      <c r="K82" s="225">
        <v>0</v>
      </c>
      <c r="L82" s="214"/>
      <c r="M82" s="35">
        <v>0</v>
      </c>
      <c r="N82" s="202">
        <f>J82*L82</f>
        <v>0</v>
      </c>
      <c r="O82" s="35">
        <v>7.8576444177651465</v>
      </c>
      <c r="P82" s="202">
        <f t="shared" si="20"/>
        <v>0</v>
      </c>
      <c r="Q82" s="35">
        <v>958.63261896734787</v>
      </c>
      <c r="R82" s="202">
        <f t="shared" si="21"/>
        <v>0</v>
      </c>
    </row>
    <row r="83" spans="1:18" x14ac:dyDescent="0.2">
      <c r="A83" s="25"/>
      <c r="B83" s="25" t="s">
        <v>156</v>
      </c>
      <c r="C83" s="25"/>
      <c r="D83" s="25">
        <v>1</v>
      </c>
      <c r="E83" s="132"/>
      <c r="F83" s="226" t="s">
        <v>42</v>
      </c>
      <c r="G83" s="41">
        <v>0</v>
      </c>
      <c r="H83" s="133"/>
      <c r="I83" s="35">
        <v>0</v>
      </c>
      <c r="J83" s="202">
        <f t="shared" si="19"/>
        <v>0</v>
      </c>
      <c r="K83" s="225">
        <v>0</v>
      </c>
      <c r="L83" s="214"/>
      <c r="M83" s="35">
        <v>0</v>
      </c>
      <c r="N83" s="202">
        <f t="shared" ref="N83:N90" si="22">J83*L83</f>
        <v>0</v>
      </c>
      <c r="O83" s="35">
        <v>0</v>
      </c>
      <c r="P83" s="202">
        <f t="shared" ref="P83:P90" si="23">+J83-N83</f>
        <v>0</v>
      </c>
      <c r="Q83" s="35">
        <v>0</v>
      </c>
      <c r="R83" s="202">
        <f t="shared" ref="R83:R90" si="24">+J83*E$7</f>
        <v>0</v>
      </c>
    </row>
    <row r="84" spans="1:18" x14ac:dyDescent="0.2">
      <c r="A84" s="25"/>
      <c r="B84" s="25" t="s">
        <v>152</v>
      </c>
      <c r="C84" s="25"/>
      <c r="D84" s="25">
        <v>1</v>
      </c>
      <c r="E84" s="132"/>
      <c r="F84" s="226" t="s">
        <v>42</v>
      </c>
      <c r="G84" s="41">
        <v>0</v>
      </c>
      <c r="H84" s="133"/>
      <c r="I84" s="35">
        <v>0</v>
      </c>
      <c r="J84" s="202">
        <f t="shared" si="19"/>
        <v>0</v>
      </c>
      <c r="K84" s="225">
        <v>0</v>
      </c>
      <c r="L84" s="214"/>
      <c r="M84" s="35">
        <v>0</v>
      </c>
      <c r="N84" s="202">
        <f t="shared" si="22"/>
        <v>0</v>
      </c>
      <c r="O84" s="35">
        <v>0</v>
      </c>
      <c r="P84" s="202">
        <f t="shared" si="23"/>
        <v>0</v>
      </c>
      <c r="Q84" s="35">
        <v>0</v>
      </c>
      <c r="R84" s="202">
        <f t="shared" si="24"/>
        <v>0</v>
      </c>
    </row>
    <row r="85" spans="1:18" x14ac:dyDescent="0.2">
      <c r="A85" s="25"/>
      <c r="B85" s="25" t="s">
        <v>137</v>
      </c>
      <c r="C85" s="25"/>
      <c r="D85" s="25">
        <v>1</v>
      </c>
      <c r="E85" s="132"/>
      <c r="F85" s="226" t="s">
        <v>42</v>
      </c>
      <c r="G85" s="41">
        <v>0</v>
      </c>
      <c r="H85" s="133"/>
      <c r="I85" s="35">
        <v>0</v>
      </c>
      <c r="J85" s="202">
        <f t="shared" si="19"/>
        <v>0</v>
      </c>
      <c r="K85" s="225">
        <v>0</v>
      </c>
      <c r="L85" s="214"/>
      <c r="M85" s="35">
        <v>0</v>
      </c>
      <c r="N85" s="202">
        <f t="shared" si="22"/>
        <v>0</v>
      </c>
      <c r="O85" s="35">
        <v>0</v>
      </c>
      <c r="P85" s="202">
        <f t="shared" si="23"/>
        <v>0</v>
      </c>
      <c r="Q85" s="35">
        <v>0</v>
      </c>
      <c r="R85" s="202">
        <f t="shared" si="24"/>
        <v>0</v>
      </c>
    </row>
    <row r="86" spans="1:18" x14ac:dyDescent="0.2">
      <c r="A86" s="25"/>
      <c r="B86" s="25" t="s">
        <v>453</v>
      </c>
      <c r="C86" s="25"/>
      <c r="D86" s="25">
        <v>1</v>
      </c>
      <c r="E86" s="132"/>
      <c r="F86" s="226" t="s">
        <v>42</v>
      </c>
      <c r="G86" s="41">
        <v>50</v>
      </c>
      <c r="H86" s="133"/>
      <c r="I86" s="35">
        <v>50</v>
      </c>
      <c r="J86" s="202">
        <f t="shared" si="19"/>
        <v>0</v>
      </c>
      <c r="K86" s="225">
        <v>0</v>
      </c>
      <c r="L86" s="214"/>
      <c r="M86" s="35">
        <v>0</v>
      </c>
      <c r="N86" s="202">
        <f t="shared" si="22"/>
        <v>0</v>
      </c>
      <c r="O86" s="35">
        <v>50</v>
      </c>
      <c r="P86" s="202">
        <f t="shared" si="23"/>
        <v>0</v>
      </c>
      <c r="Q86" s="35">
        <v>6100</v>
      </c>
      <c r="R86" s="202">
        <f t="shared" si="24"/>
        <v>0</v>
      </c>
    </row>
    <row r="87" spans="1:18" x14ac:dyDescent="0.2">
      <c r="A87" s="25"/>
      <c r="B87" s="25" t="s">
        <v>159</v>
      </c>
      <c r="C87" s="25"/>
      <c r="D87" s="25">
        <v>1</v>
      </c>
      <c r="E87" s="132"/>
      <c r="F87" s="226" t="s">
        <v>42</v>
      </c>
      <c r="G87" s="41">
        <v>0</v>
      </c>
      <c r="H87" s="133"/>
      <c r="I87" s="35">
        <v>0</v>
      </c>
      <c r="J87" s="202">
        <f t="shared" si="19"/>
        <v>0</v>
      </c>
      <c r="K87" s="225">
        <v>0</v>
      </c>
      <c r="L87" s="214"/>
      <c r="M87" s="35">
        <v>0</v>
      </c>
      <c r="N87" s="202">
        <f t="shared" si="22"/>
        <v>0</v>
      </c>
      <c r="O87" s="35">
        <v>0</v>
      </c>
      <c r="P87" s="202">
        <f t="shared" si="23"/>
        <v>0</v>
      </c>
      <c r="Q87" s="35">
        <v>0</v>
      </c>
      <c r="R87" s="202">
        <f t="shared" si="24"/>
        <v>0</v>
      </c>
    </row>
    <row r="88" spans="1:18" x14ac:dyDescent="0.2">
      <c r="A88" s="25"/>
      <c r="B88" s="25" t="s">
        <v>160</v>
      </c>
      <c r="C88" s="25"/>
      <c r="D88" s="25">
        <v>1</v>
      </c>
      <c r="E88" s="132"/>
      <c r="F88" s="226" t="s">
        <v>42</v>
      </c>
      <c r="G88" s="41">
        <v>0</v>
      </c>
      <c r="H88" s="133"/>
      <c r="I88" s="35">
        <v>0</v>
      </c>
      <c r="J88" s="202">
        <f t="shared" si="19"/>
        <v>0</v>
      </c>
      <c r="K88" s="225">
        <v>0</v>
      </c>
      <c r="L88" s="214"/>
      <c r="M88" s="35">
        <v>0</v>
      </c>
      <c r="N88" s="202">
        <f t="shared" si="22"/>
        <v>0</v>
      </c>
      <c r="O88" s="35">
        <v>0</v>
      </c>
      <c r="P88" s="202">
        <f t="shared" si="23"/>
        <v>0</v>
      </c>
      <c r="Q88" s="35">
        <v>0</v>
      </c>
      <c r="R88" s="202">
        <f t="shared" si="24"/>
        <v>0</v>
      </c>
    </row>
    <row r="89" spans="1:18" x14ac:dyDescent="0.2">
      <c r="A89" s="25"/>
      <c r="B89" s="133"/>
      <c r="C89" s="133"/>
      <c r="D89" s="25">
        <v>1</v>
      </c>
      <c r="E89" s="132"/>
      <c r="F89" s="226"/>
      <c r="G89" s="41">
        <v>0</v>
      </c>
      <c r="H89" s="133"/>
      <c r="I89" s="35">
        <v>0</v>
      </c>
      <c r="J89" s="202">
        <f t="shared" si="19"/>
        <v>0</v>
      </c>
      <c r="K89" s="225">
        <v>0</v>
      </c>
      <c r="L89" s="214"/>
      <c r="M89" s="35">
        <v>0</v>
      </c>
      <c r="N89" s="202">
        <f t="shared" si="22"/>
        <v>0</v>
      </c>
      <c r="O89" s="35">
        <v>0</v>
      </c>
      <c r="P89" s="202">
        <f t="shared" si="23"/>
        <v>0</v>
      </c>
      <c r="Q89" s="35">
        <v>0</v>
      </c>
      <c r="R89" s="202">
        <f t="shared" si="24"/>
        <v>0</v>
      </c>
    </row>
    <row r="90" spans="1:18" ht="13.5" thickBot="1" x14ac:dyDescent="0.25">
      <c r="A90" s="25"/>
      <c r="B90" s="133"/>
      <c r="C90" s="133"/>
      <c r="D90" s="25">
        <v>1</v>
      </c>
      <c r="E90" s="132"/>
      <c r="F90" s="226"/>
      <c r="G90" s="41">
        <v>0</v>
      </c>
      <c r="H90" s="133"/>
      <c r="I90" s="35">
        <v>0</v>
      </c>
      <c r="J90" s="202">
        <f>E90*H90</f>
        <v>0</v>
      </c>
      <c r="K90" s="225">
        <v>0</v>
      </c>
      <c r="L90" s="214"/>
      <c r="M90" s="35">
        <v>0</v>
      </c>
      <c r="N90" s="202">
        <f t="shared" si="22"/>
        <v>0</v>
      </c>
      <c r="O90" s="35">
        <v>0</v>
      </c>
      <c r="P90" s="202">
        <f t="shared" si="23"/>
        <v>0</v>
      </c>
      <c r="Q90" s="35">
        <v>0</v>
      </c>
      <c r="R90" s="202">
        <f t="shared" si="24"/>
        <v>0</v>
      </c>
    </row>
    <row r="91" spans="1:18" ht="13.5" thickBot="1" x14ac:dyDescent="0.25">
      <c r="A91" s="25" t="s">
        <v>37</v>
      </c>
      <c r="B91" s="25"/>
      <c r="C91" s="25"/>
      <c r="D91" s="25"/>
      <c r="E91" s="197"/>
      <c r="F91" s="25"/>
      <c r="G91" s="25"/>
      <c r="H91" s="197"/>
      <c r="I91" s="121">
        <v>248.79667524447586</v>
      </c>
      <c r="J91" s="204">
        <f>+SUM(J74:J90)</f>
        <v>0</v>
      </c>
      <c r="K91" s="35"/>
      <c r="L91" s="195"/>
      <c r="M91" s="121">
        <v>0</v>
      </c>
      <c r="N91" s="204">
        <f>+SUM(N74:N90)</f>
        <v>0</v>
      </c>
      <c r="O91" s="121">
        <v>248.79667524447586</v>
      </c>
      <c r="P91" s="204">
        <f>+SUM(P74:P90)</f>
        <v>0</v>
      </c>
      <c r="Q91" s="121">
        <v>30353.194379826058</v>
      </c>
      <c r="R91" s="204">
        <f>+SUM(R74:R90)</f>
        <v>0</v>
      </c>
    </row>
    <row r="92" spans="1:18" ht="14.25" thickTop="1" thickBot="1" x14ac:dyDescent="0.25">
      <c r="A92" s="25" t="s">
        <v>52</v>
      </c>
      <c r="B92" s="25"/>
      <c r="C92" s="25"/>
      <c r="D92" s="25"/>
      <c r="E92" s="197"/>
      <c r="F92" s="25"/>
      <c r="G92" s="25"/>
      <c r="H92" s="197"/>
      <c r="I92" s="87">
        <v>1163.0902336579782</v>
      </c>
      <c r="J92" s="205">
        <f>+J68+J91</f>
        <v>0</v>
      </c>
      <c r="K92" s="35"/>
      <c r="L92" s="195"/>
      <c r="M92" s="87">
        <v>0</v>
      </c>
      <c r="N92" s="205">
        <f>+N68+N91</f>
        <v>0</v>
      </c>
      <c r="O92" s="87">
        <v>1163.0902336579782</v>
      </c>
      <c r="P92" s="205">
        <f>+P68+P91</f>
        <v>0</v>
      </c>
      <c r="Q92" s="87">
        <v>141897.00850627333</v>
      </c>
      <c r="R92" s="205">
        <f>+R68+R91</f>
        <v>0</v>
      </c>
    </row>
    <row r="93" spans="1:18" ht="13.5" thickTop="1" x14ac:dyDescent="0.2">
      <c r="A93" s="25"/>
      <c r="B93" s="25"/>
      <c r="C93" s="25"/>
      <c r="D93" s="25"/>
      <c r="E93" s="197"/>
      <c r="F93" s="25"/>
      <c r="G93" s="25"/>
      <c r="H93" s="197"/>
      <c r="I93" s="35"/>
      <c r="J93" s="184"/>
      <c r="K93" s="35"/>
      <c r="L93" s="195"/>
      <c r="M93" s="35"/>
      <c r="N93" s="184"/>
      <c r="O93" s="35"/>
      <c r="P93" s="184"/>
      <c r="Q93" s="35"/>
      <c r="R93" s="184"/>
    </row>
    <row r="94" spans="1:18" x14ac:dyDescent="0.2">
      <c r="A94" s="25" t="s">
        <v>153</v>
      </c>
      <c r="B94" s="25"/>
      <c r="C94" s="25"/>
      <c r="D94" s="25"/>
      <c r="E94" s="197"/>
      <c r="F94" s="25"/>
      <c r="G94" s="25"/>
      <c r="H94" s="197"/>
      <c r="I94" s="35">
        <v>414.90976634202184</v>
      </c>
      <c r="J94" s="202">
        <f>+J14-J92</f>
        <v>0</v>
      </c>
      <c r="K94" s="35"/>
      <c r="L94" s="195"/>
      <c r="M94" s="35">
        <v>0</v>
      </c>
      <c r="N94" s="202">
        <f>+N14-N92</f>
        <v>0</v>
      </c>
      <c r="O94" s="35">
        <v>414.90976634202184</v>
      </c>
      <c r="P94" s="202">
        <f>+P14-P92</f>
        <v>0</v>
      </c>
      <c r="Q94" s="35">
        <v>50618.991493726673</v>
      </c>
      <c r="R94" s="202">
        <f>+R14-R92</f>
        <v>0</v>
      </c>
    </row>
    <row r="95" spans="1:18" x14ac:dyDescent="0.2">
      <c r="A95" s="25"/>
      <c r="B95" s="25"/>
      <c r="C95" s="25"/>
      <c r="D95" s="25"/>
      <c r="E95" s="197"/>
      <c r="F95" s="25"/>
      <c r="G95" s="25"/>
      <c r="H95" s="197"/>
      <c r="I95" s="35"/>
      <c r="J95" s="206"/>
      <c r="K95" s="35"/>
      <c r="L95" s="195"/>
      <c r="M95" s="35"/>
      <c r="N95" s="195"/>
      <c r="O95" s="35"/>
      <c r="P95" s="195"/>
      <c r="Q95" s="35"/>
      <c r="R95" s="206"/>
    </row>
    <row r="96" spans="1:18" ht="13.5" thickBot="1" x14ac:dyDescent="0.25">
      <c r="A96" s="44" t="s">
        <v>38</v>
      </c>
      <c r="B96" s="44"/>
      <c r="C96" s="44"/>
      <c r="D96" s="44"/>
      <c r="E96" s="201"/>
      <c r="F96" s="44"/>
      <c r="G96" s="45">
        <v>0.5233934891053188</v>
      </c>
      <c r="H96" s="212" t="str">
        <f>IF(E10=0,"n/a",(YTotExp-(YTotExp+YTotRet-J10))/E10)</f>
        <v>n/a</v>
      </c>
      <c r="I96" s="44" t="s">
        <v>83</v>
      </c>
      <c r="J96" s="207"/>
      <c r="K96" s="44"/>
      <c r="L96" s="201"/>
      <c r="M96" s="44"/>
      <c r="N96" s="201"/>
      <c r="O96" s="44"/>
      <c r="P96" s="201"/>
      <c r="Q96" s="44"/>
      <c r="R96" s="207"/>
    </row>
    <row r="97" spans="1:18" ht="13.5" thickTop="1" x14ac:dyDescent="0.2"/>
    <row r="98" spans="1:18" s="17" customFormat="1" ht="15.75" x14ac:dyDescent="0.25">
      <c r="A98"/>
      <c r="B98" s="88"/>
      <c r="C98" s="89"/>
      <c r="D98" s="234" t="s">
        <v>115</v>
      </c>
      <c r="E98" s="235"/>
      <c r="F98" s="235"/>
      <c r="G98" s="235"/>
      <c r="H98" s="235"/>
      <c r="I98" s="235"/>
      <c r="J98" s="99"/>
      <c r="K98" s="99"/>
      <c r="M98"/>
      <c r="N98"/>
    </row>
    <row r="99" spans="1:18" s="17" customFormat="1" ht="15.75" x14ac:dyDescent="0.25">
      <c r="A99"/>
      <c r="B99" s="19" t="s">
        <v>116</v>
      </c>
      <c r="C99" s="19" t="s">
        <v>116</v>
      </c>
      <c r="D99" s="126" t="s">
        <v>170</v>
      </c>
      <c r="E99" s="18"/>
      <c r="F99" s="18"/>
      <c r="G99" s="126" t="s">
        <v>170</v>
      </c>
      <c r="H99" s="18"/>
      <c r="I99" s="18"/>
      <c r="J99" s="18"/>
      <c r="K99" s="18"/>
      <c r="M99"/>
      <c r="N99"/>
    </row>
    <row r="100" spans="1:18" s="17" customFormat="1" x14ac:dyDescent="0.2">
      <c r="A100"/>
      <c r="B100" s="19" t="s">
        <v>81</v>
      </c>
      <c r="C100" s="19" t="s">
        <v>81</v>
      </c>
      <c r="D100" s="126" t="s">
        <v>157</v>
      </c>
      <c r="E100" s="122"/>
      <c r="F100" s="122"/>
      <c r="G100" s="126" t="s">
        <v>11</v>
      </c>
      <c r="H100" s="122"/>
      <c r="I100" s="122"/>
      <c r="J100" s="122"/>
      <c r="K100" s="122"/>
      <c r="M100"/>
      <c r="N100"/>
    </row>
    <row r="101" spans="1:18" s="17" customFormat="1" x14ac:dyDescent="0.2">
      <c r="A101"/>
      <c r="B101" s="19" t="s">
        <v>30</v>
      </c>
      <c r="C101" s="99" t="s">
        <v>83</v>
      </c>
      <c r="D101" s="126" t="s">
        <v>99</v>
      </c>
      <c r="E101" s="122"/>
      <c r="F101" s="122"/>
      <c r="G101" s="126" t="s">
        <v>99</v>
      </c>
      <c r="H101" s="19"/>
      <c r="I101" s="19"/>
      <c r="J101" s="19"/>
      <c r="K101" s="19"/>
      <c r="M101"/>
      <c r="N101"/>
    </row>
    <row r="102" spans="1:18" s="17" customFormat="1" x14ac:dyDescent="0.2">
      <c r="A102"/>
      <c r="B102" s="90">
        <v>0.75</v>
      </c>
      <c r="C102" s="91">
        <v>1125</v>
      </c>
      <c r="D102" s="92">
        <v>0.47670538525644651</v>
      </c>
      <c r="E102" s="93"/>
      <c r="F102" s="94"/>
      <c r="G102" s="92">
        <v>0.69785798547375832</v>
      </c>
      <c r="H102" s="93"/>
      <c r="I102" s="93"/>
      <c r="M102"/>
      <c r="N102"/>
    </row>
    <row r="103" spans="1:18" s="17" customFormat="1" x14ac:dyDescent="0.2">
      <c r="A103"/>
      <c r="B103" s="95">
        <v>0.9</v>
      </c>
      <c r="C103" s="96">
        <v>1350</v>
      </c>
      <c r="D103" s="97">
        <v>0.39725448771370542</v>
      </c>
      <c r="E103" s="83"/>
      <c r="F103" s="98"/>
      <c r="G103" s="97">
        <v>0.58154832122813194</v>
      </c>
      <c r="H103" s="83"/>
      <c r="I103" s="83"/>
      <c r="M103"/>
      <c r="N103"/>
    </row>
    <row r="104" spans="1:18" s="17" customFormat="1" x14ac:dyDescent="0.2">
      <c r="A104"/>
      <c r="B104" s="90">
        <v>1</v>
      </c>
      <c r="C104" s="91">
        <v>1500</v>
      </c>
      <c r="D104" s="92">
        <v>0.35752903894233484</v>
      </c>
      <c r="E104" s="93"/>
      <c r="F104" s="94"/>
      <c r="G104" s="92">
        <v>0.5233934891053188</v>
      </c>
      <c r="H104" s="93"/>
      <c r="I104" s="93"/>
      <c r="M104"/>
      <c r="N104"/>
    </row>
    <row r="105" spans="1:18" s="17" customFormat="1" x14ac:dyDescent="0.2">
      <c r="A105"/>
      <c r="B105" s="95">
        <v>1.1000000000000001</v>
      </c>
      <c r="C105" s="96">
        <v>1650.0000000000002</v>
      </c>
      <c r="D105" s="97">
        <v>0.32502639903848618</v>
      </c>
      <c r="E105" s="83"/>
      <c r="F105" s="98"/>
      <c r="G105" s="97">
        <v>0.47581226282301697</v>
      </c>
      <c r="H105" s="83"/>
      <c r="I105" s="83"/>
      <c r="M105"/>
      <c r="N105"/>
    </row>
    <row r="106" spans="1:18" s="17" customFormat="1" x14ac:dyDescent="0.2">
      <c r="A106"/>
      <c r="B106" s="90">
        <v>1.25</v>
      </c>
      <c r="C106" s="91">
        <v>1875</v>
      </c>
      <c r="D106" s="92">
        <v>0.28602323115386791</v>
      </c>
      <c r="E106" s="93"/>
      <c r="F106" s="94"/>
      <c r="G106" s="92">
        <v>0.41871479128425504</v>
      </c>
      <c r="H106" s="93"/>
      <c r="I106" s="93"/>
      <c r="M106"/>
      <c r="N106"/>
    </row>
    <row r="107" spans="1:18" s="17" customFormat="1" x14ac:dyDescent="0.2">
      <c r="A107"/>
      <c r="M107"/>
      <c r="N107"/>
    </row>
    <row r="108" spans="1:18" x14ac:dyDescent="0.2">
      <c r="A108" s="25" t="s">
        <v>536</v>
      </c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8"/>
      <c r="K109" s="17"/>
      <c r="L109" s="17"/>
      <c r="M109" s="17"/>
      <c r="N109" s="17"/>
      <c r="O109" s="17"/>
      <c r="P109" s="17"/>
      <c r="Q109" s="17"/>
    </row>
    <row r="110" spans="1:18" ht="26.25" customHeight="1" x14ac:dyDescent="0.2">
      <c r="A110" s="236" t="s">
        <v>140</v>
      </c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21"/>
      <c r="N110" s="221"/>
      <c r="O110" s="221"/>
      <c r="P110" s="221"/>
      <c r="Q110" s="221"/>
      <c r="R110" s="221"/>
    </row>
  </sheetData>
  <sheetProtection sheet="1" objects="1" scenarios="1"/>
  <mergeCells count="6">
    <mergeCell ref="D98:I98"/>
    <mergeCell ref="A110:L11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15">
    <tabColor rgb="FF92D050"/>
    <pageSetUpPr fitToPage="1"/>
  </sheetPr>
  <dimension ref="A1:S102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30.1406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134</v>
      </c>
      <c r="C10" s="25"/>
      <c r="D10" s="50">
        <v>1326</v>
      </c>
      <c r="E10" s="132"/>
      <c r="F10" s="226" t="s">
        <v>83</v>
      </c>
      <c r="G10" s="31">
        <v>0.8</v>
      </c>
      <c r="H10" s="133"/>
      <c r="I10" s="35">
        <v>1060.8</v>
      </c>
      <c r="J10" s="202">
        <f t="shared" ref="J10:J13" si="0">E10*H10</f>
        <v>0</v>
      </c>
      <c r="K10" s="225">
        <v>0</v>
      </c>
      <c r="L10" s="214"/>
      <c r="M10" s="35">
        <v>0</v>
      </c>
      <c r="N10" s="202">
        <f t="shared" ref="N10:N13" si="1">J10*L10</f>
        <v>0</v>
      </c>
      <c r="O10" s="35">
        <v>1060.8</v>
      </c>
      <c r="P10" s="202">
        <f>+J10-N10</f>
        <v>0</v>
      </c>
      <c r="Q10" s="35">
        <v>129417.59999999999</v>
      </c>
      <c r="R10" s="202">
        <f t="shared" ref="R10:R13" si="2">+J10*E$7</f>
        <v>0</v>
      </c>
      <c r="S10" s="12"/>
    </row>
    <row r="11" spans="1:19" x14ac:dyDescent="0.2">
      <c r="A11" s="25"/>
      <c r="B11" t="s">
        <v>340</v>
      </c>
      <c r="C11" s="25"/>
      <c r="D11" s="50">
        <v>1.0609999999999999</v>
      </c>
      <c r="E11" s="132"/>
      <c r="F11" s="226" t="s">
        <v>135</v>
      </c>
      <c r="G11" s="31">
        <v>270</v>
      </c>
      <c r="H11" s="133"/>
      <c r="I11" s="35">
        <v>286.46999999999997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286.46999999999997</v>
      </c>
      <c r="P11" s="202">
        <f t="shared" ref="P11:P13" si="3">+J11-N11</f>
        <v>0</v>
      </c>
      <c r="Q11" s="35">
        <v>34949.339999999997</v>
      </c>
      <c r="R11" s="202">
        <f t="shared" si="2"/>
        <v>0</v>
      </c>
      <c r="S11" s="12"/>
    </row>
    <row r="12" spans="1:19" x14ac:dyDescent="0.2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35">
        <v>0</v>
      </c>
      <c r="J12" s="202">
        <f t="shared" si="0"/>
        <v>0</v>
      </c>
      <c r="K12" s="225">
        <v>0</v>
      </c>
      <c r="L12" s="214"/>
      <c r="M12" s="35">
        <v>0</v>
      </c>
      <c r="N12" s="202">
        <f t="shared" si="1"/>
        <v>0</v>
      </c>
      <c r="O12" s="35">
        <v>0</v>
      </c>
      <c r="P12" s="202">
        <f t="shared" si="3"/>
        <v>0</v>
      </c>
      <c r="Q12" s="35">
        <v>0</v>
      </c>
      <c r="R12" s="202">
        <f t="shared" si="2"/>
        <v>0</v>
      </c>
    </row>
    <row r="13" spans="1:19" ht="13.5" thickBot="1" x14ac:dyDescent="0.25">
      <c r="A13" s="25"/>
      <c r="B13" s="133"/>
      <c r="C13" s="133"/>
      <c r="D13" s="50">
        <v>0</v>
      </c>
      <c r="E13" s="132"/>
      <c r="F13" s="226"/>
      <c r="G13" s="31">
        <v>0</v>
      </c>
      <c r="H13" s="133"/>
      <c r="I13" s="42">
        <v>0</v>
      </c>
      <c r="J13" s="202">
        <f t="shared" si="0"/>
        <v>0</v>
      </c>
      <c r="K13" s="225">
        <v>0</v>
      </c>
      <c r="L13" s="214"/>
      <c r="M13" s="42">
        <v>0</v>
      </c>
      <c r="N13" s="202">
        <f t="shared" si="1"/>
        <v>0</v>
      </c>
      <c r="O13" s="42">
        <v>0</v>
      </c>
      <c r="P13" s="202">
        <f t="shared" si="3"/>
        <v>0</v>
      </c>
      <c r="Q13" s="42">
        <v>0</v>
      </c>
      <c r="R13" s="184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200"/>
      <c r="F14" s="25"/>
      <c r="G14" s="25"/>
      <c r="H14" s="197"/>
      <c r="I14" s="36">
        <v>1347.27</v>
      </c>
      <c r="J14" s="203">
        <f>SUM(J10:J13)</f>
        <v>0</v>
      </c>
      <c r="K14" s="35"/>
      <c r="L14" s="195"/>
      <c r="M14" s="36">
        <v>0</v>
      </c>
      <c r="N14" s="203">
        <f>SUM(N10:N13)</f>
        <v>0</v>
      </c>
      <c r="O14" s="36">
        <v>1347.27</v>
      </c>
      <c r="P14" s="203">
        <f>SUM(P10:P13)</f>
        <v>0</v>
      </c>
      <c r="Q14" s="36">
        <v>164366.94</v>
      </c>
      <c r="R14" s="203">
        <f>SUM(R10:R13)</f>
        <v>0</v>
      </c>
    </row>
    <row r="15" spans="1:19" x14ac:dyDescent="0.2">
      <c r="A15" s="25"/>
      <c r="B15" s="25"/>
      <c r="C15" s="25"/>
      <c r="D15" s="25"/>
      <c r="E15" s="178"/>
      <c r="F15" s="25"/>
      <c r="G15" s="25"/>
      <c r="H15" s="211"/>
      <c r="I15" s="35"/>
      <c r="J15" s="184"/>
      <c r="K15" s="35"/>
      <c r="L15" s="195"/>
      <c r="M15" s="35"/>
      <c r="N15" s="184"/>
      <c r="O15" s="35"/>
      <c r="P15" s="184"/>
      <c r="Q15" s="22" t="s">
        <v>19</v>
      </c>
      <c r="R15" s="184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6" t="s">
        <v>2</v>
      </c>
      <c r="F16" s="24" t="s">
        <v>21</v>
      </c>
      <c r="G16" s="24" t="s">
        <v>22</v>
      </c>
      <c r="H16" s="196" t="s">
        <v>22</v>
      </c>
      <c r="I16" s="24" t="s">
        <v>11</v>
      </c>
      <c r="J16" s="196" t="s">
        <v>11</v>
      </c>
      <c r="K16" s="24" t="s">
        <v>10</v>
      </c>
      <c r="L16" s="196" t="s">
        <v>10</v>
      </c>
      <c r="M16" s="24" t="s">
        <v>9</v>
      </c>
      <c r="N16" s="196" t="s">
        <v>9</v>
      </c>
      <c r="O16" s="24" t="s">
        <v>8</v>
      </c>
      <c r="P16" s="196" t="s">
        <v>8</v>
      </c>
      <c r="Q16" s="24" t="s">
        <v>11</v>
      </c>
      <c r="R16" s="208" t="s">
        <v>11</v>
      </c>
    </row>
    <row r="17" spans="1:18" x14ac:dyDescent="0.2">
      <c r="A17" s="25" t="s">
        <v>26</v>
      </c>
      <c r="B17" s="25"/>
      <c r="C17" s="25"/>
      <c r="D17" s="25"/>
      <c r="E17" s="178"/>
      <c r="F17" s="25"/>
      <c r="G17" s="25"/>
      <c r="H17" s="211"/>
      <c r="I17" s="25"/>
      <c r="J17" s="184"/>
      <c r="K17" s="25"/>
      <c r="L17" s="197"/>
      <c r="M17" s="25"/>
      <c r="N17" s="184"/>
      <c r="O17" s="25"/>
      <c r="P17" s="184"/>
      <c r="Q17" s="25"/>
      <c r="R17" s="184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5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501</v>
      </c>
      <c r="C19" s="25" t="s">
        <v>444</v>
      </c>
      <c r="D19" s="25">
        <v>1</v>
      </c>
      <c r="E19" s="132"/>
      <c r="F19" s="226" t="s">
        <v>42</v>
      </c>
      <c r="G19" s="41">
        <v>20</v>
      </c>
      <c r="H19" s="133"/>
      <c r="I19" s="35">
        <v>20</v>
      </c>
      <c r="J19" s="202">
        <f t="shared" ref="J19:J38" si="4">E19*H19</f>
        <v>0</v>
      </c>
      <c r="K19" s="225">
        <v>0</v>
      </c>
      <c r="L19" s="214"/>
      <c r="M19" s="35">
        <v>0</v>
      </c>
      <c r="N19" s="202">
        <f t="shared" ref="N19:N38" si="5">J19*L19</f>
        <v>0</v>
      </c>
      <c r="O19" s="35">
        <v>20</v>
      </c>
      <c r="P19" s="202">
        <f t="shared" ref="P19:P38" si="6">+J19-N19</f>
        <v>0</v>
      </c>
      <c r="Q19" s="35">
        <v>2440</v>
      </c>
      <c r="R19" s="202">
        <f t="shared" ref="R19:R38" si="7">+J19*E$7</f>
        <v>0</v>
      </c>
    </row>
    <row r="20" spans="1:18" x14ac:dyDescent="0.2">
      <c r="A20" s="25"/>
      <c r="B20" s="25" t="s">
        <v>501</v>
      </c>
      <c r="C20" s="25" t="s">
        <v>498</v>
      </c>
      <c r="D20" s="25">
        <v>40</v>
      </c>
      <c r="E20" s="132"/>
      <c r="F20" s="226" t="s">
        <v>233</v>
      </c>
      <c r="G20" s="41">
        <v>1.6521739</v>
      </c>
      <c r="H20" s="133"/>
      <c r="I20" s="35">
        <v>66.086956000000001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66.086956000000001</v>
      </c>
      <c r="P20" s="202">
        <f t="shared" si="6"/>
        <v>0</v>
      </c>
      <c r="Q20" s="35">
        <v>8062.6086320000004</v>
      </c>
      <c r="R20" s="202">
        <f t="shared" si="7"/>
        <v>0</v>
      </c>
    </row>
    <row r="21" spans="1:18" x14ac:dyDescent="0.2">
      <c r="A21" s="25"/>
      <c r="B21" s="25" t="s">
        <v>0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501</v>
      </c>
      <c r="C22" s="25" t="s">
        <v>392</v>
      </c>
      <c r="D22" s="25">
        <v>1.5</v>
      </c>
      <c r="E22" s="132"/>
      <c r="F22" s="226" t="s">
        <v>7</v>
      </c>
      <c r="G22" s="41">
        <v>29.05</v>
      </c>
      <c r="H22" s="133"/>
      <c r="I22" s="35">
        <v>43.575000000000003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43.575000000000003</v>
      </c>
      <c r="P22" s="202">
        <f t="shared" si="6"/>
        <v>0</v>
      </c>
      <c r="Q22" s="35">
        <v>5316.1500000000005</v>
      </c>
      <c r="R22" s="202">
        <f t="shared" si="7"/>
        <v>0</v>
      </c>
    </row>
    <row r="23" spans="1:18" x14ac:dyDescent="0.2">
      <c r="A23" s="25"/>
      <c r="B23" s="25" t="s">
        <v>501</v>
      </c>
      <c r="C23" s="25" t="s">
        <v>423</v>
      </c>
      <c r="D23" s="25">
        <v>280</v>
      </c>
      <c r="E23" s="132"/>
      <c r="F23" s="226" t="s">
        <v>83</v>
      </c>
      <c r="G23" s="41">
        <v>0.53</v>
      </c>
      <c r="H23" s="133"/>
      <c r="I23" s="35">
        <v>148.4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148.4</v>
      </c>
      <c r="P23" s="202">
        <f t="shared" si="6"/>
        <v>0</v>
      </c>
      <c r="Q23" s="35">
        <v>18104.8</v>
      </c>
      <c r="R23" s="202">
        <f t="shared" si="7"/>
        <v>0</v>
      </c>
    </row>
    <row r="24" spans="1:18" x14ac:dyDescent="0.2">
      <c r="A24" s="25"/>
      <c r="B24" s="25" t="s">
        <v>50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381</v>
      </c>
      <c r="D25" s="25">
        <v>2</v>
      </c>
      <c r="E25" s="132"/>
      <c r="F25" s="226" t="s">
        <v>42</v>
      </c>
      <c r="G25" s="41">
        <v>6.39</v>
      </c>
      <c r="H25" s="133"/>
      <c r="I25" s="35">
        <v>12.78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12.78</v>
      </c>
      <c r="P25" s="202">
        <f t="shared" si="6"/>
        <v>0</v>
      </c>
      <c r="Q25" s="35">
        <v>1559.1599999999999</v>
      </c>
      <c r="R25" s="202">
        <f t="shared" si="7"/>
        <v>0</v>
      </c>
    </row>
    <row r="26" spans="1:18" x14ac:dyDescent="0.2">
      <c r="A26" s="25"/>
      <c r="B26" s="25" t="s">
        <v>501</v>
      </c>
      <c r="C26" s="25" t="s">
        <v>398</v>
      </c>
      <c r="D26" s="25">
        <v>21.22</v>
      </c>
      <c r="E26" s="132"/>
      <c r="F26" s="226" t="s">
        <v>7</v>
      </c>
      <c r="G26" s="41">
        <v>5</v>
      </c>
      <c r="H26" s="133"/>
      <c r="I26" s="35">
        <v>106.1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106.1</v>
      </c>
      <c r="P26" s="202">
        <f t="shared" si="6"/>
        <v>0</v>
      </c>
      <c r="Q26" s="35">
        <v>12944.199999999999</v>
      </c>
      <c r="R26" s="202">
        <f t="shared" si="7"/>
        <v>0</v>
      </c>
    </row>
    <row r="27" spans="1:18" x14ac:dyDescent="0.2">
      <c r="A27" s="25"/>
      <c r="B27" s="25" t="s">
        <v>49</v>
      </c>
      <c r="C27" s="25"/>
      <c r="D27" s="25"/>
      <c r="E27" s="25"/>
      <c r="F27" s="25"/>
      <c r="G27" s="25"/>
      <c r="H27" s="25"/>
      <c r="I27" s="25"/>
      <c r="J27" s="25"/>
      <c r="K27" s="225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 t="s">
        <v>501</v>
      </c>
      <c r="C28" s="25" t="s">
        <v>445</v>
      </c>
      <c r="D28" s="25">
        <v>2</v>
      </c>
      <c r="E28" s="132"/>
      <c r="F28" s="226" t="s">
        <v>311</v>
      </c>
      <c r="G28" s="41">
        <v>2.75</v>
      </c>
      <c r="H28" s="133"/>
      <c r="I28" s="35">
        <v>5.5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5.5</v>
      </c>
      <c r="P28" s="202">
        <f t="shared" si="6"/>
        <v>0</v>
      </c>
      <c r="Q28" s="35">
        <v>671</v>
      </c>
      <c r="R28" s="202">
        <f t="shared" si="7"/>
        <v>0</v>
      </c>
    </row>
    <row r="29" spans="1:18" x14ac:dyDescent="0.2">
      <c r="A29" s="25"/>
      <c r="B29" s="25" t="s">
        <v>501</v>
      </c>
      <c r="C29" s="25" t="s">
        <v>399</v>
      </c>
      <c r="D29" s="25">
        <v>2</v>
      </c>
      <c r="E29" s="132"/>
      <c r="F29" s="226" t="s">
        <v>311</v>
      </c>
      <c r="G29" s="41">
        <v>2.125</v>
      </c>
      <c r="H29" s="133"/>
      <c r="I29" s="35">
        <v>4.25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4.25</v>
      </c>
      <c r="P29" s="202">
        <f t="shared" si="6"/>
        <v>0</v>
      </c>
      <c r="Q29" s="35">
        <v>518.5</v>
      </c>
      <c r="R29" s="202">
        <f t="shared" si="7"/>
        <v>0</v>
      </c>
    </row>
    <row r="30" spans="1:18" x14ac:dyDescent="0.2">
      <c r="A30" s="25"/>
      <c r="B30" s="25" t="s">
        <v>107</v>
      </c>
      <c r="C30" s="25"/>
      <c r="D30" s="25"/>
      <c r="E30" s="25"/>
      <c r="F30" s="25"/>
      <c r="G30" s="25"/>
      <c r="H30" s="25"/>
      <c r="I30" s="25"/>
      <c r="J30" s="25"/>
      <c r="K30" s="225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501</v>
      </c>
      <c r="C31" s="25" t="s">
        <v>403</v>
      </c>
      <c r="D31" s="25">
        <v>0.77639999999999998</v>
      </c>
      <c r="E31" s="132"/>
      <c r="F31" s="226" t="s">
        <v>44</v>
      </c>
      <c r="G31" s="41">
        <v>8.5</v>
      </c>
      <c r="H31" s="133"/>
      <c r="I31" s="35">
        <v>6.5994000000000002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6.5994000000000002</v>
      </c>
      <c r="P31" s="202">
        <f t="shared" si="6"/>
        <v>0</v>
      </c>
      <c r="Q31" s="35">
        <v>805.1268</v>
      </c>
      <c r="R31" s="202">
        <f t="shared" si="7"/>
        <v>0</v>
      </c>
    </row>
    <row r="32" spans="1:18" x14ac:dyDescent="0.2">
      <c r="A32" s="25"/>
      <c r="B32" s="25" t="s">
        <v>103</v>
      </c>
      <c r="C32" s="25"/>
      <c r="D32" s="25"/>
      <c r="E32" s="25"/>
      <c r="F32" s="25"/>
      <c r="G32" s="25"/>
      <c r="H32" s="25"/>
      <c r="I32" s="25"/>
      <c r="J32" s="25"/>
      <c r="K32" s="225"/>
      <c r="L32" s="25"/>
      <c r="M32" s="25"/>
      <c r="N32" s="25"/>
      <c r="O32" s="25"/>
      <c r="P32" s="25"/>
      <c r="Q32" s="25"/>
      <c r="R32" s="25"/>
    </row>
    <row r="33" spans="1:18" x14ac:dyDescent="0.2">
      <c r="A33" s="25"/>
      <c r="B33" s="25" t="s">
        <v>501</v>
      </c>
      <c r="C33" s="25" t="s">
        <v>433</v>
      </c>
      <c r="D33" s="25">
        <v>16</v>
      </c>
      <c r="E33" s="132"/>
      <c r="F33" s="226" t="s">
        <v>360</v>
      </c>
      <c r="G33" s="41">
        <v>0.16</v>
      </c>
      <c r="H33" s="133"/>
      <c r="I33" s="35">
        <v>2.56</v>
      </c>
      <c r="J33" s="202">
        <f t="shared" si="4"/>
        <v>0</v>
      </c>
      <c r="K33" s="225">
        <v>0</v>
      </c>
      <c r="L33" s="214"/>
      <c r="M33" s="35">
        <v>0</v>
      </c>
      <c r="N33" s="202">
        <f t="shared" si="5"/>
        <v>0</v>
      </c>
      <c r="O33" s="35">
        <v>2.56</v>
      </c>
      <c r="P33" s="202">
        <f t="shared" si="6"/>
        <v>0</v>
      </c>
      <c r="Q33" s="35">
        <v>312.32</v>
      </c>
      <c r="R33" s="202">
        <f t="shared" si="7"/>
        <v>0</v>
      </c>
    </row>
    <row r="34" spans="1:18" x14ac:dyDescent="0.2">
      <c r="A34" s="25"/>
      <c r="B34" s="25" t="s">
        <v>501</v>
      </c>
      <c r="C34" s="25" t="s">
        <v>382</v>
      </c>
      <c r="D34" s="25">
        <v>1</v>
      </c>
      <c r="E34" s="132"/>
      <c r="F34" s="226" t="s">
        <v>311</v>
      </c>
      <c r="G34" s="41">
        <v>8.75</v>
      </c>
      <c r="H34" s="133"/>
      <c r="I34" s="35">
        <v>8.75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8.75</v>
      </c>
      <c r="P34" s="202">
        <f t="shared" si="6"/>
        <v>0</v>
      </c>
      <c r="Q34" s="35">
        <v>1067.5</v>
      </c>
      <c r="R34" s="202">
        <f t="shared" si="7"/>
        <v>0</v>
      </c>
    </row>
    <row r="35" spans="1:18" x14ac:dyDescent="0.2">
      <c r="A35" s="25"/>
      <c r="B35" s="25" t="s">
        <v>501</v>
      </c>
      <c r="C35" s="25" t="s">
        <v>402</v>
      </c>
      <c r="D35" s="25">
        <v>20</v>
      </c>
      <c r="E35" s="132"/>
      <c r="F35" s="226" t="s">
        <v>360</v>
      </c>
      <c r="G35" s="41">
        <v>0.15625</v>
      </c>
      <c r="H35" s="133"/>
      <c r="I35" s="35">
        <v>3.125</v>
      </c>
      <c r="J35" s="202">
        <f t="shared" si="4"/>
        <v>0</v>
      </c>
      <c r="K35" s="225">
        <v>0</v>
      </c>
      <c r="L35" s="214"/>
      <c r="M35" s="35">
        <v>0</v>
      </c>
      <c r="N35" s="202">
        <f t="shared" si="5"/>
        <v>0</v>
      </c>
      <c r="O35" s="35">
        <v>3.125</v>
      </c>
      <c r="P35" s="202">
        <f t="shared" si="6"/>
        <v>0</v>
      </c>
      <c r="Q35" s="35">
        <v>381.25</v>
      </c>
      <c r="R35" s="202">
        <f t="shared" si="7"/>
        <v>0</v>
      </c>
    </row>
    <row r="36" spans="1:18" x14ac:dyDescent="0.2">
      <c r="A36" s="25"/>
      <c r="B36" s="25" t="s">
        <v>501</v>
      </c>
      <c r="C36" s="25" t="s">
        <v>364</v>
      </c>
      <c r="D36" s="25">
        <v>0.25</v>
      </c>
      <c r="E36" s="132"/>
      <c r="F36" s="226" t="s">
        <v>360</v>
      </c>
      <c r="G36" s="41">
        <v>4.84</v>
      </c>
      <c r="H36" s="133"/>
      <c r="I36" s="35">
        <v>1.21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1.21</v>
      </c>
      <c r="P36" s="202">
        <f t="shared" si="6"/>
        <v>0</v>
      </c>
      <c r="Q36" s="35">
        <v>147.62</v>
      </c>
      <c r="R36" s="202">
        <f t="shared" si="7"/>
        <v>0</v>
      </c>
    </row>
    <row r="37" spans="1:18" x14ac:dyDescent="0.2">
      <c r="A37" s="25"/>
      <c r="B37" s="133"/>
      <c r="C37" s="133"/>
      <c r="D37" s="25">
        <v>0</v>
      </c>
      <c r="E37" s="132"/>
      <c r="F37" s="226"/>
      <c r="G37" s="41">
        <v>0</v>
      </c>
      <c r="H37" s="133"/>
      <c r="I37" s="35">
        <v>0</v>
      </c>
      <c r="J37" s="202">
        <f t="shared" si="4"/>
        <v>0</v>
      </c>
      <c r="K37" s="225">
        <v>0</v>
      </c>
      <c r="L37" s="214"/>
      <c r="M37" s="35">
        <v>0</v>
      </c>
      <c r="N37" s="202">
        <f t="shared" si="5"/>
        <v>0</v>
      </c>
      <c r="O37" s="35">
        <v>0</v>
      </c>
      <c r="P37" s="202">
        <f t="shared" si="6"/>
        <v>0</v>
      </c>
      <c r="Q37" s="35">
        <v>0</v>
      </c>
      <c r="R37" s="202">
        <f t="shared" si="7"/>
        <v>0</v>
      </c>
    </row>
    <row r="38" spans="1:18" x14ac:dyDescent="0.2">
      <c r="A38" s="25"/>
      <c r="B38" s="133"/>
      <c r="C38" s="133"/>
      <c r="D38" s="25">
        <v>0</v>
      </c>
      <c r="E38" s="132"/>
      <c r="F38" s="226"/>
      <c r="G38" s="41">
        <v>0</v>
      </c>
      <c r="H38" s="133"/>
      <c r="I38" s="35">
        <v>0</v>
      </c>
      <c r="J38" s="202">
        <f t="shared" si="4"/>
        <v>0</v>
      </c>
      <c r="K38" s="225">
        <v>0</v>
      </c>
      <c r="L38" s="214"/>
      <c r="M38" s="35">
        <v>0</v>
      </c>
      <c r="N38" s="202">
        <f t="shared" si="5"/>
        <v>0</v>
      </c>
      <c r="O38" s="35">
        <v>0</v>
      </c>
      <c r="P38" s="202">
        <f t="shared" si="6"/>
        <v>0</v>
      </c>
      <c r="Q38" s="35">
        <v>0</v>
      </c>
      <c r="R38" s="202">
        <f t="shared" si="7"/>
        <v>0</v>
      </c>
    </row>
    <row r="39" spans="1:18" x14ac:dyDescent="0.2">
      <c r="A39" s="25"/>
      <c r="B39" s="133"/>
      <c r="C39" s="133"/>
      <c r="D39" s="25">
        <v>0</v>
      </c>
      <c r="E39" s="132"/>
      <c r="F39" s="226"/>
      <c r="G39" s="41">
        <v>0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 t="s">
        <v>45</v>
      </c>
      <c r="C40" s="25"/>
      <c r="D40" s="25"/>
      <c r="E40" s="209"/>
      <c r="F40" s="21"/>
      <c r="G40" s="41"/>
      <c r="H40" s="198"/>
      <c r="I40" s="186"/>
      <c r="J40" s="184"/>
      <c r="K40" s="225"/>
      <c r="L40" s="198"/>
      <c r="M40" s="35"/>
      <c r="N40" s="184"/>
      <c r="O40" s="35"/>
      <c r="P40" s="184"/>
      <c r="Q40" s="35"/>
      <c r="R40" s="184"/>
    </row>
    <row r="41" spans="1:18" x14ac:dyDescent="0.2">
      <c r="A41" s="25"/>
      <c r="B41" s="25"/>
      <c r="C41" s="25" t="s">
        <v>151</v>
      </c>
      <c r="D41" s="34">
        <v>24</v>
      </c>
      <c r="E41" s="132"/>
      <c r="F41" s="226" t="s">
        <v>141</v>
      </c>
      <c r="G41" s="41">
        <v>1.75</v>
      </c>
      <c r="H41" s="133"/>
      <c r="I41" s="35">
        <v>42</v>
      </c>
      <c r="J41" s="202">
        <f t="shared" ref="J41" si="8">E41*H41</f>
        <v>0</v>
      </c>
      <c r="K41" s="225">
        <v>0</v>
      </c>
      <c r="L41" s="214"/>
      <c r="M41" s="35">
        <v>0</v>
      </c>
      <c r="N41" s="202">
        <f t="shared" ref="N41" si="9">J41*L41</f>
        <v>0</v>
      </c>
      <c r="O41" s="35">
        <v>42</v>
      </c>
      <c r="P41" s="202">
        <f t="shared" ref="P41" si="10">+J41-N41</f>
        <v>0</v>
      </c>
      <c r="Q41" s="35">
        <v>5124</v>
      </c>
      <c r="R41" s="202">
        <f t="shared" ref="R41" si="11">+J41*E$7</f>
        <v>0</v>
      </c>
    </row>
    <row r="42" spans="1:18" x14ac:dyDescent="0.2">
      <c r="A42" s="25"/>
      <c r="B42" s="25" t="s">
        <v>108</v>
      </c>
      <c r="C42" s="25"/>
      <c r="D42" s="25"/>
      <c r="E42" s="105"/>
      <c r="H42" s="105"/>
      <c r="I42" s="124"/>
      <c r="J42" s="105"/>
      <c r="K42" s="225"/>
      <c r="L42" s="105"/>
      <c r="N42" s="105"/>
      <c r="P42" s="105"/>
      <c r="R42" s="105"/>
    </row>
    <row r="43" spans="1:18" x14ac:dyDescent="0.2">
      <c r="A43" s="25"/>
      <c r="B43" s="25"/>
      <c r="C43" s="25" t="s">
        <v>105</v>
      </c>
      <c r="D43" s="25">
        <v>2.38</v>
      </c>
      <c r="E43" s="132"/>
      <c r="F43" s="226" t="s">
        <v>44</v>
      </c>
      <c r="G43" s="41">
        <v>17.21</v>
      </c>
      <c r="H43" s="133"/>
      <c r="I43" s="35">
        <v>40.959800000000001</v>
      </c>
      <c r="J43" s="202">
        <f>E43*H43</f>
        <v>0</v>
      </c>
      <c r="K43" s="225">
        <v>0</v>
      </c>
      <c r="L43" s="214"/>
      <c r="M43" s="35">
        <v>0</v>
      </c>
      <c r="N43" s="202">
        <f>J43*L43</f>
        <v>0</v>
      </c>
      <c r="O43" s="35">
        <v>40.959800000000001</v>
      </c>
      <c r="P43" s="202">
        <f>+J43-N43</f>
        <v>0</v>
      </c>
      <c r="Q43" s="35">
        <v>4997.0956000000006</v>
      </c>
      <c r="R43" s="202">
        <f>+J43*E$7</f>
        <v>0</v>
      </c>
    </row>
    <row r="44" spans="1:18" x14ac:dyDescent="0.2">
      <c r="A44" s="25"/>
      <c r="B44" s="25"/>
      <c r="C44" s="25" t="s">
        <v>107</v>
      </c>
      <c r="D44" s="25">
        <v>0</v>
      </c>
      <c r="E44" s="132"/>
      <c r="F44" s="226" t="s">
        <v>44</v>
      </c>
      <c r="G44" s="41">
        <v>17.21</v>
      </c>
      <c r="H44" s="133"/>
      <c r="I44" s="35">
        <v>0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0</v>
      </c>
      <c r="P44" s="202">
        <f>+J44-N44</f>
        <v>0</v>
      </c>
      <c r="Q44" s="35">
        <v>0</v>
      </c>
      <c r="R44" s="202">
        <f>+J44*E$7</f>
        <v>0</v>
      </c>
    </row>
    <row r="45" spans="1:18" x14ac:dyDescent="0.2">
      <c r="A45" s="25"/>
      <c r="B45" s="25"/>
      <c r="C45" s="25"/>
      <c r="D45" s="25"/>
      <c r="E45" s="209"/>
      <c r="F45" s="21"/>
      <c r="G45" s="41"/>
      <c r="H45" s="198"/>
      <c r="I45" s="35"/>
      <c r="J45" s="184"/>
      <c r="K45" s="225"/>
      <c r="L45" s="198"/>
      <c r="M45" s="35"/>
      <c r="N45" s="184"/>
      <c r="O45" s="35"/>
      <c r="P45" s="184"/>
      <c r="Q45" s="35"/>
      <c r="R45" s="184"/>
    </row>
    <row r="46" spans="1:18" x14ac:dyDescent="0.2">
      <c r="A46" s="25"/>
      <c r="B46" s="25" t="s">
        <v>51</v>
      </c>
      <c r="C46" s="25"/>
      <c r="D46" s="25"/>
      <c r="E46" s="209"/>
      <c r="F46" s="21"/>
      <c r="G46" s="41"/>
      <c r="H46" s="198"/>
      <c r="I46" s="186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/>
      <c r="C47" s="25" t="s">
        <v>104</v>
      </c>
      <c r="D47" s="25">
        <v>1</v>
      </c>
      <c r="E47" s="132"/>
      <c r="F47" s="226" t="s">
        <v>42</v>
      </c>
      <c r="G47" s="41">
        <v>0</v>
      </c>
      <c r="H47" s="133"/>
      <c r="I47" s="35">
        <v>0</v>
      </c>
      <c r="J47" s="202">
        <f>E47*H47</f>
        <v>0</v>
      </c>
      <c r="K47" s="225">
        <v>0</v>
      </c>
      <c r="L47" s="214"/>
      <c r="M47" s="35">
        <v>0</v>
      </c>
      <c r="N47" s="202">
        <f>J47*L47</f>
        <v>0</v>
      </c>
      <c r="O47" s="35">
        <v>0</v>
      </c>
      <c r="P47" s="202">
        <f>+J47-N47</f>
        <v>0</v>
      </c>
      <c r="Q47" s="35">
        <v>0</v>
      </c>
      <c r="R47" s="202">
        <f>+J47*E$7</f>
        <v>0</v>
      </c>
    </row>
    <row r="48" spans="1:18" x14ac:dyDescent="0.2">
      <c r="A48" s="25"/>
      <c r="B48" s="25"/>
      <c r="C48" s="25" t="s">
        <v>105</v>
      </c>
      <c r="D48" s="25">
        <v>15.27</v>
      </c>
      <c r="E48" s="132"/>
      <c r="F48" s="226" t="s">
        <v>79</v>
      </c>
      <c r="G48" s="41">
        <v>3.6</v>
      </c>
      <c r="H48" s="133"/>
      <c r="I48" s="35">
        <v>54.972000000000001</v>
      </c>
      <c r="J48" s="202">
        <f>E48*H48</f>
        <v>0</v>
      </c>
      <c r="K48" s="225">
        <v>0</v>
      </c>
      <c r="L48" s="214"/>
      <c r="M48" s="35">
        <v>0</v>
      </c>
      <c r="N48" s="202">
        <f>J48*L48</f>
        <v>0</v>
      </c>
      <c r="O48" s="35">
        <v>54.972000000000001</v>
      </c>
      <c r="P48" s="202">
        <f>+J48-N48</f>
        <v>0</v>
      </c>
      <c r="Q48" s="35">
        <v>6706.5839999999998</v>
      </c>
      <c r="R48" s="202">
        <f>+J48*E$7</f>
        <v>0</v>
      </c>
    </row>
    <row r="49" spans="1:18" x14ac:dyDescent="0.2">
      <c r="A49" s="25"/>
      <c r="B49" s="25"/>
      <c r="C49" s="25"/>
      <c r="D49" s="25"/>
      <c r="E49" s="209"/>
      <c r="F49" s="21"/>
      <c r="G49" s="41"/>
      <c r="H49" s="198"/>
      <c r="I49" s="35"/>
      <c r="J49" s="184"/>
      <c r="K49" s="225"/>
      <c r="L49" s="198"/>
      <c r="M49" s="35"/>
      <c r="N49" s="184"/>
      <c r="O49" s="35"/>
      <c r="P49" s="184"/>
      <c r="Q49" s="35"/>
      <c r="R49" s="184"/>
    </row>
    <row r="50" spans="1:18" x14ac:dyDescent="0.2">
      <c r="A50" s="25"/>
      <c r="B50" s="25" t="s">
        <v>29</v>
      </c>
      <c r="C50" s="25"/>
      <c r="D50" s="25"/>
      <c r="E50" s="209"/>
      <c r="F50" s="21"/>
      <c r="G50" s="41"/>
      <c r="H50" s="198"/>
      <c r="I50" s="186"/>
      <c r="J50" s="184"/>
      <c r="K50" s="225"/>
      <c r="L50" s="198"/>
      <c r="M50" s="35"/>
      <c r="N50" s="184"/>
      <c r="O50" s="35"/>
      <c r="P50" s="184"/>
      <c r="Q50" s="35"/>
      <c r="R50" s="184"/>
    </row>
    <row r="51" spans="1:18" x14ac:dyDescent="0.2">
      <c r="A51" s="25"/>
      <c r="B51" s="25"/>
      <c r="C51" s="25" t="s">
        <v>104</v>
      </c>
      <c r="D51" s="25">
        <v>1</v>
      </c>
      <c r="E51" s="132"/>
      <c r="F51" s="226" t="s">
        <v>42</v>
      </c>
      <c r="G51" s="41">
        <v>10.131639344262295</v>
      </c>
      <c r="H51" s="133"/>
      <c r="I51" s="35">
        <v>10.131639344262295</v>
      </c>
      <c r="J51" s="202">
        <f>E51*H51</f>
        <v>0</v>
      </c>
      <c r="K51" s="225">
        <v>0</v>
      </c>
      <c r="L51" s="214"/>
      <c r="M51" s="35">
        <v>0</v>
      </c>
      <c r="N51" s="202">
        <f>J51*L51</f>
        <v>0</v>
      </c>
      <c r="O51" s="35">
        <v>10.131639344262295</v>
      </c>
      <c r="P51" s="202">
        <f>+J51-N51</f>
        <v>0</v>
      </c>
      <c r="Q51" s="35">
        <v>1236.06</v>
      </c>
      <c r="R51" s="202">
        <f>+J51*E$7</f>
        <v>0</v>
      </c>
    </row>
    <row r="52" spans="1:18" x14ac:dyDescent="0.2">
      <c r="A52" s="25"/>
      <c r="B52" s="25"/>
      <c r="C52" s="25" t="s">
        <v>105</v>
      </c>
      <c r="D52" s="25">
        <v>0</v>
      </c>
      <c r="E52" s="132"/>
      <c r="F52" s="226" t="s">
        <v>79</v>
      </c>
      <c r="G52" s="41">
        <v>3.15</v>
      </c>
      <c r="H52" s="133"/>
      <c r="I52" s="35">
        <v>0</v>
      </c>
      <c r="J52" s="202">
        <f>E52*H52</f>
        <v>0</v>
      </c>
      <c r="K52" s="225">
        <v>0</v>
      </c>
      <c r="L52" s="214"/>
      <c r="M52" s="35">
        <v>0</v>
      </c>
      <c r="N52" s="202">
        <f>J52*L52</f>
        <v>0</v>
      </c>
      <c r="O52" s="35">
        <v>0</v>
      </c>
      <c r="P52" s="202">
        <f>+J52-N52</f>
        <v>0</v>
      </c>
      <c r="Q52" s="35">
        <v>0</v>
      </c>
      <c r="R52" s="202">
        <f>+J52*E$7</f>
        <v>0</v>
      </c>
    </row>
    <row r="53" spans="1:18" x14ac:dyDescent="0.2">
      <c r="A53" s="25"/>
      <c r="B53" s="25"/>
      <c r="C53" s="25"/>
      <c r="D53" s="25"/>
      <c r="E53" s="209"/>
      <c r="F53" s="21"/>
      <c r="G53" s="41"/>
      <c r="H53" s="198"/>
      <c r="I53" s="35"/>
      <c r="J53" s="184"/>
      <c r="K53" s="225"/>
      <c r="L53" s="198"/>
      <c r="M53" s="35"/>
      <c r="N53" s="184"/>
      <c r="O53" s="35"/>
      <c r="P53" s="184"/>
      <c r="Q53" s="35"/>
      <c r="R53" s="184"/>
    </row>
    <row r="54" spans="1:18" x14ac:dyDescent="0.2">
      <c r="A54" s="25"/>
      <c r="B54" s="25" t="s">
        <v>47</v>
      </c>
      <c r="C54" s="25"/>
      <c r="D54" s="25"/>
      <c r="E54" s="209"/>
      <c r="F54" s="21"/>
      <c r="G54" s="41"/>
      <c r="H54" s="199"/>
      <c r="I54" s="186"/>
      <c r="J54" s="184"/>
      <c r="K54" s="225"/>
      <c r="L54" s="199"/>
      <c r="M54" s="35"/>
      <c r="N54" s="184"/>
      <c r="O54" s="35"/>
      <c r="P54" s="184"/>
      <c r="Q54" s="35"/>
      <c r="R54" s="184"/>
    </row>
    <row r="55" spans="1:18" x14ac:dyDescent="0.2">
      <c r="A55" s="25"/>
      <c r="B55" s="25"/>
      <c r="C55" s="25" t="s">
        <v>104</v>
      </c>
      <c r="D55" s="25">
        <v>1</v>
      </c>
      <c r="E55" s="132"/>
      <c r="F55" s="226" t="s">
        <v>42</v>
      </c>
      <c r="G55" s="41">
        <v>1.6081967213114756</v>
      </c>
      <c r="H55" s="133"/>
      <c r="I55" s="35">
        <v>1.6081967213114756</v>
      </c>
      <c r="J55" s="202">
        <f t="shared" ref="J55:J60" si="12">E55*H55</f>
        <v>0</v>
      </c>
      <c r="K55" s="225">
        <v>0</v>
      </c>
      <c r="L55" s="214"/>
      <c r="M55" s="35">
        <v>0</v>
      </c>
      <c r="N55" s="202">
        <f t="shared" ref="N55:N60" si="13">J55*L55</f>
        <v>0</v>
      </c>
      <c r="O55" s="35">
        <v>1.6081967213114756</v>
      </c>
      <c r="P55" s="202">
        <f t="shared" ref="P55:P60" si="14">+J55-N55</f>
        <v>0</v>
      </c>
      <c r="Q55" s="35">
        <v>196.20000000000002</v>
      </c>
      <c r="R55" s="202">
        <f t="shared" ref="R55:R60" si="15">+J55*E$7</f>
        <v>0</v>
      </c>
    </row>
    <row r="56" spans="1:18" x14ac:dyDescent="0.2">
      <c r="A56" s="25"/>
      <c r="B56" s="25"/>
      <c r="C56" s="25" t="s">
        <v>46</v>
      </c>
      <c r="D56" s="25">
        <v>1</v>
      </c>
      <c r="E56" s="132"/>
      <c r="F56" s="226" t="s">
        <v>42</v>
      </c>
      <c r="G56" s="41">
        <v>0</v>
      </c>
      <c r="H56" s="133"/>
      <c r="I56" s="35">
        <v>0</v>
      </c>
      <c r="J56" s="202">
        <f t="shared" si="12"/>
        <v>0</v>
      </c>
      <c r="K56" s="225">
        <v>0</v>
      </c>
      <c r="L56" s="214"/>
      <c r="M56" s="35">
        <v>0</v>
      </c>
      <c r="N56" s="202">
        <f t="shared" si="13"/>
        <v>0</v>
      </c>
      <c r="O56" s="35">
        <v>0</v>
      </c>
      <c r="P56" s="202">
        <f t="shared" si="14"/>
        <v>0</v>
      </c>
      <c r="Q56" s="35">
        <v>0</v>
      </c>
      <c r="R56" s="202">
        <f t="shared" si="15"/>
        <v>0</v>
      </c>
    </row>
    <row r="57" spans="1:18" x14ac:dyDescent="0.2">
      <c r="A57" s="25"/>
      <c r="B57" s="25"/>
      <c r="C57" s="25" t="s">
        <v>105</v>
      </c>
      <c r="D57" s="25">
        <v>1</v>
      </c>
      <c r="E57" s="132"/>
      <c r="F57" s="226" t="s">
        <v>42</v>
      </c>
      <c r="G57" s="41">
        <v>31.996012662653872</v>
      </c>
      <c r="H57" s="133"/>
      <c r="I57" s="35">
        <v>31.996012662653872</v>
      </c>
      <c r="J57" s="202">
        <f t="shared" si="12"/>
        <v>0</v>
      </c>
      <c r="K57" s="225">
        <v>0</v>
      </c>
      <c r="L57" s="214"/>
      <c r="M57" s="35">
        <v>0</v>
      </c>
      <c r="N57" s="202">
        <f t="shared" si="13"/>
        <v>0</v>
      </c>
      <c r="O57" s="35">
        <v>31.996012662653872</v>
      </c>
      <c r="P57" s="202">
        <f t="shared" si="14"/>
        <v>0</v>
      </c>
      <c r="Q57" s="35">
        <v>3903.5135448437723</v>
      </c>
      <c r="R57" s="202">
        <f t="shared" si="15"/>
        <v>0</v>
      </c>
    </row>
    <row r="58" spans="1:18" x14ac:dyDescent="0.2">
      <c r="A58" s="25"/>
      <c r="B58" s="25"/>
      <c r="C58" s="25" t="s">
        <v>4</v>
      </c>
      <c r="D58" s="25">
        <v>1</v>
      </c>
      <c r="E58" s="132"/>
      <c r="F58" s="226" t="s">
        <v>42</v>
      </c>
      <c r="G58" s="41">
        <v>21.9028336350469</v>
      </c>
      <c r="H58" s="133"/>
      <c r="I58" s="35">
        <v>21.9028336350469</v>
      </c>
      <c r="J58" s="202">
        <f t="shared" si="12"/>
        <v>0</v>
      </c>
      <c r="K58" s="225">
        <v>0</v>
      </c>
      <c r="L58" s="214"/>
      <c r="M58" s="35">
        <v>0</v>
      </c>
      <c r="N58" s="202">
        <f t="shared" si="13"/>
        <v>0</v>
      </c>
      <c r="O58" s="35">
        <v>21.9028336350469</v>
      </c>
      <c r="P58" s="202">
        <f t="shared" si="14"/>
        <v>0</v>
      </c>
      <c r="Q58" s="35">
        <v>2672.1457034757218</v>
      </c>
      <c r="R58" s="202">
        <f t="shared" si="15"/>
        <v>0</v>
      </c>
    </row>
    <row r="59" spans="1:18" x14ac:dyDescent="0.2">
      <c r="A59" s="25"/>
      <c r="B59" s="133"/>
      <c r="C59" s="133"/>
      <c r="D59" s="25"/>
      <c r="E59" s="132"/>
      <c r="F59" s="226"/>
      <c r="G59" s="41"/>
      <c r="H59" s="133"/>
      <c r="I59" s="35">
        <v>0</v>
      </c>
      <c r="J59" s="202">
        <f t="shared" si="12"/>
        <v>0</v>
      </c>
      <c r="K59" s="225">
        <v>0</v>
      </c>
      <c r="L59" s="214"/>
      <c r="M59" s="35">
        <v>0</v>
      </c>
      <c r="N59" s="202">
        <f t="shared" si="13"/>
        <v>0</v>
      </c>
      <c r="O59" s="35">
        <v>0</v>
      </c>
      <c r="P59" s="202">
        <f t="shared" si="14"/>
        <v>0</v>
      </c>
      <c r="Q59" s="35">
        <v>0</v>
      </c>
      <c r="R59" s="202">
        <f t="shared" si="15"/>
        <v>0</v>
      </c>
    </row>
    <row r="60" spans="1:18" x14ac:dyDescent="0.2">
      <c r="A60" s="25"/>
      <c r="B60" s="133"/>
      <c r="C60" s="133"/>
      <c r="D60" s="25"/>
      <c r="E60" s="132"/>
      <c r="F60" s="226"/>
      <c r="G60" s="41"/>
      <c r="H60" s="133"/>
      <c r="I60" s="35">
        <v>0</v>
      </c>
      <c r="J60" s="202">
        <f t="shared" si="12"/>
        <v>0</v>
      </c>
      <c r="K60" s="225">
        <v>0</v>
      </c>
      <c r="L60" s="214"/>
      <c r="M60" s="35">
        <v>0</v>
      </c>
      <c r="N60" s="202">
        <f t="shared" si="13"/>
        <v>0</v>
      </c>
      <c r="O60" s="35">
        <v>0</v>
      </c>
      <c r="P60" s="202">
        <f t="shared" si="14"/>
        <v>0</v>
      </c>
      <c r="Q60" s="35">
        <v>0</v>
      </c>
      <c r="R60" s="202">
        <f t="shared" si="15"/>
        <v>0</v>
      </c>
    </row>
    <row r="61" spans="1:18" ht="13.5" thickBot="1" x14ac:dyDescent="0.25">
      <c r="A61" s="25"/>
      <c r="B61" s="25" t="s">
        <v>32</v>
      </c>
      <c r="C61" s="25"/>
      <c r="D61" s="25"/>
      <c r="E61" s="197"/>
      <c r="F61" s="21"/>
      <c r="G61" s="39">
        <v>0.08</v>
      </c>
      <c r="H61" s="215"/>
      <c r="I61" s="42">
        <v>15.327378639787227</v>
      </c>
      <c r="J61" s="202">
        <f>+SUM(J18:J60)/2*H61</f>
        <v>0</v>
      </c>
      <c r="K61" s="86"/>
      <c r="L61" s="137"/>
      <c r="M61" s="42">
        <v>0</v>
      </c>
      <c r="N61" s="202">
        <f>+SUM(N18:N60)/2*L61</f>
        <v>0</v>
      </c>
      <c r="O61" s="42">
        <v>15.327378639787227</v>
      </c>
      <c r="P61" s="202">
        <f>+SUM(P18:P60)/2*L61</f>
        <v>0</v>
      </c>
      <c r="Q61" s="42">
        <v>1869.9401940540417</v>
      </c>
      <c r="R61" s="184">
        <f>+J61*E$7</f>
        <v>0</v>
      </c>
    </row>
    <row r="62" spans="1:18" ht="13.5" thickBot="1" x14ac:dyDescent="0.25">
      <c r="A62" s="25" t="s">
        <v>33</v>
      </c>
      <c r="B62" s="25"/>
      <c r="C62" s="25"/>
      <c r="D62" s="25"/>
      <c r="E62" s="200"/>
      <c r="F62" s="25"/>
      <c r="G62" s="25"/>
      <c r="H62" s="197"/>
      <c r="I62" s="87">
        <v>647.83421700306189</v>
      </c>
      <c r="J62" s="204">
        <f>SUM(J19:J61)</f>
        <v>0</v>
      </c>
      <c r="K62" s="35"/>
      <c r="L62" s="195"/>
      <c r="M62" s="87">
        <v>0</v>
      </c>
      <c r="N62" s="204">
        <f>SUM(N19:N61)</f>
        <v>0</v>
      </c>
      <c r="O62" s="87">
        <v>647.83421700306189</v>
      </c>
      <c r="P62" s="204">
        <f>SUM(P19:P61)</f>
        <v>0</v>
      </c>
      <c r="Q62" s="87">
        <v>79035.774474373524</v>
      </c>
      <c r="R62" s="204">
        <f>SUM(R19:R61)</f>
        <v>0</v>
      </c>
    </row>
    <row r="63" spans="1:18" ht="13.5" thickTop="1" x14ac:dyDescent="0.2">
      <c r="A63" s="25" t="s">
        <v>34</v>
      </c>
      <c r="B63" s="25"/>
      <c r="C63" s="25"/>
      <c r="D63" s="25"/>
      <c r="E63" s="200"/>
      <c r="F63" s="25"/>
      <c r="G63" s="25"/>
      <c r="H63" s="197"/>
      <c r="I63" s="35">
        <v>699.43578299693809</v>
      </c>
      <c r="J63" s="202">
        <f>+J14-J62</f>
        <v>0</v>
      </c>
      <c r="K63" s="35"/>
      <c r="L63" s="195"/>
      <c r="M63" s="35">
        <v>0</v>
      </c>
      <c r="N63" s="202">
        <f>+N14-N62</f>
        <v>0</v>
      </c>
      <c r="O63" s="35">
        <v>699.43578299693809</v>
      </c>
      <c r="P63" s="202">
        <f>+P14-P62</f>
        <v>0</v>
      </c>
      <c r="Q63" s="35">
        <v>85331.165525626478</v>
      </c>
      <c r="R63" s="202">
        <f>+R14-R62</f>
        <v>0</v>
      </c>
    </row>
    <row r="64" spans="1:18" x14ac:dyDescent="0.2">
      <c r="A64" s="25"/>
      <c r="B64" s="25" t="s">
        <v>35</v>
      </c>
      <c r="C64" s="25"/>
      <c r="D64" s="25"/>
      <c r="E64" s="210"/>
      <c r="F64" s="17"/>
      <c r="G64" s="40">
        <v>0.27252203393896074</v>
      </c>
      <c r="H64" s="210" t="str">
        <f>IF(E10=0,"n/a",(YVarExp-(YTotExp+YTotRet-J10))/E10)</f>
        <v>n/a</v>
      </c>
      <c r="I64" s="25" t="s">
        <v>83</v>
      </c>
      <c r="J64" s="184"/>
      <c r="K64" s="25"/>
      <c r="L64" s="197"/>
      <c r="M64" s="25"/>
      <c r="N64" s="184"/>
      <c r="O64" s="25"/>
      <c r="P64" s="184"/>
      <c r="Q64" s="25"/>
      <c r="R64" s="184"/>
    </row>
    <row r="65" spans="1:18" x14ac:dyDescent="0.2">
      <c r="A65" s="25"/>
      <c r="B65" s="25"/>
      <c r="C65" s="25"/>
      <c r="D65" s="25"/>
      <c r="E65" s="178"/>
      <c r="F65" s="25"/>
      <c r="G65" s="25"/>
      <c r="H65" s="211"/>
      <c r="I65" s="25"/>
      <c r="J65" s="184"/>
      <c r="K65" s="25"/>
      <c r="L65" s="197"/>
      <c r="M65" s="25"/>
      <c r="N65" s="184"/>
      <c r="O65" s="25"/>
      <c r="P65" s="184"/>
      <c r="Q65" s="22" t="s">
        <v>19</v>
      </c>
      <c r="R65" s="184" t="s">
        <v>19</v>
      </c>
    </row>
    <row r="66" spans="1:18" x14ac:dyDescent="0.2">
      <c r="A66" s="23" t="s">
        <v>36</v>
      </c>
      <c r="B66" s="23"/>
      <c r="C66" s="23"/>
      <c r="D66" s="24" t="s">
        <v>2</v>
      </c>
      <c r="E66" s="196" t="s">
        <v>2</v>
      </c>
      <c r="F66" s="24" t="s">
        <v>21</v>
      </c>
      <c r="G66" s="24" t="s">
        <v>22</v>
      </c>
      <c r="H66" s="196" t="s">
        <v>22</v>
      </c>
      <c r="I66" s="24" t="s">
        <v>11</v>
      </c>
      <c r="J66" s="196" t="s">
        <v>11</v>
      </c>
      <c r="K66" s="24" t="s">
        <v>10</v>
      </c>
      <c r="L66" s="196" t="s">
        <v>10</v>
      </c>
      <c r="M66" s="24" t="s">
        <v>9</v>
      </c>
      <c r="N66" s="196" t="s">
        <v>9</v>
      </c>
      <c r="O66" s="24" t="s">
        <v>8</v>
      </c>
      <c r="P66" s="196" t="s">
        <v>8</v>
      </c>
      <c r="Q66" s="24" t="s">
        <v>11</v>
      </c>
      <c r="R66" s="208" t="s">
        <v>11</v>
      </c>
    </row>
    <row r="67" spans="1:18" x14ac:dyDescent="0.2">
      <c r="A67" s="25"/>
      <c r="B67" s="25" t="s">
        <v>106</v>
      </c>
      <c r="C67" s="25"/>
      <c r="D67" s="25"/>
      <c r="E67" s="178"/>
      <c r="F67" s="25"/>
      <c r="G67" s="25"/>
      <c r="H67" s="211"/>
      <c r="I67" s="186"/>
      <c r="J67" s="184"/>
      <c r="K67" s="225"/>
      <c r="L67" s="197"/>
      <c r="M67" s="25"/>
      <c r="N67" s="184"/>
      <c r="O67" s="25"/>
      <c r="P67" s="184"/>
      <c r="Q67" s="25"/>
      <c r="R67" s="184"/>
    </row>
    <row r="68" spans="1:18" x14ac:dyDescent="0.2">
      <c r="A68" s="25"/>
      <c r="B68" s="25"/>
      <c r="C68" s="25" t="s">
        <v>104</v>
      </c>
      <c r="D68" s="25">
        <v>1</v>
      </c>
      <c r="E68" s="132"/>
      <c r="F68" s="226" t="s">
        <v>42</v>
      </c>
      <c r="G68" s="41">
        <v>6.0307377049180326</v>
      </c>
      <c r="H68" s="133"/>
      <c r="I68" s="35">
        <v>6.0307377049180326</v>
      </c>
      <c r="J68" s="202">
        <f t="shared" ref="J68:J70" si="16">E68*H68</f>
        <v>0</v>
      </c>
      <c r="K68" s="225">
        <v>0</v>
      </c>
      <c r="L68" s="214"/>
      <c r="M68" s="35">
        <v>0</v>
      </c>
      <c r="N68" s="202">
        <f>J68*L68</f>
        <v>0</v>
      </c>
      <c r="O68" s="35">
        <v>6.0307377049180326</v>
      </c>
      <c r="P68" s="202">
        <f t="shared" ref="P68:P70" si="17">+J68-N68</f>
        <v>0</v>
      </c>
      <c r="Q68" s="35">
        <v>735.75</v>
      </c>
      <c r="R68" s="202">
        <f t="shared" ref="R68:R70" si="18">+J68*E$7</f>
        <v>0</v>
      </c>
    </row>
    <row r="69" spans="1:18" x14ac:dyDescent="0.2">
      <c r="A69" s="25"/>
      <c r="B69" s="25"/>
      <c r="C69" s="25" t="s">
        <v>105</v>
      </c>
      <c r="D69" s="25">
        <v>1</v>
      </c>
      <c r="E69" s="132"/>
      <c r="F69" s="226" t="s">
        <v>42</v>
      </c>
      <c r="G69" s="41">
        <v>35.742995049440289</v>
      </c>
      <c r="H69" s="133"/>
      <c r="I69" s="35">
        <v>35.742995049440289</v>
      </c>
      <c r="J69" s="202">
        <f t="shared" si="16"/>
        <v>0</v>
      </c>
      <c r="K69" s="225">
        <v>0</v>
      </c>
      <c r="L69" s="214"/>
      <c r="M69" s="35">
        <v>0</v>
      </c>
      <c r="N69" s="202">
        <f>J69*L69</f>
        <v>0</v>
      </c>
      <c r="O69" s="35">
        <v>35.742995049440289</v>
      </c>
      <c r="P69" s="202">
        <f t="shared" si="17"/>
        <v>0</v>
      </c>
      <c r="Q69" s="35">
        <v>4360.6453960317149</v>
      </c>
      <c r="R69" s="202">
        <f t="shared" si="18"/>
        <v>0</v>
      </c>
    </row>
    <row r="70" spans="1:18" x14ac:dyDescent="0.2">
      <c r="A70" s="25"/>
      <c r="B70" s="25"/>
      <c r="C70" s="25" t="s">
        <v>4</v>
      </c>
      <c r="D70" s="25">
        <v>1</v>
      </c>
      <c r="E70" s="132"/>
      <c r="F70" s="226" t="s">
        <v>42</v>
      </c>
      <c r="G70" s="41">
        <v>27.800639344319816</v>
      </c>
      <c r="H70" s="133"/>
      <c r="I70" s="35">
        <v>27.800639344319816</v>
      </c>
      <c r="J70" s="202">
        <f t="shared" si="16"/>
        <v>0</v>
      </c>
      <c r="K70" s="225">
        <v>0</v>
      </c>
      <c r="L70" s="214"/>
      <c r="M70" s="35">
        <v>0</v>
      </c>
      <c r="N70" s="202">
        <f>J70*L70</f>
        <v>0</v>
      </c>
      <c r="O70" s="35">
        <v>27.800639344319816</v>
      </c>
      <c r="P70" s="202">
        <f t="shared" si="17"/>
        <v>0</v>
      </c>
      <c r="Q70" s="35">
        <v>3391.6780000070175</v>
      </c>
      <c r="R70" s="202">
        <f t="shared" si="18"/>
        <v>0</v>
      </c>
    </row>
    <row r="71" spans="1:18" x14ac:dyDescent="0.2">
      <c r="A71" s="25"/>
      <c r="B71" s="25" t="s">
        <v>89</v>
      </c>
      <c r="C71" s="25"/>
      <c r="D71" s="25"/>
      <c r="E71" s="197"/>
      <c r="F71" s="21"/>
      <c r="G71" s="41"/>
      <c r="H71" s="197"/>
      <c r="I71" s="186"/>
      <c r="J71" s="184"/>
      <c r="K71" s="225"/>
      <c r="L71" s="197"/>
      <c r="M71" s="35"/>
      <c r="N71" s="184"/>
      <c r="O71" s="35"/>
      <c r="P71" s="184"/>
      <c r="Q71" s="35"/>
      <c r="R71" s="184"/>
    </row>
    <row r="72" spans="1:18" x14ac:dyDescent="0.2">
      <c r="A72" s="25"/>
      <c r="B72" s="25"/>
      <c r="C72" s="25" t="s">
        <v>104</v>
      </c>
      <c r="D72" s="41">
        <v>25.128073770491802</v>
      </c>
      <c r="E72" s="132"/>
      <c r="F72" s="226" t="s">
        <v>100</v>
      </c>
      <c r="G72" s="39">
        <v>0.08</v>
      </c>
      <c r="H72" s="215"/>
      <c r="I72" s="35">
        <v>2.0102459016393444</v>
      </c>
      <c r="J72" s="202">
        <f t="shared" ref="J72:J81" si="19">E72*H72</f>
        <v>0</v>
      </c>
      <c r="K72" s="225">
        <v>0</v>
      </c>
      <c r="L72" s="214"/>
      <c r="M72" s="35">
        <v>0</v>
      </c>
      <c r="N72" s="202">
        <f>J72*L72</f>
        <v>0</v>
      </c>
      <c r="O72" s="35">
        <v>2.0102459016393444</v>
      </c>
      <c r="P72" s="202">
        <f t="shared" ref="P72:P74" si="20">+J72-N72</f>
        <v>0</v>
      </c>
      <c r="Q72" s="35">
        <v>245.25</v>
      </c>
      <c r="R72" s="202">
        <f t="shared" ref="R72:R74" si="21">+J72*E$7</f>
        <v>0</v>
      </c>
    </row>
    <row r="73" spans="1:18" x14ac:dyDescent="0.2">
      <c r="A73" s="25"/>
      <c r="B73" s="25"/>
      <c r="C73" s="25" t="s">
        <v>105</v>
      </c>
      <c r="D73" s="41">
        <v>311.98254314277222</v>
      </c>
      <c r="E73" s="132"/>
      <c r="F73" s="226" t="s">
        <v>100</v>
      </c>
      <c r="G73" s="39">
        <v>0.08</v>
      </c>
      <c r="H73" s="215"/>
      <c r="I73" s="35">
        <v>24.958603451421776</v>
      </c>
      <c r="J73" s="202">
        <f t="shared" si="19"/>
        <v>0</v>
      </c>
      <c r="K73" s="225">
        <v>0</v>
      </c>
      <c r="L73" s="214"/>
      <c r="M73" s="35">
        <v>0</v>
      </c>
      <c r="N73" s="202">
        <f>J73*L73</f>
        <v>0</v>
      </c>
      <c r="O73" s="35">
        <v>24.958603451421776</v>
      </c>
      <c r="P73" s="202">
        <f t="shared" si="20"/>
        <v>0</v>
      </c>
      <c r="Q73" s="35">
        <v>3044.9496210734569</v>
      </c>
      <c r="R73" s="202">
        <f t="shared" si="21"/>
        <v>0</v>
      </c>
    </row>
    <row r="74" spans="1:18" x14ac:dyDescent="0.2">
      <c r="A74" s="25"/>
      <c r="B74" s="25"/>
      <c r="C74" s="25" t="s">
        <v>4</v>
      </c>
      <c r="D74" s="41">
        <v>182.53004833228763</v>
      </c>
      <c r="E74" s="132"/>
      <c r="F74" s="226" t="s">
        <v>100</v>
      </c>
      <c r="G74" s="39">
        <v>0.08</v>
      </c>
      <c r="H74" s="215"/>
      <c r="I74" s="35">
        <v>14.60240386658301</v>
      </c>
      <c r="J74" s="202">
        <f t="shared" si="19"/>
        <v>0</v>
      </c>
      <c r="K74" s="225">
        <v>0</v>
      </c>
      <c r="L74" s="214"/>
      <c r="M74" s="35">
        <v>0</v>
      </c>
      <c r="N74" s="202">
        <f>J74*L74</f>
        <v>0</v>
      </c>
      <c r="O74" s="35">
        <v>14.60240386658301</v>
      </c>
      <c r="P74" s="202">
        <f t="shared" si="20"/>
        <v>0</v>
      </c>
      <c r="Q74" s="35">
        <v>1781.4932717231272</v>
      </c>
      <c r="R74" s="202">
        <f t="shared" si="21"/>
        <v>0</v>
      </c>
    </row>
    <row r="75" spans="1:18" x14ac:dyDescent="0.2">
      <c r="A75" s="25"/>
      <c r="B75" s="25" t="s">
        <v>156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ref="N75:N82" si="22">J75*L75</f>
        <v>0</v>
      </c>
      <c r="O75" s="35">
        <v>0</v>
      </c>
      <c r="P75" s="202">
        <f t="shared" ref="P75:P82" si="23">+J75-N75</f>
        <v>0</v>
      </c>
      <c r="Q75" s="35">
        <v>0</v>
      </c>
      <c r="R75" s="202">
        <f t="shared" ref="R75:R82" si="24">+J75*E$7</f>
        <v>0</v>
      </c>
    </row>
    <row r="76" spans="1:18" x14ac:dyDescent="0.2">
      <c r="A76" s="25"/>
      <c r="B76" s="25" t="s">
        <v>152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x14ac:dyDescent="0.2">
      <c r="A77" s="25"/>
      <c r="B77" s="25" t="s">
        <v>137</v>
      </c>
      <c r="C77" s="25"/>
      <c r="D77" s="25">
        <v>1</v>
      </c>
      <c r="E77" s="132"/>
      <c r="F77" s="226" t="s">
        <v>42</v>
      </c>
      <c r="G77" s="41">
        <v>0</v>
      </c>
      <c r="H77" s="133"/>
      <c r="I77" s="35">
        <v>0</v>
      </c>
      <c r="J77" s="202">
        <f t="shared" si="19"/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x14ac:dyDescent="0.2">
      <c r="A78" s="25"/>
      <c r="B78" s="25" t="s">
        <v>453</v>
      </c>
      <c r="C78" s="25"/>
      <c r="D78" s="25">
        <v>1</v>
      </c>
      <c r="E78" s="132"/>
      <c r="F78" s="226" t="s">
        <v>42</v>
      </c>
      <c r="G78" s="41">
        <v>50</v>
      </c>
      <c r="H78" s="133"/>
      <c r="I78" s="35">
        <v>50</v>
      </c>
      <c r="J78" s="202">
        <f t="shared" si="19"/>
        <v>0</v>
      </c>
      <c r="K78" s="225">
        <v>0</v>
      </c>
      <c r="L78" s="214"/>
      <c r="M78" s="35">
        <v>0</v>
      </c>
      <c r="N78" s="202">
        <f t="shared" si="22"/>
        <v>0</v>
      </c>
      <c r="O78" s="35">
        <v>50</v>
      </c>
      <c r="P78" s="202">
        <f t="shared" si="23"/>
        <v>0</v>
      </c>
      <c r="Q78" s="35">
        <v>6100</v>
      </c>
      <c r="R78" s="202">
        <f t="shared" si="24"/>
        <v>0</v>
      </c>
    </row>
    <row r="79" spans="1:18" x14ac:dyDescent="0.2">
      <c r="A79" s="25"/>
      <c r="B79" s="25" t="s">
        <v>159</v>
      </c>
      <c r="C79" s="25"/>
      <c r="D79" s="25">
        <v>1</v>
      </c>
      <c r="E79" s="132"/>
      <c r="F79" s="226" t="s">
        <v>42</v>
      </c>
      <c r="G79" s="41">
        <v>0</v>
      </c>
      <c r="H79" s="133"/>
      <c r="I79" s="35">
        <v>0</v>
      </c>
      <c r="J79" s="202">
        <f t="shared" si="19"/>
        <v>0</v>
      </c>
      <c r="K79" s="225">
        <v>0</v>
      </c>
      <c r="L79" s="214"/>
      <c r="M79" s="35">
        <v>0</v>
      </c>
      <c r="N79" s="202">
        <f t="shared" si="22"/>
        <v>0</v>
      </c>
      <c r="O79" s="35">
        <v>0</v>
      </c>
      <c r="P79" s="202">
        <f t="shared" si="23"/>
        <v>0</v>
      </c>
      <c r="Q79" s="35">
        <v>0</v>
      </c>
      <c r="R79" s="202">
        <f t="shared" si="24"/>
        <v>0</v>
      </c>
    </row>
    <row r="80" spans="1:18" x14ac:dyDescent="0.2">
      <c r="A80" s="25"/>
      <c r="B80" s="25" t="s">
        <v>160</v>
      </c>
      <c r="C80" s="25"/>
      <c r="D80" s="25">
        <v>1</v>
      </c>
      <c r="E80" s="132"/>
      <c r="F80" s="226" t="s">
        <v>42</v>
      </c>
      <c r="G80" s="41">
        <v>0</v>
      </c>
      <c r="H80" s="133"/>
      <c r="I80" s="35">
        <v>0</v>
      </c>
      <c r="J80" s="202">
        <f t="shared" si="19"/>
        <v>0</v>
      </c>
      <c r="K80" s="225">
        <v>0</v>
      </c>
      <c r="L80" s="214"/>
      <c r="M80" s="35">
        <v>0</v>
      </c>
      <c r="N80" s="202">
        <f t="shared" si="22"/>
        <v>0</v>
      </c>
      <c r="O80" s="35">
        <v>0</v>
      </c>
      <c r="P80" s="202">
        <f t="shared" si="23"/>
        <v>0</v>
      </c>
      <c r="Q80" s="35">
        <v>0</v>
      </c>
      <c r="R80" s="202">
        <f t="shared" si="24"/>
        <v>0</v>
      </c>
    </row>
    <row r="81" spans="1:18" x14ac:dyDescent="0.2">
      <c r="A81" s="25"/>
      <c r="B81" s="133"/>
      <c r="C81" s="133"/>
      <c r="D81" s="25">
        <v>1</v>
      </c>
      <c r="E81" s="132"/>
      <c r="F81" s="226"/>
      <c r="G81" s="41">
        <v>0</v>
      </c>
      <c r="H81" s="133"/>
      <c r="I81" s="35">
        <v>0</v>
      </c>
      <c r="J81" s="202">
        <f t="shared" si="19"/>
        <v>0</v>
      </c>
      <c r="K81" s="225">
        <v>0</v>
      </c>
      <c r="L81" s="214"/>
      <c r="M81" s="35">
        <v>0</v>
      </c>
      <c r="N81" s="202">
        <f t="shared" si="22"/>
        <v>0</v>
      </c>
      <c r="O81" s="35">
        <v>0</v>
      </c>
      <c r="P81" s="202">
        <f t="shared" si="23"/>
        <v>0</v>
      </c>
      <c r="Q81" s="35">
        <v>0</v>
      </c>
      <c r="R81" s="202">
        <f t="shared" si="24"/>
        <v>0</v>
      </c>
    </row>
    <row r="82" spans="1:18" ht="13.5" thickBot="1" x14ac:dyDescent="0.25">
      <c r="A82" s="25"/>
      <c r="B82" s="133"/>
      <c r="C82" s="133"/>
      <c r="D82" s="25">
        <v>1</v>
      </c>
      <c r="E82" s="132"/>
      <c r="F82" s="226"/>
      <c r="G82" s="41">
        <v>0</v>
      </c>
      <c r="H82" s="133"/>
      <c r="I82" s="35">
        <v>0</v>
      </c>
      <c r="J82" s="202">
        <f>E82*H82</f>
        <v>0</v>
      </c>
      <c r="K82" s="225">
        <v>0</v>
      </c>
      <c r="L82" s="214"/>
      <c r="M82" s="35">
        <v>0</v>
      </c>
      <c r="N82" s="202">
        <f t="shared" si="22"/>
        <v>0</v>
      </c>
      <c r="O82" s="35">
        <v>0</v>
      </c>
      <c r="P82" s="202">
        <f t="shared" si="23"/>
        <v>0</v>
      </c>
      <c r="Q82" s="35">
        <v>0</v>
      </c>
      <c r="R82" s="202">
        <f t="shared" si="24"/>
        <v>0</v>
      </c>
    </row>
    <row r="83" spans="1:18" ht="13.5" thickBot="1" x14ac:dyDescent="0.25">
      <c r="A83" s="25" t="s">
        <v>37</v>
      </c>
      <c r="B83" s="25"/>
      <c r="C83" s="25"/>
      <c r="D83" s="25"/>
      <c r="E83" s="197"/>
      <c r="F83" s="25"/>
      <c r="G83" s="25"/>
      <c r="H83" s="197"/>
      <c r="I83" s="121">
        <v>161.14562531832229</v>
      </c>
      <c r="J83" s="204">
        <f>+SUM(J68:J82)</f>
        <v>0</v>
      </c>
      <c r="K83" s="35"/>
      <c r="L83" s="195"/>
      <c r="M83" s="121">
        <v>0</v>
      </c>
      <c r="N83" s="204">
        <f>+SUM(N68:N82)</f>
        <v>0</v>
      </c>
      <c r="O83" s="121">
        <v>161.14562531832229</v>
      </c>
      <c r="P83" s="204">
        <f>+SUM(P68:P82)</f>
        <v>0</v>
      </c>
      <c r="Q83" s="121">
        <v>19659.766288835319</v>
      </c>
      <c r="R83" s="204">
        <f>+SUM(R68:R82)</f>
        <v>0</v>
      </c>
    </row>
    <row r="84" spans="1:18" ht="14.25" thickTop="1" thickBot="1" x14ac:dyDescent="0.25">
      <c r="A84" s="25" t="s">
        <v>52</v>
      </c>
      <c r="B84" s="25"/>
      <c r="C84" s="25"/>
      <c r="D84" s="25"/>
      <c r="E84" s="197"/>
      <c r="F84" s="25"/>
      <c r="G84" s="25"/>
      <c r="H84" s="197"/>
      <c r="I84" s="87">
        <v>808.97984232138424</v>
      </c>
      <c r="J84" s="205">
        <f>+J62+J83</f>
        <v>0</v>
      </c>
      <c r="K84" s="35"/>
      <c r="L84" s="195"/>
      <c r="M84" s="87">
        <v>0</v>
      </c>
      <c r="N84" s="205">
        <f>+N62+N83</f>
        <v>0</v>
      </c>
      <c r="O84" s="87">
        <v>808.97984232138424</v>
      </c>
      <c r="P84" s="205">
        <f>+P62+P83</f>
        <v>0</v>
      </c>
      <c r="Q84" s="87">
        <v>98695.540763208846</v>
      </c>
      <c r="R84" s="205">
        <f>+R62+R83</f>
        <v>0</v>
      </c>
    </row>
    <row r="85" spans="1:18" ht="13.5" thickTop="1" x14ac:dyDescent="0.2">
      <c r="A85" s="25"/>
      <c r="B85" s="25"/>
      <c r="C85" s="25"/>
      <c r="D85" s="25"/>
      <c r="E85" s="197"/>
      <c r="F85" s="25"/>
      <c r="G85" s="25"/>
      <c r="H85" s="197"/>
      <c r="I85" s="35"/>
      <c r="J85" s="184"/>
      <c r="K85" s="35"/>
      <c r="L85" s="195"/>
      <c r="M85" s="35"/>
      <c r="N85" s="184"/>
      <c r="O85" s="35"/>
      <c r="P85" s="184"/>
      <c r="Q85" s="35"/>
      <c r="R85" s="184"/>
    </row>
    <row r="86" spans="1:18" x14ac:dyDescent="0.2">
      <c r="A86" s="25" t="s">
        <v>153</v>
      </c>
      <c r="B86" s="25"/>
      <c r="C86" s="25"/>
      <c r="D86" s="25"/>
      <c r="E86" s="197"/>
      <c r="F86" s="25"/>
      <c r="G86" s="25"/>
      <c r="H86" s="197"/>
      <c r="I86" s="35">
        <v>538.29015767861574</v>
      </c>
      <c r="J86" s="202">
        <f>+J14-J84</f>
        <v>0</v>
      </c>
      <c r="K86" s="35"/>
      <c r="L86" s="195"/>
      <c r="M86" s="35">
        <v>0</v>
      </c>
      <c r="N86" s="202">
        <f>+N14-N84</f>
        <v>0</v>
      </c>
      <c r="O86" s="35">
        <v>538.29015767861574</v>
      </c>
      <c r="P86" s="202">
        <f>+P14-P84</f>
        <v>0</v>
      </c>
      <c r="Q86" s="35">
        <v>65671.399236791156</v>
      </c>
      <c r="R86" s="202">
        <f>+R14-R84</f>
        <v>0</v>
      </c>
    </row>
    <row r="87" spans="1:18" x14ac:dyDescent="0.2">
      <c r="A87" s="25"/>
      <c r="B87" s="25"/>
      <c r="C87" s="25"/>
      <c r="D87" s="25"/>
      <c r="E87" s="197"/>
      <c r="F87" s="25"/>
      <c r="G87" s="25"/>
      <c r="H87" s="197"/>
      <c r="I87" s="35"/>
      <c r="J87" s="206"/>
      <c r="K87" s="35"/>
      <c r="L87" s="195"/>
      <c r="M87" s="35"/>
      <c r="N87" s="195"/>
      <c r="O87" s="35"/>
      <c r="P87" s="195"/>
      <c r="Q87" s="35"/>
      <c r="R87" s="206"/>
    </row>
    <row r="88" spans="1:18" ht="13.5" thickBot="1" x14ac:dyDescent="0.25">
      <c r="A88" s="44" t="s">
        <v>38</v>
      </c>
      <c r="B88" s="44"/>
      <c r="C88" s="44"/>
      <c r="D88" s="44"/>
      <c r="E88" s="201"/>
      <c r="F88" s="44"/>
      <c r="G88" s="45">
        <v>0.39404965484267285</v>
      </c>
      <c r="H88" s="212" t="str">
        <f>IF(E10=0,"n/a",(YTotExp-(YTotExp+YTotRet-J10))/E10)</f>
        <v>n/a</v>
      </c>
      <c r="I88" s="44" t="s">
        <v>83</v>
      </c>
      <c r="J88" s="207"/>
      <c r="K88" s="44"/>
      <c r="L88" s="201"/>
      <c r="M88" s="44"/>
      <c r="N88" s="201"/>
      <c r="O88" s="44"/>
      <c r="P88" s="201"/>
      <c r="Q88" s="44"/>
      <c r="R88" s="207"/>
    </row>
    <row r="89" spans="1:18" ht="13.5" thickTop="1" x14ac:dyDescent="0.2"/>
    <row r="90" spans="1:18" s="17" customFormat="1" ht="15.75" x14ac:dyDescent="0.25">
      <c r="A90"/>
      <c r="B90" s="88"/>
      <c r="C90" s="89"/>
      <c r="D90" s="234" t="s">
        <v>115</v>
      </c>
      <c r="E90" s="235"/>
      <c r="F90" s="235"/>
      <c r="G90" s="235"/>
      <c r="H90" s="235"/>
      <c r="I90" s="235"/>
      <c r="J90" s="99"/>
      <c r="K90" s="99"/>
      <c r="M90"/>
      <c r="N90"/>
    </row>
    <row r="91" spans="1:18" s="17" customFormat="1" ht="15.75" x14ac:dyDescent="0.25">
      <c r="A91"/>
      <c r="B91" s="19" t="s">
        <v>116</v>
      </c>
      <c r="C91" s="19" t="s">
        <v>116</v>
      </c>
      <c r="D91" s="126" t="s">
        <v>170</v>
      </c>
      <c r="E91" s="18"/>
      <c r="F91" s="18"/>
      <c r="G91" s="126" t="s">
        <v>170</v>
      </c>
      <c r="H91" s="18"/>
      <c r="I91" s="18"/>
      <c r="J91" s="18"/>
      <c r="K91" s="18"/>
      <c r="M91"/>
      <c r="N91"/>
    </row>
    <row r="92" spans="1:18" s="17" customFormat="1" x14ac:dyDescent="0.2">
      <c r="A92"/>
      <c r="B92" s="19" t="s">
        <v>81</v>
      </c>
      <c r="C92" s="19" t="s">
        <v>81</v>
      </c>
      <c r="D92" s="126" t="s">
        <v>157</v>
      </c>
      <c r="E92" s="122"/>
      <c r="F92" s="122"/>
      <c r="G92" s="126" t="s">
        <v>11</v>
      </c>
      <c r="H92" s="122"/>
      <c r="I92" s="122"/>
      <c r="J92" s="122"/>
      <c r="K92" s="122"/>
      <c r="M92"/>
      <c r="N92"/>
    </row>
    <row r="93" spans="1:18" s="17" customFormat="1" x14ac:dyDescent="0.2">
      <c r="A93"/>
      <c r="B93" s="19" t="s">
        <v>30</v>
      </c>
      <c r="C93" s="99" t="s">
        <v>83</v>
      </c>
      <c r="D93" s="126" t="s">
        <v>99</v>
      </c>
      <c r="E93" s="122"/>
      <c r="F93" s="122"/>
      <c r="G93" s="126" t="s">
        <v>99</v>
      </c>
      <c r="H93" s="19"/>
      <c r="I93" s="19"/>
      <c r="J93" s="19"/>
      <c r="K93" s="19"/>
      <c r="M93"/>
      <c r="N93"/>
    </row>
    <row r="94" spans="1:18" s="17" customFormat="1" x14ac:dyDescent="0.2">
      <c r="A94"/>
      <c r="B94" s="90">
        <v>0.75</v>
      </c>
      <c r="C94" s="91">
        <v>994.5</v>
      </c>
      <c r="D94" s="92">
        <v>0.3633627119186143</v>
      </c>
      <c r="E94" s="93"/>
      <c r="F94" s="94"/>
      <c r="G94" s="92">
        <v>0.52539953979023046</v>
      </c>
      <c r="H94" s="93"/>
      <c r="I94" s="93"/>
      <c r="M94"/>
      <c r="N94"/>
    </row>
    <row r="95" spans="1:18" s="17" customFormat="1" x14ac:dyDescent="0.2">
      <c r="A95"/>
      <c r="B95" s="95">
        <v>0.9</v>
      </c>
      <c r="C95" s="96">
        <v>1193.4000000000001</v>
      </c>
      <c r="D95" s="97">
        <v>0.30280225993217857</v>
      </c>
      <c r="E95" s="83"/>
      <c r="F95" s="98"/>
      <c r="G95" s="97">
        <v>0.43783294982519205</v>
      </c>
      <c r="H95" s="83"/>
      <c r="I95" s="83"/>
      <c r="M95"/>
      <c r="N95"/>
    </row>
    <row r="96" spans="1:18" s="17" customFormat="1" x14ac:dyDescent="0.2">
      <c r="A96"/>
      <c r="B96" s="90">
        <v>1</v>
      </c>
      <c r="C96" s="91">
        <v>1326</v>
      </c>
      <c r="D96" s="92">
        <v>0.27252203393896074</v>
      </c>
      <c r="E96" s="93"/>
      <c r="F96" s="94"/>
      <c r="G96" s="92">
        <v>0.39404965484267285</v>
      </c>
      <c r="H96" s="93"/>
      <c r="I96" s="93"/>
      <c r="M96"/>
      <c r="N96"/>
    </row>
    <row r="97" spans="1:18" s="17" customFormat="1" x14ac:dyDescent="0.2">
      <c r="A97"/>
      <c r="B97" s="95">
        <v>1.1000000000000001</v>
      </c>
      <c r="C97" s="96">
        <v>1458.6000000000001</v>
      </c>
      <c r="D97" s="97">
        <v>0.24774730358087335</v>
      </c>
      <c r="E97" s="83"/>
      <c r="F97" s="98"/>
      <c r="G97" s="97">
        <v>0.35822695894788437</v>
      </c>
      <c r="H97" s="83"/>
      <c r="I97" s="83"/>
      <c r="M97"/>
      <c r="N97"/>
    </row>
    <row r="98" spans="1:18" s="17" customFormat="1" x14ac:dyDescent="0.2">
      <c r="A98"/>
      <c r="B98" s="90">
        <v>1.25</v>
      </c>
      <c r="C98" s="91">
        <v>1657.5</v>
      </c>
      <c r="D98" s="92">
        <v>0.21801762715116857</v>
      </c>
      <c r="E98" s="93"/>
      <c r="F98" s="94"/>
      <c r="G98" s="92">
        <v>0.31523972387413829</v>
      </c>
      <c r="H98" s="93"/>
      <c r="I98" s="93"/>
      <c r="M98"/>
      <c r="N98"/>
    </row>
    <row r="99" spans="1:18" s="17" customFormat="1" x14ac:dyDescent="0.2">
      <c r="A99"/>
      <c r="M99"/>
      <c r="N99"/>
    </row>
    <row r="100" spans="1:18" x14ac:dyDescent="0.2">
      <c r="A100" s="25" t="s">
        <v>536</v>
      </c>
      <c r="B100" s="17"/>
      <c r="C100" s="17"/>
      <c r="D100" s="17"/>
      <c r="E100" s="17"/>
      <c r="F100" s="17"/>
      <c r="G100" s="17"/>
      <c r="H100" s="17"/>
      <c r="I100" s="17"/>
      <c r="J100" s="28"/>
      <c r="K100" s="17"/>
      <c r="L100" s="17"/>
      <c r="M100" s="17"/>
      <c r="N100" s="17"/>
      <c r="O100" s="17"/>
      <c r="P100" s="17"/>
      <c r="Q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28"/>
      <c r="K101" s="17"/>
      <c r="L101" s="17"/>
      <c r="M101" s="17"/>
      <c r="N101" s="17"/>
      <c r="O101" s="17"/>
      <c r="P101" s="17"/>
      <c r="Q101" s="17"/>
    </row>
    <row r="102" spans="1:18" ht="26.25" customHeight="1" x14ac:dyDescent="0.2">
      <c r="A102" s="236" t="s">
        <v>140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21"/>
      <c r="N102" s="221"/>
      <c r="O102" s="221"/>
      <c r="P102" s="221"/>
      <c r="Q102" s="221"/>
      <c r="R102" s="221"/>
    </row>
  </sheetData>
  <sheetProtection sheet="1" objects="1" scenarios="1"/>
  <mergeCells count="6">
    <mergeCell ref="D90:I90"/>
    <mergeCell ref="A102:L102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17">
    <tabColor rgb="FF92D050"/>
    <pageSetUpPr fitToPage="1"/>
  </sheetPr>
  <dimension ref="A1:S98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479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173</v>
      </c>
      <c r="C10" s="25"/>
      <c r="D10" s="50">
        <v>22</v>
      </c>
      <c r="E10" s="132"/>
      <c r="F10" s="226" t="s">
        <v>84</v>
      </c>
      <c r="G10" s="31">
        <v>6.4</v>
      </c>
      <c r="H10" s="133"/>
      <c r="I10" s="35">
        <v>140.80000000000001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140.80000000000001</v>
      </c>
      <c r="P10" s="202">
        <f>+J10-N10</f>
        <v>0</v>
      </c>
      <c r="Q10" s="35">
        <v>17177.600000000002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140.80000000000001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140.80000000000001</v>
      </c>
      <c r="P13" s="203">
        <f>SUM(P10:P12)</f>
        <v>0</v>
      </c>
      <c r="Q13" s="36">
        <v>17177.600000000002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426</v>
      </c>
      <c r="D18" s="25">
        <v>9</v>
      </c>
      <c r="E18" s="132"/>
      <c r="F18" s="226" t="s">
        <v>83</v>
      </c>
      <c r="G18" s="41">
        <v>0.56000000000000005</v>
      </c>
      <c r="H18" s="133"/>
      <c r="I18" s="35">
        <v>5.0400000000000009</v>
      </c>
      <c r="J18" s="202">
        <f t="shared" ref="J18:J36" si="4">E18*H18</f>
        <v>0</v>
      </c>
      <c r="K18" s="225">
        <v>0</v>
      </c>
      <c r="L18" s="214"/>
      <c r="M18" s="35">
        <v>0</v>
      </c>
      <c r="N18" s="202">
        <f t="shared" ref="N18:N36" si="5">J18*L18</f>
        <v>0</v>
      </c>
      <c r="O18" s="35">
        <v>5.0400000000000009</v>
      </c>
      <c r="P18" s="202">
        <f t="shared" ref="P18:P36" si="6">+J18-N18</f>
        <v>0</v>
      </c>
      <c r="Q18" s="35">
        <v>614.88000000000011</v>
      </c>
      <c r="R18" s="202">
        <f t="shared" ref="R18:R36" si="7">+J18*E$7</f>
        <v>0</v>
      </c>
    </row>
    <row r="19" spans="1:18" x14ac:dyDescent="0.2">
      <c r="A19" s="25"/>
      <c r="B19" s="25" t="s">
        <v>501</v>
      </c>
      <c r="C19" s="25" t="s">
        <v>356</v>
      </c>
      <c r="D19" s="25">
        <v>18</v>
      </c>
      <c r="E19" s="132"/>
      <c r="F19" s="226" t="s">
        <v>83</v>
      </c>
      <c r="G19" s="41">
        <v>1.29</v>
      </c>
      <c r="H19" s="133"/>
      <c r="I19" s="35">
        <v>23.22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23.22</v>
      </c>
      <c r="P19" s="202">
        <f t="shared" si="6"/>
        <v>0</v>
      </c>
      <c r="Q19" s="35">
        <v>2832.8399999999997</v>
      </c>
      <c r="R19" s="202">
        <f t="shared" si="7"/>
        <v>0</v>
      </c>
    </row>
    <row r="20" spans="1:18" x14ac:dyDescent="0.2">
      <c r="A20" s="25"/>
      <c r="B20" s="25" t="s">
        <v>501</v>
      </c>
      <c r="C20" s="25" t="s">
        <v>422</v>
      </c>
      <c r="D20" s="25">
        <v>17</v>
      </c>
      <c r="E20" s="132"/>
      <c r="F20" s="226" t="s">
        <v>83</v>
      </c>
      <c r="G20" s="41">
        <v>0.53</v>
      </c>
      <c r="H20" s="133"/>
      <c r="I20" s="35">
        <v>9.01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9.01</v>
      </c>
      <c r="P20" s="202">
        <f t="shared" si="6"/>
        <v>0</v>
      </c>
      <c r="Q20" s="35">
        <v>1099.22</v>
      </c>
      <c r="R20" s="202">
        <f t="shared" si="7"/>
        <v>0</v>
      </c>
    </row>
    <row r="21" spans="1:18" x14ac:dyDescent="0.2">
      <c r="A21" s="25"/>
      <c r="B21" s="25" t="s">
        <v>50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501</v>
      </c>
      <c r="C22" s="25" t="s">
        <v>441</v>
      </c>
      <c r="D22" s="25">
        <v>1</v>
      </c>
      <c r="E22" s="132"/>
      <c r="F22" s="226" t="s">
        <v>42</v>
      </c>
      <c r="G22" s="41">
        <v>0.25</v>
      </c>
      <c r="H22" s="133"/>
      <c r="I22" s="35">
        <v>0.25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0.25</v>
      </c>
      <c r="P22" s="202">
        <f t="shared" si="6"/>
        <v>0</v>
      </c>
      <c r="Q22" s="35">
        <v>30.5</v>
      </c>
      <c r="R22" s="202">
        <f t="shared" si="7"/>
        <v>0</v>
      </c>
    </row>
    <row r="23" spans="1:18" x14ac:dyDescent="0.2">
      <c r="A23" s="25"/>
      <c r="B23" s="25" t="s">
        <v>501</v>
      </c>
      <c r="C23" s="25" t="s">
        <v>407</v>
      </c>
      <c r="D23" s="25">
        <v>22</v>
      </c>
      <c r="E23" s="132"/>
      <c r="F23" s="226" t="s">
        <v>84</v>
      </c>
      <c r="G23" s="41">
        <v>0.25</v>
      </c>
      <c r="H23" s="133"/>
      <c r="I23" s="35">
        <v>5.5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5.5</v>
      </c>
      <c r="P23" s="202">
        <f t="shared" si="6"/>
        <v>0</v>
      </c>
      <c r="Q23" s="35">
        <v>671</v>
      </c>
      <c r="R23" s="202">
        <f t="shared" si="7"/>
        <v>0</v>
      </c>
    </row>
    <row r="24" spans="1:18" x14ac:dyDescent="0.2">
      <c r="A24" s="25"/>
      <c r="B24" s="25" t="s">
        <v>48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430</v>
      </c>
      <c r="D25" s="25">
        <v>1</v>
      </c>
      <c r="E25" s="132"/>
      <c r="F25" s="226" t="s">
        <v>311</v>
      </c>
      <c r="G25" s="41">
        <v>3.6875</v>
      </c>
      <c r="H25" s="133"/>
      <c r="I25" s="35">
        <v>3.6875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3.6875</v>
      </c>
      <c r="P25" s="202">
        <f t="shared" si="6"/>
        <v>0</v>
      </c>
      <c r="Q25" s="35">
        <v>449.875</v>
      </c>
      <c r="R25" s="202">
        <f t="shared" si="7"/>
        <v>0</v>
      </c>
    </row>
    <row r="26" spans="1:18" x14ac:dyDescent="0.2">
      <c r="A26" s="25"/>
      <c r="B26" s="25" t="s">
        <v>1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450</v>
      </c>
      <c r="D27" s="25">
        <v>50</v>
      </c>
      <c r="E27" s="132"/>
      <c r="F27" s="226" t="s">
        <v>83</v>
      </c>
      <c r="G27" s="41">
        <v>0.27</v>
      </c>
      <c r="H27" s="133"/>
      <c r="I27" s="35">
        <v>13.5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13.5</v>
      </c>
      <c r="P27" s="202">
        <f t="shared" si="6"/>
        <v>0</v>
      </c>
      <c r="Q27" s="35">
        <v>1647</v>
      </c>
      <c r="R27" s="202">
        <f t="shared" si="7"/>
        <v>0</v>
      </c>
    </row>
    <row r="28" spans="1:18" x14ac:dyDescent="0.2">
      <c r="A28" s="25"/>
      <c r="B28" s="25" t="s">
        <v>49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418</v>
      </c>
      <c r="D29" s="25">
        <v>1</v>
      </c>
      <c r="E29" s="132"/>
      <c r="F29" s="226" t="s">
        <v>311</v>
      </c>
      <c r="G29" s="41">
        <v>3.06</v>
      </c>
      <c r="H29" s="133"/>
      <c r="I29" s="35">
        <v>3.06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3.06</v>
      </c>
      <c r="P29" s="202">
        <f t="shared" si="6"/>
        <v>0</v>
      </c>
      <c r="Q29" s="35">
        <v>373.32</v>
      </c>
      <c r="R29" s="202">
        <f t="shared" si="7"/>
        <v>0</v>
      </c>
    </row>
    <row r="30" spans="1:18" x14ac:dyDescent="0.2">
      <c r="A30" s="25"/>
      <c r="B30" s="25" t="s">
        <v>501</v>
      </c>
      <c r="C30" s="25" t="s">
        <v>420</v>
      </c>
      <c r="D30" s="25">
        <v>0.14000000000000001</v>
      </c>
      <c r="E30" s="132"/>
      <c r="F30" s="226" t="s">
        <v>360</v>
      </c>
      <c r="G30" s="41">
        <v>4.5</v>
      </c>
      <c r="H30" s="133"/>
      <c r="I30" s="35">
        <v>0.63000000000000012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0.63000000000000012</v>
      </c>
      <c r="P30" s="202">
        <f t="shared" si="6"/>
        <v>0</v>
      </c>
      <c r="Q30" s="35">
        <v>76.860000000000014</v>
      </c>
      <c r="R30" s="202">
        <f t="shared" si="7"/>
        <v>0</v>
      </c>
    </row>
    <row r="31" spans="1:18" x14ac:dyDescent="0.2">
      <c r="A31" s="25"/>
      <c r="B31" s="25" t="s">
        <v>27</v>
      </c>
      <c r="C31" s="25"/>
      <c r="D31" s="25"/>
      <c r="E31" s="25"/>
      <c r="F31" s="25"/>
      <c r="G31" s="25"/>
      <c r="H31" s="25"/>
      <c r="I31" s="25"/>
      <c r="J31" s="25"/>
      <c r="K31" s="225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 t="s">
        <v>501</v>
      </c>
      <c r="C32" s="25" t="s">
        <v>425</v>
      </c>
      <c r="D32" s="25">
        <v>1</v>
      </c>
      <c r="E32" s="132"/>
      <c r="F32" s="226" t="s">
        <v>42</v>
      </c>
      <c r="G32" s="41">
        <v>4.53</v>
      </c>
      <c r="H32" s="133"/>
      <c r="I32" s="35">
        <v>4.53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4.53</v>
      </c>
      <c r="P32" s="202">
        <f t="shared" si="6"/>
        <v>0</v>
      </c>
      <c r="Q32" s="35">
        <v>552.66000000000008</v>
      </c>
      <c r="R32" s="202">
        <f t="shared" si="7"/>
        <v>0</v>
      </c>
    </row>
    <row r="33" spans="1:18" x14ac:dyDescent="0.2">
      <c r="A33" s="25"/>
      <c r="B33" s="25" t="s">
        <v>58</v>
      </c>
      <c r="C33" s="25"/>
      <c r="D33" s="25"/>
      <c r="E33" s="25"/>
      <c r="F33" s="25"/>
      <c r="G33" s="25"/>
      <c r="H33" s="25"/>
      <c r="I33" s="25"/>
      <c r="J33" s="25"/>
      <c r="K33" s="225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5" t="s">
        <v>501</v>
      </c>
      <c r="C34" s="25" t="s">
        <v>449</v>
      </c>
      <c r="D34" s="25">
        <v>8</v>
      </c>
      <c r="E34" s="132"/>
      <c r="F34" s="226" t="s">
        <v>360</v>
      </c>
      <c r="G34" s="41">
        <v>0.48</v>
      </c>
      <c r="H34" s="133"/>
      <c r="I34" s="35">
        <v>3.84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3.84</v>
      </c>
      <c r="P34" s="202">
        <f t="shared" si="6"/>
        <v>0</v>
      </c>
      <c r="Q34" s="35">
        <v>468.47999999999996</v>
      </c>
      <c r="R34" s="202">
        <f t="shared" si="7"/>
        <v>0</v>
      </c>
    </row>
    <row r="35" spans="1:18" x14ac:dyDescent="0.2">
      <c r="A35" s="25"/>
      <c r="B35" s="133"/>
      <c r="C35" s="133"/>
      <c r="D35" s="25">
        <v>0</v>
      </c>
      <c r="E35" s="132"/>
      <c r="F35" s="226"/>
      <c r="G35" s="41">
        <v>0</v>
      </c>
      <c r="H35" s="133"/>
      <c r="I35" s="35">
        <v>0</v>
      </c>
      <c r="J35" s="202">
        <f t="shared" si="4"/>
        <v>0</v>
      </c>
      <c r="K35" s="225">
        <v>0</v>
      </c>
      <c r="L35" s="214"/>
      <c r="M35" s="35">
        <v>0</v>
      </c>
      <c r="N35" s="202">
        <f t="shared" si="5"/>
        <v>0</v>
      </c>
      <c r="O35" s="35">
        <v>0</v>
      </c>
      <c r="P35" s="202">
        <f t="shared" si="6"/>
        <v>0</v>
      </c>
      <c r="Q35" s="35">
        <v>0</v>
      </c>
      <c r="R35" s="202">
        <f t="shared" si="7"/>
        <v>0</v>
      </c>
    </row>
    <row r="36" spans="1:18" x14ac:dyDescent="0.2">
      <c r="A36" s="25"/>
      <c r="B36" s="133"/>
      <c r="C36" s="133"/>
      <c r="D36" s="25">
        <v>0</v>
      </c>
      <c r="E36" s="132"/>
      <c r="F36" s="226"/>
      <c r="G36" s="41">
        <v>0</v>
      </c>
      <c r="H36" s="133"/>
      <c r="I36" s="35">
        <v>0</v>
      </c>
      <c r="J36" s="202">
        <f t="shared" si="4"/>
        <v>0</v>
      </c>
      <c r="K36" s="225">
        <v>0</v>
      </c>
      <c r="L36" s="214"/>
      <c r="M36" s="35">
        <v>0</v>
      </c>
      <c r="N36" s="202">
        <f t="shared" si="5"/>
        <v>0</v>
      </c>
      <c r="O36" s="35">
        <v>0</v>
      </c>
      <c r="P36" s="202">
        <f t="shared" si="6"/>
        <v>0</v>
      </c>
      <c r="Q36" s="35">
        <v>0</v>
      </c>
      <c r="R36" s="202">
        <f t="shared" si="7"/>
        <v>0</v>
      </c>
    </row>
    <row r="37" spans="1:18" x14ac:dyDescent="0.2">
      <c r="A37" s="25"/>
      <c r="B37" s="133"/>
      <c r="C37" s="133"/>
      <c r="D37" s="25">
        <v>0</v>
      </c>
      <c r="E37" s="132"/>
      <c r="F37" s="226"/>
      <c r="G37" s="41">
        <v>0</v>
      </c>
      <c r="H37" s="133"/>
      <c r="I37" s="35">
        <v>0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0</v>
      </c>
      <c r="P37" s="202">
        <f>+J37-N37</f>
        <v>0</v>
      </c>
      <c r="Q37" s="35">
        <v>0</v>
      </c>
      <c r="R37" s="202">
        <f>+J37*E$7</f>
        <v>0</v>
      </c>
    </row>
    <row r="38" spans="1:18" x14ac:dyDescent="0.2">
      <c r="A38" s="25"/>
      <c r="B38" s="25" t="s">
        <v>108</v>
      </c>
      <c r="C38" s="25"/>
      <c r="D38" s="25"/>
      <c r="E38" s="105"/>
      <c r="H38" s="105"/>
      <c r="I38" s="124"/>
      <c r="J38" s="105"/>
      <c r="K38" s="225"/>
      <c r="L38" s="105"/>
      <c r="N38" s="105"/>
      <c r="P38" s="105"/>
      <c r="R38" s="105"/>
    </row>
    <row r="39" spans="1:18" x14ac:dyDescent="0.2">
      <c r="A39" s="25"/>
      <c r="B39" s="25"/>
      <c r="C39" s="25" t="s">
        <v>105</v>
      </c>
      <c r="D39" s="25">
        <v>0.64</v>
      </c>
      <c r="E39" s="132"/>
      <c r="F39" s="226" t="s">
        <v>44</v>
      </c>
      <c r="G39" s="41">
        <v>17.21</v>
      </c>
      <c r="H39" s="133"/>
      <c r="I39" s="35">
        <v>11.0144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11.0144</v>
      </c>
      <c r="P39" s="202">
        <f>+J39-N39</f>
        <v>0</v>
      </c>
      <c r="Q39" s="35">
        <v>1343.7568000000001</v>
      </c>
      <c r="R39" s="202">
        <f>+J39*E$7</f>
        <v>0</v>
      </c>
    </row>
    <row r="40" spans="1:18" x14ac:dyDescent="0.2">
      <c r="A40" s="25"/>
      <c r="B40" s="25"/>
      <c r="C40" s="25" t="s">
        <v>107</v>
      </c>
      <c r="D40" s="25">
        <v>0.2</v>
      </c>
      <c r="E40" s="132"/>
      <c r="F40" s="226" t="s">
        <v>44</v>
      </c>
      <c r="G40" s="41">
        <v>17.21</v>
      </c>
      <c r="H40" s="133"/>
      <c r="I40" s="35">
        <v>3.4420000000000002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3.4420000000000002</v>
      </c>
      <c r="P40" s="202">
        <f>+J40-N40</f>
        <v>0</v>
      </c>
      <c r="Q40" s="35">
        <v>419.92400000000004</v>
      </c>
      <c r="R40" s="202">
        <f>+J40*E$7</f>
        <v>0</v>
      </c>
    </row>
    <row r="41" spans="1:18" x14ac:dyDescent="0.2">
      <c r="A41" s="25"/>
      <c r="B41" s="25"/>
      <c r="C41" s="25"/>
      <c r="D41" s="25"/>
      <c r="E41" s="209"/>
      <c r="F41" s="21"/>
      <c r="G41" s="41"/>
      <c r="H41" s="198"/>
      <c r="I41" s="35"/>
      <c r="J41" s="184"/>
      <c r="K41" s="225"/>
      <c r="L41" s="198"/>
      <c r="M41" s="35"/>
      <c r="N41" s="184"/>
      <c r="O41" s="35"/>
      <c r="P41" s="184"/>
      <c r="Q41" s="35"/>
      <c r="R41" s="184"/>
    </row>
    <row r="42" spans="1:18" x14ac:dyDescent="0.2">
      <c r="A42" s="25"/>
      <c r="B42" s="25" t="s">
        <v>51</v>
      </c>
      <c r="C42" s="25"/>
      <c r="D42" s="25"/>
      <c r="E42" s="209"/>
      <c r="F42" s="21"/>
      <c r="G42" s="41"/>
      <c r="H42" s="198"/>
      <c r="I42" s="186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/>
      <c r="C43" s="25" t="s">
        <v>104</v>
      </c>
      <c r="D43" s="25">
        <v>1</v>
      </c>
      <c r="E43" s="132"/>
      <c r="F43" s="226" t="s">
        <v>42</v>
      </c>
      <c r="G43" s="41">
        <v>0</v>
      </c>
      <c r="H43" s="133"/>
      <c r="I43" s="35">
        <v>0</v>
      </c>
      <c r="J43" s="202">
        <f>E43*H43</f>
        <v>0</v>
      </c>
      <c r="K43" s="225">
        <v>0</v>
      </c>
      <c r="L43" s="214"/>
      <c r="M43" s="35">
        <v>0</v>
      </c>
      <c r="N43" s="202">
        <f>J43*L43</f>
        <v>0</v>
      </c>
      <c r="O43" s="35">
        <v>0</v>
      </c>
      <c r="P43" s="202">
        <f>+J43-N43</f>
        <v>0</v>
      </c>
      <c r="Q43" s="35">
        <v>0</v>
      </c>
      <c r="R43" s="202">
        <f>+J43*E$7</f>
        <v>0</v>
      </c>
    </row>
    <row r="44" spans="1:18" x14ac:dyDescent="0.2">
      <c r="A44" s="25"/>
      <c r="B44" s="25"/>
      <c r="C44" s="25" t="s">
        <v>105</v>
      </c>
      <c r="D44" s="25">
        <v>6.84</v>
      </c>
      <c r="E44" s="132"/>
      <c r="F44" s="226" t="s">
        <v>79</v>
      </c>
      <c r="G44" s="41">
        <v>3.6</v>
      </c>
      <c r="H44" s="133"/>
      <c r="I44" s="35">
        <v>24.623999999999999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24.623999999999999</v>
      </c>
      <c r="P44" s="202">
        <f>+J44-N44</f>
        <v>0</v>
      </c>
      <c r="Q44" s="35">
        <v>3004.1279999999997</v>
      </c>
      <c r="R44" s="202">
        <f>+J44*E$7</f>
        <v>0</v>
      </c>
    </row>
    <row r="45" spans="1:18" x14ac:dyDescent="0.2">
      <c r="A45" s="25"/>
      <c r="B45" s="25"/>
      <c r="C45" s="25"/>
      <c r="D45" s="25"/>
      <c r="E45" s="209"/>
      <c r="F45" s="21"/>
      <c r="G45" s="41"/>
      <c r="H45" s="198"/>
      <c r="I45" s="35"/>
      <c r="J45" s="184"/>
      <c r="K45" s="225"/>
      <c r="L45" s="198"/>
      <c r="M45" s="35"/>
      <c r="N45" s="184"/>
      <c r="O45" s="35"/>
      <c r="P45" s="184"/>
      <c r="Q45" s="35"/>
      <c r="R45" s="184"/>
    </row>
    <row r="46" spans="1:18" x14ac:dyDescent="0.2">
      <c r="A46" s="25"/>
      <c r="B46" s="25" t="s">
        <v>29</v>
      </c>
      <c r="C46" s="25"/>
      <c r="D46" s="25"/>
      <c r="E46" s="209"/>
      <c r="F46" s="21"/>
      <c r="G46" s="41"/>
      <c r="H46" s="198"/>
      <c r="I46" s="186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/>
      <c r="C47" s="25" t="s">
        <v>104</v>
      </c>
      <c r="D47" s="25">
        <v>1</v>
      </c>
      <c r="E47" s="132"/>
      <c r="F47" s="226" t="s">
        <v>42</v>
      </c>
      <c r="G47" s="41">
        <v>4.2215163934426227</v>
      </c>
      <c r="H47" s="133"/>
      <c r="I47" s="35">
        <v>4.2215163934426227</v>
      </c>
      <c r="J47" s="202">
        <f>E47*H47</f>
        <v>0</v>
      </c>
      <c r="K47" s="225">
        <v>0</v>
      </c>
      <c r="L47" s="214"/>
      <c r="M47" s="35">
        <v>0</v>
      </c>
      <c r="N47" s="202">
        <f>J47*L47</f>
        <v>0</v>
      </c>
      <c r="O47" s="35">
        <v>4.2215163934426227</v>
      </c>
      <c r="P47" s="202">
        <f>+J47-N47</f>
        <v>0</v>
      </c>
      <c r="Q47" s="35">
        <v>515.02499999999998</v>
      </c>
      <c r="R47" s="202">
        <f>+J47*E$7</f>
        <v>0</v>
      </c>
    </row>
    <row r="48" spans="1:18" x14ac:dyDescent="0.2">
      <c r="A48" s="25"/>
      <c r="B48" s="25"/>
      <c r="C48" s="25" t="s">
        <v>105</v>
      </c>
      <c r="D48" s="25">
        <v>0</v>
      </c>
      <c r="E48" s="132"/>
      <c r="F48" s="226" t="s">
        <v>79</v>
      </c>
      <c r="G48" s="41">
        <v>3.15</v>
      </c>
      <c r="H48" s="133"/>
      <c r="I48" s="35">
        <v>0</v>
      </c>
      <c r="J48" s="202">
        <f>E48*H48</f>
        <v>0</v>
      </c>
      <c r="K48" s="225">
        <v>0</v>
      </c>
      <c r="L48" s="214"/>
      <c r="M48" s="35">
        <v>0</v>
      </c>
      <c r="N48" s="202">
        <f>J48*L48</f>
        <v>0</v>
      </c>
      <c r="O48" s="35">
        <v>0</v>
      </c>
      <c r="P48" s="202">
        <f>+J48-N48</f>
        <v>0</v>
      </c>
      <c r="Q48" s="35">
        <v>0</v>
      </c>
      <c r="R48" s="202">
        <f>+J48*E$7</f>
        <v>0</v>
      </c>
    </row>
    <row r="49" spans="1:18" x14ac:dyDescent="0.2">
      <c r="A49" s="25"/>
      <c r="B49" s="25"/>
      <c r="C49" s="25"/>
      <c r="D49" s="25"/>
      <c r="E49" s="209"/>
      <c r="F49" s="21"/>
      <c r="G49" s="41"/>
      <c r="H49" s="198"/>
      <c r="I49" s="35"/>
      <c r="J49" s="184"/>
      <c r="K49" s="225"/>
      <c r="L49" s="198"/>
      <c r="M49" s="35"/>
      <c r="N49" s="184"/>
      <c r="O49" s="35"/>
      <c r="P49" s="184"/>
      <c r="Q49" s="35"/>
      <c r="R49" s="184"/>
    </row>
    <row r="50" spans="1:18" x14ac:dyDescent="0.2">
      <c r="A50" s="25"/>
      <c r="B50" s="25" t="s">
        <v>47</v>
      </c>
      <c r="C50" s="25"/>
      <c r="D50" s="25"/>
      <c r="E50" s="209"/>
      <c r="F50" s="21"/>
      <c r="G50" s="41"/>
      <c r="H50" s="199"/>
      <c r="I50" s="186"/>
      <c r="J50" s="184"/>
      <c r="K50" s="225"/>
      <c r="L50" s="199"/>
      <c r="M50" s="35"/>
      <c r="N50" s="184"/>
      <c r="O50" s="35"/>
      <c r="P50" s="184"/>
      <c r="Q50" s="35"/>
      <c r="R50" s="184"/>
    </row>
    <row r="51" spans="1:18" x14ac:dyDescent="0.2">
      <c r="A51" s="25"/>
      <c r="B51" s="25"/>
      <c r="C51" s="25" t="s">
        <v>104</v>
      </c>
      <c r="D51" s="25">
        <v>1</v>
      </c>
      <c r="E51" s="132"/>
      <c r="F51" s="226" t="s">
        <v>42</v>
      </c>
      <c r="G51" s="41">
        <v>0.86440573770491813</v>
      </c>
      <c r="H51" s="133"/>
      <c r="I51" s="35">
        <v>0.86440573770491813</v>
      </c>
      <c r="J51" s="202">
        <f t="shared" ref="J51:J56" si="8">E51*H51</f>
        <v>0</v>
      </c>
      <c r="K51" s="225">
        <v>0</v>
      </c>
      <c r="L51" s="214"/>
      <c r="M51" s="35">
        <v>0</v>
      </c>
      <c r="N51" s="202">
        <f t="shared" ref="N51:N56" si="9">J51*L51</f>
        <v>0</v>
      </c>
      <c r="O51" s="35">
        <v>0.86440573770491813</v>
      </c>
      <c r="P51" s="202">
        <f t="shared" ref="P51:P56" si="10">+J51-N51</f>
        <v>0</v>
      </c>
      <c r="Q51" s="35">
        <v>105.45750000000001</v>
      </c>
      <c r="R51" s="202">
        <f t="shared" ref="R51:R56" si="11">+J51*E$7</f>
        <v>0</v>
      </c>
    </row>
    <row r="52" spans="1:18" x14ac:dyDescent="0.2">
      <c r="A52" s="25"/>
      <c r="B52" s="25"/>
      <c r="C52" s="25" t="s">
        <v>46</v>
      </c>
      <c r="D52" s="25">
        <v>1</v>
      </c>
      <c r="E52" s="132"/>
      <c r="F52" s="226" t="s">
        <v>42</v>
      </c>
      <c r="G52" s="41">
        <v>0</v>
      </c>
      <c r="H52" s="133"/>
      <c r="I52" s="35">
        <v>0</v>
      </c>
      <c r="J52" s="202">
        <f t="shared" si="8"/>
        <v>0</v>
      </c>
      <c r="K52" s="225">
        <v>0</v>
      </c>
      <c r="L52" s="214"/>
      <c r="M52" s="35">
        <v>0</v>
      </c>
      <c r="N52" s="202">
        <f t="shared" si="9"/>
        <v>0</v>
      </c>
      <c r="O52" s="35">
        <v>0</v>
      </c>
      <c r="P52" s="202">
        <f t="shared" si="10"/>
        <v>0</v>
      </c>
      <c r="Q52" s="35">
        <v>0</v>
      </c>
      <c r="R52" s="202">
        <f t="shared" si="11"/>
        <v>0</v>
      </c>
    </row>
    <row r="53" spans="1:18" x14ac:dyDescent="0.2">
      <c r="A53" s="25"/>
      <c r="B53" s="25"/>
      <c r="C53" s="25" t="s">
        <v>105</v>
      </c>
      <c r="D53" s="25">
        <v>1</v>
      </c>
      <c r="E53" s="132"/>
      <c r="F53" s="226" t="s">
        <v>42</v>
      </c>
      <c r="G53" s="41">
        <v>26.349320689361761</v>
      </c>
      <c r="H53" s="133"/>
      <c r="I53" s="35">
        <v>26.349320689361761</v>
      </c>
      <c r="J53" s="202">
        <f t="shared" si="8"/>
        <v>0</v>
      </c>
      <c r="K53" s="225">
        <v>0</v>
      </c>
      <c r="L53" s="214"/>
      <c r="M53" s="35">
        <v>0</v>
      </c>
      <c r="N53" s="202">
        <f t="shared" si="9"/>
        <v>0</v>
      </c>
      <c r="O53" s="35">
        <v>26.349320689361761</v>
      </c>
      <c r="P53" s="202">
        <f t="shared" si="10"/>
        <v>0</v>
      </c>
      <c r="Q53" s="35">
        <v>3214.6171241021348</v>
      </c>
      <c r="R53" s="202">
        <f t="shared" si="11"/>
        <v>0</v>
      </c>
    </row>
    <row r="54" spans="1:18" x14ac:dyDescent="0.2">
      <c r="A54" s="25"/>
      <c r="B54" s="25"/>
      <c r="C54" s="25" t="s">
        <v>4</v>
      </c>
      <c r="D54" s="25">
        <v>1</v>
      </c>
      <c r="E54" s="132"/>
      <c r="F54" s="226" t="s">
        <v>42</v>
      </c>
      <c r="G54" s="41">
        <v>15.708278609342159</v>
      </c>
      <c r="H54" s="133"/>
      <c r="I54" s="35">
        <v>15.708278609342159</v>
      </c>
      <c r="J54" s="202">
        <f t="shared" si="8"/>
        <v>0</v>
      </c>
      <c r="K54" s="225">
        <v>0</v>
      </c>
      <c r="L54" s="214"/>
      <c r="M54" s="35">
        <v>0</v>
      </c>
      <c r="N54" s="202">
        <f t="shared" si="9"/>
        <v>0</v>
      </c>
      <c r="O54" s="35">
        <v>15.708278609342159</v>
      </c>
      <c r="P54" s="202">
        <f t="shared" si="10"/>
        <v>0</v>
      </c>
      <c r="Q54" s="35">
        <v>1916.4099903397434</v>
      </c>
      <c r="R54" s="202">
        <f t="shared" si="11"/>
        <v>0</v>
      </c>
    </row>
    <row r="55" spans="1:18" x14ac:dyDescent="0.2">
      <c r="A55" s="25"/>
      <c r="B55" s="133"/>
      <c r="C55" s="133"/>
      <c r="D55" s="25"/>
      <c r="E55" s="132"/>
      <c r="F55" s="226"/>
      <c r="G55" s="41"/>
      <c r="H55" s="133"/>
      <c r="I55" s="35">
        <v>0</v>
      </c>
      <c r="J55" s="202">
        <f t="shared" si="8"/>
        <v>0</v>
      </c>
      <c r="K55" s="225">
        <v>0</v>
      </c>
      <c r="L55" s="214"/>
      <c r="M55" s="35">
        <v>0</v>
      </c>
      <c r="N55" s="202">
        <f t="shared" si="9"/>
        <v>0</v>
      </c>
      <c r="O55" s="35">
        <v>0</v>
      </c>
      <c r="P55" s="202">
        <f t="shared" si="10"/>
        <v>0</v>
      </c>
      <c r="Q55" s="35">
        <v>0</v>
      </c>
      <c r="R55" s="202">
        <f t="shared" si="11"/>
        <v>0</v>
      </c>
    </row>
    <row r="56" spans="1:18" x14ac:dyDescent="0.2">
      <c r="A56" s="25"/>
      <c r="B56" s="133"/>
      <c r="C56" s="133"/>
      <c r="D56" s="25"/>
      <c r="E56" s="132"/>
      <c r="F56" s="226"/>
      <c r="G56" s="41"/>
      <c r="H56" s="133"/>
      <c r="I56" s="35">
        <v>0</v>
      </c>
      <c r="J56" s="202">
        <f t="shared" si="8"/>
        <v>0</v>
      </c>
      <c r="K56" s="225">
        <v>0</v>
      </c>
      <c r="L56" s="214"/>
      <c r="M56" s="35">
        <v>0</v>
      </c>
      <c r="N56" s="202">
        <f t="shared" si="9"/>
        <v>0</v>
      </c>
      <c r="O56" s="35">
        <v>0</v>
      </c>
      <c r="P56" s="202">
        <f t="shared" si="10"/>
        <v>0</v>
      </c>
      <c r="Q56" s="35">
        <v>0</v>
      </c>
      <c r="R56" s="202">
        <f t="shared" si="11"/>
        <v>0</v>
      </c>
    </row>
    <row r="57" spans="1:18" ht="13.5" thickBot="1" x14ac:dyDescent="0.25">
      <c r="A57" s="25"/>
      <c r="B57" s="25" t="s">
        <v>32</v>
      </c>
      <c r="C57" s="25"/>
      <c r="D57" s="25"/>
      <c r="E57" s="197"/>
      <c r="F57" s="21"/>
      <c r="G57" s="39">
        <v>0.08</v>
      </c>
      <c r="H57" s="215"/>
      <c r="I57" s="42">
        <v>7.3717032980091144</v>
      </c>
      <c r="J57" s="202">
        <f>+SUM(J17:J56)/2*H57</f>
        <v>0</v>
      </c>
      <c r="K57" s="86"/>
      <c r="L57" s="137"/>
      <c r="M57" s="42">
        <v>0</v>
      </c>
      <c r="N57" s="202">
        <f>+SUM(N17:N56)/2*L57</f>
        <v>0</v>
      </c>
      <c r="O57" s="42">
        <v>7.3717032980091144</v>
      </c>
      <c r="P57" s="202">
        <f>+SUM(P17:P56)/2*L57</f>
        <v>0</v>
      </c>
      <c r="Q57" s="42">
        <v>899.34780235711196</v>
      </c>
      <c r="R57" s="184">
        <f>+J57*E$7</f>
        <v>0</v>
      </c>
    </row>
    <row r="58" spans="1:18" ht="13.5" thickBot="1" x14ac:dyDescent="0.25">
      <c r="A58" s="25" t="s">
        <v>33</v>
      </c>
      <c r="B58" s="25"/>
      <c r="C58" s="25"/>
      <c r="D58" s="25"/>
      <c r="E58" s="200"/>
      <c r="F58" s="25"/>
      <c r="G58" s="25"/>
      <c r="H58" s="197"/>
      <c r="I58" s="87">
        <v>165.86312472786057</v>
      </c>
      <c r="J58" s="204">
        <f>SUM(J18:J57)</f>
        <v>0</v>
      </c>
      <c r="K58" s="35"/>
      <c r="L58" s="195"/>
      <c r="M58" s="87">
        <v>0</v>
      </c>
      <c r="N58" s="204">
        <f>SUM(N18:N57)</f>
        <v>0</v>
      </c>
      <c r="O58" s="87">
        <v>165.86312472786057</v>
      </c>
      <c r="P58" s="204">
        <f>SUM(P18:P57)</f>
        <v>0</v>
      </c>
      <c r="Q58" s="87">
        <v>20235.301216798987</v>
      </c>
      <c r="R58" s="204">
        <f>SUM(R18:R57)</f>
        <v>0</v>
      </c>
    </row>
    <row r="59" spans="1:18" ht="13.5" thickTop="1" x14ac:dyDescent="0.2">
      <c r="A59" s="25" t="s">
        <v>34</v>
      </c>
      <c r="B59" s="25"/>
      <c r="C59" s="25"/>
      <c r="D59" s="25"/>
      <c r="E59" s="200"/>
      <c r="F59" s="25"/>
      <c r="G59" s="25"/>
      <c r="H59" s="197"/>
      <c r="I59" s="35">
        <v>-25.063124727860554</v>
      </c>
      <c r="J59" s="202">
        <f>+J13-J58</f>
        <v>0</v>
      </c>
      <c r="K59" s="35"/>
      <c r="L59" s="195"/>
      <c r="M59" s="35">
        <v>0</v>
      </c>
      <c r="N59" s="202">
        <f>+N13-N58</f>
        <v>0</v>
      </c>
      <c r="O59" s="35">
        <v>-25.063124727860554</v>
      </c>
      <c r="P59" s="202">
        <f>+P13-P58</f>
        <v>0</v>
      </c>
      <c r="Q59" s="35">
        <v>-3057.7012167989851</v>
      </c>
      <c r="R59" s="202">
        <f>+R13-R58</f>
        <v>0</v>
      </c>
    </row>
    <row r="60" spans="1:18" x14ac:dyDescent="0.2">
      <c r="A60" s="25"/>
      <c r="B60" s="25" t="s">
        <v>35</v>
      </c>
      <c r="C60" s="25"/>
      <c r="D60" s="25"/>
      <c r="E60" s="210"/>
      <c r="F60" s="17"/>
      <c r="G60" s="40">
        <v>7.53923294217548</v>
      </c>
      <c r="H60" s="210" t="str">
        <f>IF(E10=0,"n/a",(YVarExp-(YTotExp+YTotRet-J10))/E10)</f>
        <v>n/a</v>
      </c>
      <c r="I60" s="25" t="s">
        <v>84</v>
      </c>
      <c r="J60" s="184"/>
      <c r="K60" s="25"/>
      <c r="L60" s="197"/>
      <c r="M60" s="25"/>
      <c r="N60" s="184"/>
      <c r="O60" s="25"/>
      <c r="P60" s="184"/>
      <c r="Q60" s="25"/>
      <c r="R60" s="184"/>
    </row>
    <row r="61" spans="1:18" x14ac:dyDescent="0.2">
      <c r="A61" s="25"/>
      <c r="B61" s="25"/>
      <c r="C61" s="25"/>
      <c r="D61" s="25"/>
      <c r="E61" s="178"/>
      <c r="F61" s="25"/>
      <c r="G61" s="25"/>
      <c r="H61" s="211"/>
      <c r="I61" s="25"/>
      <c r="J61" s="184"/>
      <c r="K61" s="25"/>
      <c r="L61" s="197"/>
      <c r="M61" s="25"/>
      <c r="N61" s="184"/>
      <c r="O61" s="25"/>
      <c r="P61" s="184"/>
      <c r="Q61" s="22" t="s">
        <v>19</v>
      </c>
      <c r="R61" s="184" t="s">
        <v>19</v>
      </c>
    </row>
    <row r="62" spans="1:18" x14ac:dyDescent="0.2">
      <c r="A62" s="23" t="s">
        <v>36</v>
      </c>
      <c r="B62" s="23"/>
      <c r="C62" s="23"/>
      <c r="D62" s="24" t="s">
        <v>2</v>
      </c>
      <c r="E62" s="196" t="s">
        <v>2</v>
      </c>
      <c r="F62" s="24" t="s">
        <v>21</v>
      </c>
      <c r="G62" s="24" t="s">
        <v>22</v>
      </c>
      <c r="H62" s="196" t="s">
        <v>22</v>
      </c>
      <c r="I62" s="24" t="s">
        <v>11</v>
      </c>
      <c r="J62" s="196" t="s">
        <v>11</v>
      </c>
      <c r="K62" s="24" t="s">
        <v>10</v>
      </c>
      <c r="L62" s="196" t="s">
        <v>10</v>
      </c>
      <c r="M62" s="24" t="s">
        <v>9</v>
      </c>
      <c r="N62" s="196" t="s">
        <v>9</v>
      </c>
      <c r="O62" s="24" t="s">
        <v>8</v>
      </c>
      <c r="P62" s="196" t="s">
        <v>8</v>
      </c>
      <c r="Q62" s="24" t="s">
        <v>11</v>
      </c>
      <c r="R62" s="208" t="s">
        <v>11</v>
      </c>
    </row>
    <row r="63" spans="1:18" x14ac:dyDescent="0.2">
      <c r="A63" s="25"/>
      <c r="B63" s="25" t="s">
        <v>106</v>
      </c>
      <c r="C63" s="25"/>
      <c r="D63" s="25"/>
      <c r="E63" s="178"/>
      <c r="F63" s="25"/>
      <c r="G63" s="25"/>
      <c r="H63" s="211"/>
      <c r="I63" s="186"/>
      <c r="J63" s="184"/>
      <c r="K63" s="225"/>
      <c r="L63" s="197"/>
      <c r="M63" s="25"/>
      <c r="N63" s="184"/>
      <c r="O63" s="25"/>
      <c r="P63" s="184"/>
      <c r="Q63" s="25"/>
      <c r="R63" s="184"/>
    </row>
    <row r="64" spans="1:18" x14ac:dyDescent="0.2">
      <c r="A64" s="25"/>
      <c r="B64" s="25"/>
      <c r="C64" s="25" t="s">
        <v>104</v>
      </c>
      <c r="D64" s="25">
        <v>1</v>
      </c>
      <c r="E64" s="132"/>
      <c r="F64" s="226" t="s">
        <v>42</v>
      </c>
      <c r="G64" s="41">
        <v>1.8092213114754101</v>
      </c>
      <c r="H64" s="133"/>
      <c r="I64" s="35">
        <v>1.8092213114754101</v>
      </c>
      <c r="J64" s="202">
        <f t="shared" ref="J64:J66" si="12">E64*H64</f>
        <v>0</v>
      </c>
      <c r="K64" s="225">
        <v>0</v>
      </c>
      <c r="L64" s="214"/>
      <c r="M64" s="35">
        <v>0</v>
      </c>
      <c r="N64" s="202">
        <f>J64*L64</f>
        <v>0</v>
      </c>
      <c r="O64" s="35">
        <v>1.8092213114754101</v>
      </c>
      <c r="P64" s="202">
        <f t="shared" ref="P64:P66" si="13">+J64-N64</f>
        <v>0</v>
      </c>
      <c r="Q64" s="35">
        <v>220.72500000000002</v>
      </c>
      <c r="R64" s="202">
        <f t="shared" ref="R64:R66" si="14">+J64*E$7</f>
        <v>0</v>
      </c>
    </row>
    <row r="65" spans="1:18" x14ac:dyDescent="0.2">
      <c r="A65" s="25"/>
      <c r="B65" s="25"/>
      <c r="C65" s="25" t="s">
        <v>105</v>
      </c>
      <c r="D65" s="25">
        <v>1</v>
      </c>
      <c r="E65" s="132"/>
      <c r="F65" s="226" t="s">
        <v>42</v>
      </c>
      <c r="G65" s="41">
        <v>28.324318120074192</v>
      </c>
      <c r="H65" s="133"/>
      <c r="I65" s="35">
        <v>28.324318120074192</v>
      </c>
      <c r="J65" s="202">
        <f t="shared" si="12"/>
        <v>0</v>
      </c>
      <c r="K65" s="225">
        <v>0</v>
      </c>
      <c r="L65" s="214"/>
      <c r="M65" s="35">
        <v>0</v>
      </c>
      <c r="N65" s="202">
        <f>J65*L65</f>
        <v>0</v>
      </c>
      <c r="O65" s="35">
        <v>28.324318120074192</v>
      </c>
      <c r="P65" s="202">
        <f t="shared" si="13"/>
        <v>0</v>
      </c>
      <c r="Q65" s="35">
        <v>3455.5668106490516</v>
      </c>
      <c r="R65" s="202">
        <f t="shared" si="14"/>
        <v>0</v>
      </c>
    </row>
    <row r="66" spans="1:18" x14ac:dyDescent="0.2">
      <c r="A66" s="25"/>
      <c r="B66" s="25"/>
      <c r="C66" s="25" t="s">
        <v>4</v>
      </c>
      <c r="D66" s="25">
        <v>1</v>
      </c>
      <c r="E66" s="132"/>
      <c r="F66" s="226" t="s">
        <v>42</v>
      </c>
      <c r="G66" s="41">
        <v>19.357748548873339</v>
      </c>
      <c r="H66" s="133"/>
      <c r="I66" s="35">
        <v>19.357748548873339</v>
      </c>
      <c r="J66" s="202">
        <f t="shared" si="12"/>
        <v>0</v>
      </c>
      <c r="K66" s="225">
        <v>0</v>
      </c>
      <c r="L66" s="214"/>
      <c r="M66" s="35">
        <v>0</v>
      </c>
      <c r="N66" s="202">
        <f>J66*L66</f>
        <v>0</v>
      </c>
      <c r="O66" s="35">
        <v>19.357748548873339</v>
      </c>
      <c r="P66" s="202">
        <f t="shared" si="13"/>
        <v>0</v>
      </c>
      <c r="Q66" s="35">
        <v>2361.6453229625472</v>
      </c>
      <c r="R66" s="202">
        <f t="shared" si="14"/>
        <v>0</v>
      </c>
    </row>
    <row r="67" spans="1:18" x14ac:dyDescent="0.2">
      <c r="A67" s="25"/>
      <c r="B67" s="25" t="s">
        <v>89</v>
      </c>
      <c r="C67" s="25"/>
      <c r="D67" s="25"/>
      <c r="E67" s="197"/>
      <c r="F67" s="21"/>
      <c r="G67" s="41"/>
      <c r="H67" s="197"/>
      <c r="I67" s="186"/>
      <c r="J67" s="184"/>
      <c r="K67" s="225"/>
      <c r="L67" s="197"/>
      <c r="M67" s="35"/>
      <c r="N67" s="184"/>
      <c r="O67" s="35"/>
      <c r="P67" s="184"/>
      <c r="Q67" s="35"/>
      <c r="R67" s="184"/>
    </row>
    <row r="68" spans="1:18" x14ac:dyDescent="0.2">
      <c r="A68" s="25"/>
      <c r="B68" s="25"/>
      <c r="C68" s="25" t="s">
        <v>104</v>
      </c>
      <c r="D68" s="41">
        <v>11.056352459016393</v>
      </c>
      <c r="E68" s="132"/>
      <c r="F68" s="226" t="s">
        <v>100</v>
      </c>
      <c r="G68" s="39">
        <v>0.08</v>
      </c>
      <c r="H68" s="215"/>
      <c r="I68" s="35">
        <v>0.88450819672131153</v>
      </c>
      <c r="J68" s="202">
        <f t="shared" ref="J68:J77" si="15">E68*H68</f>
        <v>0</v>
      </c>
      <c r="K68" s="225">
        <v>0</v>
      </c>
      <c r="L68" s="214"/>
      <c r="M68" s="35">
        <v>0</v>
      </c>
      <c r="N68" s="202">
        <f>J68*L68</f>
        <v>0</v>
      </c>
      <c r="O68" s="35">
        <v>0.88450819672131153</v>
      </c>
      <c r="P68" s="202">
        <f t="shared" ref="P68:P70" si="16">+J68-N68</f>
        <v>0</v>
      </c>
      <c r="Q68" s="35">
        <v>107.91000000000001</v>
      </c>
      <c r="R68" s="202">
        <f t="shared" ref="R68:R70" si="17">+J68*E$7</f>
        <v>0</v>
      </c>
    </row>
    <row r="69" spans="1:18" x14ac:dyDescent="0.2">
      <c r="A69" s="25"/>
      <c r="B69" s="25"/>
      <c r="C69" s="25" t="s">
        <v>105</v>
      </c>
      <c r="D69" s="41">
        <v>214.84494404956632</v>
      </c>
      <c r="E69" s="132"/>
      <c r="F69" s="226" t="s">
        <v>100</v>
      </c>
      <c r="G69" s="39">
        <v>0.08</v>
      </c>
      <c r="H69" s="215"/>
      <c r="I69" s="35">
        <v>17.187595523965307</v>
      </c>
      <c r="J69" s="202">
        <f t="shared" si="15"/>
        <v>0</v>
      </c>
      <c r="K69" s="225">
        <v>0</v>
      </c>
      <c r="L69" s="214"/>
      <c r="M69" s="35">
        <v>0</v>
      </c>
      <c r="N69" s="202">
        <f>J69*L69</f>
        <v>0</v>
      </c>
      <c r="O69" s="35">
        <v>17.187595523965307</v>
      </c>
      <c r="P69" s="202">
        <f t="shared" si="16"/>
        <v>0</v>
      </c>
      <c r="Q69" s="35">
        <v>2096.8866539237674</v>
      </c>
      <c r="R69" s="202">
        <f t="shared" si="17"/>
        <v>0</v>
      </c>
    </row>
    <row r="70" spans="1:18" x14ac:dyDescent="0.2">
      <c r="A70" s="25"/>
      <c r="B70" s="25"/>
      <c r="C70" s="25" t="s">
        <v>4</v>
      </c>
      <c r="D70" s="41">
        <v>91.942669443260783</v>
      </c>
      <c r="E70" s="132"/>
      <c r="F70" s="226" t="s">
        <v>100</v>
      </c>
      <c r="G70" s="39">
        <v>0.08</v>
      </c>
      <c r="H70" s="215"/>
      <c r="I70" s="35">
        <v>7.3554135554608626</v>
      </c>
      <c r="J70" s="202">
        <f t="shared" si="15"/>
        <v>0</v>
      </c>
      <c r="K70" s="225">
        <v>0</v>
      </c>
      <c r="L70" s="214"/>
      <c r="M70" s="35">
        <v>0</v>
      </c>
      <c r="N70" s="202">
        <f>J70*L70</f>
        <v>0</v>
      </c>
      <c r="O70" s="35">
        <v>7.3554135554608626</v>
      </c>
      <c r="P70" s="202">
        <f t="shared" si="16"/>
        <v>0</v>
      </c>
      <c r="Q70" s="35">
        <v>897.36045376622519</v>
      </c>
      <c r="R70" s="202">
        <f t="shared" si="17"/>
        <v>0</v>
      </c>
    </row>
    <row r="71" spans="1:18" x14ac:dyDescent="0.2">
      <c r="A71" s="25"/>
      <c r="B71" s="25" t="s">
        <v>156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5"/>
        <v>0</v>
      </c>
      <c r="K71" s="225">
        <v>0</v>
      </c>
      <c r="L71" s="214"/>
      <c r="M71" s="35">
        <v>0</v>
      </c>
      <c r="N71" s="202">
        <f t="shared" ref="N71:N78" si="18">J71*L71</f>
        <v>0</v>
      </c>
      <c r="O71" s="35">
        <v>0</v>
      </c>
      <c r="P71" s="202">
        <f t="shared" ref="P71:P78" si="19">+J71-N71</f>
        <v>0</v>
      </c>
      <c r="Q71" s="35">
        <v>0</v>
      </c>
      <c r="R71" s="202">
        <f t="shared" ref="R71:R78" si="20">+J71*E$7</f>
        <v>0</v>
      </c>
    </row>
    <row r="72" spans="1:18" x14ac:dyDescent="0.2">
      <c r="A72" s="25"/>
      <c r="B72" s="25" t="s">
        <v>152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5"/>
        <v>0</v>
      </c>
      <c r="K72" s="225">
        <v>0</v>
      </c>
      <c r="L72" s="214"/>
      <c r="M72" s="35">
        <v>0</v>
      </c>
      <c r="N72" s="202">
        <f t="shared" si="18"/>
        <v>0</v>
      </c>
      <c r="O72" s="35">
        <v>0</v>
      </c>
      <c r="P72" s="202">
        <f t="shared" si="19"/>
        <v>0</v>
      </c>
      <c r="Q72" s="35">
        <v>0</v>
      </c>
      <c r="R72" s="202">
        <f t="shared" si="20"/>
        <v>0</v>
      </c>
    </row>
    <row r="73" spans="1:18" x14ac:dyDescent="0.2">
      <c r="A73" s="25"/>
      <c r="B73" s="25" t="s">
        <v>137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5"/>
        <v>0</v>
      </c>
      <c r="K73" s="225">
        <v>0</v>
      </c>
      <c r="L73" s="214"/>
      <c r="M73" s="35">
        <v>0</v>
      </c>
      <c r="N73" s="202">
        <f t="shared" si="18"/>
        <v>0</v>
      </c>
      <c r="O73" s="35">
        <v>0</v>
      </c>
      <c r="P73" s="202">
        <f t="shared" si="19"/>
        <v>0</v>
      </c>
      <c r="Q73" s="35">
        <v>0</v>
      </c>
      <c r="R73" s="202">
        <f t="shared" si="20"/>
        <v>0</v>
      </c>
    </row>
    <row r="74" spans="1:18" x14ac:dyDescent="0.2">
      <c r="A74" s="25"/>
      <c r="B74" s="25" t="s">
        <v>454</v>
      </c>
      <c r="C74" s="25"/>
      <c r="D74" s="25">
        <v>1</v>
      </c>
      <c r="E74" s="132"/>
      <c r="F74" s="226" t="s">
        <v>42</v>
      </c>
      <c r="G74" s="41">
        <v>15</v>
      </c>
      <c r="H74" s="133"/>
      <c r="I74" s="35">
        <v>15</v>
      </c>
      <c r="J74" s="202">
        <f t="shared" si="15"/>
        <v>0</v>
      </c>
      <c r="K74" s="225">
        <v>0</v>
      </c>
      <c r="L74" s="214"/>
      <c r="M74" s="35">
        <v>0</v>
      </c>
      <c r="N74" s="202">
        <f t="shared" si="18"/>
        <v>0</v>
      </c>
      <c r="O74" s="35">
        <v>15</v>
      </c>
      <c r="P74" s="202">
        <f t="shared" si="19"/>
        <v>0</v>
      </c>
      <c r="Q74" s="35">
        <v>1830</v>
      </c>
      <c r="R74" s="202">
        <f t="shared" si="20"/>
        <v>0</v>
      </c>
    </row>
    <row r="75" spans="1:18" x14ac:dyDescent="0.2">
      <c r="A75" s="25"/>
      <c r="B75" s="25" t="s">
        <v>159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5"/>
        <v>0</v>
      </c>
      <c r="K75" s="225">
        <v>0</v>
      </c>
      <c r="L75" s="214"/>
      <c r="M75" s="35">
        <v>0</v>
      </c>
      <c r="N75" s="202">
        <f t="shared" si="18"/>
        <v>0</v>
      </c>
      <c r="O75" s="35">
        <v>0</v>
      </c>
      <c r="P75" s="202">
        <f t="shared" si="19"/>
        <v>0</v>
      </c>
      <c r="Q75" s="35">
        <v>0</v>
      </c>
      <c r="R75" s="202">
        <f t="shared" si="20"/>
        <v>0</v>
      </c>
    </row>
    <row r="76" spans="1:18" x14ac:dyDescent="0.2">
      <c r="A76" s="25"/>
      <c r="B76" s="25" t="s">
        <v>160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5"/>
        <v>0</v>
      </c>
      <c r="K76" s="225">
        <v>0</v>
      </c>
      <c r="L76" s="214"/>
      <c r="M76" s="35">
        <v>0</v>
      </c>
      <c r="N76" s="202">
        <f t="shared" si="18"/>
        <v>0</v>
      </c>
      <c r="O76" s="35">
        <v>0</v>
      </c>
      <c r="P76" s="202">
        <f t="shared" si="19"/>
        <v>0</v>
      </c>
      <c r="Q76" s="35">
        <v>0</v>
      </c>
      <c r="R76" s="202">
        <f t="shared" si="20"/>
        <v>0</v>
      </c>
    </row>
    <row r="77" spans="1:18" x14ac:dyDescent="0.2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 t="shared" si="15"/>
        <v>0</v>
      </c>
      <c r="K77" s="225">
        <v>0</v>
      </c>
      <c r="L77" s="214"/>
      <c r="M77" s="35">
        <v>0</v>
      </c>
      <c r="N77" s="202">
        <f t="shared" si="18"/>
        <v>0</v>
      </c>
      <c r="O77" s="35">
        <v>0</v>
      </c>
      <c r="P77" s="202">
        <f t="shared" si="19"/>
        <v>0</v>
      </c>
      <c r="Q77" s="35">
        <v>0</v>
      </c>
      <c r="R77" s="202">
        <f t="shared" si="20"/>
        <v>0</v>
      </c>
    </row>
    <row r="78" spans="1:18" ht="13.5" thickBot="1" x14ac:dyDescent="0.25">
      <c r="A78" s="25"/>
      <c r="B78" s="133"/>
      <c r="C78" s="133"/>
      <c r="D78" s="25">
        <v>1</v>
      </c>
      <c r="E78" s="132"/>
      <c r="F78" s="226"/>
      <c r="G78" s="41">
        <v>0</v>
      </c>
      <c r="H78" s="133"/>
      <c r="I78" s="35">
        <v>0</v>
      </c>
      <c r="J78" s="202">
        <f>E78*H78</f>
        <v>0</v>
      </c>
      <c r="K78" s="225">
        <v>0</v>
      </c>
      <c r="L78" s="214"/>
      <c r="M78" s="35">
        <v>0</v>
      </c>
      <c r="N78" s="202">
        <f t="shared" si="18"/>
        <v>0</v>
      </c>
      <c r="O78" s="35">
        <v>0</v>
      </c>
      <c r="P78" s="202">
        <f t="shared" si="19"/>
        <v>0</v>
      </c>
      <c r="Q78" s="35">
        <v>0</v>
      </c>
      <c r="R78" s="202">
        <f t="shared" si="20"/>
        <v>0</v>
      </c>
    </row>
    <row r="79" spans="1:18" ht="13.5" thickBot="1" x14ac:dyDescent="0.25">
      <c r="A79" s="25" t="s">
        <v>37</v>
      </c>
      <c r="B79" s="25"/>
      <c r="C79" s="25"/>
      <c r="D79" s="25"/>
      <c r="E79" s="197"/>
      <c r="F79" s="25"/>
      <c r="G79" s="25"/>
      <c r="H79" s="197"/>
      <c r="I79" s="121">
        <v>89.918805256570423</v>
      </c>
      <c r="J79" s="204">
        <f>+SUM(J64:J78)</f>
        <v>0</v>
      </c>
      <c r="K79" s="35"/>
      <c r="L79" s="195"/>
      <c r="M79" s="121">
        <v>0</v>
      </c>
      <c r="N79" s="204">
        <f>+SUM(N64:N78)</f>
        <v>0</v>
      </c>
      <c r="O79" s="121">
        <v>89.918805256570423</v>
      </c>
      <c r="P79" s="204">
        <f>+SUM(P64:P78)</f>
        <v>0</v>
      </c>
      <c r="Q79" s="121">
        <v>10970.094241301591</v>
      </c>
      <c r="R79" s="204">
        <f>+SUM(R64:R78)</f>
        <v>0</v>
      </c>
    </row>
    <row r="80" spans="1:18" ht="14.25" thickTop="1" thickBot="1" x14ac:dyDescent="0.25">
      <c r="A80" s="25" t="s">
        <v>52</v>
      </c>
      <c r="B80" s="25"/>
      <c r="C80" s="25"/>
      <c r="D80" s="25"/>
      <c r="E80" s="197"/>
      <c r="F80" s="25"/>
      <c r="G80" s="25"/>
      <c r="H80" s="197"/>
      <c r="I80" s="87">
        <v>255.78192998443097</v>
      </c>
      <c r="J80" s="205">
        <f>+J58+J79</f>
        <v>0</v>
      </c>
      <c r="K80" s="35"/>
      <c r="L80" s="195"/>
      <c r="M80" s="87">
        <v>0</v>
      </c>
      <c r="N80" s="205">
        <f>+N58+N79</f>
        <v>0</v>
      </c>
      <c r="O80" s="87">
        <v>255.78192998443097</v>
      </c>
      <c r="P80" s="205">
        <f>+P58+P79</f>
        <v>0</v>
      </c>
      <c r="Q80" s="87">
        <v>31205.395458100578</v>
      </c>
      <c r="R80" s="205">
        <f>+R58+R79</f>
        <v>0</v>
      </c>
    </row>
    <row r="81" spans="1:18" ht="13.5" thickTop="1" x14ac:dyDescent="0.2">
      <c r="A81" s="25"/>
      <c r="B81" s="25"/>
      <c r="C81" s="25"/>
      <c r="D81" s="25"/>
      <c r="E81" s="197"/>
      <c r="F81" s="25"/>
      <c r="G81" s="25"/>
      <c r="H81" s="197"/>
      <c r="I81" s="35"/>
      <c r="J81" s="184"/>
      <c r="K81" s="35"/>
      <c r="L81" s="195"/>
      <c r="M81" s="35"/>
      <c r="N81" s="184"/>
      <c r="O81" s="35"/>
      <c r="P81" s="184"/>
      <c r="Q81" s="35"/>
      <c r="R81" s="184"/>
    </row>
    <row r="82" spans="1:18" x14ac:dyDescent="0.2">
      <c r="A82" s="25" t="s">
        <v>153</v>
      </c>
      <c r="B82" s="25"/>
      <c r="C82" s="25"/>
      <c r="D82" s="25"/>
      <c r="E82" s="197"/>
      <c r="F82" s="25"/>
      <c r="G82" s="25"/>
      <c r="H82" s="197"/>
      <c r="I82" s="35">
        <v>-114.98192998443096</v>
      </c>
      <c r="J82" s="202">
        <f>+J13-J80</f>
        <v>0</v>
      </c>
      <c r="K82" s="35"/>
      <c r="L82" s="195"/>
      <c r="M82" s="35">
        <v>0</v>
      </c>
      <c r="N82" s="202">
        <f>+N13-N80</f>
        <v>0</v>
      </c>
      <c r="O82" s="35">
        <v>-114.98192998443096</v>
      </c>
      <c r="P82" s="202">
        <f>+P13-P80</f>
        <v>0</v>
      </c>
      <c r="Q82" s="35">
        <v>-14027.795458100576</v>
      </c>
      <c r="R82" s="202">
        <f>+R13-R80</f>
        <v>0</v>
      </c>
    </row>
    <row r="83" spans="1:18" x14ac:dyDescent="0.2">
      <c r="A83" s="25"/>
      <c r="B83" s="25"/>
      <c r="C83" s="25"/>
      <c r="D83" s="25"/>
      <c r="E83" s="197"/>
      <c r="F83" s="25"/>
      <c r="G83" s="25"/>
      <c r="H83" s="197"/>
      <c r="I83" s="35"/>
      <c r="J83" s="206"/>
      <c r="K83" s="35"/>
      <c r="L83" s="195"/>
      <c r="M83" s="35"/>
      <c r="N83" s="195"/>
      <c r="O83" s="35"/>
      <c r="P83" s="195"/>
      <c r="Q83" s="35"/>
      <c r="R83" s="206"/>
    </row>
    <row r="84" spans="1:18" ht="13.5" thickBot="1" x14ac:dyDescent="0.25">
      <c r="A84" s="44" t="s">
        <v>38</v>
      </c>
      <c r="B84" s="44"/>
      <c r="C84" s="44"/>
      <c r="D84" s="44"/>
      <c r="E84" s="201"/>
      <c r="F84" s="44"/>
      <c r="G84" s="45">
        <v>11.62645136292868</v>
      </c>
      <c r="H84" s="212" t="str">
        <f>IF(E10=0,"n/a",(YTotExp-(YTotExp+YTotRet-J10))/E10)</f>
        <v>n/a</v>
      </c>
      <c r="I84" s="44" t="s">
        <v>84</v>
      </c>
      <c r="J84" s="207"/>
      <c r="K84" s="44"/>
      <c r="L84" s="201"/>
      <c r="M84" s="44"/>
      <c r="N84" s="201"/>
      <c r="O84" s="44"/>
      <c r="P84" s="201"/>
      <c r="Q84" s="44"/>
      <c r="R84" s="207"/>
    </row>
    <row r="85" spans="1:18" ht="13.5" thickTop="1" x14ac:dyDescent="0.2"/>
    <row r="86" spans="1:18" s="17" customFormat="1" ht="15.75" x14ac:dyDescent="0.25">
      <c r="A86"/>
      <c r="B86" s="88"/>
      <c r="C86" s="89"/>
      <c r="D86" s="234" t="s">
        <v>115</v>
      </c>
      <c r="E86" s="235"/>
      <c r="F86" s="235"/>
      <c r="G86" s="235"/>
      <c r="H86" s="235"/>
      <c r="I86" s="235"/>
      <c r="J86" s="99"/>
      <c r="K86" s="99"/>
      <c r="M86"/>
      <c r="N86"/>
    </row>
    <row r="87" spans="1:18" s="17" customFormat="1" ht="15.75" x14ac:dyDescent="0.25">
      <c r="A87"/>
      <c r="B87" s="19" t="s">
        <v>116</v>
      </c>
      <c r="C87" s="19" t="s">
        <v>116</v>
      </c>
      <c r="D87" s="126" t="s">
        <v>170</v>
      </c>
      <c r="E87" s="18"/>
      <c r="F87" s="18"/>
      <c r="G87" s="126" t="s">
        <v>170</v>
      </c>
      <c r="H87" s="18"/>
      <c r="I87" s="18"/>
      <c r="J87" s="18"/>
      <c r="K87" s="18"/>
      <c r="M87"/>
      <c r="N87"/>
    </row>
    <row r="88" spans="1:18" s="17" customFormat="1" x14ac:dyDescent="0.2">
      <c r="A88"/>
      <c r="B88" s="19" t="s">
        <v>81</v>
      </c>
      <c r="C88" s="19" t="s">
        <v>81</v>
      </c>
      <c r="D88" s="126" t="s">
        <v>157</v>
      </c>
      <c r="E88" s="122"/>
      <c r="F88" s="122"/>
      <c r="G88" s="126" t="s">
        <v>11</v>
      </c>
      <c r="H88" s="122"/>
      <c r="I88" s="122"/>
      <c r="J88" s="122"/>
      <c r="K88" s="122"/>
      <c r="M88"/>
      <c r="N88"/>
    </row>
    <row r="89" spans="1:18" s="17" customFormat="1" x14ac:dyDescent="0.2">
      <c r="A89"/>
      <c r="B89" s="19" t="s">
        <v>30</v>
      </c>
      <c r="C89" s="99" t="s">
        <v>84</v>
      </c>
      <c r="D89" s="126" t="s">
        <v>99</v>
      </c>
      <c r="E89" s="122"/>
      <c r="F89" s="122"/>
      <c r="G89" s="126" t="s">
        <v>99</v>
      </c>
      <c r="H89" s="19"/>
      <c r="I89" s="19"/>
      <c r="J89" s="19"/>
      <c r="K89" s="19"/>
      <c r="M89"/>
      <c r="N89"/>
    </row>
    <row r="90" spans="1:18" s="17" customFormat="1" x14ac:dyDescent="0.2">
      <c r="A90"/>
      <c r="B90" s="90">
        <v>0.75</v>
      </c>
      <c r="C90" s="91">
        <v>16.5</v>
      </c>
      <c r="D90" s="92">
        <v>10.052310589567307</v>
      </c>
      <c r="E90" s="93"/>
      <c r="F90" s="94"/>
      <c r="G90" s="92">
        <v>15.501935150571574</v>
      </c>
      <c r="H90" s="93"/>
      <c r="I90" s="93"/>
      <c r="M90"/>
      <c r="N90"/>
    </row>
    <row r="91" spans="1:18" s="17" customFormat="1" x14ac:dyDescent="0.2">
      <c r="A91"/>
      <c r="B91" s="95">
        <v>0.9</v>
      </c>
      <c r="C91" s="96">
        <v>19.8</v>
      </c>
      <c r="D91" s="97">
        <v>8.3769254913060891</v>
      </c>
      <c r="E91" s="83"/>
      <c r="F91" s="98"/>
      <c r="G91" s="97">
        <v>12.918279292142978</v>
      </c>
      <c r="H91" s="83"/>
      <c r="I91" s="83"/>
      <c r="M91"/>
      <c r="N91"/>
    </row>
    <row r="92" spans="1:18" s="17" customFormat="1" x14ac:dyDescent="0.2">
      <c r="A92"/>
      <c r="B92" s="90">
        <v>1</v>
      </c>
      <c r="C92" s="91">
        <v>22</v>
      </c>
      <c r="D92" s="92">
        <v>7.53923294217548</v>
      </c>
      <c r="E92" s="93"/>
      <c r="F92" s="94"/>
      <c r="G92" s="92">
        <v>11.62645136292868</v>
      </c>
      <c r="H92" s="93"/>
      <c r="I92" s="93"/>
      <c r="M92"/>
      <c r="N92"/>
    </row>
    <row r="93" spans="1:18" s="17" customFormat="1" x14ac:dyDescent="0.2">
      <c r="A93"/>
      <c r="B93" s="95">
        <v>1.1000000000000001</v>
      </c>
      <c r="C93" s="96">
        <v>24.200000000000003</v>
      </c>
      <c r="D93" s="97">
        <v>6.8538481292504354</v>
      </c>
      <c r="E93" s="83"/>
      <c r="F93" s="98"/>
      <c r="G93" s="97">
        <v>10.569501239026073</v>
      </c>
      <c r="H93" s="83"/>
      <c r="I93" s="83"/>
      <c r="M93"/>
      <c r="N93"/>
    </row>
    <row r="94" spans="1:18" s="17" customFormat="1" x14ac:dyDescent="0.2">
      <c r="A94"/>
      <c r="B94" s="90">
        <v>1.25</v>
      </c>
      <c r="C94" s="91">
        <v>27.5</v>
      </c>
      <c r="D94" s="92">
        <v>6.031386353740384</v>
      </c>
      <c r="E94" s="93"/>
      <c r="F94" s="94"/>
      <c r="G94" s="92">
        <v>9.3011610903429442</v>
      </c>
      <c r="H94" s="93"/>
      <c r="I94" s="93"/>
      <c r="M94"/>
      <c r="N94"/>
    </row>
    <row r="95" spans="1:18" s="17" customFormat="1" x14ac:dyDescent="0.2">
      <c r="A95"/>
      <c r="M95"/>
      <c r="N95"/>
    </row>
    <row r="96" spans="1:18" x14ac:dyDescent="0.2">
      <c r="A96" s="25" t="s">
        <v>536</v>
      </c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28"/>
      <c r="K97" s="17"/>
      <c r="L97" s="17"/>
      <c r="M97" s="17"/>
      <c r="N97" s="17"/>
      <c r="O97" s="17"/>
      <c r="P97" s="17"/>
      <c r="Q97" s="17"/>
    </row>
    <row r="98" spans="1:18" ht="26.25" customHeight="1" x14ac:dyDescent="0.2">
      <c r="A98" s="236" t="s">
        <v>140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21"/>
      <c r="N98" s="221"/>
      <c r="O98" s="221"/>
      <c r="P98" s="221"/>
      <c r="Q98" s="221"/>
      <c r="R98" s="221"/>
    </row>
  </sheetData>
  <sheetProtection sheet="1" objects="1" scenarios="1"/>
  <mergeCells count="6">
    <mergeCell ref="D86:I86"/>
    <mergeCell ref="A98:L98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219">
    <tabColor rgb="FF92D050"/>
    <pageSetUpPr fitToPage="1"/>
  </sheetPr>
  <dimension ref="A1:S98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5703125" customWidth="1"/>
    <col min="3" max="3" width="31.5703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480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173</v>
      </c>
      <c r="C10" s="25"/>
      <c r="D10" s="50">
        <v>50</v>
      </c>
      <c r="E10" s="132"/>
      <c r="F10" s="226" t="s">
        <v>84</v>
      </c>
      <c r="G10" s="31">
        <v>6.4</v>
      </c>
      <c r="H10" s="133"/>
      <c r="I10" s="35">
        <v>320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320</v>
      </c>
      <c r="P10" s="202">
        <f>+J10-N10</f>
        <v>0</v>
      </c>
      <c r="Q10" s="35">
        <v>39040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320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320</v>
      </c>
      <c r="P13" s="203">
        <f>SUM(P10:P12)</f>
        <v>0</v>
      </c>
      <c r="Q13" s="36">
        <v>39040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426</v>
      </c>
      <c r="D18" s="25">
        <v>80</v>
      </c>
      <c r="E18" s="132"/>
      <c r="F18" s="226" t="s">
        <v>83</v>
      </c>
      <c r="G18" s="41">
        <v>0.56000000000000005</v>
      </c>
      <c r="H18" s="133"/>
      <c r="I18" s="35">
        <v>44.800000000000004</v>
      </c>
      <c r="J18" s="202">
        <f t="shared" ref="J18:J31" si="4">E18*H18</f>
        <v>0</v>
      </c>
      <c r="K18" s="225">
        <v>0</v>
      </c>
      <c r="L18" s="214"/>
      <c r="M18" s="35">
        <v>0</v>
      </c>
      <c r="N18" s="202">
        <f t="shared" ref="N18:N31" si="5">J18*L18</f>
        <v>0</v>
      </c>
      <c r="O18" s="35">
        <v>44.800000000000004</v>
      </c>
      <c r="P18" s="202">
        <f t="shared" ref="P18:P31" si="6">+J18-N18</f>
        <v>0</v>
      </c>
      <c r="Q18" s="35">
        <v>5465.6</v>
      </c>
      <c r="R18" s="202">
        <f t="shared" ref="R18:R31" si="7">+J18*E$7</f>
        <v>0</v>
      </c>
    </row>
    <row r="19" spans="1:18" x14ac:dyDescent="0.2">
      <c r="A19" s="25"/>
      <c r="B19" s="25" t="s">
        <v>50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442</v>
      </c>
      <c r="D20" s="25">
        <v>1</v>
      </c>
      <c r="E20" s="132"/>
      <c r="F20" s="226" t="s">
        <v>42</v>
      </c>
      <c r="G20" s="41">
        <v>0.5</v>
      </c>
      <c r="H20" s="133"/>
      <c r="I20" s="35">
        <v>0.5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0.5</v>
      </c>
      <c r="P20" s="202">
        <f t="shared" si="6"/>
        <v>0</v>
      </c>
      <c r="Q20" s="35">
        <v>61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407</v>
      </c>
      <c r="D21" s="25">
        <v>50</v>
      </c>
      <c r="E21" s="132"/>
      <c r="F21" s="226" t="s">
        <v>84</v>
      </c>
      <c r="G21" s="41">
        <v>0.25</v>
      </c>
      <c r="H21" s="133"/>
      <c r="I21" s="35">
        <v>12.5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12.5</v>
      </c>
      <c r="P21" s="202">
        <f t="shared" si="6"/>
        <v>0</v>
      </c>
      <c r="Q21" s="35">
        <v>1525</v>
      </c>
      <c r="R21" s="202">
        <f t="shared" si="7"/>
        <v>0</v>
      </c>
    </row>
    <row r="22" spans="1:18" x14ac:dyDescent="0.2">
      <c r="A22" s="25"/>
      <c r="B22" s="25" t="s">
        <v>1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450</v>
      </c>
      <c r="D23" s="25">
        <v>75</v>
      </c>
      <c r="E23" s="132"/>
      <c r="F23" s="226" t="s">
        <v>83</v>
      </c>
      <c r="G23" s="41">
        <v>0.27</v>
      </c>
      <c r="H23" s="133"/>
      <c r="I23" s="35">
        <v>20.25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20.25</v>
      </c>
      <c r="P23" s="202">
        <f t="shared" si="6"/>
        <v>0</v>
      </c>
      <c r="Q23" s="35">
        <v>2470.5</v>
      </c>
      <c r="R23" s="202">
        <f t="shared" si="7"/>
        <v>0</v>
      </c>
    </row>
    <row r="24" spans="1:18" x14ac:dyDescent="0.2">
      <c r="A24" s="25"/>
      <c r="B24" s="25" t="s">
        <v>27</v>
      </c>
      <c r="C24" s="25"/>
      <c r="D24" s="25"/>
      <c r="E24" s="25"/>
      <c r="F24" s="25"/>
      <c r="G24" s="25"/>
      <c r="H24" s="25"/>
      <c r="I24" s="25"/>
      <c r="J24" s="25"/>
      <c r="K24" s="225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501</v>
      </c>
      <c r="C25" s="25" t="s">
        <v>415</v>
      </c>
      <c r="D25" s="25">
        <v>1</v>
      </c>
      <c r="E25" s="132"/>
      <c r="F25" s="226" t="s">
        <v>42</v>
      </c>
      <c r="G25" s="41">
        <v>4.6100000000000003</v>
      </c>
      <c r="H25" s="133"/>
      <c r="I25" s="35">
        <v>4.6100000000000003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4.6100000000000003</v>
      </c>
      <c r="P25" s="202">
        <f t="shared" si="6"/>
        <v>0</v>
      </c>
      <c r="Q25" s="35">
        <v>562.42000000000007</v>
      </c>
      <c r="R25" s="202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416</v>
      </c>
      <c r="D27" s="25">
        <v>1</v>
      </c>
      <c r="E27" s="132"/>
      <c r="F27" s="226" t="s">
        <v>311</v>
      </c>
      <c r="G27" s="41">
        <v>10.375</v>
      </c>
      <c r="H27" s="133"/>
      <c r="I27" s="35">
        <v>10.375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10.375</v>
      </c>
      <c r="P27" s="202">
        <f t="shared" si="6"/>
        <v>0</v>
      </c>
      <c r="Q27" s="35">
        <v>1265.75</v>
      </c>
      <c r="R27" s="202">
        <f t="shared" si="7"/>
        <v>0</v>
      </c>
    </row>
    <row r="28" spans="1:18" x14ac:dyDescent="0.2">
      <c r="A28" s="25"/>
      <c r="B28" s="25" t="s">
        <v>58</v>
      </c>
      <c r="C28" s="25"/>
      <c r="D28" s="25"/>
      <c r="E28" s="25"/>
      <c r="F28" s="25"/>
      <c r="G28" s="25"/>
      <c r="H28" s="25"/>
      <c r="I28" s="25"/>
      <c r="J28" s="25"/>
      <c r="K28" s="225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501</v>
      </c>
      <c r="C29" s="25" t="s">
        <v>449</v>
      </c>
      <c r="D29" s="25">
        <v>4</v>
      </c>
      <c r="E29" s="132"/>
      <c r="F29" s="226" t="s">
        <v>360</v>
      </c>
      <c r="G29" s="41">
        <v>0.48</v>
      </c>
      <c r="H29" s="133"/>
      <c r="I29" s="35">
        <v>1.92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1.92</v>
      </c>
      <c r="P29" s="202">
        <f t="shared" si="6"/>
        <v>0</v>
      </c>
      <c r="Q29" s="35">
        <v>234.23999999999998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0</v>
      </c>
      <c r="P31" s="202">
        <f t="shared" si="6"/>
        <v>0</v>
      </c>
      <c r="Q31" s="35">
        <v>0</v>
      </c>
      <c r="R31" s="202">
        <f t="shared" si="7"/>
        <v>0</v>
      </c>
    </row>
    <row r="32" spans="1:18" x14ac:dyDescent="0.2">
      <c r="A32" s="25"/>
      <c r="B32" s="133"/>
      <c r="C32" s="133"/>
      <c r="D32" s="25">
        <v>0</v>
      </c>
      <c r="E32" s="132"/>
      <c r="F32" s="226"/>
      <c r="G32" s="41">
        <v>0</v>
      </c>
      <c r="H32" s="133"/>
      <c r="I32" s="35">
        <v>0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0</v>
      </c>
      <c r="P32" s="202">
        <f>+J32-N32</f>
        <v>0</v>
      </c>
      <c r="Q32" s="35">
        <v>0</v>
      </c>
      <c r="R32" s="202">
        <f>+J32*E$7</f>
        <v>0</v>
      </c>
    </row>
    <row r="33" spans="1:18" x14ac:dyDescent="0.2">
      <c r="A33" s="25"/>
      <c r="B33" s="25" t="s">
        <v>45</v>
      </c>
      <c r="C33" s="25"/>
      <c r="D33" s="25"/>
      <c r="E33" s="209"/>
      <c r="F33" s="21"/>
      <c r="G33" s="41"/>
      <c r="H33" s="198"/>
      <c r="I33" s="186"/>
      <c r="J33" s="184"/>
      <c r="K33" s="225"/>
      <c r="L33" s="198"/>
      <c r="M33" s="35"/>
      <c r="N33" s="184"/>
      <c r="O33" s="35"/>
      <c r="P33" s="184"/>
      <c r="Q33" s="35"/>
      <c r="R33" s="184"/>
    </row>
    <row r="34" spans="1:18" x14ac:dyDescent="0.2">
      <c r="A34" s="25"/>
      <c r="B34" s="25"/>
      <c r="C34" s="25" t="s">
        <v>146</v>
      </c>
      <c r="D34" s="34">
        <v>15.999999999999998</v>
      </c>
      <c r="E34" s="132"/>
      <c r="F34" s="226" t="s">
        <v>141</v>
      </c>
      <c r="G34" s="41">
        <v>5.3248118872273302</v>
      </c>
      <c r="H34" s="133"/>
      <c r="I34" s="35">
        <v>85.196990195637269</v>
      </c>
      <c r="J34" s="202">
        <f t="shared" ref="J34:J35" si="8">E34*H34</f>
        <v>0</v>
      </c>
      <c r="K34" s="225">
        <v>0</v>
      </c>
      <c r="L34" s="214"/>
      <c r="M34" s="35">
        <v>0</v>
      </c>
      <c r="N34" s="202">
        <f t="shared" ref="N34:N35" si="9">J34*L34</f>
        <v>0</v>
      </c>
      <c r="O34" s="35">
        <v>85.196990195637269</v>
      </c>
      <c r="P34" s="202">
        <f t="shared" ref="P34:P35" si="10">+J34-N34</f>
        <v>0</v>
      </c>
      <c r="Q34" s="35">
        <v>10394.032803867747</v>
      </c>
      <c r="R34" s="202">
        <f t="shared" ref="R34:R35" si="11">+J34*E$7</f>
        <v>0</v>
      </c>
    </row>
    <row r="35" spans="1:18" x14ac:dyDescent="0.2">
      <c r="A35" s="25"/>
      <c r="B35" s="25"/>
      <c r="C35" s="25" t="s">
        <v>136</v>
      </c>
      <c r="D35" s="34">
        <v>4.6200000000000005E-2</v>
      </c>
      <c r="E35" s="132"/>
      <c r="F35" s="226" t="s">
        <v>44</v>
      </c>
      <c r="G35" s="41">
        <v>17.5</v>
      </c>
      <c r="H35" s="133"/>
      <c r="I35" s="35">
        <v>0.80850000000000011</v>
      </c>
      <c r="J35" s="202">
        <f t="shared" si="8"/>
        <v>0</v>
      </c>
      <c r="K35" s="225">
        <v>0</v>
      </c>
      <c r="L35" s="214"/>
      <c r="M35" s="35">
        <v>0</v>
      </c>
      <c r="N35" s="202">
        <f t="shared" si="9"/>
        <v>0</v>
      </c>
      <c r="O35" s="35">
        <v>0.80850000000000011</v>
      </c>
      <c r="P35" s="202">
        <f t="shared" si="10"/>
        <v>0</v>
      </c>
      <c r="Q35" s="35">
        <v>98.637000000000015</v>
      </c>
      <c r="R35" s="202">
        <f t="shared" si="11"/>
        <v>0</v>
      </c>
    </row>
    <row r="36" spans="1:18" x14ac:dyDescent="0.2">
      <c r="A36" s="25"/>
      <c r="B36" s="25" t="s">
        <v>108</v>
      </c>
      <c r="C36" s="25"/>
      <c r="D36" s="25"/>
      <c r="E36" s="105"/>
      <c r="H36" s="105"/>
      <c r="I36" s="124"/>
      <c r="J36" s="105"/>
      <c r="K36" s="225"/>
      <c r="L36" s="105"/>
      <c r="N36" s="105"/>
      <c r="P36" s="105"/>
      <c r="R36" s="105"/>
    </row>
    <row r="37" spans="1:18" x14ac:dyDescent="0.2">
      <c r="A37" s="25"/>
      <c r="B37" s="25"/>
      <c r="C37" s="25" t="s">
        <v>105</v>
      </c>
      <c r="D37" s="25">
        <v>0.65</v>
      </c>
      <c r="E37" s="132"/>
      <c r="F37" s="226" t="s">
        <v>44</v>
      </c>
      <c r="G37" s="41">
        <v>17.21</v>
      </c>
      <c r="H37" s="133"/>
      <c r="I37" s="35">
        <v>11.186500000000001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11.186500000000001</v>
      </c>
      <c r="P37" s="202">
        <f>+J37-N37</f>
        <v>0</v>
      </c>
      <c r="Q37" s="35">
        <v>1364.7530000000002</v>
      </c>
      <c r="R37" s="202">
        <f>+J37*E$7</f>
        <v>0</v>
      </c>
    </row>
    <row r="38" spans="1:18" x14ac:dyDescent="0.2">
      <c r="A38" s="25"/>
      <c r="B38" s="25"/>
      <c r="C38" s="25" t="s">
        <v>107</v>
      </c>
      <c r="D38" s="25">
        <v>0.26</v>
      </c>
      <c r="E38" s="132"/>
      <c r="F38" s="226" t="s">
        <v>44</v>
      </c>
      <c r="G38" s="41">
        <v>17.21</v>
      </c>
      <c r="H38" s="133"/>
      <c r="I38" s="35">
        <v>4.4746000000000006</v>
      </c>
      <c r="J38" s="202">
        <f>E38*H38</f>
        <v>0</v>
      </c>
      <c r="K38" s="225">
        <v>0</v>
      </c>
      <c r="L38" s="214"/>
      <c r="M38" s="35">
        <v>0</v>
      </c>
      <c r="N38" s="202">
        <f>J38*L38</f>
        <v>0</v>
      </c>
      <c r="O38" s="35">
        <v>4.4746000000000006</v>
      </c>
      <c r="P38" s="202">
        <f>+J38-N38</f>
        <v>0</v>
      </c>
      <c r="Q38" s="35">
        <v>545.90120000000002</v>
      </c>
      <c r="R38" s="202">
        <f>+J38*E$7</f>
        <v>0</v>
      </c>
    </row>
    <row r="39" spans="1:18" x14ac:dyDescent="0.2">
      <c r="A39" s="25"/>
      <c r="B39" s="25"/>
      <c r="C39" s="25"/>
      <c r="D39" s="25"/>
      <c r="E39" s="209"/>
      <c r="F39" s="21"/>
      <c r="G39" s="41"/>
      <c r="H39" s="198"/>
      <c r="I39" s="35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 t="s">
        <v>51</v>
      </c>
      <c r="C40" s="25"/>
      <c r="D40" s="25"/>
      <c r="E40" s="209"/>
      <c r="F40" s="21"/>
      <c r="G40" s="41"/>
      <c r="H40" s="198"/>
      <c r="I40" s="186"/>
      <c r="J40" s="184"/>
      <c r="K40" s="225"/>
      <c r="L40" s="198"/>
      <c r="M40" s="35"/>
      <c r="N40" s="184"/>
      <c r="O40" s="35"/>
      <c r="P40" s="184"/>
      <c r="Q40" s="35"/>
      <c r="R40" s="184"/>
    </row>
    <row r="41" spans="1:18" x14ac:dyDescent="0.2">
      <c r="A41" s="25"/>
      <c r="B41" s="25"/>
      <c r="C41" s="25" t="s">
        <v>104</v>
      </c>
      <c r="D41" s="25">
        <v>1</v>
      </c>
      <c r="E41" s="132"/>
      <c r="F41" s="226" t="s">
        <v>42</v>
      </c>
      <c r="G41" s="41">
        <v>0</v>
      </c>
      <c r="H41" s="133"/>
      <c r="I41" s="35">
        <v>0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0</v>
      </c>
      <c r="P41" s="202">
        <f>+J41-N41</f>
        <v>0</v>
      </c>
      <c r="Q41" s="35">
        <v>0</v>
      </c>
      <c r="R41" s="202">
        <f>+J41*E$7</f>
        <v>0</v>
      </c>
    </row>
    <row r="42" spans="1:18" x14ac:dyDescent="0.2">
      <c r="A42" s="25"/>
      <c r="B42" s="25"/>
      <c r="C42" s="25" t="s">
        <v>105</v>
      </c>
      <c r="D42" s="25">
        <v>6.63</v>
      </c>
      <c r="E42" s="132"/>
      <c r="F42" s="226" t="s">
        <v>79</v>
      </c>
      <c r="G42" s="41">
        <v>3.6</v>
      </c>
      <c r="H42" s="133"/>
      <c r="I42" s="35">
        <v>23.867999999999999</v>
      </c>
      <c r="J42" s="202">
        <f>E42*H42</f>
        <v>0</v>
      </c>
      <c r="K42" s="225">
        <v>0</v>
      </c>
      <c r="L42" s="214"/>
      <c r="M42" s="35">
        <v>0</v>
      </c>
      <c r="N42" s="202">
        <f>J42*L42</f>
        <v>0</v>
      </c>
      <c r="O42" s="35">
        <v>23.867999999999999</v>
      </c>
      <c r="P42" s="202">
        <f>+J42-N42</f>
        <v>0</v>
      </c>
      <c r="Q42" s="35">
        <v>2911.8959999999997</v>
      </c>
      <c r="R42" s="202">
        <f>+J42*E$7</f>
        <v>0</v>
      </c>
    </row>
    <row r="43" spans="1:18" x14ac:dyDescent="0.2">
      <c r="A43" s="25"/>
      <c r="B43" s="25"/>
      <c r="C43" s="25"/>
      <c r="D43" s="25"/>
      <c r="E43" s="209"/>
      <c r="F43" s="21"/>
      <c r="G43" s="41"/>
      <c r="H43" s="198"/>
      <c r="I43" s="35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 t="s">
        <v>29</v>
      </c>
      <c r="C44" s="25"/>
      <c r="D44" s="25"/>
      <c r="E44" s="209"/>
      <c r="F44" s="21"/>
      <c r="G44" s="41"/>
      <c r="H44" s="198"/>
      <c r="I44" s="186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/>
      <c r="C45" s="25" t="s">
        <v>104</v>
      </c>
      <c r="D45" s="25">
        <v>1</v>
      </c>
      <c r="E45" s="132"/>
      <c r="F45" s="226" t="s">
        <v>42</v>
      </c>
      <c r="G45" s="41">
        <v>4.2215163934426227</v>
      </c>
      <c r="H45" s="133"/>
      <c r="I45" s="35">
        <v>4.2215163934426227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4.2215163934426227</v>
      </c>
      <c r="P45" s="202">
        <f>+J45-N45</f>
        <v>0</v>
      </c>
      <c r="Q45" s="35">
        <v>515.02499999999998</v>
      </c>
      <c r="R45" s="202">
        <f>+J45*E$7</f>
        <v>0</v>
      </c>
    </row>
    <row r="46" spans="1:18" x14ac:dyDescent="0.2">
      <c r="A46" s="25"/>
      <c r="B46" s="25"/>
      <c r="C46" s="25" t="s">
        <v>105</v>
      </c>
      <c r="D46" s="25">
        <v>0</v>
      </c>
      <c r="E46" s="132"/>
      <c r="F46" s="226" t="s">
        <v>79</v>
      </c>
      <c r="G46" s="41">
        <v>3.15</v>
      </c>
      <c r="H46" s="133"/>
      <c r="I46" s="35">
        <v>0</v>
      </c>
      <c r="J46" s="202">
        <f>E46*H46</f>
        <v>0</v>
      </c>
      <c r="K46" s="225">
        <v>0</v>
      </c>
      <c r="L46" s="214"/>
      <c r="M46" s="35">
        <v>0</v>
      </c>
      <c r="N46" s="202">
        <f>J46*L46</f>
        <v>0</v>
      </c>
      <c r="O46" s="35">
        <v>0</v>
      </c>
      <c r="P46" s="202">
        <f>+J46-N46</f>
        <v>0</v>
      </c>
      <c r="Q46" s="35">
        <v>0</v>
      </c>
      <c r="R46" s="202">
        <f>+J46*E$7</f>
        <v>0</v>
      </c>
    </row>
    <row r="47" spans="1:18" x14ac:dyDescent="0.2">
      <c r="A47" s="25"/>
      <c r="B47" s="25"/>
      <c r="C47" s="25"/>
      <c r="D47" s="25"/>
      <c r="E47" s="209"/>
      <c r="F47" s="21"/>
      <c r="G47" s="41"/>
      <c r="H47" s="198"/>
      <c r="I47" s="35"/>
      <c r="J47" s="184"/>
      <c r="K47" s="225"/>
      <c r="L47" s="198"/>
      <c r="M47" s="35"/>
      <c r="N47" s="184"/>
      <c r="O47" s="35"/>
      <c r="P47" s="184"/>
      <c r="Q47" s="35"/>
      <c r="R47" s="184"/>
    </row>
    <row r="48" spans="1:18" x14ac:dyDescent="0.2">
      <c r="A48" s="25"/>
      <c r="B48" s="25" t="s">
        <v>47</v>
      </c>
      <c r="C48" s="25"/>
      <c r="D48" s="25"/>
      <c r="E48" s="209"/>
      <c r="F48" s="21"/>
      <c r="G48" s="41"/>
      <c r="H48" s="199"/>
      <c r="I48" s="186"/>
      <c r="J48" s="184"/>
      <c r="K48" s="225"/>
      <c r="L48" s="199"/>
      <c r="M48" s="35"/>
      <c r="N48" s="184"/>
      <c r="O48" s="35"/>
      <c r="P48" s="184"/>
      <c r="Q48" s="35"/>
      <c r="R48" s="184"/>
    </row>
    <row r="49" spans="1:18" x14ac:dyDescent="0.2">
      <c r="A49" s="25"/>
      <c r="B49" s="25"/>
      <c r="C49" s="25" t="s">
        <v>104</v>
      </c>
      <c r="D49" s="25">
        <v>1</v>
      </c>
      <c r="E49" s="132"/>
      <c r="F49" s="226" t="s">
        <v>42</v>
      </c>
      <c r="G49" s="41">
        <v>0.86440573770491813</v>
      </c>
      <c r="H49" s="133"/>
      <c r="I49" s="35">
        <v>0.86440573770491813</v>
      </c>
      <c r="J49" s="202">
        <f t="shared" ref="J49:J54" si="12">E49*H49</f>
        <v>0</v>
      </c>
      <c r="K49" s="225">
        <v>0</v>
      </c>
      <c r="L49" s="214"/>
      <c r="M49" s="35">
        <v>0</v>
      </c>
      <c r="N49" s="202">
        <f t="shared" ref="N49:N54" si="13">J49*L49</f>
        <v>0</v>
      </c>
      <c r="O49" s="35">
        <v>0.86440573770491813</v>
      </c>
      <c r="P49" s="202">
        <f t="shared" ref="P49:P54" si="14">+J49-N49</f>
        <v>0</v>
      </c>
      <c r="Q49" s="35">
        <v>105.45750000000001</v>
      </c>
      <c r="R49" s="202">
        <f t="shared" ref="R49:R54" si="15">+J49*E$7</f>
        <v>0</v>
      </c>
    </row>
    <row r="50" spans="1:18" x14ac:dyDescent="0.2">
      <c r="A50" s="25"/>
      <c r="B50" s="25"/>
      <c r="C50" s="25" t="s">
        <v>46</v>
      </c>
      <c r="D50" s="25">
        <v>1</v>
      </c>
      <c r="E50" s="132"/>
      <c r="F50" s="226" t="s">
        <v>42</v>
      </c>
      <c r="G50" s="41">
        <v>42.339199999999998</v>
      </c>
      <c r="H50" s="133"/>
      <c r="I50" s="35">
        <v>42.339199999999998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42.339199999999998</v>
      </c>
      <c r="P50" s="202">
        <f t="shared" si="14"/>
        <v>0</v>
      </c>
      <c r="Q50" s="35">
        <v>5165.3823999999995</v>
      </c>
      <c r="R50" s="202">
        <f t="shared" si="15"/>
        <v>0</v>
      </c>
    </row>
    <row r="51" spans="1:18" x14ac:dyDescent="0.2">
      <c r="A51" s="25"/>
      <c r="B51" s="25"/>
      <c r="C51" s="25" t="s">
        <v>105</v>
      </c>
      <c r="D51" s="25">
        <v>1</v>
      </c>
      <c r="E51" s="132"/>
      <c r="F51" s="226" t="s">
        <v>42</v>
      </c>
      <c r="G51" s="41">
        <v>26.74645920690153</v>
      </c>
      <c r="H51" s="133"/>
      <c r="I51" s="35">
        <v>26.74645920690153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26.74645920690153</v>
      </c>
      <c r="P51" s="202">
        <f t="shared" si="14"/>
        <v>0</v>
      </c>
      <c r="Q51" s="35">
        <v>3263.0680232419868</v>
      </c>
      <c r="R51" s="202">
        <f t="shared" si="15"/>
        <v>0</v>
      </c>
    </row>
    <row r="52" spans="1:18" x14ac:dyDescent="0.2">
      <c r="A52" s="25"/>
      <c r="B52" s="25"/>
      <c r="C52" s="25" t="s">
        <v>4</v>
      </c>
      <c r="D52" s="25">
        <v>1</v>
      </c>
      <c r="E52" s="132"/>
      <c r="F52" s="226" t="s">
        <v>42</v>
      </c>
      <c r="G52" s="41">
        <v>15.842487941330768</v>
      </c>
      <c r="H52" s="133"/>
      <c r="I52" s="35">
        <v>15.842487941330768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15.842487941330768</v>
      </c>
      <c r="P52" s="202">
        <f t="shared" si="14"/>
        <v>0</v>
      </c>
      <c r="Q52" s="35">
        <v>1932.7835288423537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x14ac:dyDescent="0.2">
      <c r="A54" s="25"/>
      <c r="B54" s="133"/>
      <c r="C54" s="133"/>
      <c r="D54" s="25"/>
      <c r="E54" s="132"/>
      <c r="F54" s="226"/>
      <c r="G54" s="41"/>
      <c r="H54" s="133"/>
      <c r="I54" s="35">
        <v>0</v>
      </c>
      <c r="J54" s="202">
        <f t="shared" si="12"/>
        <v>0</v>
      </c>
      <c r="K54" s="225">
        <v>0</v>
      </c>
      <c r="L54" s="214"/>
      <c r="M54" s="35">
        <v>0</v>
      </c>
      <c r="N54" s="202">
        <f t="shared" si="13"/>
        <v>0</v>
      </c>
      <c r="O54" s="35">
        <v>0</v>
      </c>
      <c r="P54" s="202">
        <f t="shared" si="14"/>
        <v>0</v>
      </c>
      <c r="Q54" s="35">
        <v>0</v>
      </c>
      <c r="R54" s="202">
        <f t="shared" si="15"/>
        <v>0</v>
      </c>
    </row>
    <row r="55" spans="1:18" ht="13.5" thickBot="1" x14ac:dyDescent="0.25">
      <c r="A55" s="25"/>
      <c r="B55" s="25" t="s">
        <v>32</v>
      </c>
      <c r="C55" s="25"/>
      <c r="D55" s="25"/>
      <c r="E55" s="197"/>
      <c r="F55" s="21"/>
      <c r="G55" s="39">
        <v>0.08</v>
      </c>
      <c r="H55" s="215"/>
      <c r="I55" s="42">
        <v>13.81349534518543</v>
      </c>
      <c r="J55" s="202">
        <f>+SUM(J17:J54)/2*H55</f>
        <v>0</v>
      </c>
      <c r="K55" s="86"/>
      <c r="L55" s="137"/>
      <c r="M55" s="42">
        <v>0</v>
      </c>
      <c r="N55" s="202">
        <f>+SUM(N17:N54)/2*L55</f>
        <v>0</v>
      </c>
      <c r="O55" s="42">
        <v>13.81349534518543</v>
      </c>
      <c r="P55" s="202">
        <f>+SUM(P17:P54)/2*L55</f>
        <v>0</v>
      </c>
      <c r="Q55" s="42">
        <v>1685.2464321126224</v>
      </c>
      <c r="R55" s="184">
        <f>+J55*E$7</f>
        <v>0</v>
      </c>
    </row>
    <row r="56" spans="1:18" ht="13.5" thickBot="1" x14ac:dyDescent="0.25">
      <c r="A56" s="25" t="s">
        <v>33</v>
      </c>
      <c r="B56" s="25"/>
      <c r="C56" s="25"/>
      <c r="D56" s="25"/>
      <c r="E56" s="200"/>
      <c r="F56" s="25"/>
      <c r="G56" s="25"/>
      <c r="H56" s="197"/>
      <c r="I56" s="87">
        <v>324.31715482020252</v>
      </c>
      <c r="J56" s="204">
        <f>SUM(J18:J55)</f>
        <v>0</v>
      </c>
      <c r="K56" s="35"/>
      <c r="L56" s="195"/>
      <c r="M56" s="87">
        <v>0</v>
      </c>
      <c r="N56" s="204">
        <f>SUM(N18:N55)</f>
        <v>0</v>
      </c>
      <c r="O56" s="87">
        <v>324.31715482020252</v>
      </c>
      <c r="P56" s="204">
        <f>SUM(P18:P55)</f>
        <v>0</v>
      </c>
      <c r="Q56" s="87">
        <v>39566.69288806471</v>
      </c>
      <c r="R56" s="204">
        <f>SUM(R18:R55)</f>
        <v>0</v>
      </c>
    </row>
    <row r="57" spans="1:18" ht="13.5" thickTop="1" x14ac:dyDescent="0.2">
      <c r="A57" s="25" t="s">
        <v>34</v>
      </c>
      <c r="B57" s="25"/>
      <c r="C57" s="25"/>
      <c r="D57" s="25"/>
      <c r="E57" s="200"/>
      <c r="F57" s="25"/>
      <c r="G57" s="25"/>
      <c r="H57" s="197"/>
      <c r="I57" s="35">
        <v>-4.3171548202025178</v>
      </c>
      <c r="J57" s="202">
        <f>+J13-J56</f>
        <v>0</v>
      </c>
      <c r="K57" s="35"/>
      <c r="L57" s="195"/>
      <c r="M57" s="35">
        <v>0</v>
      </c>
      <c r="N57" s="202">
        <f>+N13-N56</f>
        <v>0</v>
      </c>
      <c r="O57" s="35">
        <v>-4.3171548202025178</v>
      </c>
      <c r="P57" s="202">
        <f>+P13-P56</f>
        <v>0</v>
      </c>
      <c r="Q57" s="35">
        <v>-526.69288806471013</v>
      </c>
      <c r="R57" s="202">
        <f>+R13-R56</f>
        <v>0</v>
      </c>
    </row>
    <row r="58" spans="1:18" x14ac:dyDescent="0.2">
      <c r="A58" s="25"/>
      <c r="B58" s="25" t="s">
        <v>35</v>
      </c>
      <c r="C58" s="25"/>
      <c r="D58" s="25"/>
      <c r="E58" s="210"/>
      <c r="F58" s="17"/>
      <c r="G58" s="40">
        <v>6.4863430964040507</v>
      </c>
      <c r="H58" s="210" t="str">
        <f>IF(E10=0,"n/a",(YVarExp-(YTotExp+YTotRet-J10))/E10)</f>
        <v>n/a</v>
      </c>
      <c r="I58" s="25" t="s">
        <v>84</v>
      </c>
      <c r="J58" s="184"/>
      <c r="K58" s="25"/>
      <c r="L58" s="197"/>
      <c r="M58" s="25"/>
      <c r="N58" s="184"/>
      <c r="O58" s="25"/>
      <c r="P58" s="184"/>
      <c r="Q58" s="25"/>
      <c r="R58" s="184"/>
    </row>
    <row r="59" spans="1:18" x14ac:dyDescent="0.2">
      <c r="A59" s="25"/>
      <c r="B59" s="25"/>
      <c r="C59" s="25"/>
      <c r="D59" s="25"/>
      <c r="E59" s="178"/>
      <c r="F59" s="25"/>
      <c r="G59" s="25"/>
      <c r="H59" s="211"/>
      <c r="I59" s="25"/>
      <c r="J59" s="184"/>
      <c r="K59" s="25"/>
      <c r="L59" s="197"/>
      <c r="M59" s="25"/>
      <c r="N59" s="184"/>
      <c r="O59" s="25"/>
      <c r="P59" s="184"/>
      <c r="Q59" s="22" t="s">
        <v>19</v>
      </c>
      <c r="R59" s="184" t="s">
        <v>19</v>
      </c>
    </row>
    <row r="60" spans="1:18" x14ac:dyDescent="0.2">
      <c r="A60" s="23" t="s">
        <v>36</v>
      </c>
      <c r="B60" s="23"/>
      <c r="C60" s="23"/>
      <c r="D60" s="24" t="s">
        <v>2</v>
      </c>
      <c r="E60" s="196" t="s">
        <v>2</v>
      </c>
      <c r="F60" s="24" t="s">
        <v>21</v>
      </c>
      <c r="G60" s="24" t="s">
        <v>22</v>
      </c>
      <c r="H60" s="196" t="s">
        <v>22</v>
      </c>
      <c r="I60" s="24" t="s">
        <v>11</v>
      </c>
      <c r="J60" s="196" t="s">
        <v>11</v>
      </c>
      <c r="K60" s="24" t="s">
        <v>10</v>
      </c>
      <c r="L60" s="196" t="s">
        <v>10</v>
      </c>
      <c r="M60" s="24" t="s">
        <v>9</v>
      </c>
      <c r="N60" s="196" t="s">
        <v>9</v>
      </c>
      <c r="O60" s="24" t="s">
        <v>8</v>
      </c>
      <c r="P60" s="196" t="s">
        <v>8</v>
      </c>
      <c r="Q60" s="24" t="s">
        <v>11</v>
      </c>
      <c r="R60" s="208" t="s">
        <v>11</v>
      </c>
    </row>
    <row r="61" spans="1:18" x14ac:dyDescent="0.2">
      <c r="A61" s="25"/>
      <c r="B61" s="25" t="s">
        <v>106</v>
      </c>
      <c r="C61" s="25"/>
      <c r="D61" s="25"/>
      <c r="E61" s="178"/>
      <c r="F61" s="25"/>
      <c r="G61" s="25"/>
      <c r="H61" s="211"/>
      <c r="I61" s="186"/>
      <c r="J61" s="184"/>
      <c r="K61" s="225"/>
      <c r="L61" s="197"/>
      <c r="M61" s="25"/>
      <c r="N61" s="184"/>
      <c r="O61" s="25"/>
      <c r="P61" s="184"/>
      <c r="Q61" s="25"/>
      <c r="R61" s="184"/>
    </row>
    <row r="62" spans="1:18" x14ac:dyDescent="0.2">
      <c r="A62" s="25"/>
      <c r="B62" s="25"/>
      <c r="C62" s="25" t="s">
        <v>104</v>
      </c>
      <c r="D62" s="25">
        <v>1</v>
      </c>
      <c r="E62" s="132"/>
      <c r="F62" s="226" t="s">
        <v>42</v>
      </c>
      <c r="G62" s="41">
        <v>1.8092213114754101</v>
      </c>
      <c r="H62" s="133"/>
      <c r="I62" s="35">
        <v>1.8092213114754101</v>
      </c>
      <c r="J62" s="202">
        <f t="shared" ref="J62:J65" si="16">E62*H62</f>
        <v>0</v>
      </c>
      <c r="K62" s="225">
        <v>0</v>
      </c>
      <c r="L62" s="214"/>
      <c r="M62" s="35">
        <v>0</v>
      </c>
      <c r="N62" s="202">
        <f>J62*L62</f>
        <v>0</v>
      </c>
      <c r="O62" s="35">
        <v>1.8092213114754101</v>
      </c>
      <c r="P62" s="202">
        <f t="shared" ref="P62:P65" si="17">+J62-N62</f>
        <v>0</v>
      </c>
      <c r="Q62" s="35">
        <v>220.72500000000002</v>
      </c>
      <c r="R62" s="202">
        <f t="shared" ref="R62:R65" si="18">+J62*E$7</f>
        <v>0</v>
      </c>
    </row>
    <row r="63" spans="1:18" x14ac:dyDescent="0.2">
      <c r="A63" s="25"/>
      <c r="B63" s="25"/>
      <c r="C63" s="25" t="s">
        <v>46</v>
      </c>
      <c r="D63" s="25">
        <v>1</v>
      </c>
      <c r="E63" s="132"/>
      <c r="F63" s="226" t="s">
        <v>42</v>
      </c>
      <c r="G63" s="41">
        <v>44.895552606557381</v>
      </c>
      <c r="H63" s="133"/>
      <c r="I63" s="35">
        <v>44.895552606557381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44.895552606557381</v>
      </c>
      <c r="P63" s="202">
        <f t="shared" si="17"/>
        <v>0</v>
      </c>
      <c r="Q63" s="35">
        <v>5477.2574180000001</v>
      </c>
      <c r="R63" s="202">
        <f t="shared" si="18"/>
        <v>0</v>
      </c>
    </row>
    <row r="64" spans="1:18" x14ac:dyDescent="0.2">
      <c r="A64" s="25"/>
      <c r="B64" s="25"/>
      <c r="C64" s="25" t="s">
        <v>105</v>
      </c>
      <c r="D64" s="25">
        <v>1</v>
      </c>
      <c r="E64" s="132"/>
      <c r="F64" s="226" t="s">
        <v>42</v>
      </c>
      <c r="G64" s="41">
        <v>25.477583482769706</v>
      </c>
      <c r="H64" s="133"/>
      <c r="I64" s="35">
        <v>25.477583482769706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25.477583482769706</v>
      </c>
      <c r="P64" s="202">
        <f t="shared" si="17"/>
        <v>0</v>
      </c>
      <c r="Q64" s="35">
        <v>3108.265184897904</v>
      </c>
      <c r="R64" s="202">
        <f t="shared" si="18"/>
        <v>0</v>
      </c>
    </row>
    <row r="65" spans="1:18" x14ac:dyDescent="0.2">
      <c r="A65" s="25"/>
      <c r="B65" s="25"/>
      <c r="C65" s="25" t="s">
        <v>4</v>
      </c>
      <c r="D65" s="25">
        <v>1</v>
      </c>
      <c r="E65" s="132"/>
      <c r="F65" s="226" t="s">
        <v>42</v>
      </c>
      <c r="G65" s="41">
        <v>19.478536947663088</v>
      </c>
      <c r="H65" s="133"/>
      <c r="I65" s="35">
        <v>19.478536947663088</v>
      </c>
      <c r="J65" s="202">
        <f t="shared" si="16"/>
        <v>0</v>
      </c>
      <c r="K65" s="225">
        <v>0</v>
      </c>
      <c r="L65" s="214"/>
      <c r="M65" s="35">
        <v>0</v>
      </c>
      <c r="N65" s="202">
        <f>J65*L65</f>
        <v>0</v>
      </c>
      <c r="O65" s="35">
        <v>19.478536947663088</v>
      </c>
      <c r="P65" s="202">
        <f t="shared" si="17"/>
        <v>0</v>
      </c>
      <c r="Q65" s="35">
        <v>2376.3815076148967</v>
      </c>
      <c r="R65" s="202">
        <f t="shared" si="18"/>
        <v>0</v>
      </c>
    </row>
    <row r="66" spans="1:18" x14ac:dyDescent="0.2">
      <c r="A66" s="25"/>
      <c r="B66" s="25" t="s">
        <v>89</v>
      </c>
      <c r="C66" s="25"/>
      <c r="D66" s="25"/>
      <c r="E66" s="197"/>
      <c r="F66" s="21"/>
      <c r="G66" s="41"/>
      <c r="H66" s="197"/>
      <c r="I66" s="186"/>
      <c r="J66" s="184"/>
      <c r="K66" s="225"/>
      <c r="L66" s="197"/>
      <c r="M66" s="35"/>
      <c r="N66" s="184"/>
      <c r="O66" s="35"/>
      <c r="P66" s="184"/>
      <c r="Q66" s="35"/>
      <c r="R66" s="184"/>
    </row>
    <row r="67" spans="1:18" x14ac:dyDescent="0.2">
      <c r="A67" s="25"/>
      <c r="B67" s="25"/>
      <c r="C67" s="25" t="s">
        <v>104</v>
      </c>
      <c r="D67" s="41">
        <v>11.056352459016393</v>
      </c>
      <c r="E67" s="132"/>
      <c r="F67" s="226" t="s">
        <v>100</v>
      </c>
      <c r="G67" s="39">
        <v>0.08</v>
      </c>
      <c r="H67" s="215"/>
      <c r="I67" s="35">
        <v>0.88450819672131153</v>
      </c>
      <c r="J67" s="202">
        <f t="shared" ref="J67:J77" si="19">E67*H67</f>
        <v>0</v>
      </c>
      <c r="K67" s="225">
        <v>0</v>
      </c>
      <c r="L67" s="214"/>
      <c r="M67" s="35">
        <v>0</v>
      </c>
      <c r="N67" s="202">
        <f>J67*L67</f>
        <v>0</v>
      </c>
      <c r="O67" s="35">
        <v>0.88450819672131153</v>
      </c>
      <c r="P67" s="202">
        <f t="shared" ref="P67:P70" si="20">+J67-N67</f>
        <v>0</v>
      </c>
      <c r="Q67" s="35">
        <v>107.91000000000001</v>
      </c>
      <c r="R67" s="202">
        <f t="shared" ref="R67:R70" si="21">+J67*E$7</f>
        <v>0</v>
      </c>
    </row>
    <row r="68" spans="1:18" x14ac:dyDescent="0.2">
      <c r="A68" s="25"/>
      <c r="B68" s="25"/>
      <c r="C68" s="25" t="s">
        <v>46</v>
      </c>
      <c r="D68" s="41">
        <v>336.71664454918039</v>
      </c>
      <c r="E68" s="132"/>
      <c r="F68" s="226" t="s">
        <v>100</v>
      </c>
      <c r="G68" s="39">
        <v>0.08</v>
      </c>
      <c r="H68" s="215"/>
      <c r="I68" s="35">
        <v>26.937331563934432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26.937331563934432</v>
      </c>
      <c r="P68" s="202">
        <f t="shared" si="20"/>
        <v>0</v>
      </c>
      <c r="Q68" s="35">
        <v>3286.3544508000009</v>
      </c>
      <c r="R68" s="202">
        <f t="shared" si="21"/>
        <v>0</v>
      </c>
    </row>
    <row r="69" spans="1:18" x14ac:dyDescent="0.2">
      <c r="A69" s="25"/>
      <c r="B69" s="25"/>
      <c r="C69" s="25" t="s">
        <v>105</v>
      </c>
      <c r="D69" s="41">
        <v>194.18132913700012</v>
      </c>
      <c r="E69" s="132"/>
      <c r="F69" s="226" t="s">
        <v>100</v>
      </c>
      <c r="G69" s="39">
        <v>0.08</v>
      </c>
      <c r="H69" s="215"/>
      <c r="I69" s="35">
        <v>15.53450633096001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15.53450633096001</v>
      </c>
      <c r="P69" s="202">
        <f t="shared" si="20"/>
        <v>0</v>
      </c>
      <c r="Q69" s="35">
        <v>1895.2097723771212</v>
      </c>
      <c r="R69" s="202">
        <f t="shared" si="21"/>
        <v>0</v>
      </c>
    </row>
    <row r="70" spans="1:18" x14ac:dyDescent="0.2">
      <c r="A70" s="25"/>
      <c r="B70" s="25"/>
      <c r="C70" s="25" t="s">
        <v>4</v>
      </c>
      <c r="D70" s="41">
        <v>92.459375371416954</v>
      </c>
      <c r="E70" s="132"/>
      <c r="F70" s="226" t="s">
        <v>100</v>
      </c>
      <c r="G70" s="39">
        <v>0.08</v>
      </c>
      <c r="H70" s="215"/>
      <c r="I70" s="35">
        <v>7.3967500297133562</v>
      </c>
      <c r="J70" s="202">
        <f t="shared" si="19"/>
        <v>0</v>
      </c>
      <c r="K70" s="225">
        <v>0</v>
      </c>
      <c r="L70" s="214"/>
      <c r="M70" s="35">
        <v>0</v>
      </c>
      <c r="N70" s="202">
        <f>J70*L70</f>
        <v>0</v>
      </c>
      <c r="O70" s="35">
        <v>7.3967500297133562</v>
      </c>
      <c r="P70" s="202">
        <f t="shared" si="20"/>
        <v>0</v>
      </c>
      <c r="Q70" s="35">
        <v>902.40350362502943</v>
      </c>
      <c r="R70" s="202">
        <f t="shared" si="21"/>
        <v>0</v>
      </c>
    </row>
    <row r="71" spans="1:18" x14ac:dyDescent="0.2">
      <c r="A71" s="25"/>
      <c r="B71" s="25" t="s">
        <v>156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ref="N71:N78" si="22">J71*L71</f>
        <v>0</v>
      </c>
      <c r="O71" s="35">
        <v>0</v>
      </c>
      <c r="P71" s="202">
        <f t="shared" ref="P71:P78" si="23">+J71-N71</f>
        <v>0</v>
      </c>
      <c r="Q71" s="35">
        <v>0</v>
      </c>
      <c r="R71" s="202">
        <f t="shared" ref="R71:R78" si="24">+J71*E$7</f>
        <v>0</v>
      </c>
    </row>
    <row r="72" spans="1:18" x14ac:dyDescent="0.2">
      <c r="A72" s="25"/>
      <c r="B72" s="25" t="s">
        <v>152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0</v>
      </c>
      <c r="P72" s="202">
        <f t="shared" si="23"/>
        <v>0</v>
      </c>
      <c r="Q72" s="35">
        <v>0</v>
      </c>
      <c r="R72" s="202">
        <f t="shared" si="24"/>
        <v>0</v>
      </c>
    </row>
    <row r="73" spans="1:18" x14ac:dyDescent="0.2">
      <c r="A73" s="25"/>
      <c r="B73" s="25" t="s">
        <v>137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0</v>
      </c>
      <c r="P73" s="202">
        <f t="shared" si="23"/>
        <v>0</v>
      </c>
      <c r="Q73" s="35">
        <v>0</v>
      </c>
      <c r="R73" s="202">
        <f t="shared" si="24"/>
        <v>0</v>
      </c>
    </row>
    <row r="74" spans="1:18" x14ac:dyDescent="0.2">
      <c r="A74" s="25"/>
      <c r="B74" s="25" t="s">
        <v>453</v>
      </c>
      <c r="C74" s="25"/>
      <c r="D74" s="25">
        <v>1</v>
      </c>
      <c r="E74" s="132"/>
      <c r="F74" s="226" t="s">
        <v>42</v>
      </c>
      <c r="G74" s="41">
        <v>50</v>
      </c>
      <c r="H74" s="133"/>
      <c r="I74" s="35">
        <v>50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50</v>
      </c>
      <c r="P74" s="202">
        <f t="shared" si="23"/>
        <v>0</v>
      </c>
      <c r="Q74" s="35">
        <v>6100</v>
      </c>
      <c r="R74" s="202">
        <f t="shared" si="24"/>
        <v>0</v>
      </c>
    </row>
    <row r="75" spans="1:18" x14ac:dyDescent="0.2">
      <c r="A75" s="25"/>
      <c r="B75" s="25" t="s">
        <v>159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25" t="s">
        <v>160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x14ac:dyDescent="0.2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 t="shared" si="19"/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/>
      <c r="B78" s="133"/>
      <c r="C78" s="133"/>
      <c r="D78" s="25">
        <v>1</v>
      </c>
      <c r="E78" s="132"/>
      <c r="F78" s="226"/>
      <c r="G78" s="41">
        <v>0</v>
      </c>
      <c r="H78" s="133"/>
      <c r="I78" s="35">
        <v>0</v>
      </c>
      <c r="J78" s="202">
        <f>E78*H78</f>
        <v>0</v>
      </c>
      <c r="K78" s="225">
        <v>0</v>
      </c>
      <c r="L78" s="214"/>
      <c r="M78" s="35">
        <v>0</v>
      </c>
      <c r="N78" s="202">
        <f t="shared" si="22"/>
        <v>0</v>
      </c>
      <c r="O78" s="35">
        <v>0</v>
      </c>
      <c r="P78" s="202">
        <f t="shared" si="23"/>
        <v>0</v>
      </c>
      <c r="Q78" s="35">
        <v>0</v>
      </c>
      <c r="R78" s="202">
        <f t="shared" si="24"/>
        <v>0</v>
      </c>
    </row>
    <row r="79" spans="1:18" ht="13.5" thickBot="1" x14ac:dyDescent="0.25">
      <c r="A79" s="25" t="s">
        <v>37</v>
      </c>
      <c r="B79" s="25"/>
      <c r="C79" s="25"/>
      <c r="D79" s="25"/>
      <c r="E79" s="197"/>
      <c r="F79" s="25"/>
      <c r="G79" s="25"/>
      <c r="H79" s="197"/>
      <c r="I79" s="121">
        <v>192.4139904697947</v>
      </c>
      <c r="J79" s="204">
        <f>+SUM(J62:J78)</f>
        <v>0</v>
      </c>
      <c r="K79" s="35"/>
      <c r="L79" s="195"/>
      <c r="M79" s="121">
        <v>0</v>
      </c>
      <c r="N79" s="204">
        <f>+SUM(N62:N78)</f>
        <v>0</v>
      </c>
      <c r="O79" s="121">
        <v>192.4139904697947</v>
      </c>
      <c r="P79" s="204">
        <f>+SUM(P62:P78)</f>
        <v>0</v>
      </c>
      <c r="Q79" s="121">
        <v>23474.506837314952</v>
      </c>
      <c r="R79" s="204">
        <f>+SUM(R62:R78)</f>
        <v>0</v>
      </c>
    </row>
    <row r="80" spans="1:18" ht="14.25" thickTop="1" thickBot="1" x14ac:dyDescent="0.25">
      <c r="A80" s="25" t="s">
        <v>52</v>
      </c>
      <c r="B80" s="25"/>
      <c r="C80" s="25"/>
      <c r="D80" s="25"/>
      <c r="E80" s="197"/>
      <c r="F80" s="25"/>
      <c r="G80" s="25"/>
      <c r="H80" s="197"/>
      <c r="I80" s="87">
        <v>516.73114528999724</v>
      </c>
      <c r="J80" s="205">
        <f>+J56+J79</f>
        <v>0</v>
      </c>
      <c r="K80" s="35"/>
      <c r="L80" s="195"/>
      <c r="M80" s="87">
        <v>0</v>
      </c>
      <c r="N80" s="205">
        <f>+N56+N79</f>
        <v>0</v>
      </c>
      <c r="O80" s="87">
        <v>516.73114528999724</v>
      </c>
      <c r="P80" s="205">
        <f>+P56+P79</f>
        <v>0</v>
      </c>
      <c r="Q80" s="87">
        <v>63041.199725379658</v>
      </c>
      <c r="R80" s="205">
        <f>+R56+R79</f>
        <v>0</v>
      </c>
    </row>
    <row r="81" spans="1:18" ht="13.5" thickTop="1" x14ac:dyDescent="0.2">
      <c r="A81" s="25"/>
      <c r="B81" s="25"/>
      <c r="C81" s="25"/>
      <c r="D81" s="25"/>
      <c r="E81" s="197"/>
      <c r="F81" s="25"/>
      <c r="G81" s="25"/>
      <c r="H81" s="197"/>
      <c r="I81" s="35"/>
      <c r="J81" s="184"/>
      <c r="K81" s="35"/>
      <c r="L81" s="195"/>
      <c r="M81" s="35"/>
      <c r="N81" s="184"/>
      <c r="O81" s="35"/>
      <c r="P81" s="184"/>
      <c r="Q81" s="35"/>
      <c r="R81" s="184"/>
    </row>
    <row r="82" spans="1:18" x14ac:dyDescent="0.2">
      <c r="A82" s="25" t="s">
        <v>153</v>
      </c>
      <c r="B82" s="25"/>
      <c r="C82" s="25"/>
      <c r="D82" s="25"/>
      <c r="E82" s="197"/>
      <c r="F82" s="25"/>
      <c r="G82" s="25"/>
      <c r="H82" s="197"/>
      <c r="I82" s="35">
        <v>-196.73114528999724</v>
      </c>
      <c r="J82" s="202">
        <f>+J13-J80</f>
        <v>0</v>
      </c>
      <c r="K82" s="35"/>
      <c r="L82" s="195"/>
      <c r="M82" s="35">
        <v>0</v>
      </c>
      <c r="N82" s="202">
        <f>+N13-N80</f>
        <v>0</v>
      </c>
      <c r="O82" s="35">
        <v>-196.73114528999724</v>
      </c>
      <c r="P82" s="202">
        <f>+P13-P80</f>
        <v>0</v>
      </c>
      <c r="Q82" s="35">
        <v>-24001.199725379658</v>
      </c>
      <c r="R82" s="202">
        <f>+R13-R80</f>
        <v>0</v>
      </c>
    </row>
    <row r="83" spans="1:18" x14ac:dyDescent="0.2">
      <c r="A83" s="25"/>
      <c r="B83" s="25"/>
      <c r="C83" s="25"/>
      <c r="D83" s="25"/>
      <c r="E83" s="197"/>
      <c r="F83" s="25"/>
      <c r="G83" s="25"/>
      <c r="H83" s="197"/>
      <c r="I83" s="35"/>
      <c r="J83" s="206"/>
      <c r="K83" s="35"/>
      <c r="L83" s="195"/>
      <c r="M83" s="35"/>
      <c r="N83" s="195"/>
      <c r="O83" s="35"/>
      <c r="P83" s="195"/>
      <c r="Q83" s="35"/>
      <c r="R83" s="206"/>
    </row>
    <row r="84" spans="1:18" ht="13.5" thickBot="1" x14ac:dyDescent="0.25">
      <c r="A84" s="44" t="s">
        <v>38</v>
      </c>
      <c r="B84" s="44"/>
      <c r="C84" s="44"/>
      <c r="D84" s="44"/>
      <c r="E84" s="201"/>
      <c r="F84" s="44"/>
      <c r="G84" s="45">
        <v>10.334622905799945</v>
      </c>
      <c r="H84" s="212" t="str">
        <f>IF(E10=0,"n/a",(YTotExp-(YTotExp+YTotRet-J10))/E10)</f>
        <v>n/a</v>
      </c>
      <c r="I84" s="44" t="s">
        <v>84</v>
      </c>
      <c r="J84" s="207"/>
      <c r="K84" s="44"/>
      <c r="L84" s="201"/>
      <c r="M84" s="44"/>
      <c r="N84" s="201"/>
      <c r="O84" s="44"/>
      <c r="P84" s="201"/>
      <c r="Q84" s="44"/>
      <c r="R84" s="207"/>
    </row>
    <row r="85" spans="1:18" ht="13.5" thickTop="1" x14ac:dyDescent="0.2"/>
    <row r="86" spans="1:18" s="17" customFormat="1" ht="15.75" x14ac:dyDescent="0.25">
      <c r="A86"/>
      <c r="B86" s="88"/>
      <c r="C86" s="89"/>
      <c r="D86" s="234" t="s">
        <v>115</v>
      </c>
      <c r="E86" s="235"/>
      <c r="F86" s="235"/>
      <c r="G86" s="235"/>
      <c r="H86" s="235"/>
      <c r="I86" s="235"/>
      <c r="J86" s="99"/>
      <c r="K86" s="99"/>
      <c r="M86"/>
      <c r="N86"/>
    </row>
    <row r="87" spans="1:18" s="17" customFormat="1" ht="15.75" x14ac:dyDescent="0.25">
      <c r="A87"/>
      <c r="B87" s="19" t="s">
        <v>116</v>
      </c>
      <c r="C87" s="19" t="s">
        <v>116</v>
      </c>
      <c r="D87" s="126" t="s">
        <v>170</v>
      </c>
      <c r="E87" s="18"/>
      <c r="F87" s="18"/>
      <c r="G87" s="126" t="s">
        <v>170</v>
      </c>
      <c r="H87" s="18"/>
      <c r="I87" s="18"/>
      <c r="J87" s="18"/>
      <c r="K87" s="18"/>
      <c r="M87"/>
      <c r="N87"/>
    </row>
    <row r="88" spans="1:18" s="17" customFormat="1" x14ac:dyDescent="0.2">
      <c r="A88"/>
      <c r="B88" s="19" t="s">
        <v>81</v>
      </c>
      <c r="C88" s="19" t="s">
        <v>81</v>
      </c>
      <c r="D88" s="126" t="s">
        <v>157</v>
      </c>
      <c r="E88" s="122"/>
      <c r="F88" s="122"/>
      <c r="G88" s="126" t="s">
        <v>11</v>
      </c>
      <c r="H88" s="122"/>
      <c r="I88" s="122"/>
      <c r="J88" s="122"/>
      <c r="K88" s="122"/>
      <c r="M88"/>
      <c r="N88"/>
    </row>
    <row r="89" spans="1:18" s="17" customFormat="1" x14ac:dyDescent="0.2">
      <c r="A89"/>
      <c r="B89" s="19" t="s">
        <v>30</v>
      </c>
      <c r="C89" s="99" t="s">
        <v>84</v>
      </c>
      <c r="D89" s="126" t="s">
        <v>99</v>
      </c>
      <c r="E89" s="122"/>
      <c r="F89" s="122"/>
      <c r="G89" s="126" t="s">
        <v>99</v>
      </c>
      <c r="H89" s="19"/>
      <c r="I89" s="19"/>
      <c r="J89" s="19"/>
      <c r="K89" s="19"/>
      <c r="M89"/>
      <c r="N89"/>
    </row>
    <row r="90" spans="1:18" s="17" customFormat="1" x14ac:dyDescent="0.2">
      <c r="A90"/>
      <c r="B90" s="90">
        <v>0.75</v>
      </c>
      <c r="C90" s="91">
        <v>37.5</v>
      </c>
      <c r="D90" s="92">
        <v>8.6484574618720664</v>
      </c>
      <c r="E90" s="93"/>
      <c r="F90" s="94"/>
      <c r="G90" s="92">
        <v>13.779497207733259</v>
      </c>
      <c r="H90" s="93"/>
      <c r="I90" s="93"/>
      <c r="M90"/>
      <c r="N90"/>
    </row>
    <row r="91" spans="1:18" s="17" customFormat="1" x14ac:dyDescent="0.2">
      <c r="A91"/>
      <c r="B91" s="95">
        <v>0.9</v>
      </c>
      <c r="C91" s="96">
        <v>45</v>
      </c>
      <c r="D91" s="97">
        <v>7.207047884893389</v>
      </c>
      <c r="E91" s="83"/>
      <c r="F91" s="98"/>
      <c r="G91" s="97">
        <v>11.482914339777716</v>
      </c>
      <c r="H91" s="83"/>
      <c r="I91" s="83"/>
      <c r="M91"/>
      <c r="N91"/>
    </row>
    <row r="92" spans="1:18" s="17" customFormat="1" x14ac:dyDescent="0.2">
      <c r="A92"/>
      <c r="B92" s="90">
        <v>1</v>
      </c>
      <c r="C92" s="91">
        <v>50</v>
      </c>
      <c r="D92" s="92">
        <v>6.4863430964040507</v>
      </c>
      <c r="E92" s="93"/>
      <c r="F92" s="94"/>
      <c r="G92" s="92">
        <v>10.334622905799945</v>
      </c>
      <c r="H92" s="93"/>
      <c r="I92" s="93"/>
      <c r="M92"/>
      <c r="N92"/>
    </row>
    <row r="93" spans="1:18" s="17" customFormat="1" x14ac:dyDescent="0.2">
      <c r="A93"/>
      <c r="B93" s="95">
        <v>1.1000000000000001</v>
      </c>
      <c r="C93" s="96">
        <v>55.000000000000007</v>
      </c>
      <c r="D93" s="97">
        <v>5.8966755421854993</v>
      </c>
      <c r="E93" s="83"/>
      <c r="F93" s="98"/>
      <c r="G93" s="97">
        <v>9.3951117325454039</v>
      </c>
      <c r="H93" s="83"/>
      <c r="I93" s="83"/>
      <c r="M93"/>
      <c r="N93"/>
    </row>
    <row r="94" spans="1:18" s="17" customFormat="1" x14ac:dyDescent="0.2">
      <c r="A94"/>
      <c r="B94" s="90">
        <v>1.25</v>
      </c>
      <c r="C94" s="91">
        <v>62.5</v>
      </c>
      <c r="D94" s="92">
        <v>5.1890744771232402</v>
      </c>
      <c r="E94" s="93"/>
      <c r="F94" s="94"/>
      <c r="G94" s="92">
        <v>8.2676983246399551</v>
      </c>
      <c r="H94" s="93"/>
      <c r="I94" s="93"/>
      <c r="M94"/>
      <c r="N94"/>
    </row>
    <row r="95" spans="1:18" s="17" customFormat="1" x14ac:dyDescent="0.2">
      <c r="A95"/>
      <c r="M95"/>
      <c r="N95"/>
    </row>
    <row r="96" spans="1:18" x14ac:dyDescent="0.2">
      <c r="A96" s="25" t="s">
        <v>536</v>
      </c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28"/>
      <c r="K97" s="17"/>
      <c r="L97" s="17"/>
      <c r="M97" s="17"/>
      <c r="N97" s="17"/>
      <c r="O97" s="17"/>
      <c r="P97" s="17"/>
      <c r="Q97" s="17"/>
    </row>
    <row r="98" spans="1:18" ht="26.25" customHeight="1" x14ac:dyDescent="0.2">
      <c r="A98" s="236" t="s">
        <v>140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21"/>
      <c r="N98" s="221"/>
      <c r="O98" s="221"/>
      <c r="P98" s="221"/>
      <c r="Q98" s="221"/>
      <c r="R98" s="221"/>
    </row>
  </sheetData>
  <sheetProtection sheet="1" objects="1" scenarios="1"/>
  <mergeCells count="6">
    <mergeCell ref="D86:I86"/>
    <mergeCell ref="A98:L98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221">
    <tabColor rgb="FF92D050"/>
    <pageSetUpPr fitToPage="1"/>
  </sheetPr>
  <dimension ref="A1:S84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42578125" customWidth="1"/>
    <col min="3" max="3" width="35.1406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481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343</v>
      </c>
      <c r="C10" s="25"/>
      <c r="D10" s="50">
        <v>3</v>
      </c>
      <c r="E10" s="132"/>
      <c r="F10" s="226" t="s">
        <v>135</v>
      </c>
      <c r="G10" s="31">
        <v>214.5</v>
      </c>
      <c r="H10" s="133"/>
      <c r="I10" s="35">
        <v>643.5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643.5</v>
      </c>
      <c r="P10" s="202">
        <f>+J10-N10</f>
        <v>0</v>
      </c>
      <c r="Q10" s="35">
        <v>78507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643.5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643.5</v>
      </c>
      <c r="P13" s="203">
        <f>SUM(P10:P12)</f>
        <v>0</v>
      </c>
      <c r="Q13" s="36">
        <v>78507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447</v>
      </c>
      <c r="D18" s="25">
        <v>0.89</v>
      </c>
      <c r="E18" s="132"/>
      <c r="F18" s="226" t="s">
        <v>7</v>
      </c>
      <c r="G18" s="41">
        <v>31.15</v>
      </c>
      <c r="H18" s="133"/>
      <c r="I18" s="35">
        <v>27.723499999999998</v>
      </c>
      <c r="J18" s="202">
        <f t="shared" ref="J18:J22" si="4">E18*H18</f>
        <v>0</v>
      </c>
      <c r="K18" s="225">
        <v>0</v>
      </c>
      <c r="L18" s="214"/>
      <c r="M18" s="35">
        <v>0</v>
      </c>
      <c r="N18" s="202">
        <f t="shared" ref="N18:N22" si="5">J18*L18</f>
        <v>0</v>
      </c>
      <c r="O18" s="35">
        <v>27.723499999999998</v>
      </c>
      <c r="P18" s="202">
        <f t="shared" ref="P18:P22" si="6">+J18-N18</f>
        <v>0</v>
      </c>
      <c r="Q18" s="35">
        <v>3382.2669999999998</v>
      </c>
      <c r="R18" s="202">
        <f t="shared" ref="R18:R22" si="7">+J18*E$7</f>
        <v>0</v>
      </c>
    </row>
    <row r="19" spans="1:18" x14ac:dyDescent="0.2">
      <c r="A19" s="25"/>
      <c r="B19" s="25" t="s">
        <v>1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408</v>
      </c>
      <c r="D20" s="25">
        <v>15</v>
      </c>
      <c r="E20" s="132"/>
      <c r="F20" s="226" t="s">
        <v>83</v>
      </c>
      <c r="G20" s="41">
        <v>1.79</v>
      </c>
      <c r="H20" s="133"/>
      <c r="I20" s="35">
        <v>26.85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26.85</v>
      </c>
      <c r="P20" s="202">
        <f t="shared" si="6"/>
        <v>0</v>
      </c>
      <c r="Q20" s="35">
        <v>3275.7000000000003</v>
      </c>
      <c r="R20" s="202">
        <f t="shared" si="7"/>
        <v>0</v>
      </c>
    </row>
    <row r="21" spans="1:18" x14ac:dyDescent="0.2">
      <c r="A21" s="25"/>
      <c r="B21" s="133"/>
      <c r="C21" s="133"/>
      <c r="D21" s="25">
        <v>0</v>
      </c>
      <c r="E21" s="132"/>
      <c r="F21" s="226"/>
      <c r="G21" s="41">
        <v>0</v>
      </c>
      <c r="H21" s="133"/>
      <c r="I21" s="35">
        <v>0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0</v>
      </c>
      <c r="P21" s="202">
        <f t="shared" si="6"/>
        <v>0</v>
      </c>
      <c r="Q21" s="35">
        <v>0</v>
      </c>
      <c r="R21" s="202">
        <f t="shared" si="7"/>
        <v>0</v>
      </c>
    </row>
    <row r="22" spans="1:18" x14ac:dyDescent="0.2">
      <c r="A22" s="25"/>
      <c r="B22" s="133"/>
      <c r="C22" s="133"/>
      <c r="D22" s="25">
        <v>0</v>
      </c>
      <c r="E22" s="132"/>
      <c r="F22" s="226"/>
      <c r="G22" s="41">
        <v>0</v>
      </c>
      <c r="H22" s="133"/>
      <c r="I22" s="35">
        <v>0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0</v>
      </c>
      <c r="P22" s="202">
        <f t="shared" si="6"/>
        <v>0</v>
      </c>
      <c r="Q22" s="35">
        <v>0</v>
      </c>
      <c r="R22" s="202">
        <f t="shared" si="7"/>
        <v>0</v>
      </c>
    </row>
    <row r="23" spans="1:18" x14ac:dyDescent="0.2">
      <c r="A23" s="25"/>
      <c r="B23" s="133"/>
      <c r="C23" s="133"/>
      <c r="D23" s="25">
        <v>0</v>
      </c>
      <c r="E23" s="132"/>
      <c r="F23" s="226"/>
      <c r="G23" s="41">
        <v>0</v>
      </c>
      <c r="H23" s="133"/>
      <c r="I23" s="35">
        <v>0</v>
      </c>
      <c r="J23" s="202">
        <f>E23*H23</f>
        <v>0</v>
      </c>
      <c r="K23" s="225">
        <v>0</v>
      </c>
      <c r="L23" s="214"/>
      <c r="M23" s="35">
        <v>0</v>
      </c>
      <c r="N23" s="202">
        <f>J23*L23</f>
        <v>0</v>
      </c>
      <c r="O23" s="35">
        <v>0</v>
      </c>
      <c r="P23" s="202">
        <f>+J23-N23</f>
        <v>0</v>
      </c>
      <c r="Q23" s="35">
        <v>0</v>
      </c>
      <c r="R23" s="202">
        <f>+J23*E$7</f>
        <v>0</v>
      </c>
    </row>
    <row r="24" spans="1:18" x14ac:dyDescent="0.2">
      <c r="A24" s="25"/>
      <c r="B24" s="25" t="s">
        <v>108</v>
      </c>
      <c r="C24" s="25"/>
      <c r="D24" s="25"/>
      <c r="E24" s="105"/>
      <c r="H24" s="105"/>
      <c r="I24" s="124"/>
      <c r="J24" s="105"/>
      <c r="K24" s="225"/>
      <c r="L24" s="105"/>
      <c r="N24" s="105"/>
      <c r="P24" s="105"/>
      <c r="R24" s="105"/>
    </row>
    <row r="25" spans="1:18" x14ac:dyDescent="0.2">
      <c r="A25" s="25"/>
      <c r="B25" s="25"/>
      <c r="C25" s="25" t="s">
        <v>105</v>
      </c>
      <c r="D25" s="25">
        <v>1.9</v>
      </c>
      <c r="E25" s="132"/>
      <c r="F25" s="226" t="s">
        <v>44</v>
      </c>
      <c r="G25" s="41">
        <v>17.21</v>
      </c>
      <c r="H25" s="133"/>
      <c r="I25" s="35">
        <v>32.698999999999998</v>
      </c>
      <c r="J25" s="202">
        <f>E25*H25</f>
        <v>0</v>
      </c>
      <c r="K25" s="225">
        <v>0</v>
      </c>
      <c r="L25" s="214"/>
      <c r="M25" s="35">
        <v>0</v>
      </c>
      <c r="N25" s="202">
        <f>J25*L25</f>
        <v>0</v>
      </c>
      <c r="O25" s="35">
        <v>32.698999999999998</v>
      </c>
      <c r="P25" s="202">
        <f>+J25-N25</f>
        <v>0</v>
      </c>
      <c r="Q25" s="35">
        <v>3989.2779999999998</v>
      </c>
      <c r="R25" s="202">
        <f>+J25*E$7</f>
        <v>0</v>
      </c>
    </row>
    <row r="26" spans="1:18" x14ac:dyDescent="0.2">
      <c r="A26" s="25"/>
      <c r="B26" s="25"/>
      <c r="C26" s="25" t="s">
        <v>107</v>
      </c>
      <c r="D26" s="25">
        <v>0</v>
      </c>
      <c r="E26" s="132"/>
      <c r="F26" s="226" t="s">
        <v>44</v>
      </c>
      <c r="G26" s="41">
        <v>17.21</v>
      </c>
      <c r="H26" s="133"/>
      <c r="I26" s="35">
        <v>0</v>
      </c>
      <c r="J26" s="202">
        <f>E26*H26</f>
        <v>0</v>
      </c>
      <c r="K26" s="225">
        <v>0</v>
      </c>
      <c r="L26" s="214"/>
      <c r="M26" s="35">
        <v>0</v>
      </c>
      <c r="N26" s="202">
        <f>J26*L26</f>
        <v>0</v>
      </c>
      <c r="O26" s="35">
        <v>0</v>
      </c>
      <c r="P26" s="202">
        <f>+J26-N26</f>
        <v>0</v>
      </c>
      <c r="Q26" s="35">
        <v>0</v>
      </c>
      <c r="R26" s="202">
        <f>+J26*E$7</f>
        <v>0</v>
      </c>
    </row>
    <row r="27" spans="1:18" x14ac:dyDescent="0.2">
      <c r="A27" s="25"/>
      <c r="B27" s="25"/>
      <c r="C27" s="25"/>
      <c r="D27" s="25"/>
      <c r="E27" s="209"/>
      <c r="F27" s="21"/>
      <c r="G27" s="41"/>
      <c r="H27" s="198"/>
      <c r="I27" s="35"/>
      <c r="J27" s="184"/>
      <c r="K27" s="225"/>
      <c r="L27" s="198"/>
      <c r="M27" s="35"/>
      <c r="N27" s="184"/>
      <c r="O27" s="35"/>
      <c r="P27" s="184"/>
      <c r="Q27" s="35"/>
      <c r="R27" s="184"/>
    </row>
    <row r="28" spans="1:18" x14ac:dyDescent="0.2">
      <c r="A28" s="25"/>
      <c r="B28" s="25" t="s">
        <v>51</v>
      </c>
      <c r="C28" s="25"/>
      <c r="D28" s="25"/>
      <c r="E28" s="209"/>
      <c r="F28" s="21"/>
      <c r="G28" s="41"/>
      <c r="H28" s="198"/>
      <c r="I28" s="186"/>
      <c r="J28" s="184"/>
      <c r="K28" s="225"/>
      <c r="L28" s="198"/>
      <c r="M28" s="35"/>
      <c r="N28" s="184"/>
      <c r="O28" s="35"/>
      <c r="P28" s="184"/>
      <c r="Q28" s="35"/>
      <c r="R28" s="184"/>
    </row>
    <row r="29" spans="1:18" x14ac:dyDescent="0.2">
      <c r="A29" s="25"/>
      <c r="B29" s="25"/>
      <c r="C29" s="25" t="s">
        <v>104</v>
      </c>
      <c r="D29" s="25">
        <v>1</v>
      </c>
      <c r="E29" s="132"/>
      <c r="F29" s="226" t="s">
        <v>42</v>
      </c>
      <c r="G29" s="41">
        <v>0</v>
      </c>
      <c r="H29" s="133"/>
      <c r="I29" s="35">
        <v>0</v>
      </c>
      <c r="J29" s="202">
        <f>E29*H29</f>
        <v>0</v>
      </c>
      <c r="K29" s="225">
        <v>0</v>
      </c>
      <c r="L29" s="214"/>
      <c r="M29" s="35">
        <v>0</v>
      </c>
      <c r="N29" s="202">
        <f>J29*L29</f>
        <v>0</v>
      </c>
      <c r="O29" s="35">
        <v>0</v>
      </c>
      <c r="P29" s="202">
        <f>+J29-N29</f>
        <v>0</v>
      </c>
      <c r="Q29" s="35">
        <v>0</v>
      </c>
      <c r="R29" s="202">
        <f>+J29*E$7</f>
        <v>0</v>
      </c>
    </row>
    <row r="30" spans="1:18" x14ac:dyDescent="0.2">
      <c r="A30" s="25"/>
      <c r="B30" s="25"/>
      <c r="C30" s="25" t="s">
        <v>105</v>
      </c>
      <c r="D30" s="25">
        <v>8.7899999999999991</v>
      </c>
      <c r="E30" s="132"/>
      <c r="F30" s="226" t="s">
        <v>79</v>
      </c>
      <c r="G30" s="41">
        <v>3.6</v>
      </c>
      <c r="H30" s="133"/>
      <c r="I30" s="35">
        <v>31.643999999999998</v>
      </c>
      <c r="J30" s="202">
        <f>E30*H30</f>
        <v>0</v>
      </c>
      <c r="K30" s="225">
        <v>0</v>
      </c>
      <c r="L30" s="214"/>
      <c r="M30" s="35">
        <v>0</v>
      </c>
      <c r="N30" s="202">
        <f>J30*L30</f>
        <v>0</v>
      </c>
      <c r="O30" s="35">
        <v>31.643999999999998</v>
      </c>
      <c r="P30" s="202">
        <f>+J30-N30</f>
        <v>0</v>
      </c>
      <c r="Q30" s="35">
        <v>3860.5679999999998</v>
      </c>
      <c r="R30" s="202">
        <f>+J30*E$7</f>
        <v>0</v>
      </c>
    </row>
    <row r="31" spans="1:18" x14ac:dyDescent="0.2">
      <c r="A31" s="25"/>
      <c r="B31" s="25"/>
      <c r="C31" s="25"/>
      <c r="D31" s="25"/>
      <c r="E31" s="209"/>
      <c r="F31" s="21"/>
      <c r="G31" s="41"/>
      <c r="H31" s="198"/>
      <c r="I31" s="35"/>
      <c r="J31" s="184"/>
      <c r="K31" s="225"/>
      <c r="L31" s="198"/>
      <c r="M31" s="35"/>
      <c r="N31" s="184"/>
      <c r="O31" s="35"/>
      <c r="P31" s="184"/>
      <c r="Q31" s="35"/>
      <c r="R31" s="184"/>
    </row>
    <row r="32" spans="1:18" x14ac:dyDescent="0.2">
      <c r="A32" s="25"/>
      <c r="B32" s="25" t="s">
        <v>29</v>
      </c>
      <c r="C32" s="25"/>
      <c r="D32" s="25"/>
      <c r="E32" s="209"/>
      <c r="F32" s="21"/>
      <c r="G32" s="41"/>
      <c r="H32" s="198"/>
      <c r="I32" s="186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18" x14ac:dyDescent="0.2">
      <c r="A33" s="25"/>
      <c r="B33" s="25"/>
      <c r="C33" s="25" t="s">
        <v>104</v>
      </c>
      <c r="D33" s="25">
        <v>1</v>
      </c>
      <c r="E33" s="132"/>
      <c r="F33" s="226" t="s">
        <v>42</v>
      </c>
      <c r="G33" s="41">
        <v>5.0658196721311475</v>
      </c>
      <c r="H33" s="133"/>
      <c r="I33" s="35">
        <v>5.0658196721311475</v>
      </c>
      <c r="J33" s="202">
        <f>E33*H33</f>
        <v>0</v>
      </c>
      <c r="K33" s="225">
        <v>0</v>
      </c>
      <c r="L33" s="214"/>
      <c r="M33" s="35">
        <v>0</v>
      </c>
      <c r="N33" s="202">
        <f>J33*L33</f>
        <v>0</v>
      </c>
      <c r="O33" s="35">
        <v>5.0658196721311475</v>
      </c>
      <c r="P33" s="202">
        <f>+J33-N33</f>
        <v>0</v>
      </c>
      <c r="Q33" s="35">
        <v>618.03</v>
      </c>
      <c r="R33" s="202">
        <f>+J33*E$7</f>
        <v>0</v>
      </c>
    </row>
    <row r="34" spans="1:18" x14ac:dyDescent="0.2">
      <c r="A34" s="25"/>
      <c r="B34" s="25"/>
      <c r="C34" s="25" t="s">
        <v>105</v>
      </c>
      <c r="D34" s="25">
        <v>0</v>
      </c>
      <c r="E34" s="132"/>
      <c r="F34" s="226" t="s">
        <v>79</v>
      </c>
      <c r="G34" s="41">
        <v>3.15</v>
      </c>
      <c r="H34" s="133"/>
      <c r="I34" s="35">
        <v>0</v>
      </c>
      <c r="J34" s="202">
        <f>E34*H34</f>
        <v>0</v>
      </c>
      <c r="K34" s="225">
        <v>0</v>
      </c>
      <c r="L34" s="214"/>
      <c r="M34" s="35">
        <v>0</v>
      </c>
      <c r="N34" s="202">
        <f>J34*L34</f>
        <v>0</v>
      </c>
      <c r="O34" s="35">
        <v>0</v>
      </c>
      <c r="P34" s="202">
        <f>+J34-N34</f>
        <v>0</v>
      </c>
      <c r="Q34" s="35">
        <v>0</v>
      </c>
      <c r="R34" s="202">
        <f>+J34*E$7</f>
        <v>0</v>
      </c>
    </row>
    <row r="35" spans="1:18" x14ac:dyDescent="0.2">
      <c r="A35" s="25"/>
      <c r="B35" s="25"/>
      <c r="C35" s="25"/>
      <c r="D35" s="25"/>
      <c r="E35" s="209"/>
      <c r="F35" s="21"/>
      <c r="G35" s="41"/>
      <c r="H35" s="198"/>
      <c r="I35" s="35"/>
      <c r="J35" s="184"/>
      <c r="K35" s="225"/>
      <c r="L35" s="198"/>
      <c r="M35" s="35"/>
      <c r="N35" s="184"/>
      <c r="O35" s="35"/>
      <c r="P35" s="184"/>
      <c r="Q35" s="35"/>
      <c r="R35" s="184"/>
    </row>
    <row r="36" spans="1:18" x14ac:dyDescent="0.2">
      <c r="A36" s="25"/>
      <c r="B36" s="25" t="s">
        <v>47</v>
      </c>
      <c r="C36" s="25"/>
      <c r="D36" s="25"/>
      <c r="E36" s="209"/>
      <c r="F36" s="21"/>
      <c r="G36" s="41"/>
      <c r="H36" s="199"/>
      <c r="I36" s="186"/>
      <c r="J36" s="184"/>
      <c r="K36" s="225"/>
      <c r="L36" s="199"/>
      <c r="M36" s="35"/>
      <c r="N36" s="184"/>
      <c r="O36" s="35"/>
      <c r="P36" s="184"/>
      <c r="Q36" s="35"/>
      <c r="R36" s="184"/>
    </row>
    <row r="37" spans="1:18" x14ac:dyDescent="0.2">
      <c r="A37" s="25"/>
      <c r="B37" s="25"/>
      <c r="C37" s="25" t="s">
        <v>104</v>
      </c>
      <c r="D37" s="25">
        <v>1</v>
      </c>
      <c r="E37" s="132"/>
      <c r="F37" s="226" t="s">
        <v>42</v>
      </c>
      <c r="G37" s="41">
        <v>0.80409836065573781</v>
      </c>
      <c r="H37" s="133"/>
      <c r="I37" s="35">
        <v>0.80409836065573781</v>
      </c>
      <c r="J37" s="202">
        <f t="shared" ref="J37:J42" si="8">E37*H37</f>
        <v>0</v>
      </c>
      <c r="K37" s="225">
        <v>0</v>
      </c>
      <c r="L37" s="214"/>
      <c r="M37" s="35">
        <v>0</v>
      </c>
      <c r="N37" s="202">
        <f t="shared" ref="N37:N42" si="9">J37*L37</f>
        <v>0</v>
      </c>
      <c r="O37" s="35">
        <v>0.80409836065573781</v>
      </c>
      <c r="P37" s="202">
        <f t="shared" ref="P37:P42" si="10">+J37-N37</f>
        <v>0</v>
      </c>
      <c r="Q37" s="35">
        <v>98.100000000000009</v>
      </c>
      <c r="R37" s="202">
        <f t="shared" ref="R37:R42" si="11">+J37*E$7</f>
        <v>0</v>
      </c>
    </row>
    <row r="38" spans="1:18" x14ac:dyDescent="0.2">
      <c r="A38" s="25"/>
      <c r="B38" s="25"/>
      <c r="C38" s="25" t="s">
        <v>46</v>
      </c>
      <c r="D38" s="25">
        <v>1</v>
      </c>
      <c r="E38" s="132"/>
      <c r="F38" s="226" t="s">
        <v>42</v>
      </c>
      <c r="G38" s="41">
        <v>0</v>
      </c>
      <c r="H38" s="133"/>
      <c r="I38" s="35">
        <v>0</v>
      </c>
      <c r="J38" s="202">
        <f t="shared" si="8"/>
        <v>0</v>
      </c>
      <c r="K38" s="225">
        <v>0</v>
      </c>
      <c r="L38" s="214"/>
      <c r="M38" s="35">
        <v>0</v>
      </c>
      <c r="N38" s="202">
        <f t="shared" si="9"/>
        <v>0</v>
      </c>
      <c r="O38" s="35">
        <v>0</v>
      </c>
      <c r="P38" s="202">
        <f t="shared" si="10"/>
        <v>0</v>
      </c>
      <c r="Q38" s="35">
        <v>0</v>
      </c>
      <c r="R38" s="202">
        <f t="shared" si="11"/>
        <v>0</v>
      </c>
    </row>
    <row r="39" spans="1:18" x14ac:dyDescent="0.2">
      <c r="A39" s="25"/>
      <c r="B39" s="25"/>
      <c r="C39" s="25" t="s">
        <v>105</v>
      </c>
      <c r="D39" s="25">
        <v>1</v>
      </c>
      <c r="E39" s="132"/>
      <c r="F39" s="226" t="s">
        <v>42</v>
      </c>
      <c r="G39" s="41">
        <v>16.14243048785</v>
      </c>
      <c r="H39" s="133"/>
      <c r="I39" s="35">
        <v>16.14243048785</v>
      </c>
      <c r="J39" s="202">
        <f t="shared" si="8"/>
        <v>0</v>
      </c>
      <c r="K39" s="225">
        <v>0</v>
      </c>
      <c r="L39" s="214"/>
      <c r="M39" s="35">
        <v>0</v>
      </c>
      <c r="N39" s="202">
        <f t="shared" si="9"/>
        <v>0</v>
      </c>
      <c r="O39" s="35">
        <v>16.14243048785</v>
      </c>
      <c r="P39" s="202">
        <f t="shared" si="10"/>
        <v>0</v>
      </c>
      <c r="Q39" s="35">
        <v>1969.3765195177</v>
      </c>
      <c r="R39" s="202">
        <f t="shared" si="11"/>
        <v>0</v>
      </c>
    </row>
    <row r="40" spans="1:18" x14ac:dyDescent="0.2">
      <c r="A40" s="25"/>
      <c r="B40" s="25"/>
      <c r="C40" s="25" t="s">
        <v>4</v>
      </c>
      <c r="D40" s="25">
        <v>1</v>
      </c>
      <c r="E40" s="132"/>
      <c r="F40" s="226" t="s">
        <v>42</v>
      </c>
      <c r="G40" s="41">
        <v>13.144881642264529</v>
      </c>
      <c r="H40" s="133"/>
      <c r="I40" s="35">
        <v>13.144881642264529</v>
      </c>
      <c r="J40" s="202">
        <f t="shared" si="8"/>
        <v>0</v>
      </c>
      <c r="K40" s="225">
        <v>0</v>
      </c>
      <c r="L40" s="214"/>
      <c r="M40" s="35">
        <v>0</v>
      </c>
      <c r="N40" s="202">
        <f t="shared" si="9"/>
        <v>0</v>
      </c>
      <c r="O40" s="35">
        <v>13.144881642264529</v>
      </c>
      <c r="P40" s="202">
        <f t="shared" si="10"/>
        <v>0</v>
      </c>
      <c r="Q40" s="35">
        <v>1603.6755603562726</v>
      </c>
      <c r="R40" s="202">
        <f t="shared" si="11"/>
        <v>0</v>
      </c>
    </row>
    <row r="41" spans="1:18" x14ac:dyDescent="0.2">
      <c r="A41" s="25"/>
      <c r="B41" s="133"/>
      <c r="C41" s="133"/>
      <c r="D41" s="25"/>
      <c r="E41" s="132"/>
      <c r="F41" s="226"/>
      <c r="G41" s="41"/>
      <c r="H41" s="133"/>
      <c r="I41" s="35">
        <v>0</v>
      </c>
      <c r="J41" s="202">
        <f t="shared" si="8"/>
        <v>0</v>
      </c>
      <c r="K41" s="225">
        <v>0</v>
      </c>
      <c r="L41" s="214"/>
      <c r="M41" s="35">
        <v>0</v>
      </c>
      <c r="N41" s="202">
        <f t="shared" si="9"/>
        <v>0</v>
      </c>
      <c r="O41" s="35">
        <v>0</v>
      </c>
      <c r="P41" s="202">
        <f t="shared" si="10"/>
        <v>0</v>
      </c>
      <c r="Q41" s="35">
        <v>0</v>
      </c>
      <c r="R41" s="202">
        <f t="shared" si="11"/>
        <v>0</v>
      </c>
    </row>
    <row r="42" spans="1:18" x14ac:dyDescent="0.2">
      <c r="A42" s="25"/>
      <c r="B42" s="133"/>
      <c r="C42" s="133"/>
      <c r="D42" s="25"/>
      <c r="E42" s="132"/>
      <c r="F42" s="226"/>
      <c r="G42" s="41"/>
      <c r="H42" s="133"/>
      <c r="I42" s="35">
        <v>0</v>
      </c>
      <c r="J42" s="202">
        <f t="shared" si="8"/>
        <v>0</v>
      </c>
      <c r="K42" s="225">
        <v>0</v>
      </c>
      <c r="L42" s="214"/>
      <c r="M42" s="35">
        <v>0</v>
      </c>
      <c r="N42" s="202">
        <f t="shared" si="9"/>
        <v>0</v>
      </c>
      <c r="O42" s="35">
        <v>0</v>
      </c>
      <c r="P42" s="202">
        <f t="shared" si="10"/>
        <v>0</v>
      </c>
      <c r="Q42" s="35">
        <v>0</v>
      </c>
      <c r="R42" s="202">
        <f t="shared" si="11"/>
        <v>0</v>
      </c>
    </row>
    <row r="43" spans="1:18" ht="13.5" thickBot="1" x14ac:dyDescent="0.25">
      <c r="A43" s="25"/>
      <c r="B43" s="25" t="s">
        <v>32</v>
      </c>
      <c r="C43" s="25"/>
      <c r="D43" s="25"/>
      <c r="E43" s="197"/>
      <c r="F43" s="21"/>
      <c r="G43" s="39">
        <v>0.08</v>
      </c>
      <c r="H43" s="215"/>
      <c r="I43" s="42">
        <v>3.5206711642370361</v>
      </c>
      <c r="J43" s="202">
        <f>+SUM(J17:J42)/2*H43</f>
        <v>0</v>
      </c>
      <c r="K43" s="86"/>
      <c r="L43" s="137"/>
      <c r="M43" s="42">
        <v>0</v>
      </c>
      <c r="N43" s="202">
        <f>+SUM(N17:N42)/2*L43</f>
        <v>0</v>
      </c>
      <c r="O43" s="42">
        <v>3.5206711642370361</v>
      </c>
      <c r="P43" s="202">
        <f>+SUM(P17:P42)/2*L43</f>
        <v>0</v>
      </c>
      <c r="Q43" s="42">
        <v>429.52188203691838</v>
      </c>
      <c r="R43" s="184">
        <f>+J43*E$7</f>
        <v>0</v>
      </c>
    </row>
    <row r="44" spans="1:18" ht="13.5" thickBot="1" x14ac:dyDescent="0.25">
      <c r="A44" s="25" t="s">
        <v>33</v>
      </c>
      <c r="B44" s="25"/>
      <c r="C44" s="25"/>
      <c r="D44" s="25"/>
      <c r="E44" s="200"/>
      <c r="F44" s="25"/>
      <c r="G44" s="25"/>
      <c r="H44" s="197"/>
      <c r="I44" s="87">
        <v>157.59440132713843</v>
      </c>
      <c r="J44" s="204">
        <f>SUM(J18:J43)</f>
        <v>0</v>
      </c>
      <c r="K44" s="35"/>
      <c r="L44" s="195"/>
      <c r="M44" s="87">
        <v>0</v>
      </c>
      <c r="N44" s="204">
        <f>SUM(N18:N43)</f>
        <v>0</v>
      </c>
      <c r="O44" s="87">
        <v>157.59440132713843</v>
      </c>
      <c r="P44" s="204">
        <f>SUM(P18:P43)</f>
        <v>0</v>
      </c>
      <c r="Q44" s="87">
        <v>19226.516961910893</v>
      </c>
      <c r="R44" s="204">
        <f>SUM(R18:R43)</f>
        <v>0</v>
      </c>
    </row>
    <row r="45" spans="1:18" ht="13.5" thickTop="1" x14ac:dyDescent="0.2">
      <c r="A45" s="25" t="s">
        <v>34</v>
      </c>
      <c r="B45" s="25"/>
      <c r="C45" s="25"/>
      <c r="D45" s="25"/>
      <c r="E45" s="200"/>
      <c r="F45" s="25"/>
      <c r="G45" s="25"/>
      <c r="H45" s="197"/>
      <c r="I45" s="35">
        <v>485.90559867286157</v>
      </c>
      <c r="J45" s="202">
        <f>+J13-J44</f>
        <v>0</v>
      </c>
      <c r="K45" s="35"/>
      <c r="L45" s="195"/>
      <c r="M45" s="35">
        <v>0</v>
      </c>
      <c r="N45" s="202">
        <f>+N13-N44</f>
        <v>0</v>
      </c>
      <c r="O45" s="35">
        <v>485.90559867286157</v>
      </c>
      <c r="P45" s="202">
        <f>+P13-P44</f>
        <v>0</v>
      </c>
      <c r="Q45" s="35">
        <v>59280.483038089107</v>
      </c>
      <c r="R45" s="202">
        <f>+R13-R44</f>
        <v>0</v>
      </c>
    </row>
    <row r="46" spans="1:18" x14ac:dyDescent="0.2">
      <c r="A46" s="25"/>
      <c r="B46" s="25" t="s">
        <v>35</v>
      </c>
      <c r="C46" s="25"/>
      <c r="D46" s="25"/>
      <c r="E46" s="210"/>
      <c r="F46" s="17"/>
      <c r="G46" s="40">
        <v>52.53146710904614</v>
      </c>
      <c r="H46" s="210" t="str">
        <f>IF(E10=0,"n/a",(YVarExp-(YTotExp+YTotRet-J10))/E10)</f>
        <v>n/a</v>
      </c>
      <c r="I46" s="25" t="s">
        <v>135</v>
      </c>
      <c r="J46" s="184"/>
      <c r="K46" s="25"/>
      <c r="L46" s="197"/>
      <c r="M46" s="25"/>
      <c r="N46" s="184"/>
      <c r="O46" s="25"/>
      <c r="P46" s="184"/>
      <c r="Q46" s="25"/>
      <c r="R46" s="184"/>
    </row>
    <row r="47" spans="1:18" x14ac:dyDescent="0.2">
      <c r="A47" s="25"/>
      <c r="B47" s="25"/>
      <c r="C47" s="25"/>
      <c r="D47" s="25"/>
      <c r="E47" s="178"/>
      <c r="F47" s="25"/>
      <c r="G47" s="25"/>
      <c r="H47" s="211"/>
      <c r="I47" s="25"/>
      <c r="J47" s="184"/>
      <c r="K47" s="25"/>
      <c r="L47" s="197"/>
      <c r="M47" s="25"/>
      <c r="N47" s="184"/>
      <c r="O47" s="25"/>
      <c r="P47" s="184"/>
      <c r="Q47" s="22" t="s">
        <v>19</v>
      </c>
      <c r="R47" s="184" t="s">
        <v>19</v>
      </c>
    </row>
    <row r="48" spans="1:18" x14ac:dyDescent="0.2">
      <c r="A48" s="23" t="s">
        <v>36</v>
      </c>
      <c r="B48" s="23"/>
      <c r="C48" s="23"/>
      <c r="D48" s="24" t="s">
        <v>2</v>
      </c>
      <c r="E48" s="196" t="s">
        <v>2</v>
      </c>
      <c r="F48" s="24" t="s">
        <v>21</v>
      </c>
      <c r="G48" s="24" t="s">
        <v>22</v>
      </c>
      <c r="H48" s="196" t="s">
        <v>22</v>
      </c>
      <c r="I48" s="24" t="s">
        <v>11</v>
      </c>
      <c r="J48" s="196" t="s">
        <v>11</v>
      </c>
      <c r="K48" s="24" t="s">
        <v>10</v>
      </c>
      <c r="L48" s="196" t="s">
        <v>10</v>
      </c>
      <c r="M48" s="24" t="s">
        <v>9</v>
      </c>
      <c r="N48" s="196" t="s">
        <v>9</v>
      </c>
      <c r="O48" s="24" t="s">
        <v>8</v>
      </c>
      <c r="P48" s="196" t="s">
        <v>8</v>
      </c>
      <c r="Q48" s="24" t="s">
        <v>11</v>
      </c>
      <c r="R48" s="208" t="s">
        <v>11</v>
      </c>
    </row>
    <row r="49" spans="1:18" x14ac:dyDescent="0.2">
      <c r="A49" s="25"/>
      <c r="B49" s="25" t="s">
        <v>106</v>
      </c>
      <c r="C49" s="25"/>
      <c r="D49" s="25"/>
      <c r="E49" s="178"/>
      <c r="F49" s="25"/>
      <c r="G49" s="25"/>
      <c r="H49" s="211"/>
      <c r="I49" s="186"/>
      <c r="J49" s="184"/>
      <c r="K49" s="225"/>
      <c r="L49" s="197"/>
      <c r="M49" s="25"/>
      <c r="N49" s="184"/>
      <c r="O49" s="25"/>
      <c r="P49" s="184"/>
      <c r="Q49" s="25"/>
      <c r="R49" s="184"/>
    </row>
    <row r="50" spans="1:18" x14ac:dyDescent="0.2">
      <c r="A50" s="25"/>
      <c r="B50" s="25"/>
      <c r="C50" s="25" t="s">
        <v>104</v>
      </c>
      <c r="D50" s="25">
        <v>1</v>
      </c>
      <c r="E50" s="132"/>
      <c r="F50" s="226" t="s">
        <v>42</v>
      </c>
      <c r="G50" s="41">
        <v>3.0153688524590163</v>
      </c>
      <c r="H50" s="133"/>
      <c r="I50" s="35">
        <v>3.0153688524590163</v>
      </c>
      <c r="J50" s="202">
        <f t="shared" ref="J50:J52" si="12">E50*H50</f>
        <v>0</v>
      </c>
      <c r="K50" s="225">
        <v>0</v>
      </c>
      <c r="L50" s="214"/>
      <c r="M50" s="35">
        <v>0</v>
      </c>
      <c r="N50" s="202">
        <f>J50*L50</f>
        <v>0</v>
      </c>
      <c r="O50" s="35">
        <v>3.0153688524590163</v>
      </c>
      <c r="P50" s="202">
        <f t="shared" ref="P50:P52" si="13">+J50-N50</f>
        <v>0</v>
      </c>
      <c r="Q50" s="35">
        <v>367.875</v>
      </c>
      <c r="R50" s="202">
        <f t="shared" ref="R50:R52" si="14">+J50*E$7</f>
        <v>0</v>
      </c>
    </row>
    <row r="51" spans="1:18" x14ac:dyDescent="0.2">
      <c r="A51" s="25"/>
      <c r="B51" s="25"/>
      <c r="C51" s="25" t="s">
        <v>105</v>
      </c>
      <c r="D51" s="25">
        <v>1</v>
      </c>
      <c r="E51" s="132"/>
      <c r="F51" s="226" t="s">
        <v>42</v>
      </c>
      <c r="G51" s="41">
        <v>18.670154647496073</v>
      </c>
      <c r="H51" s="133"/>
      <c r="I51" s="35">
        <v>18.670154647496073</v>
      </c>
      <c r="J51" s="202">
        <f t="shared" si="12"/>
        <v>0</v>
      </c>
      <c r="K51" s="225">
        <v>0</v>
      </c>
      <c r="L51" s="214"/>
      <c r="M51" s="35">
        <v>0</v>
      </c>
      <c r="N51" s="202">
        <f>J51*L51</f>
        <v>0</v>
      </c>
      <c r="O51" s="35">
        <v>18.670154647496073</v>
      </c>
      <c r="P51" s="202">
        <f t="shared" si="13"/>
        <v>0</v>
      </c>
      <c r="Q51" s="35">
        <v>2277.7588669945208</v>
      </c>
      <c r="R51" s="202">
        <f t="shared" si="14"/>
        <v>0</v>
      </c>
    </row>
    <row r="52" spans="1:18" x14ac:dyDescent="0.2">
      <c r="A52" s="25"/>
      <c r="B52" s="25"/>
      <c r="C52" s="25" t="s">
        <v>4</v>
      </c>
      <c r="D52" s="25">
        <v>1</v>
      </c>
      <c r="E52" s="132"/>
      <c r="F52" s="226" t="s">
        <v>42</v>
      </c>
      <c r="G52" s="41">
        <v>16.980381424214947</v>
      </c>
      <c r="H52" s="133"/>
      <c r="I52" s="35">
        <v>16.980381424214947</v>
      </c>
      <c r="J52" s="202">
        <f t="shared" si="12"/>
        <v>0</v>
      </c>
      <c r="K52" s="225">
        <v>0</v>
      </c>
      <c r="L52" s="214"/>
      <c r="M52" s="35">
        <v>0</v>
      </c>
      <c r="N52" s="202">
        <f>J52*L52</f>
        <v>0</v>
      </c>
      <c r="O52" s="35">
        <v>16.980381424214947</v>
      </c>
      <c r="P52" s="202">
        <f t="shared" si="13"/>
        <v>0</v>
      </c>
      <c r="Q52" s="35">
        <v>2071.6065337542236</v>
      </c>
      <c r="R52" s="202">
        <f t="shared" si="14"/>
        <v>0</v>
      </c>
    </row>
    <row r="53" spans="1:18" x14ac:dyDescent="0.2">
      <c r="A53" s="25"/>
      <c r="B53" s="25" t="s">
        <v>89</v>
      </c>
      <c r="C53" s="25"/>
      <c r="D53" s="25"/>
      <c r="E53" s="197"/>
      <c r="F53" s="21"/>
      <c r="G53" s="41"/>
      <c r="H53" s="197"/>
      <c r="I53" s="186"/>
      <c r="J53" s="184"/>
      <c r="K53" s="225"/>
      <c r="L53" s="197"/>
      <c r="M53" s="35"/>
      <c r="N53" s="184"/>
      <c r="O53" s="35"/>
      <c r="P53" s="184"/>
      <c r="Q53" s="35"/>
      <c r="R53" s="184"/>
    </row>
    <row r="54" spans="1:18" x14ac:dyDescent="0.2">
      <c r="A54" s="25"/>
      <c r="B54" s="25"/>
      <c r="C54" s="25" t="s">
        <v>104</v>
      </c>
      <c r="D54" s="41">
        <v>12.564036885245901</v>
      </c>
      <c r="E54" s="132"/>
      <c r="F54" s="226" t="s">
        <v>100</v>
      </c>
      <c r="G54" s="39">
        <v>0.08</v>
      </c>
      <c r="H54" s="215"/>
      <c r="I54" s="35">
        <v>1.0051229508196722</v>
      </c>
      <c r="J54" s="202">
        <f t="shared" ref="J54:J63" si="15">E54*H54</f>
        <v>0</v>
      </c>
      <c r="K54" s="225">
        <v>0</v>
      </c>
      <c r="L54" s="214"/>
      <c r="M54" s="35">
        <v>0</v>
      </c>
      <c r="N54" s="202">
        <f>J54*L54</f>
        <v>0</v>
      </c>
      <c r="O54" s="35">
        <v>1.0051229508196722</v>
      </c>
      <c r="P54" s="202">
        <f t="shared" ref="P54:P56" si="16">+J54-N54</f>
        <v>0</v>
      </c>
      <c r="Q54" s="35">
        <v>122.625</v>
      </c>
      <c r="R54" s="202">
        <f t="shared" ref="R54:R56" si="17">+J54*E$7</f>
        <v>0</v>
      </c>
    </row>
    <row r="55" spans="1:18" x14ac:dyDescent="0.2">
      <c r="A55" s="25"/>
      <c r="B55" s="25"/>
      <c r="C55" s="25" t="s">
        <v>105</v>
      </c>
      <c r="D55" s="41">
        <v>140.81338944558499</v>
      </c>
      <c r="E55" s="132"/>
      <c r="F55" s="226" t="s">
        <v>100</v>
      </c>
      <c r="G55" s="39">
        <v>0.08</v>
      </c>
      <c r="H55" s="215"/>
      <c r="I55" s="35">
        <v>11.265071155646799</v>
      </c>
      <c r="J55" s="202">
        <f t="shared" si="15"/>
        <v>0</v>
      </c>
      <c r="K55" s="225">
        <v>0</v>
      </c>
      <c r="L55" s="214"/>
      <c r="M55" s="35">
        <v>0</v>
      </c>
      <c r="N55" s="202">
        <f>J55*L55</f>
        <v>0</v>
      </c>
      <c r="O55" s="35">
        <v>11.265071155646799</v>
      </c>
      <c r="P55" s="202">
        <f t="shared" si="16"/>
        <v>0</v>
      </c>
      <c r="Q55" s="35">
        <v>1374.3386809889096</v>
      </c>
      <c r="R55" s="202">
        <f t="shared" si="17"/>
        <v>0</v>
      </c>
    </row>
    <row r="56" spans="1:18" x14ac:dyDescent="0.2">
      <c r="A56" s="25"/>
      <c r="B56" s="25"/>
      <c r="C56" s="25" t="s">
        <v>4</v>
      </c>
      <c r="D56" s="41">
        <v>76.944853548728616</v>
      </c>
      <c r="E56" s="132"/>
      <c r="F56" s="226" t="s">
        <v>100</v>
      </c>
      <c r="G56" s="39">
        <v>0.08</v>
      </c>
      <c r="H56" s="215"/>
      <c r="I56" s="35">
        <v>6.1555882838982896</v>
      </c>
      <c r="J56" s="202">
        <f t="shared" si="15"/>
        <v>0</v>
      </c>
      <c r="K56" s="225">
        <v>0</v>
      </c>
      <c r="L56" s="214"/>
      <c r="M56" s="35">
        <v>0</v>
      </c>
      <c r="N56" s="202">
        <f>J56*L56</f>
        <v>0</v>
      </c>
      <c r="O56" s="35">
        <v>6.1555882838982896</v>
      </c>
      <c r="P56" s="202">
        <f t="shared" si="16"/>
        <v>0</v>
      </c>
      <c r="Q56" s="35">
        <v>750.98177063559137</v>
      </c>
      <c r="R56" s="202">
        <f t="shared" si="17"/>
        <v>0</v>
      </c>
    </row>
    <row r="57" spans="1:18" x14ac:dyDescent="0.2">
      <c r="A57" s="25"/>
      <c r="B57" s="25" t="s">
        <v>156</v>
      </c>
      <c r="C57" s="25"/>
      <c r="D57" s="25">
        <v>1</v>
      </c>
      <c r="E57" s="132"/>
      <c r="F57" s="226" t="s">
        <v>42</v>
      </c>
      <c r="G57" s="41">
        <v>0</v>
      </c>
      <c r="H57" s="133"/>
      <c r="I57" s="35">
        <v>0</v>
      </c>
      <c r="J57" s="202">
        <f t="shared" si="15"/>
        <v>0</v>
      </c>
      <c r="K57" s="225">
        <v>0</v>
      </c>
      <c r="L57" s="214"/>
      <c r="M57" s="35">
        <v>0</v>
      </c>
      <c r="N57" s="202">
        <f t="shared" ref="N57:N64" si="18">J57*L57</f>
        <v>0</v>
      </c>
      <c r="O57" s="35">
        <v>0</v>
      </c>
      <c r="P57" s="202">
        <f t="shared" ref="P57:P64" si="19">+J57-N57</f>
        <v>0</v>
      </c>
      <c r="Q57" s="35">
        <v>0</v>
      </c>
      <c r="R57" s="202">
        <f t="shared" ref="R57:R64" si="20">+J57*E$7</f>
        <v>0</v>
      </c>
    </row>
    <row r="58" spans="1:18" x14ac:dyDescent="0.2">
      <c r="A58" s="25"/>
      <c r="B58" s="25" t="s">
        <v>152</v>
      </c>
      <c r="C58" s="25"/>
      <c r="D58" s="25">
        <v>1</v>
      </c>
      <c r="E58" s="132"/>
      <c r="F58" s="226" t="s">
        <v>42</v>
      </c>
      <c r="G58" s="41">
        <v>0</v>
      </c>
      <c r="H58" s="133"/>
      <c r="I58" s="35">
        <v>0</v>
      </c>
      <c r="J58" s="202">
        <f t="shared" si="15"/>
        <v>0</v>
      </c>
      <c r="K58" s="225">
        <v>0</v>
      </c>
      <c r="L58" s="214"/>
      <c r="M58" s="35">
        <v>0</v>
      </c>
      <c r="N58" s="202">
        <f t="shared" si="18"/>
        <v>0</v>
      </c>
      <c r="O58" s="35">
        <v>0</v>
      </c>
      <c r="P58" s="202">
        <f t="shared" si="19"/>
        <v>0</v>
      </c>
      <c r="Q58" s="35">
        <v>0</v>
      </c>
      <c r="R58" s="202">
        <f t="shared" si="20"/>
        <v>0</v>
      </c>
    </row>
    <row r="59" spans="1:18" x14ac:dyDescent="0.2">
      <c r="A59" s="25"/>
      <c r="B59" s="25" t="s">
        <v>137</v>
      </c>
      <c r="C59" s="25"/>
      <c r="D59" s="25">
        <v>1</v>
      </c>
      <c r="E59" s="132"/>
      <c r="F59" s="226" t="s">
        <v>42</v>
      </c>
      <c r="G59" s="41">
        <v>0</v>
      </c>
      <c r="H59" s="133"/>
      <c r="I59" s="35">
        <v>0</v>
      </c>
      <c r="J59" s="202">
        <f t="shared" si="15"/>
        <v>0</v>
      </c>
      <c r="K59" s="225">
        <v>0</v>
      </c>
      <c r="L59" s="214"/>
      <c r="M59" s="35">
        <v>0</v>
      </c>
      <c r="N59" s="202">
        <f t="shared" si="18"/>
        <v>0</v>
      </c>
      <c r="O59" s="35">
        <v>0</v>
      </c>
      <c r="P59" s="202">
        <f t="shared" si="19"/>
        <v>0</v>
      </c>
      <c r="Q59" s="35">
        <v>0</v>
      </c>
      <c r="R59" s="202">
        <f t="shared" si="20"/>
        <v>0</v>
      </c>
    </row>
    <row r="60" spans="1:18" x14ac:dyDescent="0.2">
      <c r="A60" s="25"/>
      <c r="B60" s="25" t="s">
        <v>454</v>
      </c>
      <c r="C60" s="25"/>
      <c r="D60" s="25">
        <v>1</v>
      </c>
      <c r="E60" s="132"/>
      <c r="F60" s="226" t="s">
        <v>42</v>
      </c>
      <c r="G60" s="41">
        <v>15</v>
      </c>
      <c r="H60" s="133"/>
      <c r="I60" s="35">
        <v>15</v>
      </c>
      <c r="J60" s="202">
        <f t="shared" si="15"/>
        <v>0</v>
      </c>
      <c r="K60" s="225">
        <v>0</v>
      </c>
      <c r="L60" s="214"/>
      <c r="M60" s="35">
        <v>0</v>
      </c>
      <c r="N60" s="202">
        <f t="shared" si="18"/>
        <v>0</v>
      </c>
      <c r="O60" s="35">
        <v>15</v>
      </c>
      <c r="P60" s="202">
        <f t="shared" si="19"/>
        <v>0</v>
      </c>
      <c r="Q60" s="35">
        <v>1830</v>
      </c>
      <c r="R60" s="202">
        <f t="shared" si="20"/>
        <v>0</v>
      </c>
    </row>
    <row r="61" spans="1:18" x14ac:dyDescent="0.2">
      <c r="A61" s="25"/>
      <c r="B61" s="25" t="s">
        <v>159</v>
      </c>
      <c r="C61" s="25"/>
      <c r="D61" s="25">
        <v>1</v>
      </c>
      <c r="E61" s="132"/>
      <c r="F61" s="226" t="s">
        <v>42</v>
      </c>
      <c r="G61" s="41">
        <v>0</v>
      </c>
      <c r="H61" s="133"/>
      <c r="I61" s="35">
        <v>0</v>
      </c>
      <c r="J61" s="202">
        <f t="shared" si="15"/>
        <v>0</v>
      </c>
      <c r="K61" s="225">
        <v>0</v>
      </c>
      <c r="L61" s="214"/>
      <c r="M61" s="35">
        <v>0</v>
      </c>
      <c r="N61" s="202">
        <f t="shared" si="18"/>
        <v>0</v>
      </c>
      <c r="O61" s="35">
        <v>0</v>
      </c>
      <c r="P61" s="202">
        <f t="shared" si="19"/>
        <v>0</v>
      </c>
      <c r="Q61" s="35">
        <v>0</v>
      </c>
      <c r="R61" s="202">
        <f t="shared" si="20"/>
        <v>0</v>
      </c>
    </row>
    <row r="62" spans="1:18" x14ac:dyDescent="0.2">
      <c r="A62" s="25"/>
      <c r="B62" s="25" t="s">
        <v>160</v>
      </c>
      <c r="C62" s="25"/>
      <c r="D62" s="25">
        <v>1</v>
      </c>
      <c r="E62" s="132"/>
      <c r="F62" s="226" t="s">
        <v>42</v>
      </c>
      <c r="G62" s="41">
        <v>0</v>
      </c>
      <c r="H62" s="133"/>
      <c r="I62" s="35">
        <v>0</v>
      </c>
      <c r="J62" s="202">
        <f t="shared" si="15"/>
        <v>0</v>
      </c>
      <c r="K62" s="225">
        <v>0</v>
      </c>
      <c r="L62" s="214"/>
      <c r="M62" s="35">
        <v>0</v>
      </c>
      <c r="N62" s="202">
        <f t="shared" si="18"/>
        <v>0</v>
      </c>
      <c r="O62" s="35">
        <v>0</v>
      </c>
      <c r="P62" s="202">
        <f t="shared" si="19"/>
        <v>0</v>
      </c>
      <c r="Q62" s="35">
        <v>0</v>
      </c>
      <c r="R62" s="202">
        <f t="shared" si="20"/>
        <v>0</v>
      </c>
    </row>
    <row r="63" spans="1:18" x14ac:dyDescent="0.2">
      <c r="A63" s="25"/>
      <c r="B63" s="133"/>
      <c r="C63" s="133"/>
      <c r="D63" s="25">
        <v>1</v>
      </c>
      <c r="E63" s="132"/>
      <c r="F63" s="226"/>
      <c r="G63" s="41">
        <v>0</v>
      </c>
      <c r="H63" s="133"/>
      <c r="I63" s="35">
        <v>0</v>
      </c>
      <c r="J63" s="202">
        <f t="shared" si="15"/>
        <v>0</v>
      </c>
      <c r="K63" s="225">
        <v>0</v>
      </c>
      <c r="L63" s="214"/>
      <c r="M63" s="35">
        <v>0</v>
      </c>
      <c r="N63" s="202">
        <f t="shared" si="18"/>
        <v>0</v>
      </c>
      <c r="O63" s="35">
        <v>0</v>
      </c>
      <c r="P63" s="202">
        <f t="shared" si="19"/>
        <v>0</v>
      </c>
      <c r="Q63" s="35">
        <v>0</v>
      </c>
      <c r="R63" s="202">
        <f t="shared" si="20"/>
        <v>0</v>
      </c>
    </row>
    <row r="64" spans="1:18" ht="13.5" thickBot="1" x14ac:dyDescent="0.25">
      <c r="A64" s="25"/>
      <c r="B64" s="133"/>
      <c r="C64" s="133"/>
      <c r="D64" s="25">
        <v>1</v>
      </c>
      <c r="E64" s="132"/>
      <c r="F64" s="226"/>
      <c r="G64" s="41">
        <v>0</v>
      </c>
      <c r="H64" s="133"/>
      <c r="I64" s="35">
        <v>0</v>
      </c>
      <c r="J64" s="202">
        <f>E64*H64</f>
        <v>0</v>
      </c>
      <c r="K64" s="225">
        <v>0</v>
      </c>
      <c r="L64" s="214"/>
      <c r="M64" s="35">
        <v>0</v>
      </c>
      <c r="N64" s="202">
        <f t="shared" si="18"/>
        <v>0</v>
      </c>
      <c r="O64" s="35">
        <v>0</v>
      </c>
      <c r="P64" s="202">
        <f t="shared" si="19"/>
        <v>0</v>
      </c>
      <c r="Q64" s="35">
        <v>0</v>
      </c>
      <c r="R64" s="202">
        <f t="shared" si="20"/>
        <v>0</v>
      </c>
    </row>
    <row r="65" spans="1:18" ht="13.5" thickBot="1" x14ac:dyDescent="0.25">
      <c r="A65" s="25" t="s">
        <v>37</v>
      </c>
      <c r="B65" s="25"/>
      <c r="C65" s="25"/>
      <c r="D65" s="25"/>
      <c r="E65" s="197"/>
      <c r="F65" s="25"/>
      <c r="G65" s="25"/>
      <c r="H65" s="197"/>
      <c r="I65" s="121">
        <v>72.091687314534795</v>
      </c>
      <c r="J65" s="204">
        <f>+SUM(J50:J64)</f>
        <v>0</v>
      </c>
      <c r="K65" s="35"/>
      <c r="L65" s="195"/>
      <c r="M65" s="121">
        <v>0</v>
      </c>
      <c r="N65" s="204">
        <f>+SUM(N50:N64)</f>
        <v>0</v>
      </c>
      <c r="O65" s="121">
        <v>72.091687314534795</v>
      </c>
      <c r="P65" s="204">
        <f>+SUM(P50:P64)</f>
        <v>0</v>
      </c>
      <c r="Q65" s="121">
        <v>8795.1858523732444</v>
      </c>
      <c r="R65" s="204">
        <f>+SUM(R50:R64)</f>
        <v>0</v>
      </c>
    </row>
    <row r="66" spans="1:18" ht="14.25" thickTop="1" thickBot="1" x14ac:dyDescent="0.25">
      <c r="A66" s="25" t="s">
        <v>52</v>
      </c>
      <c r="B66" s="25"/>
      <c r="C66" s="25"/>
      <c r="D66" s="25"/>
      <c r="E66" s="197"/>
      <c r="F66" s="25"/>
      <c r="G66" s="25"/>
      <c r="H66" s="197"/>
      <c r="I66" s="87">
        <v>229.68608864167322</v>
      </c>
      <c r="J66" s="205">
        <f>+J44+J65</f>
        <v>0</v>
      </c>
      <c r="K66" s="35"/>
      <c r="L66" s="195"/>
      <c r="M66" s="87">
        <v>0</v>
      </c>
      <c r="N66" s="205">
        <f>+N44+N65</f>
        <v>0</v>
      </c>
      <c r="O66" s="87">
        <v>229.68608864167322</v>
      </c>
      <c r="P66" s="205">
        <f>+P44+P65</f>
        <v>0</v>
      </c>
      <c r="Q66" s="87">
        <v>28021.702814284137</v>
      </c>
      <c r="R66" s="205">
        <f>+R44+R65</f>
        <v>0</v>
      </c>
    </row>
    <row r="67" spans="1:18" ht="13.5" thickTop="1" x14ac:dyDescent="0.2">
      <c r="A67" s="25"/>
      <c r="B67" s="25"/>
      <c r="C67" s="25"/>
      <c r="D67" s="25"/>
      <c r="E67" s="197"/>
      <c r="F67" s="25"/>
      <c r="G67" s="25"/>
      <c r="H67" s="197"/>
      <c r="I67" s="35"/>
      <c r="J67" s="184"/>
      <c r="K67" s="35"/>
      <c r="L67" s="195"/>
      <c r="M67" s="35"/>
      <c r="N67" s="184"/>
      <c r="O67" s="35"/>
      <c r="P67" s="184"/>
      <c r="Q67" s="35"/>
      <c r="R67" s="184"/>
    </row>
    <row r="68" spans="1:18" x14ac:dyDescent="0.2">
      <c r="A68" s="25" t="s">
        <v>153</v>
      </c>
      <c r="B68" s="25"/>
      <c r="C68" s="25"/>
      <c r="D68" s="25"/>
      <c r="E68" s="197"/>
      <c r="F68" s="25"/>
      <c r="G68" s="25"/>
      <c r="H68" s="197"/>
      <c r="I68" s="35">
        <v>413.81391135832678</v>
      </c>
      <c r="J68" s="202">
        <f>+J13-J66</f>
        <v>0</v>
      </c>
      <c r="K68" s="35"/>
      <c r="L68" s="195"/>
      <c r="M68" s="35">
        <v>0</v>
      </c>
      <c r="N68" s="202">
        <f>+N13-N66</f>
        <v>0</v>
      </c>
      <c r="O68" s="35">
        <v>413.81391135832678</v>
      </c>
      <c r="P68" s="202">
        <f>+P13-P66</f>
        <v>0</v>
      </c>
      <c r="Q68" s="35">
        <v>50485.297185715863</v>
      </c>
      <c r="R68" s="202">
        <f>+R13-R66</f>
        <v>0</v>
      </c>
    </row>
    <row r="69" spans="1:18" x14ac:dyDescent="0.2">
      <c r="A69" s="25"/>
      <c r="B69" s="25"/>
      <c r="C69" s="25"/>
      <c r="D69" s="25"/>
      <c r="E69" s="197"/>
      <c r="F69" s="25"/>
      <c r="G69" s="25"/>
      <c r="H69" s="197"/>
      <c r="I69" s="35"/>
      <c r="J69" s="206"/>
      <c r="K69" s="35"/>
      <c r="L69" s="195"/>
      <c r="M69" s="35"/>
      <c r="N69" s="195"/>
      <c r="O69" s="35"/>
      <c r="P69" s="195"/>
      <c r="Q69" s="35"/>
      <c r="R69" s="206"/>
    </row>
    <row r="70" spans="1:18" ht="13.5" thickBot="1" x14ac:dyDescent="0.25">
      <c r="A70" s="44" t="s">
        <v>38</v>
      </c>
      <c r="B70" s="44"/>
      <c r="C70" s="44"/>
      <c r="D70" s="44"/>
      <c r="E70" s="201"/>
      <c r="F70" s="44"/>
      <c r="G70" s="45">
        <v>76.562029547224412</v>
      </c>
      <c r="H70" s="212" t="str">
        <f>IF(E10=0,"n/a",(YTotExp-(YTotExp+YTotRet-J10))/E10)</f>
        <v>n/a</v>
      </c>
      <c r="I70" s="44" t="s">
        <v>135</v>
      </c>
      <c r="J70" s="207"/>
      <c r="K70" s="44"/>
      <c r="L70" s="201"/>
      <c r="M70" s="44"/>
      <c r="N70" s="201"/>
      <c r="O70" s="44"/>
      <c r="P70" s="201"/>
      <c r="Q70" s="44"/>
      <c r="R70" s="207"/>
    </row>
    <row r="71" spans="1:18" ht="13.5" thickTop="1" x14ac:dyDescent="0.2"/>
    <row r="72" spans="1:18" s="17" customFormat="1" ht="15.75" x14ac:dyDescent="0.25">
      <c r="A72"/>
      <c r="B72" s="88"/>
      <c r="C72" s="89"/>
      <c r="D72" s="234" t="s">
        <v>115</v>
      </c>
      <c r="E72" s="235"/>
      <c r="F72" s="235"/>
      <c r="G72" s="235"/>
      <c r="H72" s="235"/>
      <c r="I72" s="235"/>
      <c r="J72" s="99"/>
      <c r="K72" s="99"/>
      <c r="M72"/>
      <c r="N72"/>
    </row>
    <row r="73" spans="1:18" s="17" customFormat="1" ht="15.75" x14ac:dyDescent="0.25">
      <c r="A73"/>
      <c r="B73" s="19" t="s">
        <v>116</v>
      </c>
      <c r="C73" s="19" t="s">
        <v>116</v>
      </c>
      <c r="D73" s="126" t="s">
        <v>170</v>
      </c>
      <c r="E73" s="18"/>
      <c r="F73" s="18"/>
      <c r="G73" s="126" t="s">
        <v>170</v>
      </c>
      <c r="H73" s="18"/>
      <c r="I73" s="18"/>
      <c r="J73" s="18"/>
      <c r="K73" s="18"/>
      <c r="M73"/>
      <c r="N73"/>
    </row>
    <row r="74" spans="1:18" s="17" customFormat="1" x14ac:dyDescent="0.2">
      <c r="A74"/>
      <c r="B74" s="19" t="s">
        <v>81</v>
      </c>
      <c r="C74" s="19" t="s">
        <v>81</v>
      </c>
      <c r="D74" s="126" t="s">
        <v>157</v>
      </c>
      <c r="E74" s="122"/>
      <c r="F74" s="122"/>
      <c r="G74" s="126" t="s">
        <v>11</v>
      </c>
      <c r="H74" s="122"/>
      <c r="I74" s="122"/>
      <c r="J74" s="122"/>
      <c r="K74" s="122"/>
      <c r="M74"/>
      <c r="N74"/>
    </row>
    <row r="75" spans="1:18" s="17" customFormat="1" x14ac:dyDescent="0.2">
      <c r="A75"/>
      <c r="B75" s="19" t="s">
        <v>30</v>
      </c>
      <c r="C75" s="99" t="s">
        <v>135</v>
      </c>
      <c r="D75" s="126" t="s">
        <v>99</v>
      </c>
      <c r="E75" s="122"/>
      <c r="F75" s="122"/>
      <c r="G75" s="126" t="s">
        <v>99</v>
      </c>
      <c r="H75" s="19"/>
      <c r="I75" s="19"/>
      <c r="J75" s="19"/>
      <c r="K75" s="19"/>
      <c r="M75"/>
      <c r="N75"/>
    </row>
    <row r="76" spans="1:18" s="17" customFormat="1" x14ac:dyDescent="0.2">
      <c r="A76"/>
      <c r="B76" s="90">
        <v>0.75</v>
      </c>
      <c r="C76" s="91">
        <v>2.25</v>
      </c>
      <c r="D76" s="92">
        <v>70.041956145394863</v>
      </c>
      <c r="E76" s="93"/>
      <c r="F76" s="94"/>
      <c r="G76" s="92">
        <v>102.08270606296588</v>
      </c>
      <c r="H76" s="93"/>
      <c r="I76" s="93"/>
      <c r="M76"/>
      <c r="N76"/>
    </row>
    <row r="77" spans="1:18" s="17" customFormat="1" x14ac:dyDescent="0.2">
      <c r="A77"/>
      <c r="B77" s="95">
        <v>0.9</v>
      </c>
      <c r="C77" s="96">
        <v>2.7</v>
      </c>
      <c r="D77" s="97">
        <v>58.368296787829046</v>
      </c>
      <c r="E77" s="83"/>
      <c r="F77" s="98"/>
      <c r="G77" s="97">
        <v>85.068921719138231</v>
      </c>
      <c r="H77" s="83"/>
      <c r="I77" s="83"/>
      <c r="M77"/>
      <c r="N77"/>
    </row>
    <row r="78" spans="1:18" s="17" customFormat="1" x14ac:dyDescent="0.2">
      <c r="A78"/>
      <c r="B78" s="90">
        <v>1</v>
      </c>
      <c r="C78" s="91">
        <v>3</v>
      </c>
      <c r="D78" s="92">
        <v>52.53146710904614</v>
      </c>
      <c r="E78" s="93"/>
      <c r="F78" s="94"/>
      <c r="G78" s="92">
        <v>76.562029547224412</v>
      </c>
      <c r="H78" s="93"/>
      <c r="I78" s="93"/>
      <c r="M78"/>
      <c r="N78"/>
    </row>
    <row r="79" spans="1:18" s="17" customFormat="1" x14ac:dyDescent="0.2">
      <c r="A79"/>
      <c r="B79" s="95">
        <v>1.1000000000000001</v>
      </c>
      <c r="C79" s="96">
        <v>3.3000000000000003</v>
      </c>
      <c r="D79" s="97">
        <v>47.755879190041945</v>
      </c>
      <c r="E79" s="83"/>
      <c r="F79" s="98"/>
      <c r="G79" s="97">
        <v>69.601845042931274</v>
      </c>
      <c r="H79" s="83"/>
      <c r="I79" s="83"/>
      <c r="M79"/>
      <c r="N79"/>
    </row>
    <row r="80" spans="1:18" s="17" customFormat="1" x14ac:dyDescent="0.2">
      <c r="A80"/>
      <c r="B80" s="90">
        <v>1.25</v>
      </c>
      <c r="C80" s="91">
        <v>3.75</v>
      </c>
      <c r="D80" s="92">
        <v>42.025173687236915</v>
      </c>
      <c r="E80" s="93"/>
      <c r="F80" s="94"/>
      <c r="G80" s="92">
        <v>61.249623637779528</v>
      </c>
      <c r="H80" s="93"/>
      <c r="I80" s="93"/>
      <c r="M80"/>
      <c r="N80"/>
    </row>
    <row r="81" spans="1:18" s="17" customFormat="1" x14ac:dyDescent="0.2">
      <c r="A81"/>
      <c r="M81"/>
      <c r="N81"/>
    </row>
    <row r="82" spans="1:18" x14ac:dyDescent="0.2">
      <c r="A82" s="25" t="s">
        <v>536</v>
      </c>
      <c r="B82" s="17"/>
      <c r="C82" s="17"/>
      <c r="D82" s="17"/>
      <c r="E82" s="17"/>
      <c r="F82" s="17"/>
      <c r="G82" s="17"/>
      <c r="H82" s="17"/>
      <c r="I82" s="17"/>
      <c r="J82" s="28"/>
      <c r="K82" s="17"/>
      <c r="L82" s="17"/>
      <c r="M82" s="17"/>
      <c r="N82" s="17"/>
      <c r="O82" s="17"/>
      <c r="P82" s="17"/>
      <c r="Q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28"/>
      <c r="K83" s="17"/>
      <c r="L83" s="17"/>
      <c r="M83" s="17"/>
      <c r="N83" s="17"/>
      <c r="O83" s="17"/>
      <c r="P83" s="17"/>
      <c r="Q83" s="17"/>
    </row>
    <row r="84" spans="1:18" ht="26.25" customHeight="1" x14ac:dyDescent="0.2">
      <c r="A84" s="236" t="s">
        <v>140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21"/>
      <c r="N84" s="221"/>
      <c r="O84" s="221"/>
      <c r="P84" s="221"/>
      <c r="Q84" s="221"/>
      <c r="R84" s="221"/>
    </row>
  </sheetData>
  <sheetProtection sheet="1" objects="1" scenarios="1"/>
  <mergeCells count="6">
    <mergeCell ref="D72:I72"/>
    <mergeCell ref="A84:L84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223">
    <tabColor rgb="FF92D050"/>
    <pageSetUpPr fitToPage="1"/>
  </sheetPr>
  <dimension ref="A1:S89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42578125" customWidth="1"/>
    <col min="3" max="3" width="32.1406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482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343</v>
      </c>
      <c r="C10" s="25"/>
      <c r="D10" s="50">
        <v>5</v>
      </c>
      <c r="E10" s="132"/>
      <c r="F10" s="226" t="s">
        <v>135</v>
      </c>
      <c r="G10" s="31">
        <v>214.5</v>
      </c>
      <c r="H10" s="133"/>
      <c r="I10" s="35">
        <v>1072.5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1072.5</v>
      </c>
      <c r="P10" s="202">
        <f>+J10-N10</f>
        <v>0</v>
      </c>
      <c r="Q10" s="35">
        <v>130845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1072.5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1072.5</v>
      </c>
      <c r="P13" s="203">
        <f>SUM(P10:P12)</f>
        <v>0</v>
      </c>
      <c r="Q13" s="36">
        <v>130845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447</v>
      </c>
      <c r="D18" s="25">
        <v>0.89</v>
      </c>
      <c r="E18" s="132"/>
      <c r="F18" s="226" t="s">
        <v>7</v>
      </c>
      <c r="G18" s="41">
        <v>31.15</v>
      </c>
      <c r="H18" s="133"/>
      <c r="I18" s="35">
        <v>27.723499999999998</v>
      </c>
      <c r="J18" s="202">
        <f t="shared" ref="J18:J22" si="4">E18*H18</f>
        <v>0</v>
      </c>
      <c r="K18" s="225">
        <v>0</v>
      </c>
      <c r="L18" s="214"/>
      <c r="M18" s="35">
        <v>0</v>
      </c>
      <c r="N18" s="202">
        <f t="shared" ref="N18:N22" si="5">J18*L18</f>
        <v>0</v>
      </c>
      <c r="O18" s="35">
        <v>27.723499999999998</v>
      </c>
      <c r="P18" s="202">
        <f t="shared" ref="P18:P22" si="6">+J18-N18</f>
        <v>0</v>
      </c>
      <c r="Q18" s="35">
        <v>3382.2669999999998</v>
      </c>
      <c r="R18" s="202">
        <f t="shared" ref="R18:R22" si="7">+J18*E$7</f>
        <v>0</v>
      </c>
    </row>
    <row r="19" spans="1:18" x14ac:dyDescent="0.2">
      <c r="A19" s="25"/>
      <c r="B19" s="25" t="s">
        <v>1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408</v>
      </c>
      <c r="D20" s="25">
        <v>15</v>
      </c>
      <c r="E20" s="132"/>
      <c r="F20" s="226" t="s">
        <v>83</v>
      </c>
      <c r="G20" s="41">
        <v>1.79</v>
      </c>
      <c r="H20" s="133"/>
      <c r="I20" s="35">
        <v>26.85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26.85</v>
      </c>
      <c r="P20" s="202">
        <f t="shared" si="6"/>
        <v>0</v>
      </c>
      <c r="Q20" s="35">
        <v>3275.7000000000003</v>
      </c>
      <c r="R20" s="202">
        <f t="shared" si="7"/>
        <v>0</v>
      </c>
    </row>
    <row r="21" spans="1:18" x14ac:dyDescent="0.2">
      <c r="A21" s="25"/>
      <c r="B21" s="133"/>
      <c r="C21" s="133"/>
      <c r="D21" s="25">
        <v>0</v>
      </c>
      <c r="E21" s="132"/>
      <c r="F21" s="226"/>
      <c r="G21" s="41">
        <v>0</v>
      </c>
      <c r="H21" s="133"/>
      <c r="I21" s="35">
        <v>0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0</v>
      </c>
      <c r="P21" s="202">
        <f t="shared" si="6"/>
        <v>0</v>
      </c>
      <c r="Q21" s="35">
        <v>0</v>
      </c>
      <c r="R21" s="202">
        <f t="shared" si="7"/>
        <v>0</v>
      </c>
    </row>
    <row r="22" spans="1:18" x14ac:dyDescent="0.2">
      <c r="A22" s="25"/>
      <c r="B22" s="133"/>
      <c r="C22" s="133"/>
      <c r="D22" s="25">
        <v>0</v>
      </c>
      <c r="E22" s="132"/>
      <c r="F22" s="226"/>
      <c r="G22" s="41">
        <v>0</v>
      </c>
      <c r="H22" s="133"/>
      <c r="I22" s="35">
        <v>0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0</v>
      </c>
      <c r="P22" s="202">
        <f t="shared" si="6"/>
        <v>0</v>
      </c>
      <c r="Q22" s="35">
        <v>0</v>
      </c>
      <c r="R22" s="202">
        <f t="shared" si="7"/>
        <v>0</v>
      </c>
    </row>
    <row r="23" spans="1:18" x14ac:dyDescent="0.2">
      <c r="A23" s="25"/>
      <c r="B23" s="133"/>
      <c r="C23" s="133"/>
      <c r="D23" s="25">
        <v>0</v>
      </c>
      <c r="E23" s="132"/>
      <c r="F23" s="226"/>
      <c r="G23" s="41">
        <v>0</v>
      </c>
      <c r="H23" s="133"/>
      <c r="I23" s="35">
        <v>0</v>
      </c>
      <c r="J23" s="202">
        <f>E23*H23</f>
        <v>0</v>
      </c>
      <c r="K23" s="225">
        <v>0</v>
      </c>
      <c r="L23" s="214"/>
      <c r="M23" s="35">
        <v>0</v>
      </c>
      <c r="N23" s="202">
        <f>J23*L23</f>
        <v>0</v>
      </c>
      <c r="O23" s="35">
        <v>0</v>
      </c>
      <c r="P23" s="202">
        <f>+J23-N23</f>
        <v>0</v>
      </c>
      <c r="Q23" s="35">
        <v>0</v>
      </c>
      <c r="R23" s="202">
        <f>+J23*E$7</f>
        <v>0</v>
      </c>
    </row>
    <row r="24" spans="1:18" x14ac:dyDescent="0.2">
      <c r="A24" s="25"/>
      <c r="B24" s="25" t="s">
        <v>45</v>
      </c>
      <c r="C24" s="25"/>
      <c r="D24" s="25"/>
      <c r="E24" s="209"/>
      <c r="F24" s="21"/>
      <c r="G24" s="41"/>
      <c r="H24" s="198"/>
      <c r="I24" s="186"/>
      <c r="J24" s="184"/>
      <c r="K24" s="225"/>
      <c r="L24" s="198"/>
      <c r="M24" s="35"/>
      <c r="N24" s="184"/>
      <c r="O24" s="35"/>
      <c r="P24" s="184"/>
      <c r="Q24" s="35"/>
      <c r="R24" s="184"/>
    </row>
    <row r="25" spans="1:18" x14ac:dyDescent="0.2">
      <c r="A25" s="25"/>
      <c r="B25" s="25"/>
      <c r="C25" s="25" t="s">
        <v>146</v>
      </c>
      <c r="D25" s="34">
        <v>3.4199999999999995</v>
      </c>
      <c r="E25" s="132"/>
      <c r="F25" s="226" t="s">
        <v>141</v>
      </c>
      <c r="G25" s="41">
        <v>4.7</v>
      </c>
      <c r="H25" s="133"/>
      <c r="I25" s="35">
        <v>16.073999999999998</v>
      </c>
      <c r="J25" s="202">
        <f t="shared" ref="J25:J26" si="8">E25*H25</f>
        <v>0</v>
      </c>
      <c r="K25" s="225">
        <v>0</v>
      </c>
      <c r="L25" s="214"/>
      <c r="M25" s="35">
        <v>0</v>
      </c>
      <c r="N25" s="202">
        <f t="shared" ref="N25:N26" si="9">J25*L25</f>
        <v>0</v>
      </c>
      <c r="O25" s="35">
        <v>16.073999999999998</v>
      </c>
      <c r="P25" s="202">
        <f t="shared" ref="P25:P26" si="10">+J25-N25</f>
        <v>0</v>
      </c>
      <c r="Q25" s="35">
        <v>1961.0279999999998</v>
      </c>
      <c r="R25" s="202">
        <f t="shared" ref="R25:R26" si="11">+J25*E$7</f>
        <v>0</v>
      </c>
    </row>
    <row r="26" spans="1:18" x14ac:dyDescent="0.2">
      <c r="A26" s="25"/>
      <c r="B26" s="25"/>
      <c r="C26" s="25" t="s">
        <v>136</v>
      </c>
      <c r="D26" s="34">
        <v>1.9800000000000002E-2</v>
      </c>
      <c r="E26" s="132"/>
      <c r="F26" s="226" t="s">
        <v>44</v>
      </c>
      <c r="G26" s="41">
        <v>17.5</v>
      </c>
      <c r="H26" s="133"/>
      <c r="I26" s="35">
        <v>0.34650000000000003</v>
      </c>
      <c r="J26" s="202">
        <f t="shared" si="8"/>
        <v>0</v>
      </c>
      <c r="K26" s="225">
        <v>0</v>
      </c>
      <c r="L26" s="214"/>
      <c r="M26" s="35">
        <v>0</v>
      </c>
      <c r="N26" s="202">
        <f t="shared" si="9"/>
        <v>0</v>
      </c>
      <c r="O26" s="35">
        <v>0.34650000000000003</v>
      </c>
      <c r="P26" s="202">
        <f t="shared" si="10"/>
        <v>0</v>
      </c>
      <c r="Q26" s="35">
        <v>42.273000000000003</v>
      </c>
      <c r="R26" s="202">
        <f t="shared" si="11"/>
        <v>0</v>
      </c>
    </row>
    <row r="27" spans="1:18" x14ac:dyDescent="0.2">
      <c r="A27" s="25"/>
      <c r="B27" s="25" t="s">
        <v>108</v>
      </c>
      <c r="C27" s="25"/>
      <c r="D27" s="25"/>
      <c r="E27" s="105"/>
      <c r="H27" s="105"/>
      <c r="I27" s="124"/>
      <c r="J27" s="105"/>
      <c r="K27" s="225"/>
      <c r="L27" s="105"/>
      <c r="N27" s="105"/>
      <c r="P27" s="105"/>
      <c r="R27" s="105"/>
    </row>
    <row r="28" spans="1:18" x14ac:dyDescent="0.2">
      <c r="A28" s="25"/>
      <c r="B28" s="25"/>
      <c r="C28" s="25" t="s">
        <v>105</v>
      </c>
      <c r="D28" s="25">
        <v>3.17</v>
      </c>
      <c r="E28" s="132"/>
      <c r="F28" s="226" t="s">
        <v>44</v>
      </c>
      <c r="G28" s="41">
        <v>17.21</v>
      </c>
      <c r="H28" s="133"/>
      <c r="I28" s="35">
        <v>54.555700000000002</v>
      </c>
      <c r="J28" s="202">
        <f>E28*H28</f>
        <v>0</v>
      </c>
      <c r="K28" s="225">
        <v>0</v>
      </c>
      <c r="L28" s="214"/>
      <c r="M28" s="35">
        <v>0</v>
      </c>
      <c r="N28" s="202">
        <f>J28*L28</f>
        <v>0</v>
      </c>
      <c r="O28" s="35">
        <v>54.555700000000002</v>
      </c>
      <c r="P28" s="202">
        <f>+J28-N28</f>
        <v>0</v>
      </c>
      <c r="Q28" s="35">
        <v>6655.7954</v>
      </c>
      <c r="R28" s="202">
        <f>+J28*E$7</f>
        <v>0</v>
      </c>
    </row>
    <row r="29" spans="1:18" x14ac:dyDescent="0.2">
      <c r="A29" s="25"/>
      <c r="B29" s="25"/>
      <c r="C29" s="25" t="s">
        <v>107</v>
      </c>
      <c r="D29" s="25">
        <v>0</v>
      </c>
      <c r="E29" s="132"/>
      <c r="F29" s="226" t="s">
        <v>44</v>
      </c>
      <c r="G29" s="41">
        <v>17.21</v>
      </c>
      <c r="H29" s="133"/>
      <c r="I29" s="35">
        <v>0</v>
      </c>
      <c r="J29" s="202">
        <f>E29*H29</f>
        <v>0</v>
      </c>
      <c r="K29" s="225">
        <v>0</v>
      </c>
      <c r="L29" s="214"/>
      <c r="M29" s="35">
        <v>0</v>
      </c>
      <c r="N29" s="202">
        <f>J29*L29</f>
        <v>0</v>
      </c>
      <c r="O29" s="35">
        <v>0</v>
      </c>
      <c r="P29" s="202">
        <f>+J29-N29</f>
        <v>0</v>
      </c>
      <c r="Q29" s="35">
        <v>0</v>
      </c>
      <c r="R29" s="202">
        <f>+J29*E$7</f>
        <v>0</v>
      </c>
    </row>
    <row r="30" spans="1:18" x14ac:dyDescent="0.2">
      <c r="A30" s="25"/>
      <c r="B30" s="25"/>
      <c r="C30" s="25"/>
      <c r="D30" s="25"/>
      <c r="E30" s="209"/>
      <c r="F30" s="21"/>
      <c r="G30" s="41"/>
      <c r="H30" s="198"/>
      <c r="I30" s="35"/>
      <c r="J30" s="184"/>
      <c r="K30" s="225"/>
      <c r="L30" s="198"/>
      <c r="M30" s="35"/>
      <c r="N30" s="184"/>
      <c r="O30" s="35"/>
      <c r="P30" s="184"/>
      <c r="Q30" s="35"/>
      <c r="R30" s="184"/>
    </row>
    <row r="31" spans="1:18" x14ac:dyDescent="0.2">
      <c r="A31" s="25"/>
      <c r="B31" s="25" t="s">
        <v>51</v>
      </c>
      <c r="C31" s="25"/>
      <c r="D31" s="25"/>
      <c r="E31" s="209"/>
      <c r="F31" s="21"/>
      <c r="G31" s="41"/>
      <c r="H31" s="198"/>
      <c r="I31" s="186"/>
      <c r="J31" s="184"/>
      <c r="K31" s="225"/>
      <c r="L31" s="198"/>
      <c r="M31" s="35"/>
      <c r="N31" s="184"/>
      <c r="O31" s="35"/>
      <c r="P31" s="184"/>
      <c r="Q31" s="35"/>
      <c r="R31" s="184"/>
    </row>
    <row r="32" spans="1:18" x14ac:dyDescent="0.2">
      <c r="A32" s="25"/>
      <c r="B32" s="25"/>
      <c r="C32" s="25" t="s">
        <v>104</v>
      </c>
      <c r="D32" s="25">
        <v>1</v>
      </c>
      <c r="E32" s="132"/>
      <c r="F32" s="226" t="s">
        <v>42</v>
      </c>
      <c r="G32" s="41">
        <v>0</v>
      </c>
      <c r="H32" s="133"/>
      <c r="I32" s="35">
        <v>0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0</v>
      </c>
      <c r="P32" s="202">
        <f>+J32-N32</f>
        <v>0</v>
      </c>
      <c r="Q32" s="35">
        <v>0</v>
      </c>
      <c r="R32" s="202">
        <f>+J32*E$7</f>
        <v>0</v>
      </c>
    </row>
    <row r="33" spans="1:18" x14ac:dyDescent="0.2">
      <c r="A33" s="25"/>
      <c r="B33" s="25"/>
      <c r="C33" s="25" t="s">
        <v>105</v>
      </c>
      <c r="D33" s="25">
        <v>13.85</v>
      </c>
      <c r="E33" s="132"/>
      <c r="F33" s="226" t="s">
        <v>79</v>
      </c>
      <c r="G33" s="41">
        <v>3.6</v>
      </c>
      <c r="H33" s="133"/>
      <c r="I33" s="35">
        <v>49.86</v>
      </c>
      <c r="J33" s="202">
        <f>E33*H33</f>
        <v>0</v>
      </c>
      <c r="K33" s="225">
        <v>0</v>
      </c>
      <c r="L33" s="214"/>
      <c r="M33" s="35">
        <v>0</v>
      </c>
      <c r="N33" s="202">
        <f>J33*L33</f>
        <v>0</v>
      </c>
      <c r="O33" s="35">
        <v>49.86</v>
      </c>
      <c r="P33" s="202">
        <f>+J33-N33</f>
        <v>0</v>
      </c>
      <c r="Q33" s="35">
        <v>6082.92</v>
      </c>
      <c r="R33" s="202">
        <f>+J33*E$7</f>
        <v>0</v>
      </c>
    </row>
    <row r="34" spans="1:18" x14ac:dyDescent="0.2">
      <c r="A34" s="25"/>
      <c r="B34" s="25"/>
      <c r="C34" s="25"/>
      <c r="D34" s="25"/>
      <c r="E34" s="209"/>
      <c r="F34" s="21"/>
      <c r="G34" s="41"/>
      <c r="H34" s="198"/>
      <c r="I34" s="35"/>
      <c r="J34" s="184"/>
      <c r="K34" s="225"/>
      <c r="L34" s="198"/>
      <c r="M34" s="35"/>
      <c r="N34" s="184"/>
      <c r="O34" s="35"/>
      <c r="P34" s="184"/>
      <c r="Q34" s="35"/>
      <c r="R34" s="184"/>
    </row>
    <row r="35" spans="1:18" x14ac:dyDescent="0.2">
      <c r="A35" s="25"/>
      <c r="B35" s="25" t="s">
        <v>29</v>
      </c>
      <c r="C35" s="25"/>
      <c r="D35" s="25"/>
      <c r="E35" s="209"/>
      <c r="F35" s="21"/>
      <c r="G35" s="41"/>
      <c r="H35" s="198"/>
      <c r="I35" s="186"/>
      <c r="J35" s="184"/>
      <c r="K35" s="225"/>
      <c r="L35" s="198"/>
      <c r="M35" s="35"/>
      <c r="N35" s="184"/>
      <c r="O35" s="35"/>
      <c r="P35" s="184"/>
      <c r="Q35" s="35"/>
      <c r="R35" s="184"/>
    </row>
    <row r="36" spans="1:18" x14ac:dyDescent="0.2">
      <c r="A36" s="25"/>
      <c r="B36" s="25"/>
      <c r="C36" s="25" t="s">
        <v>104</v>
      </c>
      <c r="D36" s="25">
        <v>1</v>
      </c>
      <c r="E36" s="132"/>
      <c r="F36" s="226" t="s">
        <v>42</v>
      </c>
      <c r="G36" s="41">
        <v>10.131639344262295</v>
      </c>
      <c r="H36" s="133"/>
      <c r="I36" s="35">
        <v>10.131639344262295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10.131639344262295</v>
      </c>
      <c r="P36" s="202">
        <f>+J36-N36</f>
        <v>0</v>
      </c>
      <c r="Q36" s="35">
        <v>1236.06</v>
      </c>
      <c r="R36" s="202">
        <f>+J36*E$7</f>
        <v>0</v>
      </c>
    </row>
    <row r="37" spans="1:18" x14ac:dyDescent="0.2">
      <c r="A37" s="25"/>
      <c r="B37" s="25"/>
      <c r="C37" s="25" t="s">
        <v>105</v>
      </c>
      <c r="D37" s="25">
        <v>0</v>
      </c>
      <c r="E37" s="132"/>
      <c r="F37" s="226" t="s">
        <v>79</v>
      </c>
      <c r="G37" s="41">
        <v>3.15</v>
      </c>
      <c r="H37" s="133"/>
      <c r="I37" s="35">
        <v>0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0</v>
      </c>
      <c r="P37" s="202">
        <f>+J37-N37</f>
        <v>0</v>
      </c>
      <c r="Q37" s="35">
        <v>0</v>
      </c>
      <c r="R37" s="202">
        <f>+J37*E$7</f>
        <v>0</v>
      </c>
    </row>
    <row r="38" spans="1:18" x14ac:dyDescent="0.2">
      <c r="A38" s="25"/>
      <c r="B38" s="25"/>
      <c r="C38" s="25"/>
      <c r="D38" s="25"/>
      <c r="E38" s="209"/>
      <c r="F38" s="21"/>
      <c r="G38" s="41"/>
      <c r="H38" s="198"/>
      <c r="I38" s="35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 t="s">
        <v>47</v>
      </c>
      <c r="C39" s="25"/>
      <c r="D39" s="25"/>
      <c r="E39" s="209"/>
      <c r="F39" s="21"/>
      <c r="G39" s="41"/>
      <c r="H39" s="199"/>
      <c r="I39" s="186"/>
      <c r="J39" s="184"/>
      <c r="K39" s="225"/>
      <c r="L39" s="199"/>
      <c r="M39" s="35"/>
      <c r="N39" s="184"/>
      <c r="O39" s="35"/>
      <c r="P39" s="184"/>
      <c r="Q39" s="35"/>
      <c r="R39" s="184"/>
    </row>
    <row r="40" spans="1:18" x14ac:dyDescent="0.2">
      <c r="A40" s="25"/>
      <c r="B40" s="25"/>
      <c r="C40" s="25" t="s">
        <v>104</v>
      </c>
      <c r="D40" s="25">
        <v>1</v>
      </c>
      <c r="E40" s="132"/>
      <c r="F40" s="226" t="s">
        <v>42</v>
      </c>
      <c r="G40" s="41">
        <v>1.6081967213114756</v>
      </c>
      <c r="H40" s="133"/>
      <c r="I40" s="35">
        <v>1.6081967213114756</v>
      </c>
      <c r="J40" s="202">
        <f t="shared" ref="J40:J45" si="12">E40*H40</f>
        <v>0</v>
      </c>
      <c r="K40" s="225">
        <v>0</v>
      </c>
      <c r="L40" s="214"/>
      <c r="M40" s="35">
        <v>0</v>
      </c>
      <c r="N40" s="202">
        <f t="shared" ref="N40:N45" si="13">J40*L40</f>
        <v>0</v>
      </c>
      <c r="O40" s="35">
        <v>1.6081967213114756</v>
      </c>
      <c r="P40" s="202">
        <f t="shared" ref="P40:P45" si="14">+J40-N40</f>
        <v>0</v>
      </c>
      <c r="Q40" s="35">
        <v>196.20000000000002</v>
      </c>
      <c r="R40" s="202">
        <f t="shared" ref="R40:R45" si="15">+J40*E$7</f>
        <v>0</v>
      </c>
    </row>
    <row r="41" spans="1:18" x14ac:dyDescent="0.2">
      <c r="A41" s="25"/>
      <c r="B41" s="25"/>
      <c r="C41" s="25" t="s">
        <v>46</v>
      </c>
      <c r="D41" s="25">
        <v>1</v>
      </c>
      <c r="E41" s="132"/>
      <c r="F41" s="226" t="s">
        <v>42</v>
      </c>
      <c r="G41" s="41">
        <v>9.0503459999999993</v>
      </c>
      <c r="H41" s="133"/>
      <c r="I41" s="35">
        <v>9.0503459999999993</v>
      </c>
      <c r="J41" s="202">
        <f t="shared" si="12"/>
        <v>0</v>
      </c>
      <c r="K41" s="225">
        <v>0</v>
      </c>
      <c r="L41" s="214"/>
      <c r="M41" s="35">
        <v>0</v>
      </c>
      <c r="N41" s="202">
        <f t="shared" si="13"/>
        <v>0</v>
      </c>
      <c r="O41" s="35">
        <v>9.0503459999999993</v>
      </c>
      <c r="P41" s="202">
        <f t="shared" si="14"/>
        <v>0</v>
      </c>
      <c r="Q41" s="35">
        <v>1104.142212</v>
      </c>
      <c r="R41" s="202">
        <f t="shared" si="15"/>
        <v>0</v>
      </c>
    </row>
    <row r="42" spans="1:18" x14ac:dyDescent="0.2">
      <c r="A42" s="25"/>
      <c r="B42" s="25"/>
      <c r="C42" s="25" t="s">
        <v>105</v>
      </c>
      <c r="D42" s="25">
        <v>1</v>
      </c>
      <c r="E42" s="132"/>
      <c r="F42" s="226" t="s">
        <v>42</v>
      </c>
      <c r="G42" s="41">
        <v>22.531539651976598</v>
      </c>
      <c r="H42" s="133"/>
      <c r="I42" s="35">
        <v>22.531539651976598</v>
      </c>
      <c r="J42" s="202">
        <f t="shared" si="12"/>
        <v>0</v>
      </c>
      <c r="K42" s="225">
        <v>0</v>
      </c>
      <c r="L42" s="214"/>
      <c r="M42" s="35">
        <v>0</v>
      </c>
      <c r="N42" s="202">
        <f t="shared" si="13"/>
        <v>0</v>
      </c>
      <c r="O42" s="35">
        <v>22.531539651976598</v>
      </c>
      <c r="P42" s="202">
        <f t="shared" si="14"/>
        <v>0</v>
      </c>
      <c r="Q42" s="35">
        <v>2748.8478375411451</v>
      </c>
      <c r="R42" s="202">
        <f t="shared" si="15"/>
        <v>0</v>
      </c>
    </row>
    <row r="43" spans="1:18" x14ac:dyDescent="0.2">
      <c r="A43" s="25"/>
      <c r="B43" s="25"/>
      <c r="C43" s="25" t="s">
        <v>4</v>
      </c>
      <c r="D43" s="25">
        <v>1</v>
      </c>
      <c r="E43" s="132"/>
      <c r="F43" s="226" t="s">
        <v>42</v>
      </c>
      <c r="G43" s="41">
        <v>13.6508477514404</v>
      </c>
      <c r="H43" s="133"/>
      <c r="I43" s="35">
        <v>13.6508477514404</v>
      </c>
      <c r="J43" s="202">
        <f t="shared" si="12"/>
        <v>0</v>
      </c>
      <c r="K43" s="225">
        <v>0</v>
      </c>
      <c r="L43" s="214"/>
      <c r="M43" s="35">
        <v>0</v>
      </c>
      <c r="N43" s="202">
        <f t="shared" si="13"/>
        <v>0</v>
      </c>
      <c r="O43" s="35">
        <v>13.6508477514404</v>
      </c>
      <c r="P43" s="202">
        <f t="shared" si="14"/>
        <v>0</v>
      </c>
      <c r="Q43" s="35">
        <v>1665.4034256757288</v>
      </c>
      <c r="R43" s="202">
        <f t="shared" si="15"/>
        <v>0</v>
      </c>
    </row>
    <row r="44" spans="1:18" x14ac:dyDescent="0.2">
      <c r="A44" s="25"/>
      <c r="B44" s="133"/>
      <c r="C44" s="133"/>
      <c r="D44" s="25"/>
      <c r="E44" s="132"/>
      <c r="F44" s="226"/>
      <c r="G44" s="41"/>
      <c r="H44" s="133"/>
      <c r="I44" s="35">
        <v>0</v>
      </c>
      <c r="J44" s="202">
        <f t="shared" si="12"/>
        <v>0</v>
      </c>
      <c r="K44" s="225">
        <v>0</v>
      </c>
      <c r="L44" s="214"/>
      <c r="M44" s="35">
        <v>0</v>
      </c>
      <c r="N44" s="202">
        <f t="shared" si="13"/>
        <v>0</v>
      </c>
      <c r="O44" s="35">
        <v>0</v>
      </c>
      <c r="P44" s="202">
        <f t="shared" si="14"/>
        <v>0</v>
      </c>
      <c r="Q44" s="35">
        <v>0</v>
      </c>
      <c r="R44" s="202">
        <f t="shared" si="15"/>
        <v>0</v>
      </c>
    </row>
    <row r="45" spans="1:18" x14ac:dyDescent="0.2">
      <c r="A45" s="25"/>
      <c r="B45" s="133"/>
      <c r="C45" s="133"/>
      <c r="D45" s="25"/>
      <c r="E45" s="132"/>
      <c r="F45" s="226"/>
      <c r="G45" s="41"/>
      <c r="H45" s="133"/>
      <c r="I45" s="35">
        <v>0</v>
      </c>
      <c r="J45" s="202">
        <f t="shared" si="12"/>
        <v>0</v>
      </c>
      <c r="K45" s="225">
        <v>0</v>
      </c>
      <c r="L45" s="214"/>
      <c r="M45" s="35">
        <v>0</v>
      </c>
      <c r="N45" s="202">
        <f t="shared" si="13"/>
        <v>0</v>
      </c>
      <c r="O45" s="35">
        <v>0</v>
      </c>
      <c r="P45" s="202">
        <f t="shared" si="14"/>
        <v>0</v>
      </c>
      <c r="Q45" s="35">
        <v>0</v>
      </c>
      <c r="R45" s="202">
        <f t="shared" si="15"/>
        <v>0</v>
      </c>
    </row>
    <row r="46" spans="1:18" ht="13.5" thickBot="1" x14ac:dyDescent="0.25">
      <c r="A46" s="25"/>
      <c r="B46" s="25" t="s">
        <v>32</v>
      </c>
      <c r="C46" s="25"/>
      <c r="D46" s="25"/>
      <c r="E46" s="197"/>
      <c r="F46" s="21"/>
      <c r="G46" s="39">
        <v>0.08</v>
      </c>
      <c r="H46" s="215"/>
      <c r="I46" s="42">
        <v>5.2468390933772042</v>
      </c>
      <c r="J46" s="202">
        <f>+SUM(J17:J45)/2*H46</f>
        <v>0</v>
      </c>
      <c r="K46" s="86"/>
      <c r="L46" s="137"/>
      <c r="M46" s="42">
        <v>0</v>
      </c>
      <c r="N46" s="202">
        <f>+SUM(N17:N45)/2*L46</f>
        <v>0</v>
      </c>
      <c r="O46" s="42">
        <v>5.2468390933772042</v>
      </c>
      <c r="P46" s="202">
        <f>+SUM(P17:P45)/2*L46</f>
        <v>0</v>
      </c>
      <c r="Q46" s="42">
        <v>640.11436939201894</v>
      </c>
      <c r="R46" s="184">
        <f>+J46*E$7</f>
        <v>0</v>
      </c>
    </row>
    <row r="47" spans="1:18" ht="13.5" thickBot="1" x14ac:dyDescent="0.25">
      <c r="A47" s="25" t="s">
        <v>33</v>
      </c>
      <c r="B47" s="25"/>
      <c r="C47" s="25"/>
      <c r="D47" s="25"/>
      <c r="E47" s="200"/>
      <c r="F47" s="25"/>
      <c r="G47" s="25"/>
      <c r="H47" s="197"/>
      <c r="I47" s="87">
        <v>237.62910856236795</v>
      </c>
      <c r="J47" s="204">
        <f>SUM(J18:J46)</f>
        <v>0</v>
      </c>
      <c r="K47" s="35"/>
      <c r="L47" s="195"/>
      <c r="M47" s="87">
        <v>0</v>
      </c>
      <c r="N47" s="204">
        <f>SUM(N18:N46)</f>
        <v>0</v>
      </c>
      <c r="O47" s="87">
        <v>237.62910856236795</v>
      </c>
      <c r="P47" s="204">
        <f>SUM(P18:P46)</f>
        <v>0</v>
      </c>
      <c r="Q47" s="87">
        <v>28990.751244608891</v>
      </c>
      <c r="R47" s="204">
        <f>SUM(R18:R46)</f>
        <v>0</v>
      </c>
    </row>
    <row r="48" spans="1:18" ht="13.5" thickTop="1" x14ac:dyDescent="0.2">
      <c r="A48" s="25" t="s">
        <v>34</v>
      </c>
      <c r="B48" s="25"/>
      <c r="C48" s="25"/>
      <c r="D48" s="25"/>
      <c r="E48" s="200"/>
      <c r="F48" s="25"/>
      <c r="G48" s="25"/>
      <c r="H48" s="197"/>
      <c r="I48" s="35">
        <v>834.87089143763205</v>
      </c>
      <c r="J48" s="202">
        <f>+J13-J47</f>
        <v>0</v>
      </c>
      <c r="K48" s="35"/>
      <c r="L48" s="195"/>
      <c r="M48" s="35">
        <v>0</v>
      </c>
      <c r="N48" s="202">
        <f>+N13-N47</f>
        <v>0</v>
      </c>
      <c r="O48" s="35">
        <v>834.87089143763205</v>
      </c>
      <c r="P48" s="202">
        <f>+P13-P47</f>
        <v>0</v>
      </c>
      <c r="Q48" s="35">
        <v>101854.24875539111</v>
      </c>
      <c r="R48" s="202">
        <f>+R13-R47</f>
        <v>0</v>
      </c>
    </row>
    <row r="49" spans="1:18" x14ac:dyDescent="0.2">
      <c r="A49" s="25"/>
      <c r="B49" s="25" t="s">
        <v>35</v>
      </c>
      <c r="C49" s="25"/>
      <c r="D49" s="25"/>
      <c r="E49" s="210"/>
      <c r="F49" s="17"/>
      <c r="G49" s="40">
        <v>47.525821712473586</v>
      </c>
      <c r="H49" s="210" t="str">
        <f>IF(E10=0,"n/a",(YVarExp-(YTotExp+YTotRet-J10))/E10)</f>
        <v>n/a</v>
      </c>
      <c r="I49" s="25" t="s">
        <v>135</v>
      </c>
      <c r="J49" s="184"/>
      <c r="K49" s="25"/>
      <c r="L49" s="197"/>
      <c r="M49" s="25"/>
      <c r="N49" s="184"/>
      <c r="O49" s="25"/>
      <c r="P49" s="184"/>
      <c r="Q49" s="25"/>
      <c r="R49" s="184"/>
    </row>
    <row r="50" spans="1:18" x14ac:dyDescent="0.2">
      <c r="A50" s="25"/>
      <c r="B50" s="25"/>
      <c r="C50" s="25"/>
      <c r="D50" s="25"/>
      <c r="E50" s="178"/>
      <c r="F50" s="25"/>
      <c r="G50" s="25"/>
      <c r="H50" s="211"/>
      <c r="I50" s="25"/>
      <c r="J50" s="184"/>
      <c r="K50" s="25"/>
      <c r="L50" s="197"/>
      <c r="M50" s="25"/>
      <c r="N50" s="184"/>
      <c r="O50" s="25"/>
      <c r="P50" s="184"/>
      <c r="Q50" s="22" t="s">
        <v>19</v>
      </c>
      <c r="R50" s="184" t="s">
        <v>19</v>
      </c>
    </row>
    <row r="51" spans="1:18" x14ac:dyDescent="0.2">
      <c r="A51" s="23" t="s">
        <v>36</v>
      </c>
      <c r="B51" s="23"/>
      <c r="C51" s="23"/>
      <c r="D51" s="24" t="s">
        <v>2</v>
      </c>
      <c r="E51" s="196" t="s">
        <v>2</v>
      </c>
      <c r="F51" s="24" t="s">
        <v>21</v>
      </c>
      <c r="G51" s="24" t="s">
        <v>22</v>
      </c>
      <c r="H51" s="196" t="s">
        <v>22</v>
      </c>
      <c r="I51" s="24" t="s">
        <v>11</v>
      </c>
      <c r="J51" s="196" t="s">
        <v>11</v>
      </c>
      <c r="K51" s="24" t="s">
        <v>10</v>
      </c>
      <c r="L51" s="196" t="s">
        <v>10</v>
      </c>
      <c r="M51" s="24" t="s">
        <v>9</v>
      </c>
      <c r="N51" s="196" t="s">
        <v>9</v>
      </c>
      <c r="O51" s="24" t="s">
        <v>8</v>
      </c>
      <c r="P51" s="196" t="s">
        <v>8</v>
      </c>
      <c r="Q51" s="24" t="s">
        <v>11</v>
      </c>
      <c r="R51" s="208" t="s">
        <v>11</v>
      </c>
    </row>
    <row r="52" spans="1:18" x14ac:dyDescent="0.2">
      <c r="A52" s="25"/>
      <c r="B52" s="25" t="s">
        <v>106</v>
      </c>
      <c r="C52" s="25"/>
      <c r="D52" s="25"/>
      <c r="E52" s="178"/>
      <c r="F52" s="25"/>
      <c r="G52" s="25"/>
      <c r="H52" s="211"/>
      <c r="I52" s="186"/>
      <c r="J52" s="184"/>
      <c r="K52" s="225"/>
      <c r="L52" s="197"/>
      <c r="M52" s="25"/>
      <c r="N52" s="184"/>
      <c r="O52" s="25"/>
      <c r="P52" s="184"/>
      <c r="Q52" s="25"/>
      <c r="R52" s="184"/>
    </row>
    <row r="53" spans="1:18" x14ac:dyDescent="0.2">
      <c r="A53" s="25"/>
      <c r="B53" s="25"/>
      <c r="C53" s="25" t="s">
        <v>104</v>
      </c>
      <c r="D53" s="25">
        <v>1</v>
      </c>
      <c r="E53" s="132"/>
      <c r="F53" s="226" t="s">
        <v>42</v>
      </c>
      <c r="G53" s="41">
        <v>6.0307377049180326</v>
      </c>
      <c r="H53" s="133"/>
      <c r="I53" s="35">
        <v>6.0307377049180326</v>
      </c>
      <c r="J53" s="202">
        <f t="shared" ref="J53:J56" si="16">E53*H53</f>
        <v>0</v>
      </c>
      <c r="K53" s="225">
        <v>0</v>
      </c>
      <c r="L53" s="214"/>
      <c r="M53" s="35">
        <v>0</v>
      </c>
      <c r="N53" s="202">
        <f>J53*L53</f>
        <v>0</v>
      </c>
      <c r="O53" s="35">
        <v>6.0307377049180326</v>
      </c>
      <c r="P53" s="202">
        <f t="shared" ref="P53:P56" si="17">+J53-N53</f>
        <v>0</v>
      </c>
      <c r="Q53" s="35">
        <v>735.75</v>
      </c>
      <c r="R53" s="202">
        <f t="shared" ref="R53:R56" si="18">+J53*E$7</f>
        <v>0</v>
      </c>
    </row>
    <row r="54" spans="1:18" x14ac:dyDescent="0.2">
      <c r="A54" s="25"/>
      <c r="B54" s="25"/>
      <c r="C54" s="25" t="s">
        <v>46</v>
      </c>
      <c r="D54" s="25">
        <v>1</v>
      </c>
      <c r="E54" s="132"/>
      <c r="F54" s="226" t="s">
        <v>42</v>
      </c>
      <c r="G54" s="41">
        <v>24.318629163934425</v>
      </c>
      <c r="H54" s="133"/>
      <c r="I54" s="35">
        <v>24.318629163934425</v>
      </c>
      <c r="J54" s="202">
        <f t="shared" si="16"/>
        <v>0</v>
      </c>
      <c r="K54" s="225">
        <v>0</v>
      </c>
      <c r="L54" s="214"/>
      <c r="M54" s="35">
        <v>0</v>
      </c>
      <c r="N54" s="202">
        <f>J54*L54</f>
        <v>0</v>
      </c>
      <c r="O54" s="35">
        <v>24.318629163934425</v>
      </c>
      <c r="P54" s="202">
        <f t="shared" si="17"/>
        <v>0</v>
      </c>
      <c r="Q54" s="35">
        <v>2966.872758</v>
      </c>
      <c r="R54" s="202">
        <f t="shared" si="18"/>
        <v>0</v>
      </c>
    </row>
    <row r="55" spans="1:18" x14ac:dyDescent="0.2">
      <c r="A55" s="25"/>
      <c r="B55" s="25"/>
      <c r="C55" s="25" t="s">
        <v>105</v>
      </c>
      <c r="D55" s="25">
        <v>1</v>
      </c>
      <c r="E55" s="132"/>
      <c r="F55" s="226" t="s">
        <v>42</v>
      </c>
      <c r="G55" s="41">
        <v>27.272756869854085</v>
      </c>
      <c r="H55" s="133"/>
      <c r="I55" s="35">
        <v>27.272756869854085</v>
      </c>
      <c r="J55" s="202">
        <f t="shared" si="16"/>
        <v>0</v>
      </c>
      <c r="K55" s="225">
        <v>0</v>
      </c>
      <c r="L55" s="214"/>
      <c r="M55" s="35">
        <v>0</v>
      </c>
      <c r="N55" s="202">
        <f>J55*L55</f>
        <v>0</v>
      </c>
      <c r="O55" s="35">
        <v>27.272756869854085</v>
      </c>
      <c r="P55" s="202">
        <f t="shared" si="17"/>
        <v>0</v>
      </c>
      <c r="Q55" s="35">
        <v>3327.2763381221985</v>
      </c>
      <c r="R55" s="202">
        <f t="shared" si="18"/>
        <v>0</v>
      </c>
    </row>
    <row r="56" spans="1:18" x14ac:dyDescent="0.2">
      <c r="A56" s="25"/>
      <c r="B56" s="25"/>
      <c r="C56" s="25" t="s">
        <v>4</v>
      </c>
      <c r="D56" s="25">
        <v>1</v>
      </c>
      <c r="E56" s="132"/>
      <c r="F56" s="226" t="s">
        <v>42</v>
      </c>
      <c r="G56" s="41">
        <v>18.20868786536186</v>
      </c>
      <c r="H56" s="133"/>
      <c r="I56" s="35">
        <v>18.20868786536186</v>
      </c>
      <c r="J56" s="202">
        <f t="shared" si="16"/>
        <v>0</v>
      </c>
      <c r="K56" s="225">
        <v>0</v>
      </c>
      <c r="L56" s="214"/>
      <c r="M56" s="35">
        <v>0</v>
      </c>
      <c r="N56" s="202">
        <f>J56*L56</f>
        <v>0</v>
      </c>
      <c r="O56" s="35">
        <v>18.20868786536186</v>
      </c>
      <c r="P56" s="202">
        <f t="shared" si="17"/>
        <v>0</v>
      </c>
      <c r="Q56" s="35">
        <v>2221.4599195741471</v>
      </c>
      <c r="R56" s="202">
        <f t="shared" si="18"/>
        <v>0</v>
      </c>
    </row>
    <row r="57" spans="1:18" x14ac:dyDescent="0.2">
      <c r="A57" s="25"/>
      <c r="B57" s="25" t="s">
        <v>89</v>
      </c>
      <c r="C57" s="25"/>
      <c r="D57" s="25"/>
      <c r="E57" s="197"/>
      <c r="F57" s="21"/>
      <c r="G57" s="41"/>
      <c r="H57" s="197"/>
      <c r="I57" s="186"/>
      <c r="J57" s="184"/>
      <c r="K57" s="225"/>
      <c r="L57" s="197"/>
      <c r="M57" s="35"/>
      <c r="N57" s="184"/>
      <c r="O57" s="35"/>
      <c r="P57" s="184"/>
      <c r="Q57" s="35"/>
      <c r="R57" s="184"/>
    </row>
    <row r="58" spans="1:18" x14ac:dyDescent="0.2">
      <c r="A58" s="25"/>
      <c r="B58" s="25"/>
      <c r="C58" s="25" t="s">
        <v>104</v>
      </c>
      <c r="D58" s="41">
        <v>25.128073770491802</v>
      </c>
      <c r="E58" s="132"/>
      <c r="F58" s="226" t="s">
        <v>100</v>
      </c>
      <c r="G58" s="39">
        <v>0.08</v>
      </c>
      <c r="H58" s="215"/>
      <c r="I58" s="35">
        <v>2.0102459016393444</v>
      </c>
      <c r="J58" s="202">
        <f t="shared" ref="J58:J68" si="19">E58*H58</f>
        <v>0</v>
      </c>
      <c r="K58" s="225">
        <v>0</v>
      </c>
      <c r="L58" s="214"/>
      <c r="M58" s="35">
        <v>0</v>
      </c>
      <c r="N58" s="202">
        <f>J58*L58</f>
        <v>0</v>
      </c>
      <c r="O58" s="35">
        <v>2.0102459016393444</v>
      </c>
      <c r="P58" s="202">
        <f t="shared" ref="P58:P61" si="20">+J58-N58</f>
        <v>0</v>
      </c>
      <c r="Q58" s="35">
        <v>245.25</v>
      </c>
      <c r="R58" s="202">
        <f t="shared" ref="R58:R61" si="21">+J58*E$7</f>
        <v>0</v>
      </c>
    </row>
    <row r="59" spans="1:18" x14ac:dyDescent="0.2">
      <c r="A59" s="25"/>
      <c r="B59" s="25"/>
      <c r="C59" s="25" t="s">
        <v>46</v>
      </c>
      <c r="D59" s="41">
        <v>182.38971872950816</v>
      </c>
      <c r="E59" s="132"/>
      <c r="F59" s="226" t="s">
        <v>100</v>
      </c>
      <c r="G59" s="39">
        <v>0.08</v>
      </c>
      <c r="H59" s="215"/>
      <c r="I59" s="35">
        <v>14.591177498360652</v>
      </c>
      <c r="J59" s="202">
        <f t="shared" si="19"/>
        <v>0</v>
      </c>
      <c r="K59" s="225">
        <v>0</v>
      </c>
      <c r="L59" s="214"/>
      <c r="M59" s="35">
        <v>0</v>
      </c>
      <c r="N59" s="202">
        <f>J59*L59</f>
        <v>0</v>
      </c>
      <c r="O59" s="35">
        <v>14.591177498360652</v>
      </c>
      <c r="P59" s="202">
        <f t="shared" si="20"/>
        <v>0</v>
      </c>
      <c r="Q59" s="35">
        <v>1780.1236547999995</v>
      </c>
      <c r="R59" s="202">
        <f t="shared" si="21"/>
        <v>0</v>
      </c>
    </row>
    <row r="60" spans="1:18" x14ac:dyDescent="0.2">
      <c r="A60" s="25"/>
      <c r="B60" s="25"/>
      <c r="C60" s="25" t="s">
        <v>105</v>
      </c>
      <c r="D60" s="41">
        <v>203.19729790178803</v>
      </c>
      <c r="E60" s="132"/>
      <c r="F60" s="226" t="s">
        <v>100</v>
      </c>
      <c r="G60" s="39">
        <v>0.08</v>
      </c>
      <c r="H60" s="215"/>
      <c r="I60" s="35">
        <v>16.255783832143042</v>
      </c>
      <c r="J60" s="202">
        <f t="shared" si="19"/>
        <v>0</v>
      </c>
      <c r="K60" s="225">
        <v>0</v>
      </c>
      <c r="L60" s="214"/>
      <c r="M60" s="35">
        <v>0</v>
      </c>
      <c r="N60" s="202">
        <f>J60*L60</f>
        <v>0</v>
      </c>
      <c r="O60" s="35">
        <v>16.255783832143042</v>
      </c>
      <c r="P60" s="202">
        <f t="shared" si="20"/>
        <v>0</v>
      </c>
      <c r="Q60" s="35">
        <v>1983.2056275214511</v>
      </c>
      <c r="R60" s="202">
        <f t="shared" si="21"/>
        <v>0</v>
      </c>
    </row>
    <row r="61" spans="1:18" x14ac:dyDescent="0.2">
      <c r="A61" s="25"/>
      <c r="B61" s="25"/>
      <c r="C61" s="25" t="s">
        <v>4</v>
      </c>
      <c r="D61" s="41">
        <v>85.839140025203037</v>
      </c>
      <c r="E61" s="132"/>
      <c r="F61" s="226" t="s">
        <v>100</v>
      </c>
      <c r="G61" s="39">
        <v>0.08</v>
      </c>
      <c r="H61" s="215"/>
      <c r="I61" s="35">
        <v>6.8671312020162434</v>
      </c>
      <c r="J61" s="202">
        <f t="shared" si="19"/>
        <v>0</v>
      </c>
      <c r="K61" s="225">
        <v>0</v>
      </c>
      <c r="L61" s="214"/>
      <c r="M61" s="35">
        <v>0</v>
      </c>
      <c r="N61" s="202">
        <f>J61*L61</f>
        <v>0</v>
      </c>
      <c r="O61" s="35">
        <v>6.8671312020162434</v>
      </c>
      <c r="P61" s="202">
        <f t="shared" si="20"/>
        <v>0</v>
      </c>
      <c r="Q61" s="35">
        <v>837.79000664598175</v>
      </c>
      <c r="R61" s="202">
        <f t="shared" si="21"/>
        <v>0</v>
      </c>
    </row>
    <row r="62" spans="1:18" x14ac:dyDescent="0.2">
      <c r="A62" s="25"/>
      <c r="B62" s="25" t="s">
        <v>156</v>
      </c>
      <c r="C62" s="25"/>
      <c r="D62" s="25">
        <v>1</v>
      </c>
      <c r="E62" s="132"/>
      <c r="F62" s="226" t="s">
        <v>42</v>
      </c>
      <c r="G62" s="41">
        <v>0</v>
      </c>
      <c r="H62" s="133"/>
      <c r="I62" s="35">
        <v>0</v>
      </c>
      <c r="J62" s="202">
        <f t="shared" si="19"/>
        <v>0</v>
      </c>
      <c r="K62" s="225">
        <v>0</v>
      </c>
      <c r="L62" s="214"/>
      <c r="M62" s="35">
        <v>0</v>
      </c>
      <c r="N62" s="202">
        <f t="shared" ref="N62:N69" si="22">J62*L62</f>
        <v>0</v>
      </c>
      <c r="O62" s="35">
        <v>0</v>
      </c>
      <c r="P62" s="202">
        <f t="shared" ref="P62:P69" si="23">+J62-N62</f>
        <v>0</v>
      </c>
      <c r="Q62" s="35">
        <v>0</v>
      </c>
      <c r="R62" s="202">
        <f t="shared" ref="R62:R69" si="24">+J62*E$7</f>
        <v>0</v>
      </c>
    </row>
    <row r="63" spans="1:18" x14ac:dyDescent="0.2">
      <c r="A63" s="25"/>
      <c r="B63" s="25" t="s">
        <v>152</v>
      </c>
      <c r="C63" s="25"/>
      <c r="D63" s="25">
        <v>1</v>
      </c>
      <c r="E63" s="132"/>
      <c r="F63" s="226" t="s">
        <v>42</v>
      </c>
      <c r="G63" s="41">
        <v>0</v>
      </c>
      <c r="H63" s="133"/>
      <c r="I63" s="35">
        <v>0</v>
      </c>
      <c r="J63" s="202">
        <f t="shared" si="19"/>
        <v>0</v>
      </c>
      <c r="K63" s="225">
        <v>0</v>
      </c>
      <c r="L63" s="214"/>
      <c r="M63" s="35">
        <v>0</v>
      </c>
      <c r="N63" s="202">
        <f t="shared" si="22"/>
        <v>0</v>
      </c>
      <c r="O63" s="35">
        <v>0</v>
      </c>
      <c r="P63" s="202">
        <f t="shared" si="23"/>
        <v>0</v>
      </c>
      <c r="Q63" s="35">
        <v>0</v>
      </c>
      <c r="R63" s="202">
        <f t="shared" si="24"/>
        <v>0</v>
      </c>
    </row>
    <row r="64" spans="1:18" x14ac:dyDescent="0.2">
      <c r="A64" s="25"/>
      <c r="B64" s="25" t="s">
        <v>137</v>
      </c>
      <c r="C64" s="25"/>
      <c r="D64" s="25">
        <v>1</v>
      </c>
      <c r="E64" s="132"/>
      <c r="F64" s="226" t="s">
        <v>42</v>
      </c>
      <c r="G64" s="41">
        <v>0</v>
      </c>
      <c r="H64" s="133"/>
      <c r="I64" s="35">
        <v>0</v>
      </c>
      <c r="J64" s="202">
        <f t="shared" si="19"/>
        <v>0</v>
      </c>
      <c r="K64" s="225">
        <v>0</v>
      </c>
      <c r="L64" s="214"/>
      <c r="M64" s="35">
        <v>0</v>
      </c>
      <c r="N64" s="202">
        <f t="shared" si="22"/>
        <v>0</v>
      </c>
      <c r="O64" s="35">
        <v>0</v>
      </c>
      <c r="P64" s="202">
        <f t="shared" si="23"/>
        <v>0</v>
      </c>
      <c r="Q64" s="35">
        <v>0</v>
      </c>
      <c r="R64" s="202">
        <f t="shared" si="24"/>
        <v>0</v>
      </c>
    </row>
    <row r="65" spans="1:18" x14ac:dyDescent="0.2">
      <c r="A65" s="25"/>
      <c r="B65" s="25" t="s">
        <v>453</v>
      </c>
      <c r="C65" s="25"/>
      <c r="D65" s="25">
        <v>1</v>
      </c>
      <c r="E65" s="132"/>
      <c r="F65" s="226" t="s">
        <v>42</v>
      </c>
      <c r="G65" s="41">
        <v>50</v>
      </c>
      <c r="H65" s="133"/>
      <c r="I65" s="35">
        <v>50</v>
      </c>
      <c r="J65" s="202">
        <f t="shared" si="19"/>
        <v>0</v>
      </c>
      <c r="K65" s="225">
        <v>0</v>
      </c>
      <c r="L65" s="214"/>
      <c r="M65" s="35">
        <v>0</v>
      </c>
      <c r="N65" s="202">
        <f t="shared" si="22"/>
        <v>0</v>
      </c>
      <c r="O65" s="35">
        <v>50</v>
      </c>
      <c r="P65" s="202">
        <f t="shared" si="23"/>
        <v>0</v>
      </c>
      <c r="Q65" s="35">
        <v>6100</v>
      </c>
      <c r="R65" s="202">
        <f t="shared" si="24"/>
        <v>0</v>
      </c>
    </row>
    <row r="66" spans="1:18" x14ac:dyDescent="0.2">
      <c r="A66" s="25"/>
      <c r="B66" s="25" t="s">
        <v>159</v>
      </c>
      <c r="C66" s="25"/>
      <c r="D66" s="25">
        <v>1</v>
      </c>
      <c r="E66" s="132"/>
      <c r="F66" s="226" t="s">
        <v>42</v>
      </c>
      <c r="G66" s="41">
        <v>0</v>
      </c>
      <c r="H66" s="133"/>
      <c r="I66" s="35">
        <v>0</v>
      </c>
      <c r="J66" s="202">
        <f t="shared" si="19"/>
        <v>0</v>
      </c>
      <c r="K66" s="225">
        <v>0</v>
      </c>
      <c r="L66" s="214"/>
      <c r="M66" s="35">
        <v>0</v>
      </c>
      <c r="N66" s="202">
        <f t="shared" si="22"/>
        <v>0</v>
      </c>
      <c r="O66" s="35">
        <v>0</v>
      </c>
      <c r="P66" s="202">
        <f t="shared" si="23"/>
        <v>0</v>
      </c>
      <c r="Q66" s="35">
        <v>0</v>
      </c>
      <c r="R66" s="202">
        <f t="shared" si="24"/>
        <v>0</v>
      </c>
    </row>
    <row r="67" spans="1:18" x14ac:dyDescent="0.2">
      <c r="A67" s="25"/>
      <c r="B67" s="25" t="s">
        <v>160</v>
      </c>
      <c r="C67" s="25"/>
      <c r="D67" s="25">
        <v>1</v>
      </c>
      <c r="E67" s="132"/>
      <c r="F67" s="226" t="s">
        <v>42</v>
      </c>
      <c r="G67" s="41">
        <v>0</v>
      </c>
      <c r="H67" s="133"/>
      <c r="I67" s="35">
        <v>0</v>
      </c>
      <c r="J67" s="202">
        <f t="shared" si="19"/>
        <v>0</v>
      </c>
      <c r="K67" s="225">
        <v>0</v>
      </c>
      <c r="L67" s="214"/>
      <c r="M67" s="35">
        <v>0</v>
      </c>
      <c r="N67" s="202">
        <f t="shared" si="22"/>
        <v>0</v>
      </c>
      <c r="O67" s="35">
        <v>0</v>
      </c>
      <c r="P67" s="202">
        <f t="shared" si="23"/>
        <v>0</v>
      </c>
      <c r="Q67" s="35">
        <v>0</v>
      </c>
      <c r="R67" s="202">
        <f t="shared" si="24"/>
        <v>0</v>
      </c>
    </row>
    <row r="68" spans="1:18" x14ac:dyDescent="0.2">
      <c r="A68" s="25"/>
      <c r="B68" s="133"/>
      <c r="C68" s="133"/>
      <c r="D68" s="25">
        <v>1</v>
      </c>
      <c r="E68" s="132"/>
      <c r="F68" s="226"/>
      <c r="G68" s="41">
        <v>0</v>
      </c>
      <c r="H68" s="133"/>
      <c r="I68" s="35">
        <v>0</v>
      </c>
      <c r="J68" s="202">
        <f t="shared" si="19"/>
        <v>0</v>
      </c>
      <c r="K68" s="225">
        <v>0</v>
      </c>
      <c r="L68" s="214"/>
      <c r="M68" s="35">
        <v>0</v>
      </c>
      <c r="N68" s="202">
        <f t="shared" si="22"/>
        <v>0</v>
      </c>
      <c r="O68" s="35">
        <v>0</v>
      </c>
      <c r="P68" s="202">
        <f t="shared" si="23"/>
        <v>0</v>
      </c>
      <c r="Q68" s="35">
        <v>0</v>
      </c>
      <c r="R68" s="202">
        <f t="shared" si="24"/>
        <v>0</v>
      </c>
    </row>
    <row r="69" spans="1:18" ht="13.5" thickBot="1" x14ac:dyDescent="0.25">
      <c r="A69" s="25"/>
      <c r="B69" s="133"/>
      <c r="C69" s="133"/>
      <c r="D69" s="25">
        <v>1</v>
      </c>
      <c r="E69" s="132"/>
      <c r="F69" s="226"/>
      <c r="G69" s="41">
        <v>0</v>
      </c>
      <c r="H69" s="133"/>
      <c r="I69" s="35">
        <v>0</v>
      </c>
      <c r="J69" s="202">
        <f>E69*H69</f>
        <v>0</v>
      </c>
      <c r="K69" s="225">
        <v>0</v>
      </c>
      <c r="L69" s="214"/>
      <c r="M69" s="35">
        <v>0</v>
      </c>
      <c r="N69" s="202">
        <f t="shared" si="22"/>
        <v>0</v>
      </c>
      <c r="O69" s="35">
        <v>0</v>
      </c>
      <c r="P69" s="202">
        <f t="shared" si="23"/>
        <v>0</v>
      </c>
      <c r="Q69" s="35">
        <v>0</v>
      </c>
      <c r="R69" s="202">
        <f t="shared" si="24"/>
        <v>0</v>
      </c>
    </row>
    <row r="70" spans="1:18" ht="13.5" thickBot="1" x14ac:dyDescent="0.25">
      <c r="A70" s="25" t="s">
        <v>37</v>
      </c>
      <c r="B70" s="25"/>
      <c r="C70" s="25"/>
      <c r="D70" s="25"/>
      <c r="E70" s="197"/>
      <c r="F70" s="25"/>
      <c r="G70" s="25"/>
      <c r="H70" s="197"/>
      <c r="I70" s="121">
        <v>165.55515003822768</v>
      </c>
      <c r="J70" s="204">
        <f>+SUM(J53:J69)</f>
        <v>0</v>
      </c>
      <c r="K70" s="35"/>
      <c r="L70" s="195"/>
      <c r="M70" s="121">
        <v>0</v>
      </c>
      <c r="N70" s="204">
        <f>+SUM(N53:N69)</f>
        <v>0</v>
      </c>
      <c r="O70" s="121">
        <v>165.55515003822768</v>
      </c>
      <c r="P70" s="204">
        <f>+SUM(P53:P69)</f>
        <v>0</v>
      </c>
      <c r="Q70" s="121">
        <v>20197.728304663779</v>
      </c>
      <c r="R70" s="204">
        <f>+SUM(R53:R69)</f>
        <v>0</v>
      </c>
    </row>
    <row r="71" spans="1:18" ht="14.25" thickTop="1" thickBot="1" x14ac:dyDescent="0.25">
      <c r="A71" s="25" t="s">
        <v>52</v>
      </c>
      <c r="B71" s="25"/>
      <c r="C71" s="25"/>
      <c r="D71" s="25"/>
      <c r="E71" s="197"/>
      <c r="F71" s="25"/>
      <c r="G71" s="25"/>
      <c r="H71" s="197"/>
      <c r="I71" s="87">
        <v>403.18425860059563</v>
      </c>
      <c r="J71" s="205">
        <f>+J47+J70</f>
        <v>0</v>
      </c>
      <c r="K71" s="35"/>
      <c r="L71" s="195"/>
      <c r="M71" s="87">
        <v>0</v>
      </c>
      <c r="N71" s="205">
        <f>+N47+N70</f>
        <v>0</v>
      </c>
      <c r="O71" s="87">
        <v>403.18425860059563</v>
      </c>
      <c r="P71" s="205">
        <f>+P47+P70</f>
        <v>0</v>
      </c>
      <c r="Q71" s="87">
        <v>49188.47954927267</v>
      </c>
      <c r="R71" s="205">
        <f>+R47+R70</f>
        <v>0</v>
      </c>
    </row>
    <row r="72" spans="1:18" ht="13.5" thickTop="1" x14ac:dyDescent="0.2">
      <c r="A72" s="25"/>
      <c r="B72" s="25"/>
      <c r="C72" s="25"/>
      <c r="D72" s="25"/>
      <c r="E72" s="197"/>
      <c r="F72" s="25"/>
      <c r="G72" s="25"/>
      <c r="H72" s="197"/>
      <c r="I72" s="35"/>
      <c r="J72" s="184"/>
      <c r="K72" s="35"/>
      <c r="L72" s="195"/>
      <c r="M72" s="35"/>
      <c r="N72" s="184"/>
      <c r="O72" s="35"/>
      <c r="P72" s="184"/>
      <c r="Q72" s="35"/>
      <c r="R72" s="184"/>
    </row>
    <row r="73" spans="1:18" x14ac:dyDescent="0.2">
      <c r="A73" s="25" t="s">
        <v>153</v>
      </c>
      <c r="B73" s="25"/>
      <c r="C73" s="25"/>
      <c r="D73" s="25"/>
      <c r="E73" s="197"/>
      <c r="F73" s="25"/>
      <c r="G73" s="25"/>
      <c r="H73" s="197"/>
      <c r="I73" s="35">
        <v>669.31574139940437</v>
      </c>
      <c r="J73" s="202">
        <f>+J13-J71</f>
        <v>0</v>
      </c>
      <c r="K73" s="35"/>
      <c r="L73" s="195"/>
      <c r="M73" s="35">
        <v>0</v>
      </c>
      <c r="N73" s="202">
        <f>+N13-N71</f>
        <v>0</v>
      </c>
      <c r="O73" s="35">
        <v>669.31574139940437</v>
      </c>
      <c r="P73" s="202">
        <f>+P13-P71</f>
        <v>0</v>
      </c>
      <c r="Q73" s="35">
        <v>81656.52045072733</v>
      </c>
      <c r="R73" s="202">
        <f>+R13-R71</f>
        <v>0</v>
      </c>
    </row>
    <row r="74" spans="1:18" x14ac:dyDescent="0.2">
      <c r="A74" s="25"/>
      <c r="B74" s="25"/>
      <c r="C74" s="25"/>
      <c r="D74" s="25"/>
      <c r="E74" s="197"/>
      <c r="F74" s="25"/>
      <c r="G74" s="25"/>
      <c r="H74" s="197"/>
      <c r="I74" s="35"/>
      <c r="J74" s="206"/>
      <c r="K74" s="35"/>
      <c r="L74" s="195"/>
      <c r="M74" s="35"/>
      <c r="N74" s="195"/>
      <c r="O74" s="35"/>
      <c r="P74" s="195"/>
      <c r="Q74" s="35"/>
      <c r="R74" s="206"/>
    </row>
    <row r="75" spans="1:18" ht="13.5" thickBot="1" x14ac:dyDescent="0.25">
      <c r="A75" s="44" t="s">
        <v>38</v>
      </c>
      <c r="B75" s="44"/>
      <c r="C75" s="44"/>
      <c r="D75" s="44"/>
      <c r="E75" s="201"/>
      <c r="F75" s="44"/>
      <c r="G75" s="45">
        <v>80.636851720119125</v>
      </c>
      <c r="H75" s="212" t="str">
        <f>IF(E10=0,"n/a",(YTotExp-(YTotExp+YTotRet-J10))/E10)</f>
        <v>n/a</v>
      </c>
      <c r="I75" s="44" t="s">
        <v>135</v>
      </c>
      <c r="J75" s="207"/>
      <c r="K75" s="44"/>
      <c r="L75" s="201"/>
      <c r="M75" s="44"/>
      <c r="N75" s="201"/>
      <c r="O75" s="44"/>
      <c r="P75" s="201"/>
      <c r="Q75" s="44"/>
      <c r="R75" s="207"/>
    </row>
    <row r="76" spans="1:18" ht="13.5" thickTop="1" x14ac:dyDescent="0.2"/>
    <row r="77" spans="1:18" s="17" customFormat="1" ht="15.75" x14ac:dyDescent="0.25">
      <c r="A77"/>
      <c r="B77" s="88"/>
      <c r="C77" s="89"/>
      <c r="D77" s="234" t="s">
        <v>115</v>
      </c>
      <c r="E77" s="235"/>
      <c r="F77" s="235"/>
      <c r="G77" s="235"/>
      <c r="H77" s="235"/>
      <c r="I77" s="235"/>
      <c r="J77" s="99"/>
      <c r="K77" s="99"/>
      <c r="M77"/>
      <c r="N77"/>
    </row>
    <row r="78" spans="1:18" s="17" customFormat="1" ht="15.75" x14ac:dyDescent="0.25">
      <c r="A78"/>
      <c r="B78" s="19" t="s">
        <v>116</v>
      </c>
      <c r="C78" s="19" t="s">
        <v>116</v>
      </c>
      <c r="D78" s="126" t="s">
        <v>170</v>
      </c>
      <c r="E78" s="18"/>
      <c r="F78" s="18"/>
      <c r="G78" s="126" t="s">
        <v>170</v>
      </c>
      <c r="H78" s="18"/>
      <c r="I78" s="18"/>
      <c r="J78" s="18"/>
      <c r="K78" s="18"/>
      <c r="M78"/>
      <c r="N78"/>
    </row>
    <row r="79" spans="1:18" s="17" customFormat="1" x14ac:dyDescent="0.2">
      <c r="A79"/>
      <c r="B79" s="19" t="s">
        <v>81</v>
      </c>
      <c r="C79" s="19" t="s">
        <v>81</v>
      </c>
      <c r="D79" s="126" t="s">
        <v>157</v>
      </c>
      <c r="E79" s="122"/>
      <c r="F79" s="122"/>
      <c r="G79" s="126" t="s">
        <v>11</v>
      </c>
      <c r="H79" s="122"/>
      <c r="I79" s="122"/>
      <c r="J79" s="122"/>
      <c r="K79" s="122"/>
      <c r="M79"/>
      <c r="N79"/>
    </row>
    <row r="80" spans="1:18" s="17" customFormat="1" x14ac:dyDescent="0.2">
      <c r="A80"/>
      <c r="B80" s="19" t="s">
        <v>30</v>
      </c>
      <c r="C80" s="99" t="s">
        <v>135</v>
      </c>
      <c r="D80" s="126" t="s">
        <v>99</v>
      </c>
      <c r="E80" s="122"/>
      <c r="F80" s="122"/>
      <c r="G80" s="126" t="s">
        <v>99</v>
      </c>
      <c r="H80" s="19"/>
      <c r="I80" s="19"/>
      <c r="J80" s="19"/>
      <c r="K80" s="19"/>
      <c r="M80"/>
      <c r="N80"/>
    </row>
    <row r="81" spans="1:18" s="17" customFormat="1" x14ac:dyDescent="0.2">
      <c r="A81"/>
      <c r="B81" s="90">
        <v>0.75</v>
      </c>
      <c r="C81" s="91">
        <v>3.75</v>
      </c>
      <c r="D81" s="92">
        <v>63.36776228329812</v>
      </c>
      <c r="E81" s="93"/>
      <c r="F81" s="94"/>
      <c r="G81" s="92">
        <v>107.51580229349217</v>
      </c>
      <c r="H81" s="93"/>
      <c r="I81" s="93"/>
      <c r="M81"/>
      <c r="N81"/>
    </row>
    <row r="82" spans="1:18" s="17" customFormat="1" x14ac:dyDescent="0.2">
      <c r="A82"/>
      <c r="B82" s="95">
        <v>0.9</v>
      </c>
      <c r="C82" s="96">
        <v>4.5</v>
      </c>
      <c r="D82" s="97">
        <v>52.806468569415102</v>
      </c>
      <c r="E82" s="83"/>
      <c r="F82" s="98"/>
      <c r="G82" s="97">
        <v>89.596501911243479</v>
      </c>
      <c r="H82" s="83"/>
      <c r="I82" s="83"/>
      <c r="M82"/>
      <c r="N82"/>
    </row>
    <row r="83" spans="1:18" s="17" customFormat="1" x14ac:dyDescent="0.2">
      <c r="A83"/>
      <c r="B83" s="90">
        <v>1</v>
      </c>
      <c r="C83" s="91">
        <v>5</v>
      </c>
      <c r="D83" s="92">
        <v>47.525821712473586</v>
      </c>
      <c r="E83" s="93"/>
      <c r="F83" s="94"/>
      <c r="G83" s="92">
        <v>80.636851720119125</v>
      </c>
      <c r="H83" s="93"/>
      <c r="I83" s="93"/>
      <c r="M83"/>
      <c r="N83"/>
    </row>
    <row r="84" spans="1:18" s="17" customFormat="1" x14ac:dyDescent="0.2">
      <c r="A84"/>
      <c r="B84" s="95">
        <v>1.1000000000000001</v>
      </c>
      <c r="C84" s="96">
        <v>5.5</v>
      </c>
      <c r="D84" s="97">
        <v>43.20529246588508</v>
      </c>
      <c r="E84" s="83"/>
      <c r="F84" s="98"/>
      <c r="G84" s="97">
        <v>73.306228836471931</v>
      </c>
      <c r="H84" s="83"/>
      <c r="I84" s="83"/>
      <c r="M84"/>
      <c r="N84"/>
    </row>
    <row r="85" spans="1:18" s="17" customFormat="1" x14ac:dyDescent="0.2">
      <c r="A85"/>
      <c r="B85" s="90">
        <v>1.25</v>
      </c>
      <c r="C85" s="91">
        <v>6.25</v>
      </c>
      <c r="D85" s="92">
        <v>38.020657369978871</v>
      </c>
      <c r="E85" s="93"/>
      <c r="F85" s="94"/>
      <c r="G85" s="92">
        <v>64.509481376095295</v>
      </c>
      <c r="H85" s="93"/>
      <c r="I85" s="93"/>
      <c r="M85"/>
      <c r="N85"/>
    </row>
    <row r="86" spans="1:18" s="17" customFormat="1" x14ac:dyDescent="0.2">
      <c r="A86"/>
      <c r="M86"/>
      <c r="N86"/>
    </row>
    <row r="87" spans="1:18" x14ac:dyDescent="0.2">
      <c r="A87" s="25" t="s">
        <v>536</v>
      </c>
      <c r="B87" s="17"/>
      <c r="C87" s="17"/>
      <c r="D87" s="17"/>
      <c r="E87" s="17"/>
      <c r="F87" s="17"/>
      <c r="G87" s="17"/>
      <c r="H87" s="17"/>
      <c r="I87" s="17"/>
      <c r="J87" s="28"/>
      <c r="K87" s="17"/>
      <c r="L87" s="17"/>
      <c r="M87" s="17"/>
      <c r="N87" s="17"/>
      <c r="O87" s="17"/>
      <c r="P87" s="17"/>
      <c r="Q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18" ht="26.25" customHeight="1" x14ac:dyDescent="0.2">
      <c r="A89" s="236" t="s">
        <v>140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21"/>
      <c r="N89" s="221"/>
      <c r="O89" s="221"/>
      <c r="P89" s="221"/>
      <c r="Q89" s="221"/>
      <c r="R89" s="221"/>
    </row>
  </sheetData>
  <sheetProtection sheet="1" objects="1" scenarios="1"/>
  <mergeCells count="6">
    <mergeCell ref="D77:I77"/>
    <mergeCell ref="A89:L8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1">
    <tabColor rgb="FFFF0000"/>
    <pageSetUpPr fitToPage="1"/>
  </sheetPr>
  <dimension ref="A1:O91"/>
  <sheetViews>
    <sheetView showGridLines="0" workbookViewId="0">
      <selection sqref="A1:N1"/>
    </sheetView>
  </sheetViews>
  <sheetFormatPr defaultColWidth="9.140625" defaultRowHeight="12.75" x14ac:dyDescent="0.2"/>
  <cols>
    <col min="1" max="1" width="3.5703125" customWidth="1"/>
    <col min="2" max="2" width="4.42578125" customWidth="1"/>
    <col min="3" max="3" width="20.140625" customWidth="1"/>
    <col min="4" max="4" width="12.140625" customWidth="1"/>
    <col min="5" max="5" width="9.140625" customWidth="1"/>
    <col min="6" max="6" width="13.140625" customWidth="1"/>
    <col min="7" max="8" width="9.140625" customWidth="1"/>
    <col min="9" max="9" width="9.5703125" bestFit="1" customWidth="1"/>
    <col min="10" max="10" width="9.5703125" customWidth="1"/>
    <col min="11" max="11" width="11.42578125" customWidth="1"/>
    <col min="12" max="12" width="11.5703125" customWidth="1"/>
    <col min="13" max="13" width="14.5703125" customWidth="1"/>
    <col min="14" max="14" width="14.42578125" customWidth="1"/>
    <col min="15" max="15" width="9.140625" hidden="1" customWidth="1"/>
  </cols>
  <sheetData>
    <row r="1" spans="1:15" x14ac:dyDescent="0.2">
      <c r="A1" s="238" t="s">
        <v>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x14ac:dyDescent="0.2">
      <c r="A2" s="239" t="s">
        <v>515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 x14ac:dyDescent="0.2">
      <c r="A3" s="240" t="s">
        <v>483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5" x14ac:dyDescent="0.2">
      <c r="A5" s="123" t="s">
        <v>506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x14ac:dyDescent="0.2">
      <c r="A6" s="106"/>
      <c r="B6" s="22"/>
      <c r="C6" s="22"/>
      <c r="D6" s="22"/>
      <c r="E6" s="216" t="s">
        <v>512</v>
      </c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">
      <c r="A7" s="106"/>
      <c r="B7" s="32" t="s">
        <v>147</v>
      </c>
      <c r="C7" s="22"/>
      <c r="D7" s="22">
        <v>100</v>
      </c>
      <c r="E7" s="213"/>
      <c r="F7" s="115" t="s">
        <v>155</v>
      </c>
      <c r="G7" s="22"/>
      <c r="H7" s="22"/>
      <c r="I7" s="22"/>
      <c r="J7" s="22"/>
      <c r="K7" s="22"/>
      <c r="L7" s="22"/>
      <c r="M7" s="22"/>
      <c r="N7" s="190" t="s">
        <v>74</v>
      </c>
    </row>
    <row r="8" spans="1:15" x14ac:dyDescent="0.2">
      <c r="A8" s="106"/>
      <c r="B8" s="32" t="s">
        <v>97</v>
      </c>
      <c r="C8" s="22"/>
      <c r="D8" s="22">
        <v>100</v>
      </c>
      <c r="E8" s="213"/>
      <c r="F8" s="115" t="s">
        <v>154</v>
      </c>
      <c r="G8" s="190" t="s">
        <v>74</v>
      </c>
      <c r="H8" s="22"/>
      <c r="I8" s="22"/>
      <c r="J8" s="22"/>
      <c r="K8" s="22"/>
      <c r="L8" s="22"/>
      <c r="M8" s="22" t="s">
        <v>19</v>
      </c>
      <c r="N8" s="190" t="s">
        <v>19</v>
      </c>
    </row>
    <row r="9" spans="1:15" x14ac:dyDescent="0.2">
      <c r="A9" s="25"/>
      <c r="B9" s="17"/>
      <c r="C9" s="25"/>
      <c r="D9" s="21"/>
      <c r="E9" s="190" t="s">
        <v>74</v>
      </c>
      <c r="F9" s="21" t="s">
        <v>2</v>
      </c>
      <c r="G9" s="194" t="s">
        <v>2</v>
      </c>
      <c r="H9" s="21"/>
      <c r="I9" s="21"/>
      <c r="J9" s="190" t="s">
        <v>74</v>
      </c>
      <c r="K9" s="21"/>
      <c r="L9" s="190" t="s">
        <v>74</v>
      </c>
      <c r="M9" s="22" t="s">
        <v>11</v>
      </c>
      <c r="N9" s="190" t="s">
        <v>11</v>
      </c>
    </row>
    <row r="10" spans="1:15" x14ac:dyDescent="0.2">
      <c r="A10" s="23" t="s">
        <v>73</v>
      </c>
      <c r="B10" s="23"/>
      <c r="C10" s="23"/>
      <c r="D10" s="24" t="s">
        <v>20</v>
      </c>
      <c r="E10" s="191" t="s">
        <v>20</v>
      </c>
      <c r="F10" s="24" t="s">
        <v>101</v>
      </c>
      <c r="G10" s="191" t="s">
        <v>101</v>
      </c>
      <c r="H10" s="24" t="s">
        <v>21</v>
      </c>
      <c r="I10" s="24" t="s">
        <v>22</v>
      </c>
      <c r="J10" s="191" t="s">
        <v>22</v>
      </c>
      <c r="K10" s="24" t="s">
        <v>11</v>
      </c>
      <c r="L10" s="191" t="s">
        <v>11</v>
      </c>
      <c r="M10" s="24" t="str">
        <f>"(" &amp; D7 &amp; " AUs)"</f>
        <v>(100 AUs)</v>
      </c>
      <c r="N10" s="191" t="str">
        <f>"(" &amp; E7 &amp; " AUs)"</f>
        <v>( AUs)</v>
      </c>
    </row>
    <row r="11" spans="1:15" x14ac:dyDescent="0.2">
      <c r="A11" s="25"/>
      <c r="B11" s="25" t="s">
        <v>175</v>
      </c>
      <c r="C11" s="25"/>
      <c r="D11" s="33">
        <v>0.43</v>
      </c>
      <c r="E11" s="132"/>
      <c r="F11" s="34">
        <v>5.5</v>
      </c>
      <c r="G11" s="132"/>
      <c r="H11" s="227" t="s">
        <v>7</v>
      </c>
      <c r="I11" s="31">
        <v>295</v>
      </c>
      <c r="J11" s="133"/>
      <c r="K11" s="35">
        <v>697.67499999999995</v>
      </c>
      <c r="L11" s="202">
        <f>+E11*G11*J11</f>
        <v>0</v>
      </c>
      <c r="M11" s="35">
        <v>69767.5</v>
      </c>
      <c r="N11" s="202">
        <f>+L11*E$7</f>
        <v>0</v>
      </c>
      <c r="O11" s="12"/>
    </row>
    <row r="12" spans="1:15" x14ac:dyDescent="0.2">
      <c r="A12" s="25"/>
      <c r="B12" s="25" t="s">
        <v>174</v>
      </c>
      <c r="C12" s="25"/>
      <c r="D12" s="33">
        <v>0.27</v>
      </c>
      <c r="E12" s="132"/>
      <c r="F12" s="34">
        <v>5</v>
      </c>
      <c r="G12" s="132"/>
      <c r="H12" s="227" t="s">
        <v>7</v>
      </c>
      <c r="I12" s="31">
        <v>295</v>
      </c>
      <c r="J12" s="133"/>
      <c r="K12" s="35">
        <v>398.25</v>
      </c>
      <c r="L12" s="202">
        <f t="shared" ref="L12:L16" si="0">+E12*G12*J12</f>
        <v>0</v>
      </c>
      <c r="M12" s="35">
        <v>39825</v>
      </c>
      <c r="N12" s="202">
        <f t="shared" ref="N12:N16" si="1">+L12*E$7</f>
        <v>0</v>
      </c>
    </row>
    <row r="13" spans="1:15" x14ac:dyDescent="0.2">
      <c r="A13" s="25"/>
      <c r="B13" s="25" t="s">
        <v>96</v>
      </c>
      <c r="C13" s="25"/>
      <c r="D13" s="33">
        <v>0.15</v>
      </c>
      <c r="E13" s="132"/>
      <c r="F13" s="34">
        <v>12</v>
      </c>
      <c r="G13" s="132"/>
      <c r="H13" s="227" t="s">
        <v>7</v>
      </c>
      <c r="I13" s="31">
        <v>95</v>
      </c>
      <c r="J13" s="133"/>
      <c r="K13" s="35">
        <v>170.99999999999997</v>
      </c>
      <c r="L13" s="202">
        <f t="shared" si="0"/>
        <v>0</v>
      </c>
      <c r="M13" s="35">
        <v>17099.999999999996</v>
      </c>
      <c r="N13" s="202">
        <f t="shared" si="1"/>
        <v>0</v>
      </c>
    </row>
    <row r="14" spans="1:15" x14ac:dyDescent="0.2">
      <c r="A14" s="25"/>
      <c r="B14" s="25" t="s">
        <v>95</v>
      </c>
      <c r="C14" s="25"/>
      <c r="D14" s="33">
        <v>0.04</v>
      </c>
      <c r="E14" s="132"/>
      <c r="F14" s="34">
        <v>18</v>
      </c>
      <c r="G14" s="132"/>
      <c r="H14" s="227" t="s">
        <v>7</v>
      </c>
      <c r="I14" s="31">
        <v>115</v>
      </c>
      <c r="J14" s="133"/>
      <c r="K14" s="35">
        <v>82.8</v>
      </c>
      <c r="L14" s="202">
        <f t="shared" si="0"/>
        <v>0</v>
      </c>
      <c r="M14" s="35">
        <v>8280</v>
      </c>
      <c r="N14" s="202">
        <f t="shared" si="1"/>
        <v>0</v>
      </c>
    </row>
    <row r="15" spans="1:15" x14ac:dyDescent="0.2">
      <c r="A15" s="25"/>
      <c r="B15" s="132"/>
      <c r="C15" s="132"/>
      <c r="D15" s="33">
        <v>0</v>
      </c>
      <c r="E15" s="132"/>
      <c r="F15" s="34">
        <v>0</v>
      </c>
      <c r="G15" s="132"/>
      <c r="H15" s="227"/>
      <c r="I15" s="31">
        <v>0</v>
      </c>
      <c r="J15" s="133"/>
      <c r="K15" s="35">
        <v>0</v>
      </c>
      <c r="L15" s="202">
        <f t="shared" si="0"/>
        <v>0</v>
      </c>
      <c r="M15" s="35">
        <v>0</v>
      </c>
      <c r="N15" s="202">
        <f t="shared" si="1"/>
        <v>0</v>
      </c>
    </row>
    <row r="16" spans="1:15" ht="13.5" thickBot="1" x14ac:dyDescent="0.25">
      <c r="A16" s="25"/>
      <c r="B16" s="132"/>
      <c r="C16" s="132"/>
      <c r="D16" s="33">
        <v>0</v>
      </c>
      <c r="E16" s="132"/>
      <c r="F16" s="34">
        <v>0</v>
      </c>
      <c r="G16" s="132"/>
      <c r="H16" s="227"/>
      <c r="I16" s="31">
        <v>0</v>
      </c>
      <c r="J16" s="133"/>
      <c r="K16" s="35">
        <v>0</v>
      </c>
      <c r="L16" s="184">
        <f t="shared" si="0"/>
        <v>0</v>
      </c>
      <c r="M16" s="35">
        <v>0</v>
      </c>
      <c r="N16" s="184">
        <f t="shared" si="1"/>
        <v>0</v>
      </c>
    </row>
    <row r="17" spans="1:14" x14ac:dyDescent="0.2">
      <c r="A17" s="25" t="s">
        <v>24</v>
      </c>
      <c r="B17" s="25"/>
      <c r="C17" s="25"/>
      <c r="D17" s="25"/>
      <c r="E17" s="25"/>
      <c r="F17" s="115">
        <v>371.5</v>
      </c>
      <c r="G17" s="200"/>
      <c r="H17" s="25"/>
      <c r="I17" s="25"/>
      <c r="J17" s="197"/>
      <c r="K17" s="36">
        <v>1349.7249999999999</v>
      </c>
      <c r="L17" s="203">
        <f>+SUM(L11:L16)</f>
        <v>0</v>
      </c>
      <c r="M17" s="36">
        <v>134972.5</v>
      </c>
      <c r="N17" s="203">
        <f>+SUM(N11:N16)</f>
        <v>0</v>
      </c>
    </row>
    <row r="18" spans="1:14" x14ac:dyDescent="0.2">
      <c r="A18" s="25"/>
      <c r="B18" s="25"/>
      <c r="C18" s="25"/>
      <c r="D18" s="25"/>
      <c r="E18" s="25"/>
      <c r="F18" s="115">
        <v>623.5</v>
      </c>
      <c r="G18" s="200"/>
      <c r="H18" s="25"/>
      <c r="I18" s="25"/>
      <c r="J18" s="197"/>
      <c r="K18" s="35"/>
      <c r="L18" s="184"/>
      <c r="M18" s="35"/>
      <c r="N18" s="184"/>
    </row>
    <row r="19" spans="1:14" x14ac:dyDescent="0.2">
      <c r="A19" s="25"/>
      <c r="B19" s="25"/>
      <c r="C19" s="25"/>
      <c r="D19" s="25"/>
      <c r="E19" s="25"/>
      <c r="F19" s="114">
        <v>252</v>
      </c>
      <c r="G19" s="178"/>
      <c r="H19" s="21"/>
      <c r="I19" s="21"/>
      <c r="J19" s="211"/>
      <c r="K19" s="21"/>
      <c r="L19" s="184"/>
      <c r="M19" s="22" t="s">
        <v>19</v>
      </c>
      <c r="N19" s="178" t="s">
        <v>19</v>
      </c>
    </row>
    <row r="20" spans="1:14" x14ac:dyDescent="0.2">
      <c r="A20" s="23" t="s">
        <v>25</v>
      </c>
      <c r="B20" s="23"/>
      <c r="C20" s="23"/>
      <c r="D20" s="23"/>
      <c r="E20" s="23"/>
      <c r="F20" s="24" t="s">
        <v>2</v>
      </c>
      <c r="G20" s="196" t="s">
        <v>2</v>
      </c>
      <c r="H20" s="24" t="s">
        <v>21</v>
      </c>
      <c r="I20" s="24" t="s">
        <v>22</v>
      </c>
      <c r="J20" s="196" t="s">
        <v>22</v>
      </c>
      <c r="K20" s="24" t="s">
        <v>11</v>
      </c>
      <c r="L20" s="202" t="s">
        <v>11</v>
      </c>
      <c r="M20" s="24" t="s">
        <v>11</v>
      </c>
      <c r="N20" s="196" t="s">
        <v>11</v>
      </c>
    </row>
    <row r="21" spans="1:14" x14ac:dyDescent="0.2">
      <c r="A21" s="25" t="s">
        <v>26</v>
      </c>
      <c r="B21" s="25"/>
      <c r="C21" s="25"/>
      <c r="D21" s="25"/>
      <c r="E21" s="25"/>
      <c r="F21" s="25"/>
      <c r="G21" s="178"/>
      <c r="H21" s="25"/>
      <c r="I21" s="25"/>
      <c r="J21" s="211"/>
      <c r="K21" s="25"/>
      <c r="L21" s="184"/>
      <c r="M21" s="25"/>
      <c r="N21" s="184"/>
    </row>
    <row r="22" spans="1:14" x14ac:dyDescent="0.2">
      <c r="A22" s="25"/>
      <c r="B22" s="25" t="s">
        <v>27</v>
      </c>
      <c r="C22" s="25"/>
      <c r="D22" s="25"/>
      <c r="E22" s="25"/>
      <c r="G22" s="105"/>
      <c r="J22" s="105"/>
      <c r="K22" s="127"/>
      <c r="L22" s="105"/>
      <c r="N22" s="105"/>
    </row>
    <row r="23" spans="1:14" x14ac:dyDescent="0.2">
      <c r="A23" s="25"/>
      <c r="B23" s="25"/>
      <c r="C23" s="25" t="s">
        <v>102</v>
      </c>
      <c r="D23" s="25"/>
      <c r="E23" s="25"/>
      <c r="F23" s="34">
        <v>1</v>
      </c>
      <c r="G23" s="132"/>
      <c r="H23" s="227" t="s">
        <v>148</v>
      </c>
      <c r="I23" s="35">
        <v>8.4550000000000001</v>
      </c>
      <c r="J23" s="133"/>
      <c r="K23" s="35">
        <v>8.4550000000000001</v>
      </c>
      <c r="L23" s="202">
        <f t="shared" ref="L23:L26" si="2">+J23*G23</f>
        <v>0</v>
      </c>
      <c r="M23" s="35">
        <v>845.5</v>
      </c>
      <c r="N23" s="202">
        <f t="shared" ref="N23:N26" si="3">+L23*E$7</f>
        <v>0</v>
      </c>
    </row>
    <row r="24" spans="1:14" x14ac:dyDescent="0.2">
      <c r="A24" s="25"/>
      <c r="B24" s="132"/>
      <c r="C24" s="132"/>
      <c r="D24" s="25"/>
      <c r="E24" s="25"/>
      <c r="F24" s="34">
        <v>1</v>
      </c>
      <c r="G24" s="132"/>
      <c r="H24" s="227"/>
      <c r="I24" s="35">
        <v>0</v>
      </c>
      <c r="J24" s="133"/>
      <c r="K24" s="35">
        <v>0</v>
      </c>
      <c r="L24" s="202">
        <f t="shared" si="2"/>
        <v>0</v>
      </c>
      <c r="M24" s="35">
        <v>0</v>
      </c>
      <c r="N24" s="202">
        <f t="shared" si="3"/>
        <v>0</v>
      </c>
    </row>
    <row r="25" spans="1:14" x14ac:dyDescent="0.2">
      <c r="A25" s="25"/>
      <c r="B25" s="132"/>
      <c r="C25" s="132"/>
      <c r="D25" s="25"/>
      <c r="E25" s="25"/>
      <c r="F25" s="34">
        <v>1</v>
      </c>
      <c r="G25" s="132"/>
      <c r="H25" s="227"/>
      <c r="I25" s="35">
        <v>0</v>
      </c>
      <c r="J25" s="133"/>
      <c r="K25" s="35">
        <v>0</v>
      </c>
      <c r="L25" s="202">
        <f t="shared" si="2"/>
        <v>0</v>
      </c>
      <c r="M25" s="35">
        <v>0</v>
      </c>
      <c r="N25" s="202">
        <f t="shared" si="3"/>
        <v>0</v>
      </c>
    </row>
    <row r="26" spans="1:14" x14ac:dyDescent="0.2">
      <c r="A26" s="25"/>
      <c r="B26" s="25" t="s">
        <v>111</v>
      </c>
      <c r="C26" s="25"/>
      <c r="D26" s="25"/>
      <c r="E26" s="25"/>
      <c r="F26" s="34">
        <v>1</v>
      </c>
      <c r="G26" s="132"/>
      <c r="H26" s="227" t="s">
        <v>148</v>
      </c>
      <c r="I26" s="35">
        <v>17.965</v>
      </c>
      <c r="J26" s="133"/>
      <c r="K26" s="35">
        <v>17.965</v>
      </c>
      <c r="L26" s="202">
        <f t="shared" si="2"/>
        <v>0</v>
      </c>
      <c r="M26" s="35">
        <v>1796.5</v>
      </c>
      <c r="N26" s="202">
        <f t="shared" si="3"/>
        <v>0</v>
      </c>
    </row>
    <row r="27" spans="1:14" x14ac:dyDescent="0.2">
      <c r="A27" s="25"/>
      <c r="B27" s="25" t="s">
        <v>109</v>
      </c>
      <c r="C27" s="25"/>
      <c r="D27" s="25"/>
      <c r="G27" s="105"/>
      <c r="J27" s="105"/>
      <c r="K27" s="127"/>
      <c r="L27" s="105"/>
      <c r="N27" s="105"/>
    </row>
    <row r="28" spans="1:14" x14ac:dyDescent="0.2">
      <c r="A28" s="25"/>
      <c r="B28" s="25"/>
      <c r="C28" s="25" t="s">
        <v>358</v>
      </c>
      <c r="D28" s="25"/>
      <c r="E28" s="25"/>
      <c r="F28" s="25">
        <v>50.04</v>
      </c>
      <c r="G28" s="132"/>
      <c r="H28" s="227" t="s">
        <v>83</v>
      </c>
      <c r="I28" s="35">
        <v>0.6</v>
      </c>
      <c r="J28" s="133"/>
      <c r="K28" s="35">
        <v>30.023999999999997</v>
      </c>
      <c r="L28" s="202">
        <f t="shared" ref="L28:L50" si="4">+J28*G28</f>
        <v>0</v>
      </c>
      <c r="M28" s="35">
        <v>3002.3999999999996</v>
      </c>
      <c r="N28" s="202">
        <f t="shared" ref="N28:N32" si="5">+L28*E$7</f>
        <v>0</v>
      </c>
    </row>
    <row r="29" spans="1:14" x14ac:dyDescent="0.2">
      <c r="A29" s="25"/>
      <c r="B29" s="25"/>
      <c r="C29" s="25" t="s">
        <v>361</v>
      </c>
      <c r="D29" s="25"/>
      <c r="E29" s="25"/>
      <c r="F29" s="25">
        <v>3.6</v>
      </c>
      <c r="G29" s="132"/>
      <c r="H29" s="227" t="s">
        <v>7</v>
      </c>
      <c r="I29" s="35">
        <v>19.899999999999999</v>
      </c>
      <c r="J29" s="133"/>
      <c r="K29" s="35">
        <v>71.64</v>
      </c>
      <c r="L29" s="202">
        <f t="shared" si="4"/>
        <v>0</v>
      </c>
      <c r="M29" s="35">
        <v>7164</v>
      </c>
      <c r="N29" s="202">
        <f t="shared" si="5"/>
        <v>0</v>
      </c>
    </row>
    <row r="30" spans="1:14" x14ac:dyDescent="0.2">
      <c r="A30" s="25"/>
      <c r="B30" s="132"/>
      <c r="C30" s="132"/>
      <c r="D30" s="25"/>
      <c r="E30" s="25"/>
      <c r="F30" s="25">
        <v>0</v>
      </c>
      <c r="G30" s="132"/>
      <c r="H30" s="227"/>
      <c r="I30" s="35">
        <v>0</v>
      </c>
      <c r="J30" s="133"/>
      <c r="K30" s="35">
        <v>0</v>
      </c>
      <c r="L30" s="202">
        <f t="shared" si="4"/>
        <v>0</v>
      </c>
      <c r="M30" s="35">
        <v>0</v>
      </c>
      <c r="N30" s="202">
        <f t="shared" si="5"/>
        <v>0</v>
      </c>
    </row>
    <row r="31" spans="1:14" x14ac:dyDescent="0.2">
      <c r="A31" s="25"/>
      <c r="B31" s="132"/>
      <c r="C31" s="132"/>
      <c r="D31" s="25"/>
      <c r="E31" s="25"/>
      <c r="F31" s="25">
        <v>0</v>
      </c>
      <c r="G31" s="132"/>
      <c r="H31" s="227"/>
      <c r="I31" s="35">
        <v>0</v>
      </c>
      <c r="J31" s="133"/>
      <c r="K31" s="35">
        <v>0</v>
      </c>
      <c r="L31" s="202">
        <f t="shared" si="4"/>
        <v>0</v>
      </c>
      <c r="M31" s="35">
        <v>0</v>
      </c>
      <c r="N31" s="202">
        <f t="shared" si="5"/>
        <v>0</v>
      </c>
    </row>
    <row r="32" spans="1:14" x14ac:dyDescent="0.2">
      <c r="A32" s="25"/>
      <c r="B32" s="132"/>
      <c r="C32" s="132"/>
      <c r="D32" s="25"/>
      <c r="E32" s="25"/>
      <c r="F32" s="25">
        <v>0</v>
      </c>
      <c r="G32" s="132"/>
      <c r="H32" s="227"/>
      <c r="I32" s="35">
        <v>0</v>
      </c>
      <c r="J32" s="133"/>
      <c r="K32" s="35">
        <v>0</v>
      </c>
      <c r="L32" s="202">
        <f t="shared" si="4"/>
        <v>0</v>
      </c>
      <c r="M32" s="35">
        <v>0</v>
      </c>
      <c r="N32" s="202">
        <f t="shared" si="5"/>
        <v>0</v>
      </c>
    </row>
    <row r="33" spans="1:14" x14ac:dyDescent="0.2">
      <c r="A33" s="25"/>
      <c r="B33" s="25" t="s">
        <v>94</v>
      </c>
      <c r="C33" s="25"/>
      <c r="D33" s="25"/>
      <c r="E33" s="25"/>
      <c r="F33" s="25"/>
      <c r="G33" s="105"/>
      <c r="J33" s="105"/>
      <c r="K33" s="127"/>
      <c r="L33" s="105"/>
      <c r="N33" s="105"/>
    </row>
    <row r="34" spans="1:14" x14ac:dyDescent="0.2">
      <c r="A34" s="25"/>
      <c r="B34" s="25"/>
      <c r="C34" s="25" t="s">
        <v>484</v>
      </c>
      <c r="D34" s="25"/>
      <c r="E34" s="25"/>
      <c r="F34" s="25">
        <v>2.08</v>
      </c>
      <c r="G34" s="132"/>
      <c r="H34" s="227" t="s">
        <v>363</v>
      </c>
      <c r="I34" s="35">
        <v>0.77980000000000005</v>
      </c>
      <c r="J34" s="133"/>
      <c r="K34" s="35">
        <v>1.6219840000000001</v>
      </c>
      <c r="L34" s="202">
        <f t="shared" ref="L34:L45" si="6">+J34*G34</f>
        <v>0</v>
      </c>
      <c r="M34" s="35">
        <v>162.19840000000002</v>
      </c>
      <c r="N34" s="202">
        <f t="shared" ref="N34:N56" si="7">+L34*E$7</f>
        <v>0</v>
      </c>
    </row>
    <row r="35" spans="1:14" x14ac:dyDescent="0.2">
      <c r="A35" s="25"/>
      <c r="B35" s="25"/>
      <c r="C35" s="25" t="s">
        <v>385</v>
      </c>
      <c r="D35" s="25"/>
      <c r="E35" s="25"/>
      <c r="F35" s="25">
        <v>15.185</v>
      </c>
      <c r="G35" s="132"/>
      <c r="H35" s="227" t="s">
        <v>7</v>
      </c>
      <c r="I35" s="35">
        <v>0.26</v>
      </c>
      <c r="J35" s="133"/>
      <c r="K35" s="35">
        <v>3.9481000000000002</v>
      </c>
      <c r="L35" s="202">
        <f t="shared" si="6"/>
        <v>0</v>
      </c>
      <c r="M35" s="35">
        <v>394.81</v>
      </c>
      <c r="N35" s="202">
        <f t="shared" si="7"/>
        <v>0</v>
      </c>
    </row>
    <row r="36" spans="1:14" x14ac:dyDescent="0.2">
      <c r="A36" s="25"/>
      <c r="B36" s="25"/>
      <c r="C36" s="25" t="s">
        <v>362</v>
      </c>
      <c r="D36" s="25"/>
      <c r="E36" s="25"/>
      <c r="F36" s="25">
        <v>3.78</v>
      </c>
      <c r="G36" s="132"/>
      <c r="H36" s="227" t="s">
        <v>363</v>
      </c>
      <c r="I36" s="35">
        <v>0.51</v>
      </c>
      <c r="J36" s="133"/>
      <c r="K36" s="35">
        <v>1.9278</v>
      </c>
      <c r="L36" s="202">
        <f t="shared" si="6"/>
        <v>0</v>
      </c>
      <c r="M36" s="35">
        <v>192.78</v>
      </c>
      <c r="N36" s="202">
        <f t="shared" si="7"/>
        <v>0</v>
      </c>
    </row>
    <row r="37" spans="1:14" x14ac:dyDescent="0.2">
      <c r="A37" s="25"/>
      <c r="B37" s="25"/>
      <c r="C37" s="25" t="s">
        <v>372</v>
      </c>
      <c r="D37" s="25"/>
      <c r="E37" s="25"/>
      <c r="F37" s="25">
        <v>0.04</v>
      </c>
      <c r="G37" s="132"/>
      <c r="H37" s="227" t="s">
        <v>20</v>
      </c>
      <c r="I37" s="35">
        <v>50</v>
      </c>
      <c r="J37" s="133"/>
      <c r="K37" s="35">
        <v>2</v>
      </c>
      <c r="L37" s="202">
        <f t="shared" si="6"/>
        <v>0</v>
      </c>
      <c r="M37" s="35">
        <v>200</v>
      </c>
      <c r="N37" s="202">
        <f t="shared" si="7"/>
        <v>0</v>
      </c>
    </row>
    <row r="38" spans="1:14" x14ac:dyDescent="0.2">
      <c r="A38" s="25"/>
      <c r="B38" s="25"/>
      <c r="C38" s="25" t="s">
        <v>485</v>
      </c>
      <c r="D38" s="25"/>
      <c r="E38" s="25"/>
      <c r="F38" s="25">
        <v>1</v>
      </c>
      <c r="G38" s="132"/>
      <c r="H38" s="227" t="s">
        <v>20</v>
      </c>
      <c r="I38" s="35">
        <v>5</v>
      </c>
      <c r="J38" s="133"/>
      <c r="K38" s="35">
        <v>5</v>
      </c>
      <c r="L38" s="202">
        <f t="shared" si="6"/>
        <v>0</v>
      </c>
      <c r="M38" s="35">
        <v>500</v>
      </c>
      <c r="N38" s="202">
        <f t="shared" si="7"/>
        <v>0</v>
      </c>
    </row>
    <row r="39" spans="1:14" x14ac:dyDescent="0.2">
      <c r="A39" s="25"/>
      <c r="B39" s="25"/>
      <c r="C39" s="25" t="s">
        <v>396</v>
      </c>
      <c r="D39" s="25"/>
      <c r="E39" s="25"/>
      <c r="F39" s="25">
        <v>1</v>
      </c>
      <c r="G39" s="132"/>
      <c r="H39" s="227" t="s">
        <v>20</v>
      </c>
      <c r="I39" s="35">
        <v>0.16</v>
      </c>
      <c r="J39" s="133"/>
      <c r="K39" s="35">
        <v>0.16</v>
      </c>
      <c r="L39" s="202">
        <f t="shared" si="6"/>
        <v>0</v>
      </c>
      <c r="M39" s="35">
        <v>16</v>
      </c>
      <c r="N39" s="202">
        <f t="shared" si="7"/>
        <v>0</v>
      </c>
    </row>
    <row r="40" spans="1:14" x14ac:dyDescent="0.2">
      <c r="A40" s="25"/>
      <c r="B40" s="25"/>
      <c r="C40" s="25" t="s">
        <v>371</v>
      </c>
      <c r="D40" s="25"/>
      <c r="E40" s="25"/>
      <c r="F40" s="25">
        <v>1.7</v>
      </c>
      <c r="G40" s="132"/>
      <c r="H40" s="227" t="s">
        <v>363</v>
      </c>
      <c r="I40" s="35">
        <v>1.32</v>
      </c>
      <c r="J40" s="133"/>
      <c r="K40" s="35">
        <v>2.2440000000000002</v>
      </c>
      <c r="L40" s="202">
        <f t="shared" si="6"/>
        <v>0</v>
      </c>
      <c r="M40" s="35">
        <v>224.40000000000003</v>
      </c>
      <c r="N40" s="202">
        <f t="shared" si="7"/>
        <v>0</v>
      </c>
    </row>
    <row r="41" spans="1:14" x14ac:dyDescent="0.2">
      <c r="A41" s="25"/>
      <c r="B41" s="25"/>
      <c r="C41" s="25" t="s">
        <v>411</v>
      </c>
      <c r="D41" s="25"/>
      <c r="E41" s="25"/>
      <c r="F41" s="25">
        <v>0.85</v>
      </c>
      <c r="G41" s="132"/>
      <c r="H41" s="227" t="s">
        <v>363</v>
      </c>
      <c r="I41" s="35">
        <v>1.8979999999999999</v>
      </c>
      <c r="J41" s="133"/>
      <c r="K41" s="35">
        <v>1.6133</v>
      </c>
      <c r="L41" s="202">
        <f t="shared" si="6"/>
        <v>0</v>
      </c>
      <c r="M41" s="35">
        <v>161.32999999999998</v>
      </c>
      <c r="N41" s="202">
        <f t="shared" si="7"/>
        <v>0</v>
      </c>
    </row>
    <row r="42" spans="1:14" x14ac:dyDescent="0.2">
      <c r="A42" s="25"/>
      <c r="B42" s="25"/>
      <c r="C42" s="25" t="s">
        <v>384</v>
      </c>
      <c r="D42" s="25"/>
      <c r="E42" s="25"/>
      <c r="F42" s="25">
        <v>1.04</v>
      </c>
      <c r="G42" s="132"/>
      <c r="H42" s="227" t="s">
        <v>363</v>
      </c>
      <c r="I42" s="35">
        <v>3.2</v>
      </c>
      <c r="J42" s="133"/>
      <c r="K42" s="35">
        <v>3.3280000000000003</v>
      </c>
      <c r="L42" s="202">
        <f t="shared" si="6"/>
        <v>0</v>
      </c>
      <c r="M42" s="35">
        <v>332.8</v>
      </c>
      <c r="N42" s="202">
        <f t="shared" si="7"/>
        <v>0</v>
      </c>
    </row>
    <row r="43" spans="1:14" x14ac:dyDescent="0.2">
      <c r="A43" s="25"/>
      <c r="B43" s="132"/>
      <c r="C43" s="132"/>
      <c r="D43" s="25"/>
      <c r="E43" s="25"/>
      <c r="F43" s="25">
        <v>0</v>
      </c>
      <c r="G43" s="132"/>
      <c r="H43" s="227"/>
      <c r="I43" s="35">
        <v>0</v>
      </c>
      <c r="J43" s="133"/>
      <c r="K43" s="35">
        <v>0</v>
      </c>
      <c r="L43" s="202">
        <f t="shared" si="6"/>
        <v>0</v>
      </c>
      <c r="M43" s="35">
        <v>0</v>
      </c>
      <c r="N43" s="202">
        <f t="shared" si="7"/>
        <v>0</v>
      </c>
    </row>
    <row r="44" spans="1:14" x14ac:dyDescent="0.2">
      <c r="A44" s="25"/>
      <c r="B44" s="132"/>
      <c r="C44" s="132"/>
      <c r="D44" s="25"/>
      <c r="E44" s="25"/>
      <c r="F44" s="25">
        <v>0</v>
      </c>
      <c r="G44" s="132"/>
      <c r="H44" s="227"/>
      <c r="I44" s="35">
        <v>0</v>
      </c>
      <c r="J44" s="133"/>
      <c r="K44" s="35">
        <v>0</v>
      </c>
      <c r="L44" s="202">
        <f t="shared" si="6"/>
        <v>0</v>
      </c>
      <c r="M44" s="35">
        <v>0</v>
      </c>
      <c r="N44" s="202">
        <f t="shared" si="7"/>
        <v>0</v>
      </c>
    </row>
    <row r="45" spans="1:14" x14ac:dyDescent="0.2">
      <c r="A45" s="25"/>
      <c r="B45" s="132"/>
      <c r="C45" s="132"/>
      <c r="D45" s="25"/>
      <c r="E45" s="25"/>
      <c r="F45" s="25">
        <v>0</v>
      </c>
      <c r="G45" s="132"/>
      <c r="H45" s="227"/>
      <c r="I45" s="35">
        <v>0</v>
      </c>
      <c r="J45" s="133"/>
      <c r="K45" s="35">
        <v>0</v>
      </c>
      <c r="L45" s="202">
        <f t="shared" si="6"/>
        <v>0</v>
      </c>
      <c r="M45" s="35">
        <v>0</v>
      </c>
      <c r="N45" s="202">
        <f t="shared" si="7"/>
        <v>0</v>
      </c>
    </row>
    <row r="46" spans="1:14" x14ac:dyDescent="0.2">
      <c r="A46" s="25"/>
      <c r="B46" s="25" t="s">
        <v>43</v>
      </c>
      <c r="C46" s="25"/>
      <c r="D46" s="25"/>
      <c r="E46" s="25"/>
      <c r="F46" s="37">
        <v>1</v>
      </c>
      <c r="G46" s="132"/>
      <c r="H46" s="227" t="s">
        <v>148</v>
      </c>
      <c r="I46" s="35">
        <v>23.88</v>
      </c>
      <c r="J46" s="133"/>
      <c r="K46" s="35">
        <v>23.88</v>
      </c>
      <c r="L46" s="202">
        <f t="shared" si="4"/>
        <v>0</v>
      </c>
      <c r="M46" s="35">
        <v>2388</v>
      </c>
      <c r="N46" s="202">
        <f t="shared" si="7"/>
        <v>0</v>
      </c>
    </row>
    <row r="47" spans="1:14" x14ac:dyDescent="0.2">
      <c r="A47" s="25"/>
      <c r="B47" s="25" t="s">
        <v>93</v>
      </c>
      <c r="C47" s="25"/>
      <c r="D47" s="25"/>
      <c r="E47" s="25"/>
      <c r="F47" s="38">
        <v>0.1</v>
      </c>
      <c r="G47" s="137"/>
      <c r="H47" s="227" t="s">
        <v>30</v>
      </c>
      <c r="I47" s="35">
        <v>23.88</v>
      </c>
      <c r="J47" s="133"/>
      <c r="K47" s="35">
        <v>2.3879999999999999</v>
      </c>
      <c r="L47" s="202">
        <f t="shared" si="4"/>
        <v>0</v>
      </c>
      <c r="M47" s="35">
        <v>238.79999999999998</v>
      </c>
      <c r="N47" s="202">
        <f t="shared" si="7"/>
        <v>0</v>
      </c>
    </row>
    <row r="48" spans="1:14" x14ac:dyDescent="0.2">
      <c r="A48" s="25"/>
      <c r="B48" s="25" t="s">
        <v>92</v>
      </c>
      <c r="C48" s="25"/>
      <c r="D48" s="25"/>
      <c r="E48" s="25"/>
      <c r="F48" s="25">
        <v>1</v>
      </c>
      <c r="G48" s="132"/>
      <c r="H48" s="227" t="s">
        <v>148</v>
      </c>
      <c r="I48" s="35">
        <v>36.047681666666669</v>
      </c>
      <c r="J48" s="133"/>
      <c r="K48" s="35">
        <v>36.047681666666669</v>
      </c>
      <c r="L48" s="202">
        <f t="shared" si="4"/>
        <v>0</v>
      </c>
      <c r="M48" s="35">
        <v>3604.7681666666667</v>
      </c>
      <c r="N48" s="202">
        <f t="shared" si="7"/>
        <v>0</v>
      </c>
    </row>
    <row r="49" spans="1:14" x14ac:dyDescent="0.2">
      <c r="A49" s="25"/>
      <c r="B49" s="25" t="s">
        <v>12</v>
      </c>
      <c r="C49" s="25"/>
      <c r="D49" s="25"/>
      <c r="E49" s="25"/>
      <c r="F49" s="34">
        <v>0.4</v>
      </c>
      <c r="G49" s="132"/>
      <c r="H49" s="227" t="s">
        <v>31</v>
      </c>
      <c r="I49" s="35">
        <v>15</v>
      </c>
      <c r="J49" s="133"/>
      <c r="K49" s="35">
        <v>6</v>
      </c>
      <c r="L49" s="202">
        <f t="shared" si="4"/>
        <v>0</v>
      </c>
      <c r="M49" s="35">
        <v>600</v>
      </c>
      <c r="N49" s="202">
        <f t="shared" si="7"/>
        <v>0</v>
      </c>
    </row>
    <row r="50" spans="1:14" x14ac:dyDescent="0.2">
      <c r="A50" s="25"/>
      <c r="B50" s="25" t="s">
        <v>98</v>
      </c>
      <c r="C50" s="25"/>
      <c r="D50" s="25"/>
      <c r="E50" s="25"/>
      <c r="F50" s="34">
        <v>1</v>
      </c>
      <c r="G50" s="132"/>
      <c r="H50" s="227" t="s">
        <v>148</v>
      </c>
      <c r="I50" s="35">
        <v>1</v>
      </c>
      <c r="J50" s="133"/>
      <c r="K50" s="35">
        <v>1</v>
      </c>
      <c r="L50" s="202">
        <f t="shared" si="4"/>
        <v>0</v>
      </c>
      <c r="M50" s="35">
        <v>100</v>
      </c>
      <c r="N50" s="202">
        <f t="shared" si="7"/>
        <v>0</v>
      </c>
    </row>
    <row r="51" spans="1:14" x14ac:dyDescent="0.2">
      <c r="A51" s="25"/>
      <c r="B51" s="132"/>
      <c r="C51" s="132"/>
      <c r="D51" s="25"/>
      <c r="E51" s="25"/>
      <c r="F51" s="34"/>
      <c r="G51" s="132"/>
      <c r="H51" s="227"/>
      <c r="I51" s="35"/>
      <c r="J51" s="133"/>
      <c r="K51" s="35">
        <v>0</v>
      </c>
      <c r="L51" s="202">
        <f t="shared" ref="L51:L55" si="8">+J51*G51</f>
        <v>0</v>
      </c>
      <c r="M51" s="35">
        <v>0</v>
      </c>
      <c r="N51" s="202">
        <f t="shared" si="7"/>
        <v>0</v>
      </c>
    </row>
    <row r="52" spans="1:14" x14ac:dyDescent="0.2">
      <c r="A52" s="25"/>
      <c r="B52" s="25" t="s">
        <v>312</v>
      </c>
      <c r="C52" s="25"/>
      <c r="D52" s="25"/>
      <c r="E52" s="25"/>
      <c r="F52" s="34">
        <v>1</v>
      </c>
      <c r="G52" s="132"/>
      <c r="H52" s="227"/>
      <c r="I52" s="35">
        <v>0</v>
      </c>
      <c r="J52" s="133"/>
      <c r="K52" s="35">
        <v>0</v>
      </c>
      <c r="L52" s="202">
        <f t="shared" si="8"/>
        <v>0</v>
      </c>
      <c r="M52" s="35">
        <v>0</v>
      </c>
      <c r="N52" s="202">
        <f t="shared" si="7"/>
        <v>0</v>
      </c>
    </row>
    <row r="53" spans="1:14" x14ac:dyDescent="0.2">
      <c r="A53" s="25"/>
      <c r="B53" s="25" t="s">
        <v>313</v>
      </c>
      <c r="C53" s="25"/>
      <c r="D53" s="25"/>
      <c r="E53" s="25"/>
      <c r="F53" s="34">
        <v>1</v>
      </c>
      <c r="G53" s="132"/>
      <c r="H53" s="227"/>
      <c r="I53" s="35">
        <v>0</v>
      </c>
      <c r="J53" s="133"/>
      <c r="K53" s="35">
        <v>0</v>
      </c>
      <c r="L53" s="202">
        <f t="shared" si="8"/>
        <v>0</v>
      </c>
      <c r="M53" s="35">
        <v>0</v>
      </c>
      <c r="N53" s="202">
        <f t="shared" si="7"/>
        <v>0</v>
      </c>
    </row>
    <row r="54" spans="1:14" x14ac:dyDescent="0.2">
      <c r="A54" s="25"/>
      <c r="B54" s="25" t="s">
        <v>314</v>
      </c>
      <c r="C54" s="25"/>
      <c r="D54" s="25"/>
      <c r="E54" s="25"/>
      <c r="F54" s="34">
        <v>1</v>
      </c>
      <c r="G54" s="132"/>
      <c r="H54" s="227"/>
      <c r="I54" s="35">
        <v>0</v>
      </c>
      <c r="J54" s="133"/>
      <c r="K54" s="35">
        <v>0</v>
      </c>
      <c r="L54" s="202">
        <f t="shared" si="8"/>
        <v>0</v>
      </c>
      <c r="M54" s="35">
        <v>0</v>
      </c>
      <c r="N54" s="202">
        <f t="shared" si="7"/>
        <v>0</v>
      </c>
    </row>
    <row r="55" spans="1:14" x14ac:dyDescent="0.2">
      <c r="A55" s="25"/>
      <c r="B55" s="25" t="s">
        <v>315</v>
      </c>
      <c r="C55" s="25"/>
      <c r="D55" s="25"/>
      <c r="E55" s="25"/>
      <c r="F55" s="34">
        <v>1</v>
      </c>
      <c r="G55" s="132"/>
      <c r="H55" s="227"/>
      <c r="I55" s="35">
        <v>0</v>
      </c>
      <c r="J55" s="133"/>
      <c r="K55" s="35">
        <v>0</v>
      </c>
      <c r="L55" s="202">
        <f t="shared" si="8"/>
        <v>0</v>
      </c>
      <c r="M55" s="35">
        <v>0</v>
      </c>
      <c r="N55" s="202">
        <f t="shared" si="7"/>
        <v>0</v>
      </c>
    </row>
    <row r="56" spans="1:14" ht="13.5" thickBot="1" x14ac:dyDescent="0.25">
      <c r="A56" s="25"/>
      <c r="B56" s="25" t="s">
        <v>32</v>
      </c>
      <c r="C56" s="25"/>
      <c r="D56" s="25"/>
      <c r="E56" s="25"/>
      <c r="F56" s="25"/>
      <c r="G56" s="200"/>
      <c r="H56" s="21"/>
      <c r="I56" s="39">
        <v>0.08</v>
      </c>
      <c r="J56" s="215"/>
      <c r="K56" s="35">
        <v>15.411736777680368</v>
      </c>
      <c r="L56" s="184">
        <f>+SUM(L21:L55)/2*J56</f>
        <v>0</v>
      </c>
      <c r="M56" s="35">
        <v>1541.1736777680367</v>
      </c>
      <c r="N56" s="184">
        <f t="shared" si="7"/>
        <v>0</v>
      </c>
    </row>
    <row r="57" spans="1:14" x14ac:dyDescent="0.2">
      <c r="A57" s="25" t="s">
        <v>33</v>
      </c>
      <c r="B57" s="25"/>
      <c r="C57" s="25"/>
      <c r="D57" s="25"/>
      <c r="E57" s="25"/>
      <c r="F57" s="25"/>
      <c r="G57" s="200"/>
      <c r="H57" s="25"/>
      <c r="I57" s="25"/>
      <c r="J57" s="197"/>
      <c r="K57" s="36">
        <v>234.65460244434706</v>
      </c>
      <c r="L57" s="203">
        <f>+SUM(L23:L56)</f>
        <v>0</v>
      </c>
      <c r="M57" s="36">
        <v>23465.4602444347</v>
      </c>
      <c r="N57" s="203">
        <f>+SUM(N23:N56)</f>
        <v>0</v>
      </c>
    </row>
    <row r="58" spans="1:14" x14ac:dyDescent="0.2">
      <c r="B58" s="25"/>
      <c r="C58" s="25"/>
      <c r="D58" s="25"/>
      <c r="E58" s="25"/>
      <c r="F58" s="25"/>
      <c r="G58" s="200"/>
      <c r="H58" s="25"/>
      <c r="I58" s="25"/>
      <c r="J58" s="197"/>
      <c r="K58" s="35"/>
      <c r="L58" s="184"/>
      <c r="M58" s="35"/>
      <c r="N58" s="184"/>
    </row>
    <row r="59" spans="1:14" x14ac:dyDescent="0.2">
      <c r="A59" s="25" t="s">
        <v>34</v>
      </c>
      <c r="B59" s="25"/>
      <c r="C59" s="25"/>
      <c r="D59" s="25"/>
      <c r="E59" s="25"/>
      <c r="F59" s="25"/>
      <c r="G59" s="200"/>
      <c r="H59" s="25"/>
      <c r="I59" s="25"/>
      <c r="J59" s="197"/>
      <c r="K59" s="35">
        <v>1115.0703975556528</v>
      </c>
      <c r="L59" s="202">
        <f>+L17-L57</f>
        <v>0</v>
      </c>
      <c r="M59" s="35">
        <v>111507.0397555653</v>
      </c>
      <c r="N59" s="202">
        <f>+N17-N57</f>
        <v>0</v>
      </c>
    </row>
    <row r="60" spans="1:14" x14ac:dyDescent="0.2">
      <c r="A60" s="25"/>
      <c r="B60" s="25" t="s">
        <v>513</v>
      </c>
      <c r="C60" s="25"/>
      <c r="D60" s="25"/>
      <c r="E60" s="25"/>
      <c r="F60" s="25"/>
      <c r="G60" s="178"/>
      <c r="H60" s="17"/>
      <c r="I60" s="40">
        <v>-5.1535390459361752</v>
      </c>
      <c r="J60" s="210" t="str">
        <f>IF((E11*G11+E12*G12)=0,"n/a",(L57-SUM(L13:L16))/(E11*G11+E12*G12))</f>
        <v>n/a</v>
      </c>
      <c r="K60" s="25" t="s">
        <v>7</v>
      </c>
      <c r="L60" s="184"/>
      <c r="M60" s="25"/>
      <c r="N60" s="184"/>
    </row>
    <row r="61" spans="1:14" x14ac:dyDescent="0.2">
      <c r="A61" s="25"/>
      <c r="B61" s="25"/>
      <c r="C61" s="25"/>
      <c r="D61" s="25"/>
      <c r="E61" s="25"/>
      <c r="F61" s="21"/>
      <c r="G61" s="178"/>
      <c r="H61" s="21"/>
      <c r="I61" s="21"/>
      <c r="J61" s="211"/>
      <c r="K61" s="21"/>
      <c r="L61" s="184"/>
      <c r="M61" s="22" t="s">
        <v>19</v>
      </c>
      <c r="N61" s="178" t="s">
        <v>19</v>
      </c>
    </row>
    <row r="62" spans="1:14" x14ac:dyDescent="0.2">
      <c r="A62" s="23" t="s">
        <v>36</v>
      </c>
      <c r="B62" s="23"/>
      <c r="C62" s="23"/>
      <c r="D62" s="23"/>
      <c r="E62" s="23"/>
      <c r="F62" s="24" t="s">
        <v>2</v>
      </c>
      <c r="G62" s="196" t="s">
        <v>2</v>
      </c>
      <c r="H62" s="24" t="s">
        <v>21</v>
      </c>
      <c r="I62" s="24" t="s">
        <v>22</v>
      </c>
      <c r="J62" s="196" t="s">
        <v>22</v>
      </c>
      <c r="K62" s="24" t="s">
        <v>11</v>
      </c>
      <c r="L62" s="202" t="s">
        <v>11</v>
      </c>
      <c r="M62" s="24" t="s">
        <v>11</v>
      </c>
      <c r="N62" s="202" t="s">
        <v>11</v>
      </c>
    </row>
    <row r="63" spans="1:14" x14ac:dyDescent="0.2">
      <c r="A63" s="25"/>
      <c r="B63" s="25" t="s">
        <v>91</v>
      </c>
      <c r="C63" s="25"/>
      <c r="D63" s="25"/>
      <c r="E63" s="25"/>
      <c r="F63" s="25">
        <v>1</v>
      </c>
      <c r="G63" s="132"/>
      <c r="H63" s="227" t="s">
        <v>148</v>
      </c>
      <c r="I63" s="35">
        <v>92.050438095238093</v>
      </c>
      <c r="J63" s="133"/>
      <c r="K63" s="35">
        <v>92.050438095238093</v>
      </c>
      <c r="L63" s="202">
        <f t="shared" ref="L63:L69" si="9">+G63*J63</f>
        <v>0</v>
      </c>
      <c r="M63" s="35">
        <v>9205.0438095238096</v>
      </c>
      <c r="N63" s="202">
        <f t="shared" ref="N63:N71" si="10">+L63*E$7</f>
        <v>0</v>
      </c>
    </row>
    <row r="64" spans="1:14" x14ac:dyDescent="0.2">
      <c r="A64" s="25"/>
      <c r="B64" s="25" t="s">
        <v>90</v>
      </c>
      <c r="C64" s="25"/>
      <c r="D64" s="25"/>
      <c r="E64" s="25"/>
      <c r="F64" s="25">
        <v>1</v>
      </c>
      <c r="G64" s="132"/>
      <c r="H64" s="227" t="s">
        <v>148</v>
      </c>
      <c r="I64" s="35">
        <v>146.01428571428571</v>
      </c>
      <c r="J64" s="133"/>
      <c r="K64" s="35">
        <v>146.01428571428571</v>
      </c>
      <c r="L64" s="202">
        <f t="shared" si="9"/>
        <v>0</v>
      </c>
      <c r="M64" s="35">
        <v>14601.428571428571</v>
      </c>
      <c r="N64" s="202">
        <f t="shared" si="10"/>
        <v>0</v>
      </c>
    </row>
    <row r="65" spans="1:14" x14ac:dyDescent="0.2">
      <c r="A65" s="25"/>
      <c r="B65" s="25" t="s">
        <v>89</v>
      </c>
      <c r="C65" s="25"/>
      <c r="D65" s="25"/>
      <c r="E65" s="25"/>
      <c r="F65" s="41">
        <v>1477.4562500000002</v>
      </c>
      <c r="G65" s="132"/>
      <c r="H65" s="227" t="s">
        <v>88</v>
      </c>
      <c r="I65" s="39">
        <v>0.08</v>
      </c>
      <c r="J65" s="215"/>
      <c r="K65" s="35">
        <v>118.19650000000001</v>
      </c>
      <c r="L65" s="202">
        <f t="shared" si="9"/>
        <v>0</v>
      </c>
      <c r="M65" s="35">
        <v>11819.650000000001</v>
      </c>
      <c r="N65" s="202">
        <f t="shared" si="10"/>
        <v>0</v>
      </c>
    </row>
    <row r="66" spans="1:14" x14ac:dyDescent="0.2">
      <c r="A66" s="25"/>
      <c r="B66" s="25" t="s">
        <v>87</v>
      </c>
      <c r="C66" s="25"/>
      <c r="D66" s="25"/>
      <c r="E66" s="25"/>
      <c r="F66" s="25">
        <v>1</v>
      </c>
      <c r="G66" s="132"/>
      <c r="H66" s="227" t="s">
        <v>148</v>
      </c>
      <c r="I66" s="35">
        <v>0</v>
      </c>
      <c r="J66" s="133"/>
      <c r="K66" s="35">
        <v>0</v>
      </c>
      <c r="L66" s="202">
        <f t="shared" si="9"/>
        <v>0</v>
      </c>
      <c r="M66" s="35">
        <v>0</v>
      </c>
      <c r="N66" s="202">
        <f t="shared" si="10"/>
        <v>0</v>
      </c>
    </row>
    <row r="67" spans="1:14" x14ac:dyDescent="0.2">
      <c r="A67" s="25"/>
      <c r="B67" s="25" t="s">
        <v>152</v>
      </c>
      <c r="C67" s="25"/>
      <c r="D67" s="25"/>
      <c r="E67" s="25"/>
      <c r="F67" s="25">
        <v>1</v>
      </c>
      <c r="G67" s="132"/>
      <c r="H67" s="227" t="s">
        <v>148</v>
      </c>
      <c r="I67" s="35">
        <v>0</v>
      </c>
      <c r="J67" s="133"/>
      <c r="K67" s="35">
        <v>0</v>
      </c>
      <c r="L67" s="202">
        <f>+J67*G67</f>
        <v>0</v>
      </c>
      <c r="M67" s="35">
        <v>0</v>
      </c>
      <c r="N67" s="202">
        <f t="shared" si="10"/>
        <v>0</v>
      </c>
    </row>
    <row r="68" spans="1:14" x14ac:dyDescent="0.2">
      <c r="A68" s="25"/>
      <c r="B68" s="25" t="s">
        <v>156</v>
      </c>
      <c r="C68" s="25"/>
      <c r="D68" s="25"/>
      <c r="E68" s="25"/>
      <c r="F68" s="25">
        <v>1</v>
      </c>
      <c r="G68" s="132"/>
      <c r="H68" s="227" t="s">
        <v>148</v>
      </c>
      <c r="I68" s="35">
        <v>0</v>
      </c>
      <c r="J68" s="133"/>
      <c r="K68" s="35">
        <v>0</v>
      </c>
      <c r="L68" s="202">
        <f>+J68*G68</f>
        <v>0</v>
      </c>
      <c r="M68" s="35">
        <v>0</v>
      </c>
      <c r="N68" s="202">
        <f t="shared" si="10"/>
        <v>0</v>
      </c>
    </row>
    <row r="69" spans="1:14" x14ac:dyDescent="0.2">
      <c r="A69" s="25"/>
      <c r="B69" s="25" t="s">
        <v>139</v>
      </c>
      <c r="C69" s="25"/>
      <c r="D69" s="25"/>
      <c r="E69" s="25"/>
      <c r="F69" s="25">
        <v>1</v>
      </c>
      <c r="G69" s="132"/>
      <c r="H69" s="227" t="s">
        <v>86</v>
      </c>
      <c r="I69" s="35">
        <v>186</v>
      </c>
      <c r="J69" s="133"/>
      <c r="K69" s="35">
        <v>186</v>
      </c>
      <c r="L69" s="202">
        <f t="shared" si="9"/>
        <v>0</v>
      </c>
      <c r="M69" s="35">
        <v>18600</v>
      </c>
      <c r="N69" s="202">
        <f t="shared" si="10"/>
        <v>0</v>
      </c>
    </row>
    <row r="70" spans="1:14" x14ac:dyDescent="0.2">
      <c r="A70" s="25"/>
      <c r="B70" s="132"/>
      <c r="C70" s="132"/>
      <c r="D70" s="25"/>
      <c r="E70" s="25"/>
      <c r="F70" s="25"/>
      <c r="G70" s="132"/>
      <c r="H70" s="227"/>
      <c r="I70" s="35"/>
      <c r="J70" s="133"/>
      <c r="K70" s="35">
        <v>0</v>
      </c>
      <c r="L70" s="202">
        <f t="shared" ref="L70:L71" si="11">+G70*J70</f>
        <v>0</v>
      </c>
      <c r="M70" s="35">
        <v>0</v>
      </c>
      <c r="N70" s="202">
        <f t="shared" si="10"/>
        <v>0</v>
      </c>
    </row>
    <row r="71" spans="1:14" ht="13.5" thickBot="1" x14ac:dyDescent="0.25">
      <c r="A71" s="25"/>
      <c r="B71" s="132"/>
      <c r="C71" s="132"/>
      <c r="D71" s="25"/>
      <c r="E71" s="25"/>
      <c r="F71" s="25"/>
      <c r="G71" s="132"/>
      <c r="H71" s="227"/>
      <c r="I71" s="35"/>
      <c r="J71" s="133"/>
      <c r="K71" s="35">
        <v>0</v>
      </c>
      <c r="L71" s="202">
        <f t="shared" si="11"/>
        <v>0</v>
      </c>
      <c r="M71" s="35">
        <v>0</v>
      </c>
      <c r="N71" s="202">
        <f t="shared" si="10"/>
        <v>0</v>
      </c>
    </row>
    <row r="72" spans="1:14" ht="13.5" thickBot="1" x14ac:dyDescent="0.25">
      <c r="A72" s="25" t="s">
        <v>37</v>
      </c>
      <c r="B72" s="25"/>
      <c r="C72" s="25"/>
      <c r="D72" s="25"/>
      <c r="E72" s="25"/>
      <c r="F72" s="25"/>
      <c r="G72" s="197"/>
      <c r="H72" s="25"/>
      <c r="I72" s="25"/>
      <c r="J72" s="197"/>
      <c r="K72" s="121">
        <v>542.26122380952381</v>
      </c>
      <c r="L72" s="204">
        <f>+SUM(L63:L69)</f>
        <v>0</v>
      </c>
      <c r="M72" s="121">
        <v>54226.12238095238</v>
      </c>
      <c r="N72" s="204">
        <f>+SUM(N63:N69)</f>
        <v>0</v>
      </c>
    </row>
    <row r="73" spans="1:14" ht="14.25" thickTop="1" thickBot="1" x14ac:dyDescent="0.25">
      <c r="A73" s="25" t="s">
        <v>82</v>
      </c>
      <c r="B73" s="25"/>
      <c r="C73" s="25"/>
      <c r="D73" s="25"/>
      <c r="E73" s="25"/>
      <c r="F73" s="25"/>
      <c r="G73" s="197"/>
      <c r="H73" s="25"/>
      <c r="I73" s="25"/>
      <c r="J73" s="197"/>
      <c r="K73" s="43">
        <v>776.91582625387082</v>
      </c>
      <c r="L73" s="205">
        <f>+L57+L72</f>
        <v>0</v>
      </c>
      <c r="M73" s="43">
        <v>77691.582625387076</v>
      </c>
      <c r="N73" s="205">
        <f>+N57+N72</f>
        <v>0</v>
      </c>
    </row>
    <row r="74" spans="1:14" ht="13.5" thickTop="1" x14ac:dyDescent="0.2">
      <c r="A74" s="25" t="s">
        <v>85</v>
      </c>
      <c r="B74" s="25"/>
      <c r="C74" s="25"/>
      <c r="D74" s="25"/>
      <c r="E74" s="25"/>
      <c r="F74" s="25"/>
      <c r="G74" s="197"/>
      <c r="H74" s="25"/>
      <c r="I74" s="25"/>
      <c r="J74" s="197"/>
      <c r="K74" s="35">
        <v>572.80917374612909</v>
      </c>
      <c r="L74" s="202">
        <f>+L17-L73</f>
        <v>0</v>
      </c>
      <c r="M74" s="35">
        <v>57280.917374612924</v>
      </c>
      <c r="N74" s="202">
        <f>+N17-N73</f>
        <v>0</v>
      </c>
    </row>
    <row r="75" spans="1:14" ht="13.5" thickBot="1" x14ac:dyDescent="0.25">
      <c r="A75" s="44"/>
      <c r="B75" s="44" t="s">
        <v>514</v>
      </c>
      <c r="C75" s="44"/>
      <c r="D75" s="44"/>
      <c r="E75" s="44"/>
      <c r="F75" s="44"/>
      <c r="G75" s="201"/>
      <c r="H75" s="44"/>
      <c r="I75" s="45">
        <v>140.81179710736768</v>
      </c>
      <c r="J75" s="212" t="str">
        <f>IF((E11*G11+E12*G12)=0,"n/a",(L73-SUM(L13:L16))/(E11*G11+E12*G12))</f>
        <v>n/a</v>
      </c>
      <c r="K75" s="44" t="s">
        <v>7</v>
      </c>
      <c r="L75" s="201"/>
      <c r="M75" s="44"/>
      <c r="N75" s="201"/>
    </row>
    <row r="76" spans="1:14" ht="13.5" thickTop="1" x14ac:dyDescent="0.2"/>
    <row r="77" spans="1:14" ht="15.75" x14ac:dyDescent="0.25">
      <c r="C77" s="234" t="s">
        <v>113</v>
      </c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18"/>
    </row>
    <row r="78" spans="1:14" s="46" customFormat="1" ht="51" x14ac:dyDescent="0.2">
      <c r="C78" s="112" t="s">
        <v>114</v>
      </c>
      <c r="D78" s="112" t="s">
        <v>516</v>
      </c>
      <c r="E78" s="113"/>
      <c r="F78" s="112" t="s">
        <v>517</v>
      </c>
      <c r="G78" s="113"/>
      <c r="H78" s="242" t="s">
        <v>518</v>
      </c>
      <c r="I78" s="243"/>
      <c r="K78" s="242" t="s">
        <v>171</v>
      </c>
      <c r="L78" s="244"/>
      <c r="M78" s="243"/>
    </row>
    <row r="79" spans="1:14" x14ac:dyDescent="0.2">
      <c r="C79" s="47">
        <v>0.91</v>
      </c>
      <c r="D79" s="111">
        <v>1427.0844117647059</v>
      </c>
      <c r="E79" s="111"/>
      <c r="F79" s="109">
        <v>649.72352941176473</v>
      </c>
      <c r="G79" s="109"/>
      <c r="H79" s="245">
        <v>233.32552464490223</v>
      </c>
      <c r="I79" s="246"/>
      <c r="J79" s="110"/>
      <c r="K79" s="247">
        <v>131.52750279259615</v>
      </c>
      <c r="L79" s="247"/>
      <c r="M79" s="248"/>
    </row>
    <row r="80" spans="1:14" x14ac:dyDescent="0.2">
      <c r="C80" s="48">
        <v>0.88</v>
      </c>
      <c r="D80" s="108">
        <v>1388.4047058823528</v>
      </c>
      <c r="E80" s="108"/>
      <c r="F80" s="107">
        <v>636.61176470588236</v>
      </c>
      <c r="G80" s="107"/>
      <c r="H80" s="249">
        <v>242.91424483578865</v>
      </c>
      <c r="I80" s="250"/>
      <c r="J80" s="101"/>
      <c r="K80" s="251">
        <v>136.01139493325286</v>
      </c>
      <c r="L80" s="251"/>
      <c r="M80" s="230"/>
    </row>
    <row r="81" spans="1:14" x14ac:dyDescent="0.2">
      <c r="C81" s="47">
        <v>0.85</v>
      </c>
      <c r="D81" s="111">
        <v>1349.7249999999999</v>
      </c>
      <c r="E81" s="111"/>
      <c r="F81" s="109">
        <v>623.5</v>
      </c>
      <c r="G81" s="109"/>
      <c r="H81" s="245">
        <v>253.32485532875103</v>
      </c>
      <c r="I81" s="246"/>
      <c r="J81" s="110"/>
      <c r="K81" s="247">
        <v>140.81179710736765</v>
      </c>
      <c r="L81" s="247"/>
      <c r="M81" s="248"/>
    </row>
    <row r="82" spans="1:14" x14ac:dyDescent="0.2">
      <c r="C82" s="48">
        <v>0.82</v>
      </c>
      <c r="D82" s="108">
        <v>1311.045294117647</v>
      </c>
      <c r="E82" s="108"/>
      <c r="F82" s="107">
        <v>610.38823529411764</v>
      </c>
      <c r="G82" s="107"/>
      <c r="H82" s="249">
        <v>264.6677592986951</v>
      </c>
      <c r="I82" s="250"/>
      <c r="J82" s="101"/>
      <c r="K82" s="251">
        <v>145.96344822105186</v>
      </c>
      <c r="L82" s="251"/>
      <c r="M82" s="230"/>
    </row>
    <row r="83" spans="1:14" x14ac:dyDescent="0.2">
      <c r="C83" s="47">
        <v>0.78999999999999992</v>
      </c>
      <c r="D83" s="111">
        <v>1272.3655882352941</v>
      </c>
      <c r="E83" s="111"/>
      <c r="F83" s="109">
        <v>597.27647058823527</v>
      </c>
      <c r="G83" s="109"/>
      <c r="H83" s="245">
        <v>277.07406051582149</v>
      </c>
      <c r="I83" s="246"/>
      <c r="J83" s="110"/>
      <c r="K83" s="247">
        <v>151.50636397628168</v>
      </c>
      <c r="L83" s="247"/>
      <c r="M83" s="248"/>
    </row>
    <row r="85" spans="1:14" x14ac:dyDescent="0.2">
      <c r="D85" s="12" t="str">
        <f>"Example Male "&amp;F8&amp;" Price"</f>
        <v>Example Male Calf Price</v>
      </c>
      <c r="K85" s="8">
        <f>+I11</f>
        <v>295</v>
      </c>
      <c r="L85" s="8"/>
    </row>
    <row r="86" spans="1:14" x14ac:dyDescent="0.2">
      <c r="D86" s="12" t="str">
        <f>"Example Female "&amp;F8&amp;" Price"</f>
        <v>Example Female Calf Price</v>
      </c>
      <c r="K86" s="8">
        <f>+I12</f>
        <v>295</v>
      </c>
      <c r="L86" s="8"/>
    </row>
    <row r="87" spans="1:14" x14ac:dyDescent="0.2">
      <c r="D87" s="12" t="str">
        <f>"Example Weighted Average "&amp;F8&amp;" Price ($/cwt)"</f>
        <v>Example Weighted Average Calf Price ($/cwt)</v>
      </c>
      <c r="K87" s="8">
        <f>+(K11+K12)/(D11*F11+D12*F12)</f>
        <v>295</v>
      </c>
      <c r="L87" s="8"/>
    </row>
    <row r="89" spans="1:14" x14ac:dyDescent="0.2">
      <c r="A89" s="25" t="s">
        <v>536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1" spans="1:14" ht="25.5" customHeight="1" x14ac:dyDescent="0.2">
      <c r="A91" s="236" t="s">
        <v>140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</row>
  </sheetData>
  <sheetProtection sheet="1" objects="1" scenarios="1"/>
  <mergeCells count="18">
    <mergeCell ref="H82:I82"/>
    <mergeCell ref="K82:M82"/>
    <mergeCell ref="H83:I83"/>
    <mergeCell ref="K83:M83"/>
    <mergeCell ref="A91:N91"/>
    <mergeCell ref="H79:I79"/>
    <mergeCell ref="K79:M79"/>
    <mergeCell ref="H80:I80"/>
    <mergeCell ref="K80:M80"/>
    <mergeCell ref="H81:I81"/>
    <mergeCell ref="K81:M81"/>
    <mergeCell ref="H78:I78"/>
    <mergeCell ref="K78:M78"/>
    <mergeCell ref="A1:N1"/>
    <mergeCell ref="A2:N2"/>
    <mergeCell ref="A3:N3"/>
    <mergeCell ref="A4:N4"/>
    <mergeCell ref="C77:M77"/>
  </mergeCells>
  <printOptions horizontalCentered="1"/>
  <pageMargins left="0.7" right="0.7" top="0.75" bottom="0.75" header="0.3" footer="0.3"/>
  <pageSetup scale="38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9">
    <tabColor rgb="FFFF0000"/>
    <pageSetUpPr fitToPage="1"/>
  </sheetPr>
  <dimension ref="A1:O84"/>
  <sheetViews>
    <sheetView showGridLines="0" workbookViewId="0">
      <selection sqref="A1:N1"/>
    </sheetView>
  </sheetViews>
  <sheetFormatPr defaultColWidth="9.140625" defaultRowHeight="12.75" x14ac:dyDescent="0.2"/>
  <cols>
    <col min="1" max="2" width="5" customWidth="1"/>
    <col min="3" max="3" width="22.5703125" customWidth="1"/>
    <col min="5" max="5" width="9.42578125" customWidth="1"/>
    <col min="6" max="6" width="11.42578125" customWidth="1"/>
    <col min="7" max="7" width="9.140625" customWidth="1"/>
    <col min="9" max="9" width="9.5703125" customWidth="1"/>
    <col min="10" max="10" width="9.140625" customWidth="1"/>
    <col min="11" max="11" width="11" customWidth="1"/>
    <col min="12" max="12" width="13.42578125" customWidth="1"/>
    <col min="13" max="13" width="16.5703125" customWidth="1"/>
    <col min="14" max="14" width="14.5703125" customWidth="1"/>
    <col min="15" max="15" width="9.140625" hidden="1" customWidth="1"/>
  </cols>
  <sheetData>
    <row r="1" spans="1:15" x14ac:dyDescent="0.2">
      <c r="A1" s="238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7"/>
    </row>
    <row r="2" spans="1:15" x14ac:dyDescent="0.2">
      <c r="A2" s="239" t="s">
        <v>519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7"/>
    </row>
    <row r="3" spans="1:15" x14ac:dyDescent="0.2">
      <c r="A3" s="240" t="s">
        <v>486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7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17"/>
    </row>
    <row r="5" spans="1:15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20" t="s">
        <v>119</v>
      </c>
      <c r="N5" s="17"/>
      <c r="O5" s="17"/>
    </row>
    <row r="6" spans="1:15" x14ac:dyDescent="0.2">
      <c r="A6" s="106"/>
      <c r="B6" s="22"/>
      <c r="C6" s="22"/>
      <c r="D6" s="22"/>
      <c r="E6" s="190" t="s">
        <v>117</v>
      </c>
      <c r="F6" s="22"/>
      <c r="G6" s="22"/>
      <c r="H6" s="22"/>
      <c r="I6" s="22"/>
      <c r="J6" s="22"/>
      <c r="K6" s="22"/>
      <c r="L6" s="22"/>
      <c r="M6" s="22"/>
      <c r="N6" s="190" t="s">
        <v>74</v>
      </c>
      <c r="O6" s="17"/>
    </row>
    <row r="7" spans="1:15" x14ac:dyDescent="0.2">
      <c r="A7" s="106"/>
      <c r="B7" s="32" t="s">
        <v>149</v>
      </c>
      <c r="C7" s="22"/>
      <c r="D7" s="49">
        <v>100</v>
      </c>
      <c r="E7" s="213"/>
      <c r="F7" s="22"/>
      <c r="G7" s="190" t="s">
        <v>74</v>
      </c>
      <c r="H7" s="22"/>
      <c r="I7" s="22"/>
      <c r="J7" s="22"/>
      <c r="K7" s="22"/>
      <c r="L7" s="22"/>
      <c r="M7" s="22" t="s">
        <v>19</v>
      </c>
      <c r="N7" s="190" t="s">
        <v>19</v>
      </c>
      <c r="O7" s="17"/>
    </row>
    <row r="8" spans="1:15" x14ac:dyDescent="0.2">
      <c r="A8" s="25"/>
      <c r="B8" s="17"/>
      <c r="C8" s="25"/>
      <c r="D8" s="25"/>
      <c r="E8" s="190" t="s">
        <v>74</v>
      </c>
      <c r="F8" s="21" t="s">
        <v>118</v>
      </c>
      <c r="G8" s="194" t="s">
        <v>126</v>
      </c>
      <c r="H8" s="21"/>
      <c r="I8" s="21"/>
      <c r="J8" s="190" t="s">
        <v>74</v>
      </c>
      <c r="K8" s="21"/>
      <c r="L8" s="190" t="s">
        <v>74</v>
      </c>
      <c r="M8" s="22" t="s">
        <v>11</v>
      </c>
      <c r="N8" s="190" t="s">
        <v>11</v>
      </c>
      <c r="O8" s="17"/>
    </row>
    <row r="9" spans="1:15" x14ac:dyDescent="0.2">
      <c r="A9" s="23" t="s">
        <v>73</v>
      </c>
      <c r="B9" s="23"/>
      <c r="C9" s="23"/>
      <c r="D9" s="24" t="s">
        <v>20</v>
      </c>
      <c r="E9" s="191" t="s">
        <v>20</v>
      </c>
      <c r="F9" s="24" t="s">
        <v>158</v>
      </c>
      <c r="G9" s="191" t="s">
        <v>158</v>
      </c>
      <c r="H9" s="24" t="s">
        <v>21</v>
      </c>
      <c r="I9" s="24" t="s">
        <v>22</v>
      </c>
      <c r="J9" s="191" t="s">
        <v>22</v>
      </c>
      <c r="K9" s="24" t="s">
        <v>11</v>
      </c>
      <c r="L9" s="191" t="s">
        <v>11</v>
      </c>
      <c r="M9" s="24" t="str">
        <f>"(" &amp; D7 &amp; " Head)"</f>
        <v>(100 Head)</v>
      </c>
      <c r="N9" s="191" t="str">
        <f>"(" &amp; E7 &amp; " Head)"</f>
        <v>( Head)</v>
      </c>
      <c r="O9" s="17"/>
    </row>
    <row r="10" spans="1:15" x14ac:dyDescent="0.2">
      <c r="A10" s="25"/>
      <c r="B10" s="25"/>
      <c r="C10" s="25"/>
      <c r="D10" s="25"/>
      <c r="E10" s="22"/>
      <c r="F10" s="21"/>
      <c r="G10" s="17"/>
      <c r="H10" s="21"/>
      <c r="I10" s="21"/>
      <c r="J10" s="17"/>
      <c r="K10" s="21"/>
      <c r="L10" s="28"/>
      <c r="M10" s="21"/>
      <c r="N10" s="17"/>
      <c r="O10" s="17"/>
    </row>
    <row r="11" spans="1:15" x14ac:dyDescent="0.2">
      <c r="A11" s="25"/>
      <c r="B11" s="119" t="s">
        <v>119</v>
      </c>
      <c r="C11" s="25"/>
      <c r="D11" s="33">
        <v>0.95</v>
      </c>
      <c r="E11" s="132"/>
      <c r="F11" s="50">
        <v>6.5</v>
      </c>
      <c r="G11" s="132"/>
      <c r="H11" s="227" t="s">
        <v>7</v>
      </c>
      <c r="I11" s="31">
        <v>290</v>
      </c>
      <c r="J11" s="133"/>
      <c r="K11" s="35">
        <v>1790.75</v>
      </c>
      <c r="L11" s="202">
        <f t="shared" ref="L11:L13" si="0">+J11*G11*E11</f>
        <v>0</v>
      </c>
      <c r="M11" s="35">
        <v>179075</v>
      </c>
      <c r="N11" s="202">
        <f t="shared" ref="N11:N14" si="1">+L11*E$7</f>
        <v>0</v>
      </c>
      <c r="O11" s="17"/>
    </row>
    <row r="12" spans="1:15" x14ac:dyDescent="0.2">
      <c r="A12" s="25"/>
      <c r="B12" s="132"/>
      <c r="C12" s="132"/>
      <c r="D12" s="33">
        <v>0.95</v>
      </c>
      <c r="E12" s="132"/>
      <c r="F12" s="50">
        <v>0</v>
      </c>
      <c r="G12" s="132"/>
      <c r="H12" s="227"/>
      <c r="I12" s="31">
        <v>0</v>
      </c>
      <c r="J12" s="133"/>
      <c r="K12" s="35">
        <v>0</v>
      </c>
      <c r="L12" s="202">
        <f t="shared" si="0"/>
        <v>0</v>
      </c>
      <c r="M12" s="35">
        <v>0</v>
      </c>
      <c r="N12" s="202">
        <f t="shared" si="1"/>
        <v>0</v>
      </c>
      <c r="O12" s="17"/>
    </row>
    <row r="13" spans="1:15" ht="13.5" thickBot="1" x14ac:dyDescent="0.25">
      <c r="A13" s="25"/>
      <c r="B13" s="132"/>
      <c r="C13" s="132"/>
      <c r="D13" s="33">
        <v>0.95</v>
      </c>
      <c r="E13" s="132"/>
      <c r="F13" s="50">
        <v>0</v>
      </c>
      <c r="G13" s="132"/>
      <c r="H13" s="227"/>
      <c r="I13" s="31">
        <v>0</v>
      </c>
      <c r="J13" s="133"/>
      <c r="K13" s="35">
        <v>0</v>
      </c>
      <c r="L13" s="202">
        <f t="shared" si="0"/>
        <v>0</v>
      </c>
      <c r="M13" s="35">
        <v>0</v>
      </c>
      <c r="N13" s="202">
        <f t="shared" si="1"/>
        <v>0</v>
      </c>
      <c r="O13" s="17"/>
    </row>
    <row r="14" spans="1:15" x14ac:dyDescent="0.2">
      <c r="A14" s="25" t="s">
        <v>24</v>
      </c>
      <c r="B14" s="25"/>
      <c r="C14" s="25"/>
      <c r="D14" s="25"/>
      <c r="E14" s="25"/>
      <c r="F14" s="25"/>
      <c r="G14" s="200"/>
      <c r="H14" s="25"/>
      <c r="I14" s="25"/>
      <c r="J14" s="197"/>
      <c r="K14" s="36">
        <v>1790.75</v>
      </c>
      <c r="L14" s="203">
        <f>+L11</f>
        <v>0</v>
      </c>
      <c r="M14" s="36">
        <v>179075</v>
      </c>
      <c r="N14" s="203">
        <f t="shared" si="1"/>
        <v>0</v>
      </c>
      <c r="O14" s="17"/>
    </row>
    <row r="15" spans="1:15" x14ac:dyDescent="0.2">
      <c r="A15" s="25"/>
      <c r="B15" s="25"/>
      <c r="C15" s="25"/>
      <c r="D15" s="25"/>
      <c r="E15" s="25"/>
      <c r="F15" s="25"/>
      <c r="G15" s="178"/>
      <c r="H15" s="25"/>
      <c r="I15" s="25"/>
      <c r="J15" s="211"/>
      <c r="K15" s="35"/>
      <c r="L15" s="184"/>
      <c r="M15" s="22" t="s">
        <v>19</v>
      </c>
      <c r="N15" s="184" t="s">
        <v>19</v>
      </c>
      <c r="O15" s="17"/>
    </row>
    <row r="16" spans="1:15" x14ac:dyDescent="0.2">
      <c r="A16" s="23" t="s">
        <v>25</v>
      </c>
      <c r="B16" s="23"/>
      <c r="C16" s="23"/>
      <c r="D16" s="23"/>
      <c r="E16" s="23"/>
      <c r="F16" s="24" t="s">
        <v>2</v>
      </c>
      <c r="G16" s="196" t="s">
        <v>2</v>
      </c>
      <c r="H16" s="24" t="s">
        <v>21</v>
      </c>
      <c r="I16" s="24" t="s">
        <v>22</v>
      </c>
      <c r="J16" s="196" t="s">
        <v>22</v>
      </c>
      <c r="K16" s="24" t="s">
        <v>11</v>
      </c>
      <c r="L16" s="202" t="s">
        <v>11</v>
      </c>
      <c r="M16" s="24" t="s">
        <v>11</v>
      </c>
      <c r="N16" s="208" t="s">
        <v>11</v>
      </c>
      <c r="O16" s="17"/>
    </row>
    <row r="17" spans="1:15" x14ac:dyDescent="0.2">
      <c r="A17" s="25" t="s">
        <v>26</v>
      </c>
      <c r="B17" s="25"/>
      <c r="C17" s="25"/>
      <c r="D17" s="25"/>
      <c r="E17" s="25"/>
      <c r="F17" s="25"/>
      <c r="G17" s="200"/>
      <c r="H17" s="25"/>
      <c r="I17" s="25"/>
      <c r="J17" s="197"/>
      <c r="K17" s="25"/>
      <c r="L17" s="206"/>
      <c r="M17" s="25"/>
      <c r="N17" s="206"/>
      <c r="O17" s="17"/>
    </row>
    <row r="18" spans="1:15" x14ac:dyDescent="0.2">
      <c r="A18" s="25"/>
      <c r="B18" s="25" t="s">
        <v>305</v>
      </c>
      <c r="C18" s="25"/>
      <c r="D18" s="25"/>
      <c r="E18" s="25"/>
      <c r="F18" s="34">
        <v>5</v>
      </c>
      <c r="G18" s="132"/>
      <c r="H18" s="227" t="s">
        <v>7</v>
      </c>
      <c r="I18" s="35">
        <v>295</v>
      </c>
      <c r="J18" s="133"/>
      <c r="K18" s="35">
        <v>1475</v>
      </c>
      <c r="L18" s="202">
        <f t="shared" ref="L18:L36" si="2">+J18*G18</f>
        <v>0</v>
      </c>
      <c r="M18" s="35">
        <v>147500</v>
      </c>
      <c r="N18" s="202">
        <f>+L18*E$7</f>
        <v>0</v>
      </c>
      <c r="O18" s="17"/>
    </row>
    <row r="19" spans="1:15" x14ac:dyDescent="0.2">
      <c r="A19" s="25"/>
      <c r="B19" s="25" t="s">
        <v>306</v>
      </c>
      <c r="C19" s="25"/>
      <c r="D19" s="25"/>
      <c r="E19" s="25"/>
      <c r="F19" s="34">
        <v>1</v>
      </c>
      <c r="G19" s="132"/>
      <c r="H19" s="227" t="s">
        <v>20</v>
      </c>
      <c r="I19" s="35">
        <v>0</v>
      </c>
      <c r="J19" s="133"/>
      <c r="K19" s="35">
        <v>0</v>
      </c>
      <c r="L19" s="202">
        <f>+J19*G19</f>
        <v>0</v>
      </c>
      <c r="M19" s="35">
        <v>0</v>
      </c>
      <c r="N19" s="202">
        <f>+L19*E$7</f>
        <v>0</v>
      </c>
      <c r="O19" s="17"/>
    </row>
    <row r="20" spans="1:15" x14ac:dyDescent="0.2">
      <c r="A20" s="25"/>
      <c r="B20" s="25" t="s">
        <v>78</v>
      </c>
      <c r="C20" s="25"/>
      <c r="D20" s="25"/>
      <c r="E20" s="25"/>
      <c r="G20" s="105"/>
      <c r="J20" s="105"/>
      <c r="K20" s="127"/>
      <c r="L20" s="105"/>
      <c r="N20" s="105"/>
      <c r="O20" s="17"/>
    </row>
    <row r="21" spans="1:15" x14ac:dyDescent="0.2">
      <c r="A21" s="25"/>
      <c r="B21" s="25"/>
      <c r="C21" s="25" t="s">
        <v>128</v>
      </c>
      <c r="D21" s="25"/>
      <c r="E21" s="25"/>
      <c r="F21" s="34">
        <v>0.01</v>
      </c>
      <c r="G21" s="132"/>
      <c r="H21" s="227" t="s">
        <v>42</v>
      </c>
      <c r="I21" s="35">
        <v>0</v>
      </c>
      <c r="J21" s="133"/>
      <c r="K21" s="35">
        <v>0</v>
      </c>
      <c r="L21" s="202">
        <f t="shared" si="2"/>
        <v>0</v>
      </c>
      <c r="M21" s="35">
        <v>0</v>
      </c>
      <c r="N21" s="202">
        <f t="shared" ref="N21:N36" si="3">+L21*E$7</f>
        <v>0</v>
      </c>
      <c r="O21" s="17"/>
    </row>
    <row r="22" spans="1:15" x14ac:dyDescent="0.2">
      <c r="A22" s="25"/>
      <c r="B22" s="25"/>
      <c r="C22" s="25" t="s">
        <v>127</v>
      </c>
      <c r="D22" s="25"/>
      <c r="E22" s="25"/>
      <c r="F22" s="34">
        <v>2.7</v>
      </c>
      <c r="G22" s="132"/>
      <c r="H22" s="227" t="s">
        <v>110</v>
      </c>
      <c r="I22" s="35">
        <v>18.75</v>
      </c>
      <c r="J22" s="133"/>
      <c r="K22" s="35">
        <v>50.625</v>
      </c>
      <c r="L22" s="202">
        <f t="shared" si="2"/>
        <v>0</v>
      </c>
      <c r="M22" s="35">
        <v>5062.5</v>
      </c>
      <c r="N22" s="202">
        <f t="shared" si="3"/>
        <v>0</v>
      </c>
      <c r="O22" s="17"/>
    </row>
    <row r="23" spans="1:15" x14ac:dyDescent="0.2">
      <c r="A23" s="25"/>
      <c r="B23" s="25"/>
      <c r="C23" s="25" t="s">
        <v>121</v>
      </c>
      <c r="D23" s="25"/>
      <c r="E23" s="25"/>
      <c r="F23" s="34">
        <v>0</v>
      </c>
      <c r="G23" s="132"/>
      <c r="H23" s="227" t="s">
        <v>41</v>
      </c>
      <c r="I23" s="35">
        <v>0</v>
      </c>
      <c r="J23" s="133"/>
      <c r="K23" s="35">
        <v>0</v>
      </c>
      <c r="L23" s="202">
        <f t="shared" si="2"/>
        <v>0</v>
      </c>
      <c r="M23" s="35">
        <v>0</v>
      </c>
      <c r="N23" s="202">
        <f t="shared" si="3"/>
        <v>0</v>
      </c>
      <c r="O23" s="17"/>
    </row>
    <row r="24" spans="1:15" x14ac:dyDescent="0.2">
      <c r="A24" s="25"/>
      <c r="B24" s="25"/>
      <c r="C24" s="25" t="s">
        <v>129</v>
      </c>
      <c r="D24" s="25"/>
      <c r="E24" s="25"/>
      <c r="F24" s="34">
        <v>0</v>
      </c>
      <c r="G24" s="132"/>
      <c r="H24" s="227" t="s">
        <v>110</v>
      </c>
      <c r="I24" s="35">
        <v>0</v>
      </c>
      <c r="J24" s="133"/>
      <c r="K24" s="35">
        <v>0</v>
      </c>
      <c r="L24" s="202">
        <f>+G24*J24*G18</f>
        <v>0</v>
      </c>
      <c r="M24" s="35">
        <v>0</v>
      </c>
      <c r="N24" s="202">
        <f t="shared" si="3"/>
        <v>0</v>
      </c>
      <c r="O24" s="17"/>
    </row>
    <row r="25" spans="1:15" x14ac:dyDescent="0.2">
      <c r="A25" s="25"/>
      <c r="B25" s="25" t="s">
        <v>120</v>
      </c>
      <c r="C25" s="25"/>
      <c r="D25" s="25"/>
      <c r="E25" s="25"/>
      <c r="G25" s="105"/>
      <c r="J25" s="105"/>
      <c r="K25" s="127"/>
      <c r="L25" s="105"/>
      <c r="N25" s="105"/>
    </row>
    <row r="26" spans="1:15" x14ac:dyDescent="0.2">
      <c r="A26" s="25"/>
      <c r="B26" s="25"/>
      <c r="C26" s="25" t="s">
        <v>362</v>
      </c>
      <c r="D26" s="25"/>
      <c r="E26" s="25"/>
      <c r="F26" s="25">
        <v>1</v>
      </c>
      <c r="G26" s="132"/>
      <c r="H26" s="227" t="s">
        <v>363</v>
      </c>
      <c r="I26" s="35">
        <v>0.51</v>
      </c>
      <c r="J26" s="133"/>
      <c r="K26" s="35">
        <v>0.51</v>
      </c>
      <c r="L26" s="202">
        <f t="shared" ref="L26:L31" si="4">+J26*G26</f>
        <v>0</v>
      </c>
      <c r="M26" s="35">
        <v>51</v>
      </c>
      <c r="N26" s="202">
        <f t="shared" ref="N26:N31" si="5">+L26*E$7</f>
        <v>0</v>
      </c>
      <c r="O26" s="17"/>
    </row>
    <row r="27" spans="1:15" x14ac:dyDescent="0.2">
      <c r="A27" s="25"/>
      <c r="B27" s="25"/>
      <c r="C27" s="25" t="s">
        <v>371</v>
      </c>
      <c r="D27" s="25"/>
      <c r="E27" s="25"/>
      <c r="F27" s="25">
        <v>1</v>
      </c>
      <c r="G27" s="132"/>
      <c r="H27" s="227" t="s">
        <v>363</v>
      </c>
      <c r="I27" s="35">
        <v>1.32</v>
      </c>
      <c r="J27" s="133"/>
      <c r="K27" s="35">
        <v>1.32</v>
      </c>
      <c r="L27" s="202">
        <f t="shared" si="4"/>
        <v>0</v>
      </c>
      <c r="M27" s="35">
        <v>132</v>
      </c>
      <c r="N27" s="202">
        <f t="shared" si="5"/>
        <v>0</v>
      </c>
      <c r="O27" s="17"/>
    </row>
    <row r="28" spans="1:15" x14ac:dyDescent="0.2">
      <c r="A28" s="25"/>
      <c r="B28" s="25"/>
      <c r="C28" s="25" t="s">
        <v>385</v>
      </c>
      <c r="D28" s="25"/>
      <c r="E28" s="25"/>
      <c r="F28" s="25">
        <v>6</v>
      </c>
      <c r="G28" s="132"/>
      <c r="H28" s="227" t="s">
        <v>7</v>
      </c>
      <c r="I28" s="35">
        <v>0.26</v>
      </c>
      <c r="J28" s="133"/>
      <c r="K28" s="35">
        <v>1.56</v>
      </c>
      <c r="L28" s="202">
        <f t="shared" si="4"/>
        <v>0</v>
      </c>
      <c r="M28" s="35">
        <v>156</v>
      </c>
      <c r="N28" s="202">
        <f t="shared" si="5"/>
        <v>0</v>
      </c>
      <c r="O28" s="17"/>
    </row>
    <row r="29" spans="1:15" x14ac:dyDescent="0.2">
      <c r="A29" s="25"/>
      <c r="B29" s="132"/>
      <c r="C29" s="132"/>
      <c r="D29" s="25"/>
      <c r="E29" s="25"/>
      <c r="F29" s="25">
        <v>0</v>
      </c>
      <c r="G29" s="132"/>
      <c r="H29" s="227"/>
      <c r="I29" s="35">
        <v>0</v>
      </c>
      <c r="J29" s="133"/>
      <c r="K29" s="35">
        <v>0</v>
      </c>
      <c r="L29" s="202">
        <f t="shared" si="4"/>
        <v>0</v>
      </c>
      <c r="M29" s="35">
        <v>0</v>
      </c>
      <c r="N29" s="202">
        <f t="shared" si="5"/>
        <v>0</v>
      </c>
      <c r="O29" s="17"/>
    </row>
    <row r="30" spans="1:15" x14ac:dyDescent="0.2">
      <c r="A30" s="25"/>
      <c r="B30" s="132"/>
      <c r="C30" s="132"/>
      <c r="D30" s="25"/>
      <c r="E30" s="25"/>
      <c r="F30" s="25">
        <v>0</v>
      </c>
      <c r="G30" s="132"/>
      <c r="H30" s="227"/>
      <c r="I30" s="35">
        <v>0</v>
      </c>
      <c r="J30" s="133"/>
      <c r="K30" s="35">
        <v>0</v>
      </c>
      <c r="L30" s="202">
        <f t="shared" si="4"/>
        <v>0</v>
      </c>
      <c r="M30" s="35">
        <v>0</v>
      </c>
      <c r="N30" s="202">
        <f t="shared" si="5"/>
        <v>0</v>
      </c>
      <c r="O30" s="17"/>
    </row>
    <row r="31" spans="1:15" x14ac:dyDescent="0.2">
      <c r="A31" s="25"/>
      <c r="B31" s="132"/>
      <c r="C31" s="132"/>
      <c r="D31" s="25"/>
      <c r="E31" s="25"/>
      <c r="F31" s="25">
        <v>0</v>
      </c>
      <c r="G31" s="132"/>
      <c r="H31" s="227"/>
      <c r="I31" s="35">
        <v>0</v>
      </c>
      <c r="J31" s="133"/>
      <c r="K31" s="35">
        <v>0</v>
      </c>
      <c r="L31" s="202">
        <f t="shared" si="4"/>
        <v>0</v>
      </c>
      <c r="M31" s="35">
        <v>0</v>
      </c>
      <c r="N31" s="202">
        <f t="shared" si="5"/>
        <v>0</v>
      </c>
      <c r="O31" s="17"/>
    </row>
    <row r="32" spans="1:15" x14ac:dyDescent="0.2">
      <c r="A32" s="25"/>
      <c r="B32" s="25" t="s">
        <v>109</v>
      </c>
      <c r="C32" s="25"/>
      <c r="D32" s="25"/>
      <c r="E32" s="25"/>
      <c r="F32" s="25"/>
      <c r="G32" s="105"/>
      <c r="J32" s="105"/>
      <c r="K32" s="127"/>
      <c r="L32" s="105"/>
      <c r="N32" s="105"/>
    </row>
    <row r="33" spans="1:15" x14ac:dyDescent="0.2">
      <c r="A33" s="25"/>
      <c r="B33" s="25"/>
      <c r="C33" s="25" t="s">
        <v>357</v>
      </c>
      <c r="D33" s="25"/>
      <c r="E33" s="25"/>
      <c r="F33" s="25">
        <v>11.7</v>
      </c>
      <c r="G33" s="132"/>
      <c r="H33" s="227" t="s">
        <v>83</v>
      </c>
      <c r="I33" s="35">
        <v>0.56999999999999995</v>
      </c>
      <c r="J33" s="133"/>
      <c r="K33" s="35">
        <v>6.6689999999999987</v>
      </c>
      <c r="L33" s="202">
        <f t="shared" si="2"/>
        <v>0</v>
      </c>
      <c r="M33" s="35">
        <v>666.89999999999986</v>
      </c>
      <c r="N33" s="202">
        <f t="shared" si="3"/>
        <v>0</v>
      </c>
      <c r="O33" s="17"/>
    </row>
    <row r="34" spans="1:15" x14ac:dyDescent="0.2">
      <c r="A34" s="25"/>
      <c r="B34" s="132"/>
      <c r="C34" s="132"/>
      <c r="D34" s="25"/>
      <c r="E34" s="25"/>
      <c r="F34" s="25">
        <v>0</v>
      </c>
      <c r="G34" s="132"/>
      <c r="H34" s="227"/>
      <c r="I34" s="35">
        <v>0</v>
      </c>
      <c r="J34" s="133"/>
      <c r="K34" s="35">
        <v>0</v>
      </c>
      <c r="L34" s="202">
        <f t="shared" si="2"/>
        <v>0</v>
      </c>
      <c r="M34" s="35">
        <v>0</v>
      </c>
      <c r="N34" s="202">
        <f t="shared" si="3"/>
        <v>0</v>
      </c>
      <c r="O34" s="17"/>
    </row>
    <row r="35" spans="1:15" x14ac:dyDescent="0.2">
      <c r="A35" s="25"/>
      <c r="B35" s="132"/>
      <c r="C35" s="132"/>
      <c r="D35" s="25"/>
      <c r="E35" s="25"/>
      <c r="F35" s="25">
        <v>0</v>
      </c>
      <c r="G35" s="132"/>
      <c r="H35" s="227"/>
      <c r="I35" s="35">
        <v>0</v>
      </c>
      <c r="J35" s="133"/>
      <c r="K35" s="35">
        <v>0</v>
      </c>
      <c r="L35" s="202">
        <f t="shared" si="2"/>
        <v>0</v>
      </c>
      <c r="M35" s="35">
        <v>0</v>
      </c>
      <c r="N35" s="202">
        <f t="shared" si="3"/>
        <v>0</v>
      </c>
      <c r="O35" s="17"/>
    </row>
    <row r="36" spans="1:15" x14ac:dyDescent="0.2">
      <c r="A36" s="25"/>
      <c r="B36" s="132"/>
      <c r="C36" s="132"/>
      <c r="D36" s="25"/>
      <c r="E36" s="25"/>
      <c r="F36" s="25">
        <v>0</v>
      </c>
      <c r="G36" s="132"/>
      <c r="H36" s="227"/>
      <c r="I36" s="35">
        <v>0</v>
      </c>
      <c r="J36" s="133"/>
      <c r="K36" s="35">
        <v>0</v>
      </c>
      <c r="L36" s="202">
        <f t="shared" si="2"/>
        <v>0</v>
      </c>
      <c r="M36" s="35">
        <v>0</v>
      </c>
      <c r="N36" s="202">
        <f t="shared" si="3"/>
        <v>0</v>
      </c>
      <c r="O36" s="17"/>
    </row>
    <row r="37" spans="1:15" x14ac:dyDescent="0.2">
      <c r="A37" s="25"/>
      <c r="B37" s="25" t="s">
        <v>27</v>
      </c>
      <c r="C37" s="25"/>
      <c r="D37" s="25"/>
      <c r="E37" s="25"/>
      <c r="G37" s="105"/>
      <c r="J37" s="105"/>
      <c r="K37" s="127"/>
      <c r="L37" s="105"/>
      <c r="N37" s="105"/>
    </row>
    <row r="38" spans="1:15" x14ac:dyDescent="0.2">
      <c r="A38" s="25"/>
      <c r="B38" s="132"/>
      <c r="C38" s="132"/>
      <c r="D38" s="25"/>
      <c r="E38" s="25"/>
      <c r="F38" s="25">
        <v>1</v>
      </c>
      <c r="G38" s="132"/>
      <c r="H38" s="227"/>
      <c r="I38" s="35">
        <v>0</v>
      </c>
      <c r="J38" s="133"/>
      <c r="K38" s="35">
        <v>0</v>
      </c>
      <c r="L38" s="202">
        <f t="shared" ref="L38:L45" si="6">+J38*G38</f>
        <v>0</v>
      </c>
      <c r="M38" s="35">
        <v>0</v>
      </c>
      <c r="N38" s="202">
        <f t="shared" ref="N38:N48" si="7">+L38*E$7</f>
        <v>0</v>
      </c>
      <c r="O38" s="17"/>
    </row>
    <row r="39" spans="1:15" x14ac:dyDescent="0.2">
      <c r="A39" s="25"/>
      <c r="B39" s="132"/>
      <c r="C39" s="132"/>
      <c r="D39" s="25"/>
      <c r="E39" s="25"/>
      <c r="F39" s="25">
        <v>1</v>
      </c>
      <c r="G39" s="132"/>
      <c r="H39" s="227"/>
      <c r="I39" s="35">
        <v>0</v>
      </c>
      <c r="J39" s="133"/>
      <c r="K39" s="35">
        <v>0</v>
      </c>
      <c r="L39" s="202">
        <f t="shared" si="6"/>
        <v>0</v>
      </c>
      <c r="M39" s="35">
        <v>0</v>
      </c>
      <c r="N39" s="202">
        <f t="shared" si="7"/>
        <v>0</v>
      </c>
      <c r="O39" s="17"/>
    </row>
    <row r="40" spans="1:15" x14ac:dyDescent="0.2">
      <c r="A40" s="25"/>
      <c r="B40" s="25" t="s">
        <v>43</v>
      </c>
      <c r="C40" s="25"/>
      <c r="D40" s="25"/>
      <c r="E40" s="25"/>
      <c r="F40" s="25">
        <v>1</v>
      </c>
      <c r="G40" s="132"/>
      <c r="H40" s="227" t="s">
        <v>20</v>
      </c>
      <c r="I40" s="35">
        <v>5.97</v>
      </c>
      <c r="J40" s="133"/>
      <c r="K40" s="35">
        <v>5.97</v>
      </c>
      <c r="L40" s="202">
        <f t="shared" si="6"/>
        <v>0</v>
      </c>
      <c r="M40" s="35">
        <v>597</v>
      </c>
      <c r="N40" s="202">
        <f t="shared" si="7"/>
        <v>0</v>
      </c>
      <c r="O40" s="17"/>
    </row>
    <row r="41" spans="1:15" x14ac:dyDescent="0.2">
      <c r="A41" s="25"/>
      <c r="B41" s="25" t="s">
        <v>93</v>
      </c>
      <c r="C41" s="25"/>
      <c r="D41" s="25"/>
      <c r="E41" s="25"/>
      <c r="F41" s="38">
        <v>0.1</v>
      </c>
      <c r="G41" s="137"/>
      <c r="H41" s="227" t="s">
        <v>30</v>
      </c>
      <c r="I41" s="35">
        <v>5.97</v>
      </c>
      <c r="J41" s="133"/>
      <c r="K41" s="35">
        <v>0.59699999999999998</v>
      </c>
      <c r="L41" s="202">
        <f t="shared" si="6"/>
        <v>0</v>
      </c>
      <c r="M41" s="35">
        <v>59.699999999999996</v>
      </c>
      <c r="N41" s="202">
        <f t="shared" si="7"/>
        <v>0</v>
      </c>
      <c r="O41" s="17"/>
    </row>
    <row r="42" spans="1:15" x14ac:dyDescent="0.2">
      <c r="A42" s="25"/>
      <c r="B42" s="25" t="s">
        <v>98</v>
      </c>
      <c r="C42" s="25"/>
      <c r="D42" s="25"/>
      <c r="E42" s="25"/>
      <c r="F42" s="25">
        <v>1</v>
      </c>
      <c r="G42" s="132"/>
      <c r="H42" s="227" t="s">
        <v>20</v>
      </c>
      <c r="I42" s="35">
        <v>0.6</v>
      </c>
      <c r="J42" s="133"/>
      <c r="K42" s="35">
        <v>0.6</v>
      </c>
      <c r="L42" s="202">
        <f t="shared" si="6"/>
        <v>0</v>
      </c>
      <c r="M42" s="35">
        <v>60</v>
      </c>
      <c r="N42" s="202">
        <f t="shared" si="7"/>
        <v>0</v>
      </c>
      <c r="O42" s="17"/>
    </row>
    <row r="43" spans="1:15" x14ac:dyDescent="0.2">
      <c r="A43" s="25"/>
      <c r="B43" s="25" t="s">
        <v>92</v>
      </c>
      <c r="C43" s="25"/>
      <c r="D43" s="25"/>
      <c r="E43" s="25"/>
      <c r="F43" s="25">
        <v>1</v>
      </c>
      <c r="G43" s="132"/>
      <c r="H43" s="227" t="s">
        <v>20</v>
      </c>
      <c r="I43" s="35">
        <v>9.0246704166666678</v>
      </c>
      <c r="J43" s="133"/>
      <c r="K43" s="35">
        <v>9.0246704166666678</v>
      </c>
      <c r="L43" s="202">
        <f t="shared" si="6"/>
        <v>0</v>
      </c>
      <c r="M43" s="35">
        <v>902.46704166666677</v>
      </c>
      <c r="N43" s="202">
        <f t="shared" si="7"/>
        <v>0</v>
      </c>
      <c r="O43" s="17"/>
    </row>
    <row r="44" spans="1:15" x14ac:dyDescent="0.2">
      <c r="A44" s="25"/>
      <c r="B44" s="25" t="s">
        <v>122</v>
      </c>
      <c r="C44" s="25"/>
      <c r="D44" s="25"/>
      <c r="E44" s="25"/>
      <c r="F44" s="33">
        <v>0.95</v>
      </c>
      <c r="G44" s="132"/>
      <c r="H44" s="227" t="s">
        <v>20</v>
      </c>
      <c r="I44" s="35">
        <v>29.67</v>
      </c>
      <c r="J44" s="133"/>
      <c r="K44" s="35">
        <v>28.186499999999999</v>
      </c>
      <c r="L44" s="202">
        <f t="shared" si="6"/>
        <v>0</v>
      </c>
      <c r="M44" s="35">
        <v>2818.65</v>
      </c>
      <c r="N44" s="202">
        <f t="shared" si="7"/>
        <v>0</v>
      </c>
      <c r="O44" s="17"/>
    </row>
    <row r="45" spans="1:15" x14ac:dyDescent="0.2">
      <c r="A45" s="25"/>
      <c r="B45" s="25" t="s">
        <v>12</v>
      </c>
      <c r="C45" s="25"/>
      <c r="D45" s="25"/>
      <c r="E45" s="25"/>
      <c r="F45" s="25">
        <v>1</v>
      </c>
      <c r="G45" s="132"/>
      <c r="H45" s="227" t="s">
        <v>20</v>
      </c>
      <c r="I45" s="35">
        <v>12.5</v>
      </c>
      <c r="J45" s="133"/>
      <c r="K45" s="35">
        <v>12.5</v>
      </c>
      <c r="L45" s="202">
        <f t="shared" si="6"/>
        <v>0</v>
      </c>
      <c r="M45" s="35">
        <v>1250</v>
      </c>
      <c r="N45" s="202">
        <f t="shared" si="7"/>
        <v>0</v>
      </c>
      <c r="O45" s="17"/>
    </row>
    <row r="46" spans="1:15" x14ac:dyDescent="0.2">
      <c r="A46" s="25"/>
      <c r="B46" s="132"/>
      <c r="C46" s="132"/>
      <c r="D46" s="25"/>
      <c r="E46" s="25"/>
      <c r="F46" s="25"/>
      <c r="G46" s="132"/>
      <c r="H46" s="227"/>
      <c r="I46" s="35"/>
      <c r="J46" s="133"/>
      <c r="K46" s="35">
        <v>0</v>
      </c>
      <c r="L46" s="202">
        <f>+J46*G46</f>
        <v>0</v>
      </c>
      <c r="M46" s="35">
        <v>0</v>
      </c>
      <c r="N46" s="202">
        <f>+L46*E$7</f>
        <v>0</v>
      </c>
      <c r="O46" s="17"/>
    </row>
    <row r="47" spans="1:15" x14ac:dyDescent="0.2">
      <c r="A47" s="25"/>
      <c r="B47" s="132"/>
      <c r="C47" s="132"/>
      <c r="D47" s="25"/>
      <c r="E47" s="25"/>
      <c r="F47" s="25"/>
      <c r="G47" s="132"/>
      <c r="H47" s="227"/>
      <c r="I47" s="35"/>
      <c r="J47" s="133"/>
      <c r="K47" s="35">
        <v>0</v>
      </c>
      <c r="L47" s="202">
        <f>+J47*G47</f>
        <v>0</v>
      </c>
      <c r="M47" s="35">
        <v>0</v>
      </c>
      <c r="N47" s="202">
        <f>+L47*E$7</f>
        <v>0</v>
      </c>
      <c r="O47" s="17"/>
    </row>
    <row r="48" spans="1:15" ht="13.5" thickBot="1" x14ac:dyDescent="0.25">
      <c r="A48" s="25"/>
      <c r="B48" s="25" t="s">
        <v>32</v>
      </c>
      <c r="C48" s="25"/>
      <c r="D48" s="25"/>
      <c r="E48" s="25"/>
      <c r="F48" s="25"/>
      <c r="G48" s="105"/>
      <c r="H48" s="21"/>
      <c r="I48" s="39">
        <v>0.08</v>
      </c>
      <c r="J48" s="215"/>
      <c r="K48" s="42">
        <v>45.767556537442935</v>
      </c>
      <c r="L48" s="217">
        <f>+SUM(L18:L45)*J48/2</f>
        <v>0</v>
      </c>
      <c r="M48" s="42">
        <v>4576.7556537442933</v>
      </c>
      <c r="N48" s="217">
        <f t="shared" si="7"/>
        <v>0</v>
      </c>
      <c r="O48" s="17"/>
    </row>
    <row r="49" spans="1:15" x14ac:dyDescent="0.2">
      <c r="A49" s="25" t="s">
        <v>33</v>
      </c>
      <c r="B49" s="25"/>
      <c r="C49" s="25"/>
      <c r="D49" s="25"/>
      <c r="E49" s="25"/>
      <c r="F49" s="25"/>
      <c r="G49" s="200"/>
      <c r="H49" s="25"/>
      <c r="I49" s="25"/>
      <c r="J49" s="197"/>
      <c r="K49" s="35">
        <v>1638.3297269541094</v>
      </c>
      <c r="L49" s="202">
        <f>+SUM(L18:L48)</f>
        <v>0</v>
      </c>
      <c r="M49" s="35">
        <v>163832.97269541098</v>
      </c>
      <c r="N49" s="202">
        <f>+SUM(N18:N48)</f>
        <v>0</v>
      </c>
      <c r="O49" s="17"/>
    </row>
    <row r="50" spans="1:15" x14ac:dyDescent="0.2">
      <c r="A50" s="25"/>
      <c r="B50" s="25"/>
      <c r="C50" s="25"/>
      <c r="D50" s="25"/>
      <c r="E50" s="25"/>
      <c r="F50" s="25"/>
      <c r="G50" s="200"/>
      <c r="H50" s="25"/>
      <c r="I50" s="25"/>
      <c r="J50" s="197"/>
      <c r="K50" s="35"/>
      <c r="L50" s="206"/>
      <c r="M50" s="35"/>
      <c r="N50" s="206"/>
      <c r="O50" s="35"/>
    </row>
    <row r="51" spans="1:15" x14ac:dyDescent="0.2">
      <c r="A51" s="25" t="s">
        <v>34</v>
      </c>
      <c r="B51" s="25"/>
      <c r="C51" s="25"/>
      <c r="D51" s="25"/>
      <c r="E51" s="25"/>
      <c r="F51" s="25"/>
      <c r="G51" s="200"/>
      <c r="H51" s="25"/>
      <c r="I51" s="25"/>
      <c r="J51" s="197"/>
      <c r="K51" s="35">
        <v>152.42027304589055</v>
      </c>
      <c r="L51" s="202">
        <f>+L14-L49</f>
        <v>0</v>
      </c>
      <c r="M51" s="35">
        <v>15242.027304589021</v>
      </c>
      <c r="N51" s="202">
        <f>+N14-N49</f>
        <v>0</v>
      </c>
      <c r="O51" s="17"/>
    </row>
    <row r="52" spans="1:15" x14ac:dyDescent="0.2">
      <c r="A52" s="25"/>
      <c r="B52" s="25"/>
      <c r="C52" s="25"/>
      <c r="D52" s="25"/>
      <c r="E52" s="25"/>
      <c r="F52" s="25"/>
      <c r="G52" s="178"/>
      <c r="H52" s="25"/>
      <c r="I52" s="25"/>
      <c r="J52" s="211"/>
      <c r="K52" s="35"/>
      <c r="L52" s="184"/>
      <c r="M52" s="35"/>
      <c r="N52" s="184"/>
    </row>
    <row r="53" spans="1:15" x14ac:dyDescent="0.2">
      <c r="A53" s="25"/>
      <c r="B53" s="25" t="s">
        <v>35</v>
      </c>
      <c r="C53" s="25"/>
      <c r="D53" s="25"/>
      <c r="E53" s="25"/>
      <c r="F53" s="25"/>
      <c r="G53" s="178"/>
      <c r="H53" s="17"/>
      <c r="I53" s="40">
        <v>265.31655497232543</v>
      </c>
      <c r="J53" s="210" t="str">
        <f>+IF(G11=0,"n/a",(L49-SUM(L12:L13))/(G11*E11))</f>
        <v>n/a</v>
      </c>
      <c r="K53" s="25" t="s">
        <v>7</v>
      </c>
      <c r="L53" s="184"/>
      <c r="M53" s="25"/>
      <c r="N53" s="184"/>
    </row>
    <row r="54" spans="1:15" x14ac:dyDescent="0.2">
      <c r="A54" s="25"/>
      <c r="B54" s="25"/>
      <c r="C54" s="25"/>
      <c r="D54" s="25"/>
      <c r="E54" s="25"/>
      <c r="F54" s="25"/>
      <c r="G54" s="178"/>
      <c r="H54" s="25"/>
      <c r="I54" s="25"/>
      <c r="J54" s="211"/>
      <c r="K54" s="25"/>
      <c r="L54" s="184"/>
      <c r="M54" s="22" t="s">
        <v>19</v>
      </c>
      <c r="N54" s="184" t="s">
        <v>19</v>
      </c>
    </row>
    <row r="55" spans="1:15" x14ac:dyDescent="0.2">
      <c r="A55" s="23" t="s">
        <v>36</v>
      </c>
      <c r="B55" s="23"/>
      <c r="C55" s="23"/>
      <c r="D55" s="23"/>
      <c r="E55" s="23"/>
      <c r="F55" s="24" t="s">
        <v>2</v>
      </c>
      <c r="G55" s="196" t="s">
        <v>2</v>
      </c>
      <c r="H55" s="24" t="s">
        <v>21</v>
      </c>
      <c r="I55" s="24" t="s">
        <v>22</v>
      </c>
      <c r="J55" s="196" t="s">
        <v>22</v>
      </c>
      <c r="K55" s="24" t="s">
        <v>11</v>
      </c>
      <c r="L55" s="196" t="s">
        <v>11</v>
      </c>
      <c r="M55" s="24" t="s">
        <v>11</v>
      </c>
      <c r="N55" s="208" t="s">
        <v>11</v>
      </c>
    </row>
    <row r="56" spans="1:15" x14ac:dyDescent="0.2">
      <c r="A56" s="25"/>
      <c r="B56" s="25"/>
      <c r="C56" s="25"/>
      <c r="D56" s="25"/>
      <c r="E56" s="25"/>
      <c r="F56" s="25"/>
      <c r="G56" s="178"/>
      <c r="H56" s="25"/>
      <c r="I56" s="25"/>
      <c r="J56" s="211"/>
      <c r="K56" s="25"/>
      <c r="L56" s="184"/>
      <c r="M56" s="25"/>
      <c r="N56" s="184"/>
    </row>
    <row r="57" spans="1:15" x14ac:dyDescent="0.2">
      <c r="A57" s="25"/>
      <c r="B57" s="25" t="s">
        <v>123</v>
      </c>
      <c r="C57" s="25"/>
      <c r="D57" s="25"/>
      <c r="E57" s="25"/>
      <c r="F57" s="25">
        <v>1</v>
      </c>
      <c r="G57" s="132"/>
      <c r="H57" s="227" t="s">
        <v>20</v>
      </c>
      <c r="I57" s="35">
        <v>23.045395238095239</v>
      </c>
      <c r="J57" s="133"/>
      <c r="K57" s="35">
        <v>23.045395238095239</v>
      </c>
      <c r="L57" s="202">
        <f t="shared" ref="L57:L63" si="8">+J57*G57</f>
        <v>0</v>
      </c>
      <c r="M57" s="35">
        <v>2304.5395238095239</v>
      </c>
      <c r="N57" s="202">
        <f t="shared" ref="N57:N63" si="9">+L57*E$7</f>
        <v>0</v>
      </c>
    </row>
    <row r="58" spans="1:15" x14ac:dyDescent="0.2">
      <c r="A58" s="25"/>
      <c r="B58" s="25" t="s">
        <v>89</v>
      </c>
      <c r="C58" s="25"/>
      <c r="D58" s="25"/>
      <c r="E58" s="25"/>
      <c r="F58" s="41">
        <v>369.50431250000003</v>
      </c>
      <c r="G58" s="133"/>
      <c r="H58" s="227" t="s">
        <v>88</v>
      </c>
      <c r="I58" s="39">
        <v>0.08</v>
      </c>
      <c r="J58" s="215"/>
      <c r="K58" s="35">
        <v>29.560345000000002</v>
      </c>
      <c r="L58" s="202">
        <f t="shared" si="8"/>
        <v>0</v>
      </c>
      <c r="M58" s="35">
        <v>2956.0345000000002</v>
      </c>
      <c r="N58" s="202">
        <f t="shared" si="9"/>
        <v>0</v>
      </c>
    </row>
    <row r="59" spans="1:15" x14ac:dyDescent="0.2">
      <c r="A59" s="25"/>
      <c r="B59" s="25" t="s">
        <v>156</v>
      </c>
      <c r="C59" s="25"/>
      <c r="D59" s="25"/>
      <c r="E59" s="25"/>
      <c r="F59" s="25">
        <v>1</v>
      </c>
      <c r="G59" s="132"/>
      <c r="H59" s="227" t="s">
        <v>20</v>
      </c>
      <c r="I59" s="35">
        <v>0</v>
      </c>
      <c r="J59" s="133"/>
      <c r="K59" s="35">
        <v>0</v>
      </c>
      <c r="L59" s="202">
        <f t="shared" si="8"/>
        <v>0</v>
      </c>
      <c r="M59" s="35">
        <v>0</v>
      </c>
      <c r="N59" s="202">
        <f t="shared" si="9"/>
        <v>0</v>
      </c>
    </row>
    <row r="60" spans="1:15" x14ac:dyDescent="0.2">
      <c r="A60" s="25"/>
      <c r="B60" s="25" t="s">
        <v>152</v>
      </c>
      <c r="C60" s="25"/>
      <c r="D60" s="25"/>
      <c r="E60" s="25"/>
      <c r="F60" s="25">
        <v>1</v>
      </c>
      <c r="G60" s="132"/>
      <c r="H60" s="227" t="s">
        <v>20</v>
      </c>
      <c r="I60" s="35">
        <v>0</v>
      </c>
      <c r="J60" s="133"/>
      <c r="K60" s="35">
        <v>0</v>
      </c>
      <c r="L60" s="202">
        <f t="shared" si="8"/>
        <v>0</v>
      </c>
      <c r="M60" s="35">
        <v>0</v>
      </c>
      <c r="N60" s="202">
        <f t="shared" si="9"/>
        <v>0</v>
      </c>
    </row>
    <row r="61" spans="1:15" x14ac:dyDescent="0.2">
      <c r="A61" s="25"/>
      <c r="B61" s="25" t="s">
        <v>87</v>
      </c>
      <c r="C61" s="25"/>
      <c r="D61" s="25"/>
      <c r="E61" s="25"/>
      <c r="F61" s="25">
        <v>1</v>
      </c>
      <c r="G61" s="132"/>
      <c r="H61" s="227" t="s">
        <v>20</v>
      </c>
      <c r="I61" s="35">
        <v>0</v>
      </c>
      <c r="J61" s="133"/>
      <c r="K61" s="35">
        <v>0</v>
      </c>
      <c r="L61" s="202">
        <f t="shared" si="8"/>
        <v>0</v>
      </c>
      <c r="M61" s="35">
        <v>0</v>
      </c>
      <c r="N61" s="202">
        <f t="shared" si="9"/>
        <v>0</v>
      </c>
    </row>
    <row r="62" spans="1:15" x14ac:dyDescent="0.2">
      <c r="A62" s="25"/>
      <c r="B62" s="132"/>
      <c r="C62" s="132"/>
      <c r="D62" s="25"/>
      <c r="E62" s="25"/>
      <c r="F62" s="25"/>
      <c r="G62" s="132"/>
      <c r="H62" s="227"/>
      <c r="I62" s="35"/>
      <c r="J62" s="133"/>
      <c r="K62" s="35">
        <v>0</v>
      </c>
      <c r="L62" s="202">
        <f t="shared" si="8"/>
        <v>0</v>
      </c>
      <c r="M62" s="35">
        <v>0</v>
      </c>
      <c r="N62" s="202">
        <f t="shared" si="9"/>
        <v>0</v>
      </c>
    </row>
    <row r="63" spans="1:15" ht="13.5" thickBot="1" x14ac:dyDescent="0.25">
      <c r="A63" s="25"/>
      <c r="B63" s="132"/>
      <c r="C63" s="132"/>
      <c r="D63" s="25"/>
      <c r="E63" s="25"/>
      <c r="F63" s="25"/>
      <c r="G63" s="132"/>
      <c r="H63" s="227"/>
      <c r="I63" s="35"/>
      <c r="J63" s="133"/>
      <c r="K63" s="35">
        <v>0</v>
      </c>
      <c r="L63" s="202">
        <f t="shared" si="8"/>
        <v>0</v>
      </c>
      <c r="M63" s="35">
        <v>0</v>
      </c>
      <c r="N63" s="202">
        <f t="shared" si="9"/>
        <v>0</v>
      </c>
    </row>
    <row r="64" spans="1:15" x14ac:dyDescent="0.2">
      <c r="A64" s="25" t="s">
        <v>37</v>
      </c>
      <c r="B64" s="25"/>
      <c r="C64" s="25"/>
      <c r="D64" s="25"/>
      <c r="E64" s="25"/>
      <c r="F64" s="25"/>
      <c r="G64" s="197"/>
      <c r="H64" s="25"/>
      <c r="I64" s="25"/>
      <c r="J64" s="197"/>
      <c r="K64" s="36">
        <v>52.605740238095237</v>
      </c>
      <c r="L64" s="203">
        <f>+SUM(L57:L61)</f>
        <v>0</v>
      </c>
      <c r="M64" s="36">
        <v>5260.5740238095241</v>
      </c>
      <c r="N64" s="203">
        <f>+SUM(N57:N61)</f>
        <v>0</v>
      </c>
    </row>
    <row r="65" spans="1:14" x14ac:dyDescent="0.2">
      <c r="A65" s="25"/>
      <c r="B65" s="25"/>
      <c r="C65" s="25"/>
      <c r="D65" s="25"/>
      <c r="E65" s="25"/>
      <c r="F65" s="25"/>
      <c r="G65" s="197"/>
      <c r="H65" s="25"/>
      <c r="I65" s="25"/>
      <c r="J65" s="197"/>
      <c r="K65" s="35"/>
      <c r="L65" s="184"/>
      <c r="M65" s="35"/>
      <c r="N65" s="184"/>
    </row>
    <row r="66" spans="1:14" x14ac:dyDescent="0.2">
      <c r="A66" s="25" t="s">
        <v>82</v>
      </c>
      <c r="B66" s="25"/>
      <c r="C66" s="25"/>
      <c r="D66" s="25"/>
      <c r="E66" s="25"/>
      <c r="F66" s="25"/>
      <c r="G66" s="197"/>
      <c r="H66" s="25"/>
      <c r="I66" s="25"/>
      <c r="J66" s="197"/>
      <c r="K66" s="35">
        <v>1690.9354671922047</v>
      </c>
      <c r="L66" s="202">
        <f>+L49+L64</f>
        <v>0</v>
      </c>
      <c r="M66" s="35">
        <v>169093.5467192205</v>
      </c>
      <c r="N66" s="202">
        <f>+N49+N64</f>
        <v>0</v>
      </c>
    </row>
    <row r="67" spans="1:14" x14ac:dyDescent="0.2">
      <c r="A67" s="25"/>
      <c r="B67" s="25"/>
      <c r="C67" s="25"/>
      <c r="D67" s="25"/>
      <c r="E67" s="25"/>
      <c r="F67" s="25"/>
      <c r="G67" s="197"/>
      <c r="H67" s="25"/>
      <c r="I67" s="25"/>
      <c r="J67" s="197"/>
      <c r="K67" s="35"/>
      <c r="L67" s="184"/>
      <c r="M67" s="35"/>
      <c r="N67" s="184"/>
    </row>
    <row r="68" spans="1:14" x14ac:dyDescent="0.2">
      <c r="A68" s="25" t="s">
        <v>85</v>
      </c>
      <c r="B68" s="25"/>
      <c r="C68" s="25"/>
      <c r="D68" s="25"/>
      <c r="E68" s="25"/>
      <c r="F68" s="25"/>
      <c r="G68" s="197"/>
      <c r="H68" s="25"/>
      <c r="I68" s="25"/>
      <c r="J68" s="197"/>
      <c r="K68" s="35">
        <v>99.814532807795331</v>
      </c>
      <c r="L68" s="202">
        <f>+L51-L64</f>
        <v>0</v>
      </c>
      <c r="M68" s="35">
        <v>9981.453280779504</v>
      </c>
      <c r="N68" s="202">
        <f>+N51-N64</f>
        <v>0</v>
      </c>
    </row>
    <row r="69" spans="1:14" x14ac:dyDescent="0.2">
      <c r="A69" s="25"/>
      <c r="B69" s="25"/>
      <c r="C69" s="25"/>
      <c r="D69" s="25"/>
      <c r="E69" s="25"/>
      <c r="F69" s="25"/>
      <c r="G69" s="197"/>
      <c r="H69" s="25"/>
      <c r="I69" s="25"/>
      <c r="J69" s="197"/>
      <c r="K69" s="35"/>
      <c r="L69" s="195"/>
      <c r="M69" s="35"/>
      <c r="N69" s="211"/>
    </row>
    <row r="70" spans="1:14" x14ac:dyDescent="0.2">
      <c r="A70" s="25" t="s">
        <v>38</v>
      </c>
      <c r="B70" s="25"/>
      <c r="C70" s="25"/>
      <c r="D70" s="25"/>
      <c r="E70" s="25"/>
      <c r="F70" s="25"/>
      <c r="G70" s="197"/>
      <c r="H70" s="25"/>
      <c r="I70" s="40">
        <v>273.83570318902099</v>
      </c>
      <c r="J70" s="210" t="str">
        <f>+IF(G11=0,"n/a",(L66-SUM(L12:L13))/(G11*E11))</f>
        <v>n/a</v>
      </c>
      <c r="K70" s="25" t="s">
        <v>7</v>
      </c>
      <c r="L70" s="197"/>
      <c r="M70" s="25"/>
      <c r="N70" s="211"/>
    </row>
    <row r="71" spans="1:14" ht="13.5" thickBo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8.75" thickBot="1" x14ac:dyDescent="0.3">
      <c r="A72" s="17"/>
      <c r="B72" s="17"/>
      <c r="C72" s="252" t="s">
        <v>316</v>
      </c>
      <c r="D72" s="253"/>
      <c r="E72" s="253"/>
      <c r="F72" s="253"/>
      <c r="G72" s="253"/>
      <c r="H72" s="254"/>
      <c r="I72" s="17"/>
      <c r="J72" s="17"/>
      <c r="K72" s="17"/>
      <c r="L72" s="17"/>
      <c r="M72" s="17"/>
      <c r="N72" s="17"/>
    </row>
    <row r="73" spans="1:14" ht="28.35" customHeight="1" x14ac:dyDescent="0.2">
      <c r="A73" s="51"/>
      <c r="B73" s="51"/>
      <c r="C73" s="255"/>
      <c r="D73" s="52"/>
      <c r="E73" s="53"/>
      <c r="F73" s="257" t="s">
        <v>520</v>
      </c>
      <c r="G73" s="258"/>
      <c r="H73" s="259" t="s">
        <v>125</v>
      </c>
      <c r="I73" s="51"/>
      <c r="J73" s="51"/>
      <c r="K73" s="51"/>
      <c r="L73" s="51"/>
      <c r="M73" s="51"/>
      <c r="N73" s="17"/>
    </row>
    <row r="74" spans="1:14" ht="36" customHeight="1" x14ac:dyDescent="0.2">
      <c r="A74" s="51"/>
      <c r="B74" s="51"/>
      <c r="C74" s="256"/>
      <c r="D74" s="54"/>
      <c r="E74" s="54"/>
      <c r="F74" s="54" t="s">
        <v>521</v>
      </c>
      <c r="G74" s="55"/>
      <c r="H74" s="56" t="s">
        <v>522</v>
      </c>
      <c r="I74" s="51"/>
      <c r="J74" s="51"/>
      <c r="K74" s="51"/>
      <c r="L74" s="51"/>
      <c r="M74" s="51"/>
      <c r="N74" s="17"/>
    </row>
    <row r="75" spans="1:14" ht="47.85" customHeight="1" thickBot="1" x14ac:dyDescent="0.25">
      <c r="A75" s="51"/>
      <c r="B75" s="51"/>
      <c r="C75" s="57" t="s">
        <v>124</v>
      </c>
      <c r="D75" s="58" t="s">
        <v>317</v>
      </c>
      <c r="E75" s="58"/>
      <c r="F75" s="58" t="s">
        <v>318</v>
      </c>
      <c r="G75" s="59"/>
      <c r="H75" s="60" t="s">
        <v>319</v>
      </c>
      <c r="I75" s="51"/>
      <c r="J75" s="51"/>
      <c r="K75" s="51"/>
      <c r="L75" s="51"/>
      <c r="M75" s="51"/>
      <c r="N75" s="17"/>
    </row>
    <row r="76" spans="1:14" ht="12.75" customHeight="1" x14ac:dyDescent="0.2">
      <c r="A76" s="17"/>
      <c r="B76" s="17"/>
      <c r="C76" s="61">
        <v>1.7407407407407407</v>
      </c>
      <c r="D76" s="62">
        <v>736.74074074074076</v>
      </c>
      <c r="E76" s="62"/>
      <c r="F76" s="63">
        <v>362.75705470970723</v>
      </c>
      <c r="G76" s="64"/>
      <c r="H76" s="65">
        <v>241.59544495110185</v>
      </c>
      <c r="I76" s="17"/>
      <c r="J76" s="17"/>
      <c r="K76" s="17"/>
      <c r="L76" s="17"/>
      <c r="M76" s="17"/>
      <c r="N76" s="17"/>
    </row>
    <row r="77" spans="1:14" ht="12.75" customHeight="1" x14ac:dyDescent="0.2">
      <c r="A77" s="17"/>
      <c r="B77" s="17"/>
      <c r="C77" s="66">
        <v>1.5956790123456792</v>
      </c>
      <c r="D77" s="62">
        <v>717.01234567901236</v>
      </c>
      <c r="E77" s="62"/>
      <c r="F77" s="63">
        <v>351.88670903069493</v>
      </c>
      <c r="G77" s="67"/>
      <c r="H77" s="68">
        <v>248.24287635424699</v>
      </c>
      <c r="I77" s="17"/>
      <c r="J77" s="17"/>
      <c r="K77" s="17"/>
      <c r="L77" s="17"/>
      <c r="M77" s="17"/>
      <c r="N77" s="17"/>
    </row>
    <row r="78" spans="1:14" ht="12.75" customHeight="1" x14ac:dyDescent="0.2">
      <c r="A78" s="17"/>
      <c r="B78" s="17"/>
      <c r="C78" s="69">
        <v>1.4506172839506173</v>
      </c>
      <c r="D78" s="70">
        <v>650</v>
      </c>
      <c r="E78" s="70"/>
      <c r="F78" s="71">
        <v>314.96290656155907</v>
      </c>
      <c r="G78" s="72"/>
      <c r="H78" s="73">
        <v>273.83570318902099</v>
      </c>
      <c r="I78" s="17"/>
      <c r="J78" s="17"/>
      <c r="K78" s="17"/>
      <c r="L78" s="17"/>
      <c r="M78" s="17"/>
      <c r="N78" s="17"/>
    </row>
    <row r="79" spans="1:14" ht="12.75" customHeight="1" x14ac:dyDescent="0.2">
      <c r="A79" s="17"/>
      <c r="B79" s="17"/>
      <c r="C79" s="66">
        <v>1.3055555555555556</v>
      </c>
      <c r="D79" s="62">
        <v>677.55555555555554</v>
      </c>
      <c r="E79" s="62"/>
      <c r="F79" s="63">
        <v>330.14601767267015</v>
      </c>
      <c r="G79" s="67"/>
      <c r="H79" s="68">
        <v>262.69905930727668</v>
      </c>
      <c r="I79" s="17"/>
      <c r="J79" s="17"/>
      <c r="K79" s="17"/>
      <c r="L79" s="17"/>
      <c r="M79" s="17"/>
      <c r="N79" s="17"/>
    </row>
    <row r="80" spans="1:14" ht="12.75" customHeight="1" thickBot="1" x14ac:dyDescent="0.25">
      <c r="A80" s="17"/>
      <c r="B80" s="17"/>
      <c r="C80" s="74">
        <v>1.1604938271604939</v>
      </c>
      <c r="D80" s="75">
        <v>657.82716049382714</v>
      </c>
      <c r="E80" s="75"/>
      <c r="F80" s="76">
        <v>319.27567199365774</v>
      </c>
      <c r="G80" s="77"/>
      <c r="H80" s="78">
        <v>270.57746739925602</v>
      </c>
      <c r="I80" s="17"/>
      <c r="J80" s="17"/>
      <c r="K80" s="17"/>
      <c r="L80" s="17"/>
      <c r="M80" s="17"/>
      <c r="N80" s="17"/>
    </row>
    <row r="81" spans="1:14" ht="12.75" customHeight="1" x14ac:dyDescent="0.2">
      <c r="A81" s="17"/>
      <c r="B81" s="17"/>
      <c r="C81" s="79"/>
      <c r="D81" s="80"/>
      <c r="E81" s="80"/>
      <c r="F81" s="81"/>
      <c r="G81" s="81"/>
      <c r="H81" s="81"/>
      <c r="I81" s="17"/>
      <c r="J81" s="17"/>
      <c r="K81" s="17"/>
      <c r="L81" s="17"/>
      <c r="M81" s="17"/>
      <c r="N81" s="17"/>
    </row>
    <row r="82" spans="1:14" ht="12.75" customHeight="1" x14ac:dyDescent="0.2">
      <c r="A82" s="25" t="s">
        <v>536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2.75" customHeight="1" x14ac:dyDescent="0.2"/>
    <row r="84" spans="1:14" ht="29.25" customHeight="1" x14ac:dyDescent="0.2">
      <c r="A84" s="236" t="s">
        <v>140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</row>
  </sheetData>
  <sheetProtection sheet="1" objects="1" scenarios="1"/>
  <mergeCells count="8">
    <mergeCell ref="A84:N84"/>
    <mergeCell ref="A1:N1"/>
    <mergeCell ref="A2:N2"/>
    <mergeCell ref="A3:N3"/>
    <mergeCell ref="A4:N4"/>
    <mergeCell ref="C72:H72"/>
    <mergeCell ref="C73:C74"/>
    <mergeCell ref="F73:H73"/>
  </mergeCells>
  <printOptions horizontalCentered="1"/>
  <pageMargins left="0.7" right="0.7" top="0.75" bottom="0.75" header="0.3" footer="0.3"/>
  <pageSetup scale="36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3">
    <tabColor rgb="FFFF0000"/>
    <pageSetUpPr fitToPage="1"/>
  </sheetPr>
  <dimension ref="A1:O84"/>
  <sheetViews>
    <sheetView showGridLines="0" workbookViewId="0">
      <selection sqref="A1:N1"/>
    </sheetView>
  </sheetViews>
  <sheetFormatPr defaultColWidth="9.140625" defaultRowHeight="12.75" x14ac:dyDescent="0.2"/>
  <cols>
    <col min="1" max="2" width="5" customWidth="1"/>
    <col min="3" max="3" width="22.5703125" customWidth="1"/>
    <col min="5" max="5" width="9.42578125" customWidth="1"/>
    <col min="6" max="6" width="11.42578125" customWidth="1"/>
    <col min="7" max="7" width="9.140625" customWidth="1"/>
    <col min="9" max="9" width="9.5703125" customWidth="1"/>
    <col min="10" max="10" width="9.140625" customWidth="1"/>
    <col min="11" max="11" width="11" customWidth="1"/>
    <col min="12" max="12" width="13.42578125" customWidth="1"/>
    <col min="13" max="13" width="16.5703125" customWidth="1"/>
    <col min="14" max="14" width="14.5703125" customWidth="1"/>
    <col min="15" max="15" width="9.140625" hidden="1" customWidth="1"/>
  </cols>
  <sheetData>
    <row r="1" spans="1:15" x14ac:dyDescent="0.2">
      <c r="A1" s="238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7"/>
    </row>
    <row r="2" spans="1:15" x14ac:dyDescent="0.2">
      <c r="A2" s="239" t="s">
        <v>519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7"/>
    </row>
    <row r="3" spans="1:15" x14ac:dyDescent="0.2">
      <c r="A3" s="240" t="s">
        <v>487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7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17"/>
    </row>
    <row r="5" spans="1:15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20" t="s">
        <v>119</v>
      </c>
      <c r="N5" s="17"/>
      <c r="O5" s="17"/>
    </row>
    <row r="6" spans="1:15" x14ac:dyDescent="0.2">
      <c r="A6" s="106"/>
      <c r="B6" s="22"/>
      <c r="C6" s="22"/>
      <c r="D6" s="22"/>
      <c r="E6" s="190" t="s">
        <v>117</v>
      </c>
      <c r="F6" s="22"/>
      <c r="G6" s="22"/>
      <c r="H6" s="22"/>
      <c r="I6" s="22"/>
      <c r="J6" s="22"/>
      <c r="K6" s="22"/>
      <c r="L6" s="22"/>
      <c r="M6" s="22"/>
      <c r="N6" s="190" t="s">
        <v>74</v>
      </c>
      <c r="O6" s="17"/>
    </row>
    <row r="7" spans="1:15" x14ac:dyDescent="0.2">
      <c r="A7" s="106"/>
      <c r="B7" s="32" t="s">
        <v>149</v>
      </c>
      <c r="C7" s="22"/>
      <c r="D7" s="49">
        <v>100</v>
      </c>
      <c r="E7" s="213"/>
      <c r="F7" s="22"/>
      <c r="G7" s="190" t="s">
        <v>74</v>
      </c>
      <c r="H7" s="22"/>
      <c r="I7" s="22"/>
      <c r="J7" s="22"/>
      <c r="K7" s="22"/>
      <c r="L7" s="22"/>
      <c r="M7" s="22" t="s">
        <v>19</v>
      </c>
      <c r="N7" s="190" t="s">
        <v>19</v>
      </c>
      <c r="O7" s="17"/>
    </row>
    <row r="8" spans="1:15" x14ac:dyDescent="0.2">
      <c r="A8" s="25"/>
      <c r="B8" s="17"/>
      <c r="C8" s="25"/>
      <c r="D8" s="25"/>
      <c r="E8" s="190" t="s">
        <v>74</v>
      </c>
      <c r="F8" s="21" t="s">
        <v>118</v>
      </c>
      <c r="G8" s="194" t="s">
        <v>126</v>
      </c>
      <c r="H8" s="21"/>
      <c r="I8" s="21"/>
      <c r="J8" s="190" t="s">
        <v>74</v>
      </c>
      <c r="K8" s="21"/>
      <c r="L8" s="190" t="s">
        <v>74</v>
      </c>
      <c r="M8" s="22" t="s">
        <v>11</v>
      </c>
      <c r="N8" s="190" t="s">
        <v>11</v>
      </c>
      <c r="O8" s="17"/>
    </row>
    <row r="9" spans="1:15" x14ac:dyDescent="0.2">
      <c r="A9" s="23" t="s">
        <v>73</v>
      </c>
      <c r="B9" s="23"/>
      <c r="C9" s="23"/>
      <c r="D9" s="24" t="s">
        <v>20</v>
      </c>
      <c r="E9" s="191" t="s">
        <v>20</v>
      </c>
      <c r="F9" s="24" t="s">
        <v>158</v>
      </c>
      <c r="G9" s="191" t="s">
        <v>158</v>
      </c>
      <c r="H9" s="24" t="s">
        <v>21</v>
      </c>
      <c r="I9" s="24" t="s">
        <v>22</v>
      </c>
      <c r="J9" s="191" t="s">
        <v>22</v>
      </c>
      <c r="K9" s="24" t="s">
        <v>11</v>
      </c>
      <c r="L9" s="191" t="s">
        <v>11</v>
      </c>
      <c r="M9" s="24" t="str">
        <f>"(" &amp; D7 &amp; " Head)"</f>
        <v>(100 Head)</v>
      </c>
      <c r="N9" s="191" t="str">
        <f>"(" &amp; E7 &amp; " Head)"</f>
        <v>( Head)</v>
      </c>
      <c r="O9" s="17"/>
    </row>
    <row r="10" spans="1:15" x14ac:dyDescent="0.2">
      <c r="A10" s="25"/>
      <c r="B10" s="25"/>
      <c r="C10" s="25"/>
      <c r="D10" s="25"/>
      <c r="E10" s="22"/>
      <c r="F10" s="21"/>
      <c r="G10" s="17"/>
      <c r="H10" s="21"/>
      <c r="I10" s="21"/>
      <c r="J10" s="17"/>
      <c r="K10" s="21"/>
      <c r="L10" s="28"/>
      <c r="M10" s="21"/>
      <c r="N10" s="17"/>
      <c r="O10" s="17"/>
    </row>
    <row r="11" spans="1:15" x14ac:dyDescent="0.2">
      <c r="A11" s="25"/>
      <c r="B11" s="119" t="s">
        <v>119</v>
      </c>
      <c r="C11" s="25"/>
      <c r="D11" s="33">
        <v>0.95</v>
      </c>
      <c r="E11" s="132"/>
      <c r="F11" s="50">
        <v>6</v>
      </c>
      <c r="G11" s="132"/>
      <c r="H11" s="227" t="s">
        <v>7</v>
      </c>
      <c r="I11" s="31">
        <v>285</v>
      </c>
      <c r="J11" s="133"/>
      <c r="K11" s="35">
        <v>1624.4999999999998</v>
      </c>
      <c r="L11" s="202">
        <f t="shared" ref="L11:L13" si="0">+J11*G11*E11</f>
        <v>0</v>
      </c>
      <c r="M11" s="35">
        <v>162449.99999999997</v>
      </c>
      <c r="N11" s="202">
        <f t="shared" ref="N11:N14" si="1">+L11*E$7</f>
        <v>0</v>
      </c>
      <c r="O11" s="17"/>
    </row>
    <row r="12" spans="1:15" x14ac:dyDescent="0.2">
      <c r="A12" s="25"/>
      <c r="B12" s="132"/>
      <c r="C12" s="132"/>
      <c r="D12" s="33">
        <v>0.95</v>
      </c>
      <c r="E12" s="132"/>
      <c r="F12" s="50">
        <v>0</v>
      </c>
      <c r="G12" s="132"/>
      <c r="H12" s="227"/>
      <c r="I12" s="31">
        <v>0</v>
      </c>
      <c r="J12" s="133"/>
      <c r="K12" s="35">
        <v>0</v>
      </c>
      <c r="L12" s="202">
        <f t="shared" si="0"/>
        <v>0</v>
      </c>
      <c r="M12" s="35">
        <v>0</v>
      </c>
      <c r="N12" s="202">
        <f t="shared" si="1"/>
        <v>0</v>
      </c>
      <c r="O12" s="17"/>
    </row>
    <row r="13" spans="1:15" ht="13.5" thickBot="1" x14ac:dyDescent="0.25">
      <c r="A13" s="25"/>
      <c r="B13" s="132"/>
      <c r="C13" s="132"/>
      <c r="D13" s="33">
        <v>0.95</v>
      </c>
      <c r="E13" s="132"/>
      <c r="F13" s="50">
        <v>0</v>
      </c>
      <c r="G13" s="132"/>
      <c r="H13" s="227"/>
      <c r="I13" s="31">
        <v>0</v>
      </c>
      <c r="J13" s="133"/>
      <c r="K13" s="35">
        <v>0</v>
      </c>
      <c r="L13" s="202">
        <f t="shared" si="0"/>
        <v>0</v>
      </c>
      <c r="M13" s="35">
        <v>0</v>
      </c>
      <c r="N13" s="202">
        <f t="shared" si="1"/>
        <v>0</v>
      </c>
      <c r="O13" s="17"/>
    </row>
    <row r="14" spans="1:15" x14ac:dyDescent="0.2">
      <c r="A14" s="25" t="s">
        <v>24</v>
      </c>
      <c r="B14" s="25"/>
      <c r="C14" s="25"/>
      <c r="D14" s="25"/>
      <c r="E14" s="25"/>
      <c r="F14" s="25"/>
      <c r="G14" s="200"/>
      <c r="H14" s="25"/>
      <c r="I14" s="25"/>
      <c r="J14" s="197"/>
      <c r="K14" s="36">
        <v>1624.4999999999998</v>
      </c>
      <c r="L14" s="203">
        <f>+L11</f>
        <v>0</v>
      </c>
      <c r="M14" s="36">
        <v>162449.99999999997</v>
      </c>
      <c r="N14" s="203">
        <f t="shared" si="1"/>
        <v>0</v>
      </c>
      <c r="O14" s="17"/>
    </row>
    <row r="15" spans="1:15" x14ac:dyDescent="0.2">
      <c r="A15" s="25"/>
      <c r="B15" s="25"/>
      <c r="C15" s="25"/>
      <c r="D15" s="25"/>
      <c r="E15" s="25"/>
      <c r="F15" s="25"/>
      <c r="G15" s="178"/>
      <c r="H15" s="25"/>
      <c r="I15" s="25"/>
      <c r="J15" s="211"/>
      <c r="K15" s="35"/>
      <c r="L15" s="184"/>
      <c r="M15" s="22" t="s">
        <v>19</v>
      </c>
      <c r="N15" s="184" t="s">
        <v>19</v>
      </c>
      <c r="O15" s="17"/>
    </row>
    <row r="16" spans="1:15" x14ac:dyDescent="0.2">
      <c r="A16" s="23" t="s">
        <v>25</v>
      </c>
      <c r="B16" s="23"/>
      <c r="C16" s="23"/>
      <c r="D16" s="23"/>
      <c r="E16" s="23"/>
      <c r="F16" s="24" t="s">
        <v>2</v>
      </c>
      <c r="G16" s="196" t="s">
        <v>2</v>
      </c>
      <c r="H16" s="24" t="s">
        <v>21</v>
      </c>
      <c r="I16" s="24" t="s">
        <v>22</v>
      </c>
      <c r="J16" s="196" t="s">
        <v>22</v>
      </c>
      <c r="K16" s="24" t="s">
        <v>11</v>
      </c>
      <c r="L16" s="202" t="s">
        <v>11</v>
      </c>
      <c r="M16" s="24" t="s">
        <v>11</v>
      </c>
      <c r="N16" s="208" t="s">
        <v>11</v>
      </c>
      <c r="O16" s="17"/>
    </row>
    <row r="17" spans="1:15" x14ac:dyDescent="0.2">
      <c r="A17" s="25" t="s">
        <v>26</v>
      </c>
      <c r="B17" s="25"/>
      <c r="C17" s="25"/>
      <c r="D17" s="25"/>
      <c r="E17" s="25"/>
      <c r="F17" s="25"/>
      <c r="G17" s="200"/>
      <c r="H17" s="25"/>
      <c r="I17" s="25"/>
      <c r="J17" s="197"/>
      <c r="K17" s="25"/>
      <c r="L17" s="206"/>
      <c r="M17" s="25"/>
      <c r="N17" s="206"/>
      <c r="O17" s="17"/>
    </row>
    <row r="18" spans="1:15" x14ac:dyDescent="0.2">
      <c r="A18" s="25"/>
      <c r="B18" s="25" t="s">
        <v>305</v>
      </c>
      <c r="C18" s="25"/>
      <c r="D18" s="25"/>
      <c r="E18" s="25"/>
      <c r="F18" s="34">
        <v>4.5</v>
      </c>
      <c r="G18" s="132"/>
      <c r="H18" s="227" t="s">
        <v>7</v>
      </c>
      <c r="I18" s="35">
        <v>310</v>
      </c>
      <c r="J18" s="133"/>
      <c r="K18" s="35">
        <v>1395</v>
      </c>
      <c r="L18" s="202">
        <f t="shared" ref="L18:L36" si="2">+J18*G18</f>
        <v>0</v>
      </c>
      <c r="M18" s="35">
        <v>139500</v>
      </c>
      <c r="N18" s="202">
        <f>+L18*E$7</f>
        <v>0</v>
      </c>
      <c r="O18" s="17"/>
    </row>
    <row r="19" spans="1:15" x14ac:dyDescent="0.2">
      <c r="A19" s="25"/>
      <c r="B19" s="25" t="s">
        <v>306</v>
      </c>
      <c r="C19" s="25"/>
      <c r="D19" s="25"/>
      <c r="E19" s="25"/>
      <c r="F19" s="34">
        <v>1</v>
      </c>
      <c r="G19" s="132"/>
      <c r="H19" s="227" t="s">
        <v>20</v>
      </c>
      <c r="I19" s="35">
        <v>0</v>
      </c>
      <c r="J19" s="133"/>
      <c r="K19" s="35">
        <v>0</v>
      </c>
      <c r="L19" s="202">
        <f>+J19*G19</f>
        <v>0</v>
      </c>
      <c r="M19" s="35">
        <v>0</v>
      </c>
      <c r="N19" s="202">
        <f>+L19*E$7</f>
        <v>0</v>
      </c>
      <c r="O19" s="17"/>
    </row>
    <row r="20" spans="1:15" x14ac:dyDescent="0.2">
      <c r="A20" s="25"/>
      <c r="B20" s="25" t="s">
        <v>78</v>
      </c>
      <c r="C20" s="25"/>
      <c r="D20" s="25"/>
      <c r="E20" s="25"/>
      <c r="G20" s="105"/>
      <c r="J20" s="105"/>
      <c r="K20" s="127"/>
      <c r="L20" s="105"/>
      <c r="N20" s="105"/>
      <c r="O20" s="17"/>
    </row>
    <row r="21" spans="1:15" x14ac:dyDescent="0.2">
      <c r="A21" s="25"/>
      <c r="B21" s="25"/>
      <c r="C21" s="25" t="s">
        <v>128</v>
      </c>
      <c r="D21" s="25"/>
      <c r="E21" s="25"/>
      <c r="F21" s="34">
        <v>0.01</v>
      </c>
      <c r="G21" s="132"/>
      <c r="H21" s="227" t="s">
        <v>42</v>
      </c>
      <c r="I21" s="35">
        <v>0</v>
      </c>
      <c r="J21" s="133"/>
      <c r="K21" s="35">
        <v>0</v>
      </c>
      <c r="L21" s="202">
        <f t="shared" si="2"/>
        <v>0</v>
      </c>
      <c r="M21" s="35">
        <v>0</v>
      </c>
      <c r="N21" s="202">
        <f t="shared" ref="N21:N36" si="3">+L21*E$7</f>
        <v>0</v>
      </c>
      <c r="O21" s="17"/>
    </row>
    <row r="22" spans="1:15" x14ac:dyDescent="0.2">
      <c r="A22" s="25"/>
      <c r="B22" s="25"/>
      <c r="C22" s="25" t="s">
        <v>127</v>
      </c>
      <c r="D22" s="25"/>
      <c r="E22" s="25"/>
      <c r="F22" s="34">
        <v>3.375</v>
      </c>
      <c r="G22" s="132"/>
      <c r="H22" s="227" t="s">
        <v>110</v>
      </c>
      <c r="I22" s="35">
        <v>18.75</v>
      </c>
      <c r="J22" s="133"/>
      <c r="K22" s="35">
        <v>63.28125</v>
      </c>
      <c r="L22" s="202">
        <f t="shared" si="2"/>
        <v>0</v>
      </c>
      <c r="M22" s="35">
        <v>6328.125</v>
      </c>
      <c r="N22" s="202">
        <f t="shared" si="3"/>
        <v>0</v>
      </c>
      <c r="O22" s="17"/>
    </row>
    <row r="23" spans="1:15" x14ac:dyDescent="0.2">
      <c r="A23" s="25"/>
      <c r="B23" s="25"/>
      <c r="C23" s="25" t="s">
        <v>121</v>
      </c>
      <c r="D23" s="25"/>
      <c r="E23" s="25"/>
      <c r="F23" s="34">
        <v>0</v>
      </c>
      <c r="G23" s="132"/>
      <c r="H23" s="227" t="s">
        <v>41</v>
      </c>
      <c r="I23" s="35">
        <v>0</v>
      </c>
      <c r="J23" s="133"/>
      <c r="K23" s="35">
        <v>0</v>
      </c>
      <c r="L23" s="202">
        <f t="shared" si="2"/>
        <v>0</v>
      </c>
      <c r="M23" s="35">
        <v>0</v>
      </c>
      <c r="N23" s="202">
        <f t="shared" si="3"/>
        <v>0</v>
      </c>
      <c r="O23" s="17"/>
    </row>
    <row r="24" spans="1:15" x14ac:dyDescent="0.2">
      <c r="A24" s="25"/>
      <c r="B24" s="25"/>
      <c r="C24" s="25" t="s">
        <v>129</v>
      </c>
      <c r="D24" s="25"/>
      <c r="E24" s="25"/>
      <c r="F24" s="34">
        <v>0</v>
      </c>
      <c r="G24" s="132"/>
      <c r="H24" s="227" t="s">
        <v>110</v>
      </c>
      <c r="I24" s="35">
        <v>0</v>
      </c>
      <c r="J24" s="133"/>
      <c r="K24" s="35">
        <v>0</v>
      </c>
      <c r="L24" s="202">
        <f>+G24*J24*G18</f>
        <v>0</v>
      </c>
      <c r="M24" s="35">
        <v>0</v>
      </c>
      <c r="N24" s="202">
        <f t="shared" si="3"/>
        <v>0</v>
      </c>
      <c r="O24" s="17"/>
    </row>
    <row r="25" spans="1:15" x14ac:dyDescent="0.2">
      <c r="A25" s="25"/>
      <c r="B25" s="25" t="s">
        <v>120</v>
      </c>
      <c r="C25" s="25"/>
      <c r="D25" s="25"/>
      <c r="E25" s="25"/>
      <c r="G25" s="105"/>
      <c r="J25" s="105"/>
      <c r="K25" s="127"/>
      <c r="L25" s="105"/>
      <c r="N25" s="105"/>
    </row>
    <row r="26" spans="1:15" x14ac:dyDescent="0.2">
      <c r="A26" s="25"/>
      <c r="B26" s="25"/>
      <c r="C26" s="25" t="s">
        <v>362</v>
      </c>
      <c r="D26" s="25"/>
      <c r="E26" s="25"/>
      <c r="F26" s="25">
        <v>1</v>
      </c>
      <c r="G26" s="132"/>
      <c r="H26" s="227" t="s">
        <v>363</v>
      </c>
      <c r="I26" s="35">
        <v>0.51</v>
      </c>
      <c r="J26" s="133"/>
      <c r="K26" s="35">
        <v>0.51</v>
      </c>
      <c r="L26" s="202">
        <f t="shared" ref="L26:L31" si="4">+J26*G26</f>
        <v>0</v>
      </c>
      <c r="M26" s="35">
        <v>51</v>
      </c>
      <c r="N26" s="202">
        <f t="shared" ref="N26:N31" si="5">+L26*E$7</f>
        <v>0</v>
      </c>
      <c r="O26" s="17"/>
    </row>
    <row r="27" spans="1:15" x14ac:dyDescent="0.2">
      <c r="A27" s="25"/>
      <c r="B27" s="25"/>
      <c r="C27" s="25" t="s">
        <v>371</v>
      </c>
      <c r="D27" s="25"/>
      <c r="E27" s="25"/>
      <c r="F27" s="25">
        <v>1</v>
      </c>
      <c r="G27" s="132"/>
      <c r="H27" s="227" t="s">
        <v>363</v>
      </c>
      <c r="I27" s="35">
        <v>1.32</v>
      </c>
      <c r="J27" s="133"/>
      <c r="K27" s="35">
        <v>1.32</v>
      </c>
      <c r="L27" s="202">
        <f t="shared" si="4"/>
        <v>0</v>
      </c>
      <c r="M27" s="35">
        <v>132</v>
      </c>
      <c r="N27" s="202">
        <f t="shared" si="5"/>
        <v>0</v>
      </c>
      <c r="O27" s="17"/>
    </row>
    <row r="28" spans="1:15" x14ac:dyDescent="0.2">
      <c r="A28" s="25"/>
      <c r="B28" s="25"/>
      <c r="C28" s="25" t="s">
        <v>385</v>
      </c>
      <c r="D28" s="25"/>
      <c r="E28" s="25"/>
      <c r="F28" s="25">
        <v>4.5</v>
      </c>
      <c r="G28" s="132"/>
      <c r="H28" s="227" t="s">
        <v>7</v>
      </c>
      <c r="I28" s="35">
        <v>0.26</v>
      </c>
      <c r="J28" s="133"/>
      <c r="K28" s="35">
        <v>1.17</v>
      </c>
      <c r="L28" s="202">
        <f t="shared" si="4"/>
        <v>0</v>
      </c>
      <c r="M28" s="35">
        <v>117</v>
      </c>
      <c r="N28" s="202">
        <f t="shared" si="5"/>
        <v>0</v>
      </c>
      <c r="O28" s="17"/>
    </row>
    <row r="29" spans="1:15" x14ac:dyDescent="0.2">
      <c r="A29" s="25"/>
      <c r="B29" s="132"/>
      <c r="C29" s="132"/>
      <c r="D29" s="25"/>
      <c r="E29" s="25"/>
      <c r="F29" s="25">
        <v>0</v>
      </c>
      <c r="G29" s="132"/>
      <c r="H29" s="227"/>
      <c r="I29" s="35">
        <v>0</v>
      </c>
      <c r="J29" s="133"/>
      <c r="K29" s="35">
        <v>0</v>
      </c>
      <c r="L29" s="202">
        <f t="shared" si="4"/>
        <v>0</v>
      </c>
      <c r="M29" s="35">
        <v>0</v>
      </c>
      <c r="N29" s="202">
        <f t="shared" si="5"/>
        <v>0</v>
      </c>
      <c r="O29" s="17"/>
    </row>
    <row r="30" spans="1:15" x14ac:dyDescent="0.2">
      <c r="A30" s="25"/>
      <c r="B30" s="132"/>
      <c r="C30" s="132"/>
      <c r="D30" s="25"/>
      <c r="E30" s="25"/>
      <c r="F30" s="25">
        <v>0</v>
      </c>
      <c r="G30" s="132"/>
      <c r="H30" s="227"/>
      <c r="I30" s="35">
        <v>0</v>
      </c>
      <c r="J30" s="133"/>
      <c r="K30" s="35">
        <v>0</v>
      </c>
      <c r="L30" s="202">
        <f t="shared" si="4"/>
        <v>0</v>
      </c>
      <c r="M30" s="35">
        <v>0</v>
      </c>
      <c r="N30" s="202">
        <f t="shared" si="5"/>
        <v>0</v>
      </c>
      <c r="O30" s="17"/>
    </row>
    <row r="31" spans="1:15" x14ac:dyDescent="0.2">
      <c r="A31" s="25"/>
      <c r="B31" s="132"/>
      <c r="C31" s="132"/>
      <c r="D31" s="25"/>
      <c r="E31" s="25"/>
      <c r="F31" s="25">
        <v>0</v>
      </c>
      <c r="G31" s="132"/>
      <c r="H31" s="227"/>
      <c r="I31" s="35">
        <v>0</v>
      </c>
      <c r="J31" s="133"/>
      <c r="K31" s="35">
        <v>0</v>
      </c>
      <c r="L31" s="202">
        <f t="shared" si="4"/>
        <v>0</v>
      </c>
      <c r="M31" s="35">
        <v>0</v>
      </c>
      <c r="N31" s="202">
        <f t="shared" si="5"/>
        <v>0</v>
      </c>
      <c r="O31" s="17"/>
    </row>
    <row r="32" spans="1:15" x14ac:dyDescent="0.2">
      <c r="A32" s="25"/>
      <c r="B32" s="25" t="s">
        <v>109</v>
      </c>
      <c r="C32" s="25"/>
      <c r="D32" s="25"/>
      <c r="E32" s="25"/>
      <c r="F32" s="25"/>
      <c r="G32" s="105"/>
      <c r="J32" s="105"/>
      <c r="K32" s="127"/>
      <c r="L32" s="105"/>
      <c r="N32" s="105"/>
    </row>
    <row r="33" spans="1:15" x14ac:dyDescent="0.2">
      <c r="A33" s="25"/>
      <c r="B33" s="25"/>
      <c r="C33" s="25" t="s">
        <v>357</v>
      </c>
      <c r="D33" s="25"/>
      <c r="E33" s="25"/>
      <c r="F33" s="25">
        <v>14.3</v>
      </c>
      <c r="G33" s="132"/>
      <c r="H33" s="227" t="s">
        <v>83</v>
      </c>
      <c r="I33" s="35">
        <v>0.56999999999999995</v>
      </c>
      <c r="J33" s="133"/>
      <c r="K33" s="35">
        <v>8.1509999999999998</v>
      </c>
      <c r="L33" s="202">
        <f t="shared" si="2"/>
        <v>0</v>
      </c>
      <c r="M33" s="35">
        <v>815.1</v>
      </c>
      <c r="N33" s="202">
        <f t="shared" si="3"/>
        <v>0</v>
      </c>
      <c r="O33" s="17"/>
    </row>
    <row r="34" spans="1:15" x14ac:dyDescent="0.2">
      <c r="A34" s="25"/>
      <c r="B34" s="132"/>
      <c r="C34" s="132"/>
      <c r="D34" s="25"/>
      <c r="E34" s="25"/>
      <c r="F34" s="25">
        <v>0</v>
      </c>
      <c r="G34" s="132"/>
      <c r="H34" s="227"/>
      <c r="I34" s="35">
        <v>0</v>
      </c>
      <c r="J34" s="133"/>
      <c r="K34" s="35">
        <v>0</v>
      </c>
      <c r="L34" s="202">
        <f t="shared" si="2"/>
        <v>0</v>
      </c>
      <c r="M34" s="35">
        <v>0</v>
      </c>
      <c r="N34" s="202">
        <f t="shared" si="3"/>
        <v>0</v>
      </c>
      <c r="O34" s="17"/>
    </row>
    <row r="35" spans="1:15" x14ac:dyDescent="0.2">
      <c r="A35" s="25"/>
      <c r="B35" s="132"/>
      <c r="C35" s="132"/>
      <c r="D35" s="25"/>
      <c r="E35" s="25"/>
      <c r="F35" s="25">
        <v>0</v>
      </c>
      <c r="G35" s="132"/>
      <c r="H35" s="227"/>
      <c r="I35" s="35">
        <v>0</v>
      </c>
      <c r="J35" s="133"/>
      <c r="K35" s="35">
        <v>0</v>
      </c>
      <c r="L35" s="202">
        <f t="shared" si="2"/>
        <v>0</v>
      </c>
      <c r="M35" s="35">
        <v>0</v>
      </c>
      <c r="N35" s="202">
        <f t="shared" si="3"/>
        <v>0</v>
      </c>
      <c r="O35" s="17"/>
    </row>
    <row r="36" spans="1:15" x14ac:dyDescent="0.2">
      <c r="A36" s="25"/>
      <c r="B36" s="132"/>
      <c r="C36" s="132"/>
      <c r="D36" s="25"/>
      <c r="E36" s="25"/>
      <c r="F36" s="25">
        <v>0</v>
      </c>
      <c r="G36" s="132"/>
      <c r="H36" s="227"/>
      <c r="I36" s="35">
        <v>0</v>
      </c>
      <c r="J36" s="133"/>
      <c r="K36" s="35">
        <v>0</v>
      </c>
      <c r="L36" s="202">
        <f t="shared" si="2"/>
        <v>0</v>
      </c>
      <c r="M36" s="35">
        <v>0</v>
      </c>
      <c r="N36" s="202">
        <f t="shared" si="3"/>
        <v>0</v>
      </c>
      <c r="O36" s="17"/>
    </row>
    <row r="37" spans="1:15" x14ac:dyDescent="0.2">
      <c r="A37" s="25"/>
      <c r="B37" s="25" t="s">
        <v>27</v>
      </c>
      <c r="C37" s="25"/>
      <c r="D37" s="25"/>
      <c r="E37" s="25"/>
      <c r="G37" s="105"/>
      <c r="J37" s="105"/>
      <c r="K37" s="127"/>
      <c r="L37" s="105"/>
      <c r="N37" s="105"/>
    </row>
    <row r="38" spans="1:15" x14ac:dyDescent="0.2">
      <c r="A38" s="25"/>
      <c r="B38" s="132"/>
      <c r="C38" s="132"/>
      <c r="D38" s="25"/>
      <c r="E38" s="25"/>
      <c r="F38" s="25">
        <v>1</v>
      </c>
      <c r="G38" s="132"/>
      <c r="H38" s="227"/>
      <c r="I38" s="35">
        <v>0</v>
      </c>
      <c r="J38" s="133"/>
      <c r="K38" s="35">
        <v>0</v>
      </c>
      <c r="L38" s="202">
        <f t="shared" ref="L38:L45" si="6">+J38*G38</f>
        <v>0</v>
      </c>
      <c r="M38" s="35">
        <v>0</v>
      </c>
      <c r="N38" s="202">
        <f t="shared" ref="N38:N48" si="7">+L38*E$7</f>
        <v>0</v>
      </c>
      <c r="O38" s="17"/>
    </row>
    <row r="39" spans="1:15" x14ac:dyDescent="0.2">
      <c r="A39" s="25"/>
      <c r="B39" s="132"/>
      <c r="C39" s="132"/>
      <c r="D39" s="25"/>
      <c r="E39" s="25"/>
      <c r="F39" s="25">
        <v>1</v>
      </c>
      <c r="G39" s="132"/>
      <c r="H39" s="227"/>
      <c r="I39" s="35">
        <v>0</v>
      </c>
      <c r="J39" s="133"/>
      <c r="K39" s="35">
        <v>0</v>
      </c>
      <c r="L39" s="202">
        <f t="shared" si="6"/>
        <v>0</v>
      </c>
      <c r="M39" s="35">
        <v>0</v>
      </c>
      <c r="N39" s="202">
        <f t="shared" si="7"/>
        <v>0</v>
      </c>
      <c r="O39" s="17"/>
    </row>
    <row r="40" spans="1:15" x14ac:dyDescent="0.2">
      <c r="A40" s="25"/>
      <c r="B40" s="25" t="s">
        <v>43</v>
      </c>
      <c r="C40" s="25"/>
      <c r="D40" s="25"/>
      <c r="E40" s="25"/>
      <c r="F40" s="25">
        <v>1</v>
      </c>
      <c r="G40" s="132"/>
      <c r="H40" s="227" t="s">
        <v>20</v>
      </c>
      <c r="I40" s="35">
        <v>5.97</v>
      </c>
      <c r="J40" s="133"/>
      <c r="K40" s="35">
        <v>5.97</v>
      </c>
      <c r="L40" s="202">
        <f t="shared" si="6"/>
        <v>0</v>
      </c>
      <c r="M40" s="35">
        <v>597</v>
      </c>
      <c r="N40" s="202">
        <f t="shared" si="7"/>
        <v>0</v>
      </c>
      <c r="O40" s="17"/>
    </row>
    <row r="41" spans="1:15" x14ac:dyDescent="0.2">
      <c r="A41" s="25"/>
      <c r="B41" s="25" t="s">
        <v>93</v>
      </c>
      <c r="C41" s="25"/>
      <c r="D41" s="25"/>
      <c r="E41" s="25"/>
      <c r="F41" s="38">
        <v>0.1</v>
      </c>
      <c r="G41" s="137"/>
      <c r="H41" s="227" t="s">
        <v>30</v>
      </c>
      <c r="I41" s="35">
        <v>5.97</v>
      </c>
      <c r="J41" s="133"/>
      <c r="K41" s="35">
        <v>0.59699999999999998</v>
      </c>
      <c r="L41" s="202">
        <f t="shared" si="6"/>
        <v>0</v>
      </c>
      <c r="M41" s="35">
        <v>59.699999999999996</v>
      </c>
      <c r="N41" s="202">
        <f t="shared" si="7"/>
        <v>0</v>
      </c>
      <c r="O41" s="17"/>
    </row>
    <row r="42" spans="1:15" x14ac:dyDescent="0.2">
      <c r="A42" s="25"/>
      <c r="B42" s="25" t="s">
        <v>98</v>
      </c>
      <c r="C42" s="25"/>
      <c r="D42" s="25"/>
      <c r="E42" s="25"/>
      <c r="F42" s="25">
        <v>1</v>
      </c>
      <c r="G42" s="132"/>
      <c r="H42" s="227" t="s">
        <v>20</v>
      </c>
      <c r="I42" s="35">
        <v>0.45</v>
      </c>
      <c r="J42" s="133"/>
      <c r="K42" s="35">
        <v>0.45</v>
      </c>
      <c r="L42" s="202">
        <f t="shared" si="6"/>
        <v>0</v>
      </c>
      <c r="M42" s="35">
        <v>45</v>
      </c>
      <c r="N42" s="202">
        <f t="shared" si="7"/>
        <v>0</v>
      </c>
      <c r="O42" s="17"/>
    </row>
    <row r="43" spans="1:15" x14ac:dyDescent="0.2">
      <c r="A43" s="25"/>
      <c r="B43" s="25" t="s">
        <v>92</v>
      </c>
      <c r="C43" s="25"/>
      <c r="D43" s="25"/>
      <c r="E43" s="25"/>
      <c r="F43" s="25">
        <v>1</v>
      </c>
      <c r="G43" s="132"/>
      <c r="H43" s="227" t="s">
        <v>20</v>
      </c>
      <c r="I43" s="35">
        <v>9.0246704166666678</v>
      </c>
      <c r="J43" s="133"/>
      <c r="K43" s="35">
        <v>9.0246704166666678</v>
      </c>
      <c r="L43" s="202">
        <f t="shared" si="6"/>
        <v>0</v>
      </c>
      <c r="M43" s="35">
        <v>902.46704166666677</v>
      </c>
      <c r="N43" s="202">
        <f t="shared" si="7"/>
        <v>0</v>
      </c>
      <c r="O43" s="17"/>
    </row>
    <row r="44" spans="1:15" x14ac:dyDescent="0.2">
      <c r="A44" s="25"/>
      <c r="B44" s="25" t="s">
        <v>122</v>
      </c>
      <c r="C44" s="25"/>
      <c r="D44" s="25"/>
      <c r="E44" s="25"/>
      <c r="F44" s="33">
        <v>0.95</v>
      </c>
      <c r="G44" s="132"/>
      <c r="H44" s="227" t="s">
        <v>20</v>
      </c>
      <c r="I44" s="35">
        <v>29.67</v>
      </c>
      <c r="J44" s="133"/>
      <c r="K44" s="35">
        <v>28.186499999999999</v>
      </c>
      <c r="L44" s="202">
        <f t="shared" si="6"/>
        <v>0</v>
      </c>
      <c r="M44" s="35">
        <v>2818.65</v>
      </c>
      <c r="N44" s="202">
        <f t="shared" si="7"/>
        <v>0</v>
      </c>
      <c r="O44" s="17"/>
    </row>
    <row r="45" spans="1:15" x14ac:dyDescent="0.2">
      <c r="A45" s="25"/>
      <c r="B45" s="25" t="s">
        <v>12</v>
      </c>
      <c r="C45" s="25"/>
      <c r="D45" s="25"/>
      <c r="E45" s="25"/>
      <c r="F45" s="25">
        <v>1</v>
      </c>
      <c r="G45" s="132"/>
      <c r="H45" s="227" t="s">
        <v>20</v>
      </c>
      <c r="I45" s="35">
        <v>0</v>
      </c>
      <c r="J45" s="133"/>
      <c r="K45" s="35">
        <v>0</v>
      </c>
      <c r="L45" s="202">
        <f t="shared" si="6"/>
        <v>0</v>
      </c>
      <c r="M45" s="35">
        <v>0</v>
      </c>
      <c r="N45" s="202">
        <f t="shared" si="7"/>
        <v>0</v>
      </c>
      <c r="O45" s="17"/>
    </row>
    <row r="46" spans="1:15" x14ac:dyDescent="0.2">
      <c r="A46" s="25"/>
      <c r="B46" s="132"/>
      <c r="C46" s="132"/>
      <c r="D46" s="25"/>
      <c r="E46" s="25"/>
      <c r="F46" s="25"/>
      <c r="G46" s="132"/>
      <c r="H46" s="227"/>
      <c r="I46" s="35"/>
      <c r="J46" s="133"/>
      <c r="K46" s="35">
        <v>0</v>
      </c>
      <c r="L46" s="202">
        <f>+J46*G46</f>
        <v>0</v>
      </c>
      <c r="M46" s="35">
        <v>0</v>
      </c>
      <c r="N46" s="202">
        <f>+L46*E$7</f>
        <v>0</v>
      </c>
      <c r="O46" s="17"/>
    </row>
    <row r="47" spans="1:15" x14ac:dyDescent="0.2">
      <c r="A47" s="25"/>
      <c r="B47" s="132"/>
      <c r="C47" s="132"/>
      <c r="D47" s="25"/>
      <c r="E47" s="25"/>
      <c r="F47" s="25"/>
      <c r="G47" s="132"/>
      <c r="H47" s="227"/>
      <c r="I47" s="35"/>
      <c r="J47" s="133"/>
      <c r="K47" s="35">
        <v>0</v>
      </c>
      <c r="L47" s="202">
        <f>+J47*G47</f>
        <v>0</v>
      </c>
      <c r="M47" s="35">
        <v>0</v>
      </c>
      <c r="N47" s="202">
        <f>+L47*E$7</f>
        <v>0</v>
      </c>
      <c r="O47" s="17"/>
    </row>
    <row r="48" spans="1:15" ht="13.5" thickBot="1" x14ac:dyDescent="0.25">
      <c r="A48" s="25"/>
      <c r="B48" s="25" t="s">
        <v>32</v>
      </c>
      <c r="C48" s="25"/>
      <c r="D48" s="25"/>
      <c r="E48" s="25"/>
      <c r="F48" s="25"/>
      <c r="G48" s="105"/>
      <c r="H48" s="21"/>
      <c r="I48" s="39">
        <v>0.08</v>
      </c>
      <c r="J48" s="215"/>
      <c r="K48" s="42">
        <v>40.686127934703194</v>
      </c>
      <c r="L48" s="217">
        <f>+SUM(L18:L45)*J48/2</f>
        <v>0</v>
      </c>
      <c r="M48" s="42">
        <v>4068.6127934703195</v>
      </c>
      <c r="N48" s="217">
        <f t="shared" si="7"/>
        <v>0</v>
      </c>
      <c r="O48" s="17"/>
    </row>
    <row r="49" spans="1:15" x14ac:dyDescent="0.2">
      <c r="A49" s="25" t="s">
        <v>33</v>
      </c>
      <c r="B49" s="25"/>
      <c r="C49" s="25"/>
      <c r="D49" s="25"/>
      <c r="E49" s="25"/>
      <c r="F49" s="25"/>
      <c r="G49" s="200"/>
      <c r="H49" s="25"/>
      <c r="I49" s="25"/>
      <c r="J49" s="197"/>
      <c r="K49" s="35">
        <v>1554.3465483513698</v>
      </c>
      <c r="L49" s="202">
        <f>+SUM(L18:L48)</f>
        <v>0</v>
      </c>
      <c r="M49" s="35">
        <v>155434.65483513701</v>
      </c>
      <c r="N49" s="202">
        <f>+SUM(N18:N48)</f>
        <v>0</v>
      </c>
      <c r="O49" s="17"/>
    </row>
    <row r="50" spans="1:15" x14ac:dyDescent="0.2">
      <c r="A50" s="25"/>
      <c r="B50" s="25"/>
      <c r="C50" s="25"/>
      <c r="D50" s="25"/>
      <c r="E50" s="25"/>
      <c r="F50" s="25"/>
      <c r="G50" s="200"/>
      <c r="H50" s="25"/>
      <c r="I50" s="25"/>
      <c r="J50" s="197"/>
      <c r="K50" s="35"/>
      <c r="L50" s="206"/>
      <c r="M50" s="35"/>
      <c r="N50" s="206"/>
      <c r="O50" s="35"/>
    </row>
    <row r="51" spans="1:15" x14ac:dyDescent="0.2">
      <c r="A51" s="25" t="s">
        <v>34</v>
      </c>
      <c r="B51" s="25"/>
      <c r="C51" s="25"/>
      <c r="D51" s="25"/>
      <c r="E51" s="25"/>
      <c r="F51" s="25"/>
      <c r="G51" s="200"/>
      <c r="H51" s="25"/>
      <c r="I51" s="25"/>
      <c r="J51" s="197"/>
      <c r="K51" s="35">
        <v>70.153451648629925</v>
      </c>
      <c r="L51" s="202">
        <f>+L14-L49</f>
        <v>0</v>
      </c>
      <c r="M51" s="35">
        <v>7015.3451648629562</v>
      </c>
      <c r="N51" s="202">
        <f>+N14-N49</f>
        <v>0</v>
      </c>
      <c r="O51" s="17"/>
    </row>
    <row r="52" spans="1:15" x14ac:dyDescent="0.2">
      <c r="A52" s="25"/>
      <c r="B52" s="25"/>
      <c r="C52" s="25"/>
      <c r="D52" s="25"/>
      <c r="E52" s="25"/>
      <c r="F52" s="25"/>
      <c r="G52" s="178"/>
      <c r="H52" s="25"/>
      <c r="I52" s="25"/>
      <c r="J52" s="211"/>
      <c r="K52" s="35"/>
      <c r="L52" s="184"/>
      <c r="M52" s="35"/>
      <c r="N52" s="184"/>
    </row>
    <row r="53" spans="1:15" x14ac:dyDescent="0.2">
      <c r="A53" s="25"/>
      <c r="B53" s="25" t="s">
        <v>35</v>
      </c>
      <c r="C53" s="25"/>
      <c r="D53" s="25"/>
      <c r="E53" s="25"/>
      <c r="F53" s="25"/>
      <c r="G53" s="178"/>
      <c r="H53" s="17"/>
      <c r="I53" s="40">
        <v>272.69237690374911</v>
      </c>
      <c r="J53" s="210" t="str">
        <f>+IF(G11=0,"n/a",(L49-SUM(L12:L13))/(G11*E11))</f>
        <v>n/a</v>
      </c>
      <c r="K53" s="25" t="s">
        <v>7</v>
      </c>
      <c r="L53" s="184"/>
      <c r="M53" s="25"/>
      <c r="N53" s="184"/>
    </row>
    <row r="54" spans="1:15" x14ac:dyDescent="0.2">
      <c r="A54" s="25"/>
      <c r="B54" s="25"/>
      <c r="C54" s="25"/>
      <c r="D54" s="25"/>
      <c r="E54" s="25"/>
      <c r="F54" s="25"/>
      <c r="G54" s="178"/>
      <c r="H54" s="25"/>
      <c r="I54" s="25"/>
      <c r="J54" s="211"/>
      <c r="K54" s="25"/>
      <c r="L54" s="184"/>
      <c r="M54" s="22" t="s">
        <v>19</v>
      </c>
      <c r="N54" s="184" t="s">
        <v>19</v>
      </c>
    </row>
    <row r="55" spans="1:15" x14ac:dyDescent="0.2">
      <c r="A55" s="23" t="s">
        <v>36</v>
      </c>
      <c r="B55" s="23"/>
      <c r="C55" s="23"/>
      <c r="D55" s="23"/>
      <c r="E55" s="23"/>
      <c r="F55" s="24" t="s">
        <v>2</v>
      </c>
      <c r="G55" s="196" t="s">
        <v>2</v>
      </c>
      <c r="H55" s="24" t="s">
        <v>21</v>
      </c>
      <c r="I55" s="24" t="s">
        <v>22</v>
      </c>
      <c r="J55" s="196" t="s">
        <v>22</v>
      </c>
      <c r="K55" s="24" t="s">
        <v>11</v>
      </c>
      <c r="L55" s="196" t="s">
        <v>11</v>
      </c>
      <c r="M55" s="24" t="s">
        <v>11</v>
      </c>
      <c r="N55" s="208" t="s">
        <v>11</v>
      </c>
    </row>
    <row r="56" spans="1:15" x14ac:dyDescent="0.2">
      <c r="A56" s="25"/>
      <c r="B56" s="25"/>
      <c r="C56" s="25"/>
      <c r="D56" s="25"/>
      <c r="E56" s="25"/>
      <c r="F56" s="25"/>
      <c r="G56" s="178"/>
      <c r="H56" s="25"/>
      <c r="I56" s="25"/>
      <c r="J56" s="211"/>
      <c r="K56" s="25"/>
      <c r="L56" s="184"/>
      <c r="M56" s="25"/>
      <c r="N56" s="184"/>
    </row>
    <row r="57" spans="1:15" x14ac:dyDescent="0.2">
      <c r="A57" s="25"/>
      <c r="B57" s="25" t="s">
        <v>123</v>
      </c>
      <c r="C57" s="25"/>
      <c r="D57" s="25"/>
      <c r="E57" s="25"/>
      <c r="F57" s="25">
        <v>1</v>
      </c>
      <c r="G57" s="132"/>
      <c r="H57" s="227" t="s">
        <v>20</v>
      </c>
      <c r="I57" s="35">
        <v>23.045395238095239</v>
      </c>
      <c r="J57" s="133"/>
      <c r="K57" s="35">
        <v>23.045395238095239</v>
      </c>
      <c r="L57" s="202">
        <f t="shared" ref="L57:L63" si="8">+J57*G57</f>
        <v>0</v>
      </c>
      <c r="M57" s="35">
        <v>2304.5395238095239</v>
      </c>
      <c r="N57" s="202">
        <f t="shared" ref="N57:N63" si="9">+L57*E$7</f>
        <v>0</v>
      </c>
    </row>
    <row r="58" spans="1:15" x14ac:dyDescent="0.2">
      <c r="A58" s="25"/>
      <c r="B58" s="25" t="s">
        <v>89</v>
      </c>
      <c r="C58" s="25"/>
      <c r="D58" s="25"/>
      <c r="E58" s="25"/>
      <c r="F58" s="41">
        <v>369.50431250000003</v>
      </c>
      <c r="G58" s="133"/>
      <c r="H58" s="227" t="s">
        <v>88</v>
      </c>
      <c r="I58" s="39">
        <v>0.08</v>
      </c>
      <c r="J58" s="215"/>
      <c r="K58" s="35">
        <v>29.560345000000002</v>
      </c>
      <c r="L58" s="202">
        <f t="shared" si="8"/>
        <v>0</v>
      </c>
      <c r="M58" s="35">
        <v>2956.0345000000002</v>
      </c>
      <c r="N58" s="202">
        <f t="shared" si="9"/>
        <v>0</v>
      </c>
    </row>
    <row r="59" spans="1:15" x14ac:dyDescent="0.2">
      <c r="A59" s="25"/>
      <c r="B59" s="25" t="s">
        <v>156</v>
      </c>
      <c r="C59" s="25"/>
      <c r="D59" s="25"/>
      <c r="E59" s="25"/>
      <c r="F59" s="25">
        <v>1</v>
      </c>
      <c r="G59" s="132"/>
      <c r="H59" s="227" t="s">
        <v>20</v>
      </c>
      <c r="I59" s="35">
        <v>0</v>
      </c>
      <c r="J59" s="133"/>
      <c r="K59" s="35">
        <v>0</v>
      </c>
      <c r="L59" s="202">
        <f t="shared" si="8"/>
        <v>0</v>
      </c>
      <c r="M59" s="35">
        <v>0</v>
      </c>
      <c r="N59" s="202">
        <f t="shared" si="9"/>
        <v>0</v>
      </c>
    </row>
    <row r="60" spans="1:15" x14ac:dyDescent="0.2">
      <c r="A60" s="25"/>
      <c r="B60" s="25" t="s">
        <v>152</v>
      </c>
      <c r="C60" s="25"/>
      <c r="D60" s="25"/>
      <c r="E60" s="25"/>
      <c r="F60" s="25">
        <v>1</v>
      </c>
      <c r="G60" s="132"/>
      <c r="H60" s="227" t="s">
        <v>20</v>
      </c>
      <c r="I60" s="35">
        <v>0</v>
      </c>
      <c r="J60" s="133"/>
      <c r="K60" s="35">
        <v>0</v>
      </c>
      <c r="L60" s="202">
        <f t="shared" si="8"/>
        <v>0</v>
      </c>
      <c r="M60" s="35">
        <v>0</v>
      </c>
      <c r="N60" s="202">
        <f t="shared" si="9"/>
        <v>0</v>
      </c>
    </row>
    <row r="61" spans="1:15" x14ac:dyDescent="0.2">
      <c r="A61" s="25"/>
      <c r="B61" s="25" t="s">
        <v>87</v>
      </c>
      <c r="C61" s="25"/>
      <c r="D61" s="25"/>
      <c r="E61" s="25"/>
      <c r="F61" s="25">
        <v>1</v>
      </c>
      <c r="G61" s="132"/>
      <c r="H61" s="227" t="s">
        <v>20</v>
      </c>
      <c r="I61" s="35">
        <v>0</v>
      </c>
      <c r="J61" s="133"/>
      <c r="K61" s="35">
        <v>0</v>
      </c>
      <c r="L61" s="202">
        <f t="shared" si="8"/>
        <v>0</v>
      </c>
      <c r="M61" s="35">
        <v>0</v>
      </c>
      <c r="N61" s="202">
        <f t="shared" si="9"/>
        <v>0</v>
      </c>
    </row>
    <row r="62" spans="1:15" x14ac:dyDescent="0.2">
      <c r="A62" s="25"/>
      <c r="B62" s="132"/>
      <c r="C62" s="132"/>
      <c r="D62" s="25"/>
      <c r="E62" s="25"/>
      <c r="F62" s="25"/>
      <c r="G62" s="132"/>
      <c r="H62" s="227"/>
      <c r="I62" s="35"/>
      <c r="J62" s="133"/>
      <c r="K62" s="35">
        <v>0</v>
      </c>
      <c r="L62" s="202">
        <f t="shared" si="8"/>
        <v>0</v>
      </c>
      <c r="M62" s="35">
        <v>0</v>
      </c>
      <c r="N62" s="202">
        <f t="shared" si="9"/>
        <v>0</v>
      </c>
    </row>
    <row r="63" spans="1:15" ht="13.5" thickBot="1" x14ac:dyDescent="0.25">
      <c r="A63" s="25"/>
      <c r="B63" s="132"/>
      <c r="C63" s="132"/>
      <c r="D63" s="25"/>
      <c r="E63" s="25"/>
      <c r="F63" s="25"/>
      <c r="G63" s="132"/>
      <c r="H63" s="227"/>
      <c r="I63" s="35"/>
      <c r="J63" s="133"/>
      <c r="K63" s="35">
        <v>0</v>
      </c>
      <c r="L63" s="202">
        <f t="shared" si="8"/>
        <v>0</v>
      </c>
      <c r="M63" s="35">
        <v>0</v>
      </c>
      <c r="N63" s="202">
        <f t="shared" si="9"/>
        <v>0</v>
      </c>
    </row>
    <row r="64" spans="1:15" x14ac:dyDescent="0.2">
      <c r="A64" s="25" t="s">
        <v>37</v>
      </c>
      <c r="B64" s="25"/>
      <c r="C64" s="25"/>
      <c r="D64" s="25"/>
      <c r="E64" s="25"/>
      <c r="F64" s="25"/>
      <c r="G64" s="197"/>
      <c r="H64" s="25"/>
      <c r="I64" s="25"/>
      <c r="J64" s="197"/>
      <c r="K64" s="36">
        <v>52.605740238095237</v>
      </c>
      <c r="L64" s="203">
        <f>+SUM(L57:L61)</f>
        <v>0</v>
      </c>
      <c r="M64" s="36">
        <v>5260.5740238095241</v>
      </c>
      <c r="N64" s="203">
        <f>+SUM(N57:N61)</f>
        <v>0</v>
      </c>
    </row>
    <row r="65" spans="1:14" x14ac:dyDescent="0.2">
      <c r="A65" s="25"/>
      <c r="B65" s="25"/>
      <c r="C65" s="25"/>
      <c r="D65" s="25"/>
      <c r="E65" s="25"/>
      <c r="F65" s="25"/>
      <c r="G65" s="197"/>
      <c r="H65" s="25"/>
      <c r="I65" s="25"/>
      <c r="J65" s="197"/>
      <c r="K65" s="35"/>
      <c r="L65" s="184"/>
      <c r="M65" s="35"/>
      <c r="N65" s="184"/>
    </row>
    <row r="66" spans="1:14" x14ac:dyDescent="0.2">
      <c r="A66" s="25" t="s">
        <v>82</v>
      </c>
      <c r="B66" s="25"/>
      <c r="C66" s="25"/>
      <c r="D66" s="25"/>
      <c r="E66" s="25"/>
      <c r="F66" s="25"/>
      <c r="G66" s="197"/>
      <c r="H66" s="25"/>
      <c r="I66" s="25"/>
      <c r="J66" s="197"/>
      <c r="K66" s="35">
        <v>1606.9522885894651</v>
      </c>
      <c r="L66" s="202">
        <f>+L49+L64</f>
        <v>0</v>
      </c>
      <c r="M66" s="35">
        <v>160695.22885894653</v>
      </c>
      <c r="N66" s="202">
        <f>+N49+N64</f>
        <v>0</v>
      </c>
    </row>
    <row r="67" spans="1:14" x14ac:dyDescent="0.2">
      <c r="A67" s="25"/>
      <c r="B67" s="25"/>
      <c r="C67" s="25"/>
      <c r="D67" s="25"/>
      <c r="E67" s="25"/>
      <c r="F67" s="25"/>
      <c r="G67" s="197"/>
      <c r="H67" s="25"/>
      <c r="I67" s="25"/>
      <c r="J67" s="197"/>
      <c r="K67" s="35"/>
      <c r="L67" s="184"/>
      <c r="M67" s="35"/>
      <c r="N67" s="184"/>
    </row>
    <row r="68" spans="1:14" x14ac:dyDescent="0.2">
      <c r="A68" s="25" t="s">
        <v>85</v>
      </c>
      <c r="B68" s="25"/>
      <c r="C68" s="25"/>
      <c r="D68" s="25"/>
      <c r="E68" s="25"/>
      <c r="F68" s="25"/>
      <c r="G68" s="197"/>
      <c r="H68" s="25"/>
      <c r="I68" s="25"/>
      <c r="J68" s="197"/>
      <c r="K68" s="35">
        <v>17.547711410534703</v>
      </c>
      <c r="L68" s="202">
        <f>+L51-L64</f>
        <v>0</v>
      </c>
      <c r="M68" s="35">
        <v>1754.7711410534394</v>
      </c>
      <c r="N68" s="202">
        <f>+N51-N64</f>
        <v>0</v>
      </c>
    </row>
    <row r="69" spans="1:14" x14ac:dyDescent="0.2">
      <c r="A69" s="25"/>
      <c r="B69" s="25"/>
      <c r="C69" s="25"/>
      <c r="D69" s="25"/>
      <c r="E69" s="25"/>
      <c r="F69" s="25"/>
      <c r="G69" s="197"/>
      <c r="H69" s="25"/>
      <c r="I69" s="25"/>
      <c r="J69" s="197"/>
      <c r="K69" s="35"/>
      <c r="L69" s="195"/>
      <c r="M69" s="35"/>
      <c r="N69" s="211"/>
    </row>
    <row r="70" spans="1:14" x14ac:dyDescent="0.2">
      <c r="A70" s="25" t="s">
        <v>38</v>
      </c>
      <c r="B70" s="25"/>
      <c r="C70" s="25"/>
      <c r="D70" s="25"/>
      <c r="E70" s="25"/>
      <c r="F70" s="25"/>
      <c r="G70" s="197"/>
      <c r="H70" s="25"/>
      <c r="I70" s="40">
        <v>281.92145413850267</v>
      </c>
      <c r="J70" s="210" t="str">
        <f>+IF(G11=0,"n/a",(L66-SUM(L12:L13))/(G11*E11))</f>
        <v>n/a</v>
      </c>
      <c r="K70" s="25" t="s">
        <v>7</v>
      </c>
      <c r="L70" s="197"/>
      <c r="M70" s="25"/>
      <c r="N70" s="211"/>
    </row>
    <row r="71" spans="1:14" ht="13.5" thickBo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8.75" thickBot="1" x14ac:dyDescent="0.3">
      <c r="A72" s="17"/>
      <c r="B72" s="17"/>
      <c r="C72" s="252" t="s">
        <v>316</v>
      </c>
      <c r="D72" s="253"/>
      <c r="E72" s="253"/>
      <c r="F72" s="253"/>
      <c r="G72" s="253"/>
      <c r="H72" s="254"/>
      <c r="I72" s="17"/>
      <c r="J72" s="17"/>
      <c r="K72" s="17"/>
      <c r="L72" s="17"/>
      <c r="M72" s="17"/>
      <c r="N72" s="17"/>
    </row>
    <row r="73" spans="1:14" ht="28.35" customHeight="1" x14ac:dyDescent="0.2">
      <c r="A73" s="51"/>
      <c r="B73" s="51"/>
      <c r="C73" s="255"/>
      <c r="D73" s="52"/>
      <c r="E73" s="53"/>
      <c r="F73" s="257" t="s">
        <v>523</v>
      </c>
      <c r="G73" s="258"/>
      <c r="H73" s="259" t="s">
        <v>125</v>
      </c>
      <c r="I73" s="51"/>
      <c r="J73" s="51"/>
      <c r="K73" s="51"/>
      <c r="L73" s="51"/>
      <c r="M73" s="51"/>
      <c r="N73" s="17"/>
    </row>
    <row r="74" spans="1:14" ht="36" customHeight="1" x14ac:dyDescent="0.2">
      <c r="A74" s="51"/>
      <c r="B74" s="51"/>
      <c r="C74" s="256"/>
      <c r="D74" s="54"/>
      <c r="E74" s="54"/>
      <c r="F74" s="54" t="s">
        <v>524</v>
      </c>
      <c r="G74" s="55"/>
      <c r="H74" s="56" t="s">
        <v>525</v>
      </c>
      <c r="I74" s="51"/>
      <c r="J74" s="51"/>
      <c r="K74" s="51"/>
      <c r="L74" s="51"/>
      <c r="M74" s="51"/>
      <c r="N74" s="17"/>
    </row>
    <row r="75" spans="1:14" ht="47.85" customHeight="1" thickBot="1" x14ac:dyDescent="0.25">
      <c r="A75" s="51"/>
      <c r="B75" s="51"/>
      <c r="C75" s="57" t="s">
        <v>124</v>
      </c>
      <c r="D75" s="58" t="s">
        <v>317</v>
      </c>
      <c r="E75" s="58"/>
      <c r="F75" s="58" t="s">
        <v>318</v>
      </c>
      <c r="G75" s="59"/>
      <c r="H75" s="60" t="s">
        <v>319</v>
      </c>
      <c r="I75" s="51"/>
      <c r="J75" s="51"/>
      <c r="K75" s="51"/>
      <c r="L75" s="51"/>
      <c r="M75" s="51"/>
      <c r="N75" s="17"/>
    </row>
    <row r="76" spans="1:14" ht="12.75" customHeight="1" x14ac:dyDescent="0.2">
      <c r="A76" s="17"/>
      <c r="B76" s="17"/>
      <c r="C76" s="61">
        <v>1.4257425742574257</v>
      </c>
      <c r="D76" s="62">
        <v>628.21782178217825</v>
      </c>
      <c r="E76" s="62"/>
      <c r="F76" s="63">
        <v>330.87721419684055</v>
      </c>
      <c r="G76" s="64"/>
      <c r="H76" s="65">
        <v>269.25831553653683</v>
      </c>
      <c r="I76" s="17"/>
      <c r="J76" s="17"/>
      <c r="K76" s="17"/>
      <c r="L76" s="17"/>
      <c r="M76" s="17"/>
      <c r="N76" s="17"/>
    </row>
    <row r="77" spans="1:14" ht="12.75" customHeight="1" x14ac:dyDescent="0.2">
      <c r="A77" s="17"/>
      <c r="B77" s="17"/>
      <c r="C77" s="66">
        <v>1.306930693069307</v>
      </c>
      <c r="D77" s="62">
        <v>613.36633663366342</v>
      </c>
      <c r="E77" s="62"/>
      <c r="F77" s="63">
        <v>321.94157063248412</v>
      </c>
      <c r="G77" s="67"/>
      <c r="H77" s="68">
        <v>275.77788734129558</v>
      </c>
      <c r="I77" s="17"/>
      <c r="J77" s="17"/>
      <c r="K77" s="17"/>
      <c r="L77" s="17"/>
      <c r="M77" s="17"/>
      <c r="N77" s="17"/>
    </row>
    <row r="78" spans="1:14" ht="12.75" customHeight="1" x14ac:dyDescent="0.2">
      <c r="A78" s="17"/>
      <c r="B78" s="17"/>
      <c r="C78" s="69">
        <v>1.1881188118811881</v>
      </c>
      <c r="D78" s="70">
        <v>600</v>
      </c>
      <c r="E78" s="70"/>
      <c r="F78" s="71">
        <v>313.89949142456334</v>
      </c>
      <c r="G78" s="72"/>
      <c r="H78" s="73">
        <v>281.92145413850261</v>
      </c>
      <c r="I78" s="17"/>
      <c r="J78" s="17"/>
      <c r="K78" s="17"/>
      <c r="L78" s="17"/>
      <c r="M78" s="17"/>
      <c r="N78" s="17"/>
    </row>
    <row r="79" spans="1:14" ht="12.75" customHeight="1" x14ac:dyDescent="0.2">
      <c r="A79" s="17"/>
      <c r="B79" s="17"/>
      <c r="C79" s="66">
        <v>1.0693069306930694</v>
      </c>
      <c r="D79" s="62">
        <v>583.66336633663366</v>
      </c>
      <c r="E79" s="62"/>
      <c r="F79" s="63">
        <v>304.07028350377118</v>
      </c>
      <c r="G79" s="67"/>
      <c r="H79" s="68">
        <v>289.81238542482208</v>
      </c>
      <c r="I79" s="17"/>
      <c r="J79" s="17"/>
      <c r="K79" s="17"/>
      <c r="L79" s="17"/>
      <c r="M79" s="17"/>
      <c r="N79" s="17"/>
    </row>
    <row r="80" spans="1:14" ht="12.75" customHeight="1" thickBot="1" x14ac:dyDescent="0.25">
      <c r="A80" s="17"/>
      <c r="B80" s="17"/>
      <c r="C80" s="74">
        <v>0.95049504950495045</v>
      </c>
      <c r="D80" s="75">
        <v>568.81188118811883</v>
      </c>
      <c r="E80" s="75"/>
      <c r="F80" s="76">
        <v>295.1346399394148</v>
      </c>
      <c r="G80" s="77"/>
      <c r="H80" s="78">
        <v>297.37928843852495</v>
      </c>
      <c r="I80" s="17"/>
      <c r="J80" s="17"/>
      <c r="K80" s="17"/>
      <c r="L80" s="17"/>
      <c r="M80" s="17"/>
      <c r="N80" s="17"/>
    </row>
    <row r="81" spans="1:14" ht="12.75" customHeight="1" x14ac:dyDescent="0.2">
      <c r="A81" s="17"/>
      <c r="B81" s="17"/>
      <c r="C81" s="79"/>
      <c r="D81" s="80"/>
      <c r="E81" s="80"/>
      <c r="F81" s="81"/>
      <c r="G81" s="81"/>
      <c r="H81" s="81"/>
      <c r="I81" s="17"/>
      <c r="J81" s="17"/>
      <c r="K81" s="17"/>
      <c r="L81" s="17"/>
      <c r="M81" s="17"/>
      <c r="N81" s="17"/>
    </row>
    <row r="82" spans="1:14" ht="12.75" customHeight="1" x14ac:dyDescent="0.2">
      <c r="A82" s="25" t="s">
        <v>536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2.75" customHeight="1" x14ac:dyDescent="0.2"/>
    <row r="84" spans="1:14" ht="29.25" customHeight="1" x14ac:dyDescent="0.2">
      <c r="A84" s="236" t="s">
        <v>140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</row>
  </sheetData>
  <sheetProtection sheet="1" objects="1" scenarios="1"/>
  <mergeCells count="8">
    <mergeCell ref="A84:N84"/>
    <mergeCell ref="A1:N1"/>
    <mergeCell ref="A2:N2"/>
    <mergeCell ref="A3:N3"/>
    <mergeCell ref="A4:N4"/>
    <mergeCell ref="C72:H72"/>
    <mergeCell ref="C73:C74"/>
    <mergeCell ref="F73:H73"/>
  </mergeCells>
  <printOptions horizontalCentered="1"/>
  <pageMargins left="0.7" right="0.7" top="0.75" bottom="0.75" header="0.3" footer="0.3"/>
  <pageSetup scale="3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3">
    <tabColor rgb="FF92D050"/>
    <pageSetUpPr fitToPage="1"/>
  </sheetPr>
  <dimension ref="A1:Y101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458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50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507</v>
      </c>
      <c r="R9" s="191" t="str">
        <f>"(" &amp; E7 &amp; " acres)"</f>
        <v>( acres)</v>
      </c>
      <c r="S9" s="12"/>
    </row>
    <row r="10" spans="1:19" x14ac:dyDescent="0.2">
      <c r="A10" s="25"/>
      <c r="B10" t="s">
        <v>341</v>
      </c>
      <c r="C10" s="25"/>
      <c r="D10" s="50">
        <v>1364</v>
      </c>
      <c r="E10" s="132"/>
      <c r="F10" s="226" t="s">
        <v>83</v>
      </c>
      <c r="G10" s="31">
        <v>2</v>
      </c>
      <c r="H10" s="133"/>
      <c r="I10" s="35">
        <v>2728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2728</v>
      </c>
      <c r="P10" s="202">
        <f>+J10-N10</f>
        <v>0</v>
      </c>
      <c r="Q10" s="35">
        <v>136400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2728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2728</v>
      </c>
      <c r="P13" s="203">
        <f>SUM(P10:P12)</f>
        <v>0</v>
      </c>
      <c r="Q13" s="36">
        <v>136400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409</v>
      </c>
      <c r="D18" s="25">
        <v>0.33</v>
      </c>
      <c r="E18" s="132"/>
      <c r="F18" s="226" t="s">
        <v>42</v>
      </c>
      <c r="G18" s="41">
        <v>100</v>
      </c>
      <c r="H18" s="133"/>
      <c r="I18" s="35">
        <v>33</v>
      </c>
      <c r="J18" s="202">
        <f t="shared" ref="J18:J34" si="4">E18*H18</f>
        <v>0</v>
      </c>
      <c r="K18" s="225">
        <v>0</v>
      </c>
      <c r="L18" s="214"/>
      <c r="M18" s="35">
        <v>0</v>
      </c>
      <c r="N18" s="202">
        <f t="shared" ref="N18:N34" si="5">J18*L18</f>
        <v>0</v>
      </c>
      <c r="O18" s="35">
        <v>33</v>
      </c>
      <c r="P18" s="202">
        <f t="shared" ref="P18:P34" si="6">+J18-N18</f>
        <v>0</v>
      </c>
      <c r="Q18" s="35">
        <v>1650</v>
      </c>
      <c r="R18" s="202">
        <f t="shared" ref="R18:R34" si="7">+J18*E$7</f>
        <v>0</v>
      </c>
    </row>
    <row r="19" spans="1:18" x14ac:dyDescent="0.2">
      <c r="A19" s="25"/>
      <c r="B19" s="25" t="s">
        <v>0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393</v>
      </c>
      <c r="D20" s="25">
        <v>80</v>
      </c>
      <c r="E20" s="132"/>
      <c r="F20" s="226" t="s">
        <v>83</v>
      </c>
      <c r="G20" s="41">
        <v>0.63</v>
      </c>
      <c r="H20" s="133"/>
      <c r="I20" s="35">
        <v>50.4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50.4</v>
      </c>
      <c r="P20" s="202">
        <f t="shared" si="6"/>
        <v>0</v>
      </c>
      <c r="Q20" s="35">
        <v>2520</v>
      </c>
      <c r="R20" s="202">
        <f t="shared" si="7"/>
        <v>0</v>
      </c>
    </row>
    <row r="21" spans="1:18" x14ac:dyDescent="0.2">
      <c r="A21" s="25"/>
      <c r="B21" s="25" t="s">
        <v>501</v>
      </c>
      <c r="C21" s="25" t="s">
        <v>423</v>
      </c>
      <c r="D21" s="25">
        <v>291.5</v>
      </c>
      <c r="E21" s="132"/>
      <c r="F21" s="226" t="s">
        <v>83</v>
      </c>
      <c r="G21" s="41">
        <v>0.53</v>
      </c>
      <c r="H21" s="133"/>
      <c r="I21" s="35">
        <v>154.495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154.495</v>
      </c>
      <c r="P21" s="202">
        <f t="shared" si="6"/>
        <v>0</v>
      </c>
      <c r="Q21" s="35">
        <v>7724.75</v>
      </c>
      <c r="R21" s="202">
        <f t="shared" si="7"/>
        <v>0</v>
      </c>
    </row>
    <row r="22" spans="1:18" x14ac:dyDescent="0.2">
      <c r="A22" s="25"/>
      <c r="B22" s="25" t="s">
        <v>501</v>
      </c>
      <c r="C22" s="25" t="s">
        <v>451</v>
      </c>
      <c r="D22" s="25">
        <v>24</v>
      </c>
      <c r="E22" s="132"/>
      <c r="F22" s="226" t="s">
        <v>311</v>
      </c>
      <c r="G22" s="41">
        <v>1.34</v>
      </c>
      <c r="H22" s="133"/>
      <c r="I22" s="35">
        <v>32.160000000000004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32.160000000000004</v>
      </c>
      <c r="P22" s="202">
        <f t="shared" si="6"/>
        <v>0</v>
      </c>
      <c r="Q22" s="35">
        <v>1608.0000000000002</v>
      </c>
      <c r="R22" s="202">
        <f t="shared" si="7"/>
        <v>0</v>
      </c>
    </row>
    <row r="23" spans="1:18" x14ac:dyDescent="0.2">
      <c r="A23" s="25"/>
      <c r="B23" s="25" t="s">
        <v>49</v>
      </c>
      <c r="C23" s="25"/>
      <c r="D23" s="25"/>
      <c r="E23" s="25"/>
      <c r="F23" s="25"/>
      <c r="G23" s="25"/>
      <c r="H23" s="25"/>
      <c r="I23" s="25"/>
      <c r="J23" s="25"/>
      <c r="K23" s="2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501</v>
      </c>
      <c r="C24" s="25" t="s">
        <v>399</v>
      </c>
      <c r="D24" s="25">
        <v>16.98</v>
      </c>
      <c r="E24" s="132"/>
      <c r="F24" s="226" t="s">
        <v>311</v>
      </c>
      <c r="G24" s="41">
        <v>2.125</v>
      </c>
      <c r="H24" s="133"/>
      <c r="I24" s="35">
        <v>36.082500000000003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36.082500000000003</v>
      </c>
      <c r="P24" s="202">
        <f t="shared" si="6"/>
        <v>0</v>
      </c>
      <c r="Q24" s="35">
        <v>1804.1250000000002</v>
      </c>
      <c r="R24" s="202">
        <f t="shared" si="7"/>
        <v>0</v>
      </c>
    </row>
    <row r="25" spans="1:18" x14ac:dyDescent="0.2">
      <c r="A25" s="25"/>
      <c r="B25" s="25" t="s">
        <v>501</v>
      </c>
      <c r="C25" s="25" t="s">
        <v>378</v>
      </c>
      <c r="D25" s="25">
        <v>16</v>
      </c>
      <c r="E25" s="132"/>
      <c r="F25" s="226" t="s">
        <v>311</v>
      </c>
      <c r="G25" s="41">
        <v>2.1749999999999998</v>
      </c>
      <c r="H25" s="133"/>
      <c r="I25" s="35">
        <v>34.799999999999997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34.799999999999997</v>
      </c>
      <c r="P25" s="202">
        <f t="shared" si="6"/>
        <v>0</v>
      </c>
      <c r="Q25" s="35">
        <v>1739.9999999999998</v>
      </c>
      <c r="R25" s="202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5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501</v>
      </c>
      <c r="C27" s="25" t="s">
        <v>376</v>
      </c>
      <c r="D27" s="25">
        <v>12</v>
      </c>
      <c r="E27" s="132"/>
      <c r="F27" s="226" t="s">
        <v>360</v>
      </c>
      <c r="G27" s="41">
        <v>1.54</v>
      </c>
      <c r="H27" s="133"/>
      <c r="I27" s="35">
        <v>18.48</v>
      </c>
      <c r="J27" s="202">
        <f t="shared" si="4"/>
        <v>0</v>
      </c>
      <c r="K27" s="225">
        <v>0</v>
      </c>
      <c r="L27" s="214"/>
      <c r="M27" s="35">
        <v>0</v>
      </c>
      <c r="N27" s="202">
        <f t="shared" si="5"/>
        <v>0</v>
      </c>
      <c r="O27" s="35">
        <v>18.48</v>
      </c>
      <c r="P27" s="202">
        <f t="shared" si="6"/>
        <v>0</v>
      </c>
      <c r="Q27" s="35">
        <v>924</v>
      </c>
      <c r="R27" s="202">
        <f t="shared" si="7"/>
        <v>0</v>
      </c>
    </row>
    <row r="28" spans="1:18" x14ac:dyDescent="0.2">
      <c r="A28" s="25"/>
      <c r="B28" s="25" t="s">
        <v>501</v>
      </c>
      <c r="C28" s="25" t="s">
        <v>430</v>
      </c>
      <c r="D28" s="25">
        <v>4.5</v>
      </c>
      <c r="E28" s="132"/>
      <c r="F28" s="226" t="s">
        <v>311</v>
      </c>
      <c r="G28" s="41">
        <v>3.6875</v>
      </c>
      <c r="H28" s="133"/>
      <c r="I28" s="35">
        <v>16.59375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16.59375</v>
      </c>
      <c r="P28" s="202">
        <f t="shared" si="6"/>
        <v>0</v>
      </c>
      <c r="Q28" s="35">
        <v>829.6875</v>
      </c>
      <c r="R28" s="202">
        <f t="shared" si="7"/>
        <v>0</v>
      </c>
    </row>
    <row r="29" spans="1:18" x14ac:dyDescent="0.2">
      <c r="A29" s="25"/>
      <c r="B29" s="25" t="s">
        <v>107</v>
      </c>
      <c r="C29" s="25"/>
      <c r="D29" s="25"/>
      <c r="E29" s="25"/>
      <c r="F29" s="25"/>
      <c r="G29" s="25"/>
      <c r="H29" s="25"/>
      <c r="I29" s="25"/>
      <c r="J29" s="25"/>
      <c r="K29" s="225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501</v>
      </c>
      <c r="C30" s="25" t="s">
        <v>336</v>
      </c>
      <c r="D30" s="25">
        <v>4.0919999999999996</v>
      </c>
      <c r="E30" s="132"/>
      <c r="F30" s="226" t="s">
        <v>44</v>
      </c>
      <c r="G30" s="41">
        <v>8.5</v>
      </c>
      <c r="H30" s="133"/>
      <c r="I30" s="35">
        <v>34.781999999999996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34.781999999999996</v>
      </c>
      <c r="P30" s="202">
        <f t="shared" si="6"/>
        <v>0</v>
      </c>
      <c r="Q30" s="35">
        <v>1739.1</v>
      </c>
      <c r="R30" s="202">
        <f t="shared" si="7"/>
        <v>0</v>
      </c>
    </row>
    <row r="31" spans="1:18" x14ac:dyDescent="0.2">
      <c r="A31" s="25"/>
      <c r="B31" s="25" t="s">
        <v>27</v>
      </c>
      <c r="C31" s="25"/>
      <c r="D31" s="25"/>
      <c r="E31" s="25"/>
      <c r="F31" s="25"/>
      <c r="G31" s="25"/>
      <c r="H31" s="25"/>
      <c r="I31" s="25"/>
      <c r="J31" s="25"/>
      <c r="K31" s="225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 t="s">
        <v>501</v>
      </c>
      <c r="C32" s="25" t="s">
        <v>387</v>
      </c>
      <c r="D32" s="25">
        <v>920.7</v>
      </c>
      <c r="E32" s="132"/>
      <c r="F32" s="226" t="s">
        <v>388</v>
      </c>
      <c r="G32" s="41">
        <v>0.17</v>
      </c>
      <c r="H32" s="133"/>
      <c r="I32" s="35">
        <v>156.51900000000001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156.51900000000001</v>
      </c>
      <c r="P32" s="202">
        <f t="shared" si="6"/>
        <v>0</v>
      </c>
      <c r="Q32" s="35">
        <v>7825.9500000000007</v>
      </c>
      <c r="R32" s="202">
        <f t="shared" si="7"/>
        <v>0</v>
      </c>
    </row>
    <row r="33" spans="1:18" x14ac:dyDescent="0.2">
      <c r="A33" s="25"/>
      <c r="B33" s="133"/>
      <c r="C33" s="133"/>
      <c r="D33" s="25">
        <v>0</v>
      </c>
      <c r="E33" s="132"/>
      <c r="F33" s="226"/>
      <c r="G33" s="41">
        <v>0</v>
      </c>
      <c r="H33" s="133"/>
      <c r="I33" s="35">
        <v>0</v>
      </c>
      <c r="J33" s="202">
        <f t="shared" si="4"/>
        <v>0</v>
      </c>
      <c r="K33" s="225">
        <v>0</v>
      </c>
      <c r="L33" s="214"/>
      <c r="M33" s="35">
        <v>0</v>
      </c>
      <c r="N33" s="202">
        <f t="shared" si="5"/>
        <v>0</v>
      </c>
      <c r="O33" s="35">
        <v>0</v>
      </c>
      <c r="P33" s="202">
        <f t="shared" si="6"/>
        <v>0</v>
      </c>
      <c r="Q33" s="35">
        <v>0</v>
      </c>
      <c r="R33" s="202">
        <f t="shared" si="7"/>
        <v>0</v>
      </c>
    </row>
    <row r="34" spans="1:18" x14ac:dyDescent="0.2">
      <c r="A34" s="25"/>
      <c r="B34" s="133"/>
      <c r="C34" s="133"/>
      <c r="D34" s="25">
        <v>0</v>
      </c>
      <c r="E34" s="132"/>
      <c r="F34" s="226"/>
      <c r="G34" s="41">
        <v>0</v>
      </c>
      <c r="H34" s="133"/>
      <c r="I34" s="35">
        <v>0</v>
      </c>
      <c r="J34" s="202">
        <f t="shared" si="4"/>
        <v>0</v>
      </c>
      <c r="K34" s="225">
        <v>0</v>
      </c>
      <c r="L34" s="214"/>
      <c r="M34" s="35">
        <v>0</v>
      </c>
      <c r="N34" s="202">
        <f t="shared" si="5"/>
        <v>0</v>
      </c>
      <c r="O34" s="35">
        <v>0</v>
      </c>
      <c r="P34" s="202">
        <f t="shared" si="6"/>
        <v>0</v>
      </c>
      <c r="Q34" s="35">
        <v>0</v>
      </c>
      <c r="R34" s="202">
        <f t="shared" si="7"/>
        <v>0</v>
      </c>
    </row>
    <row r="35" spans="1:18" x14ac:dyDescent="0.2">
      <c r="A35" s="25"/>
      <c r="B35" s="133"/>
      <c r="C35" s="133"/>
      <c r="D35" s="25">
        <v>0</v>
      </c>
      <c r="E35" s="132"/>
      <c r="F35" s="226"/>
      <c r="G35" s="41">
        <v>0</v>
      </c>
      <c r="H35" s="133"/>
      <c r="I35" s="35">
        <v>0</v>
      </c>
      <c r="J35" s="202">
        <f>E35*H35</f>
        <v>0</v>
      </c>
      <c r="K35" s="225">
        <v>0</v>
      </c>
      <c r="L35" s="214"/>
      <c r="M35" s="35">
        <v>0</v>
      </c>
      <c r="N35" s="202">
        <f>J35*L35</f>
        <v>0</v>
      </c>
      <c r="O35" s="35">
        <v>0</v>
      </c>
      <c r="P35" s="202">
        <f>+J35-N35</f>
        <v>0</v>
      </c>
      <c r="Q35" s="35">
        <v>0</v>
      </c>
      <c r="R35" s="202">
        <f>+J35*E$7</f>
        <v>0</v>
      </c>
    </row>
    <row r="36" spans="1:18" x14ac:dyDescent="0.2">
      <c r="A36" s="25"/>
      <c r="B36" s="25" t="s">
        <v>45</v>
      </c>
      <c r="C36" s="25"/>
      <c r="D36" s="25"/>
      <c r="E36" s="209"/>
      <c r="F36" s="21"/>
      <c r="G36" s="41"/>
      <c r="H36" s="198"/>
      <c r="I36" s="186"/>
      <c r="J36" s="184"/>
      <c r="K36" s="225"/>
      <c r="L36" s="198"/>
      <c r="M36" s="35"/>
      <c r="N36" s="184"/>
      <c r="O36" s="35"/>
      <c r="P36" s="184"/>
      <c r="Q36" s="35"/>
      <c r="R36" s="184"/>
    </row>
    <row r="37" spans="1:18" x14ac:dyDescent="0.2">
      <c r="A37" s="25"/>
      <c r="B37" s="25"/>
      <c r="C37" s="25" t="s">
        <v>146</v>
      </c>
      <c r="D37" s="34">
        <v>35.199999999999996</v>
      </c>
      <c r="E37" s="132"/>
      <c r="F37" s="226" t="s">
        <v>459</v>
      </c>
      <c r="G37" s="41">
        <v>4.7</v>
      </c>
      <c r="H37" s="133"/>
      <c r="I37" s="35">
        <v>165.44</v>
      </c>
      <c r="J37" s="202">
        <f t="shared" ref="J37:J38" si="8">E37*H37</f>
        <v>0</v>
      </c>
      <c r="K37" s="225">
        <v>0</v>
      </c>
      <c r="L37" s="214"/>
      <c r="M37" s="35">
        <v>0</v>
      </c>
      <c r="N37" s="202">
        <f t="shared" ref="N37:N38" si="9">J37*L37</f>
        <v>0</v>
      </c>
      <c r="O37" s="35">
        <v>165.44</v>
      </c>
      <c r="P37" s="202">
        <f t="shared" ref="P37:P38" si="10">+J37-N37</f>
        <v>0</v>
      </c>
      <c r="Q37" s="35">
        <v>8272</v>
      </c>
      <c r="R37" s="202">
        <f t="shared" ref="R37:R38" si="11">+J37*E$7</f>
        <v>0</v>
      </c>
    </row>
    <row r="38" spans="1:18" x14ac:dyDescent="0.2">
      <c r="A38" s="25"/>
      <c r="B38" s="25"/>
      <c r="C38" s="25" t="s">
        <v>136</v>
      </c>
      <c r="D38" s="34">
        <v>0.77839999999999998</v>
      </c>
      <c r="E38" s="132"/>
      <c r="F38" s="226" t="s">
        <v>44</v>
      </c>
      <c r="G38" s="41">
        <v>17.5</v>
      </c>
      <c r="H38" s="133"/>
      <c r="I38" s="35">
        <v>13.622</v>
      </c>
      <c r="J38" s="202">
        <f t="shared" si="8"/>
        <v>0</v>
      </c>
      <c r="K38" s="225">
        <v>0</v>
      </c>
      <c r="L38" s="214"/>
      <c r="M38" s="35">
        <v>0</v>
      </c>
      <c r="N38" s="202">
        <f t="shared" si="9"/>
        <v>0</v>
      </c>
      <c r="O38" s="35">
        <v>13.622</v>
      </c>
      <c r="P38" s="202">
        <f t="shared" si="10"/>
        <v>0</v>
      </c>
      <c r="Q38" s="35">
        <v>681.1</v>
      </c>
      <c r="R38" s="202">
        <f t="shared" si="11"/>
        <v>0</v>
      </c>
    </row>
    <row r="39" spans="1:18" x14ac:dyDescent="0.2">
      <c r="A39" s="25"/>
      <c r="B39" s="25" t="s">
        <v>108</v>
      </c>
      <c r="C39" s="25"/>
      <c r="D39" s="25"/>
      <c r="E39" s="105"/>
      <c r="H39" s="105"/>
      <c r="I39" s="124"/>
      <c r="J39" s="105"/>
      <c r="K39" s="225"/>
      <c r="L39" s="105"/>
      <c r="N39" s="105"/>
      <c r="P39" s="105"/>
      <c r="R39" s="105"/>
    </row>
    <row r="40" spans="1:18" x14ac:dyDescent="0.2">
      <c r="A40" s="25"/>
      <c r="B40" s="25"/>
      <c r="C40" s="25" t="s">
        <v>105</v>
      </c>
      <c r="D40" s="25">
        <v>3.31</v>
      </c>
      <c r="E40" s="132"/>
      <c r="F40" s="226" t="s">
        <v>44</v>
      </c>
      <c r="G40" s="41">
        <v>17.21</v>
      </c>
      <c r="H40" s="133"/>
      <c r="I40" s="35">
        <v>56.965100000000007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56.965100000000007</v>
      </c>
      <c r="P40" s="202">
        <f>+J40-N40</f>
        <v>0</v>
      </c>
      <c r="Q40" s="35">
        <v>2848.2550000000001</v>
      </c>
      <c r="R40" s="202">
        <f>+J40*E$7</f>
        <v>0</v>
      </c>
    </row>
    <row r="41" spans="1:18" x14ac:dyDescent="0.2">
      <c r="A41" s="25"/>
      <c r="B41" s="25"/>
      <c r="C41" s="25" t="s">
        <v>107</v>
      </c>
      <c r="D41" s="25">
        <v>0.75</v>
      </c>
      <c r="E41" s="132"/>
      <c r="F41" s="226" t="s">
        <v>44</v>
      </c>
      <c r="G41" s="41">
        <v>17.21</v>
      </c>
      <c r="H41" s="133"/>
      <c r="I41" s="35">
        <v>12.907500000000001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12.907500000000001</v>
      </c>
      <c r="P41" s="202">
        <f>+J41-N41</f>
        <v>0</v>
      </c>
      <c r="Q41" s="35">
        <v>645.375</v>
      </c>
      <c r="R41" s="202">
        <f>+J41*E$7</f>
        <v>0</v>
      </c>
    </row>
    <row r="42" spans="1:18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 t="s">
        <v>51</v>
      </c>
      <c r="C43" s="25"/>
      <c r="D43" s="25"/>
      <c r="E43" s="209"/>
      <c r="F43" s="21"/>
      <c r="G43" s="41"/>
      <c r="H43" s="198"/>
      <c r="I43" s="186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0</v>
      </c>
      <c r="H44" s="133"/>
      <c r="I44" s="35">
        <v>0</v>
      </c>
      <c r="J44" s="202">
        <f>E44*H44</f>
        <v>0</v>
      </c>
      <c r="K44" s="225">
        <v>0</v>
      </c>
      <c r="L44" s="214"/>
      <c r="M44" s="35">
        <v>0</v>
      </c>
      <c r="N44" s="202">
        <f>J44*L44</f>
        <v>0</v>
      </c>
      <c r="O44" s="35">
        <v>0</v>
      </c>
      <c r="P44" s="202">
        <f>+J44-N44</f>
        <v>0</v>
      </c>
      <c r="Q44" s="35">
        <v>0</v>
      </c>
      <c r="R44" s="202">
        <f>+J44*E$7</f>
        <v>0</v>
      </c>
    </row>
    <row r="45" spans="1:18" x14ac:dyDescent="0.2">
      <c r="A45" s="25"/>
      <c r="B45" s="25"/>
      <c r="C45" s="25" t="s">
        <v>105</v>
      </c>
      <c r="D45" s="25">
        <v>16.329999999999998</v>
      </c>
      <c r="E45" s="132"/>
      <c r="F45" s="226" t="s">
        <v>79</v>
      </c>
      <c r="G45" s="41">
        <v>3.6</v>
      </c>
      <c r="H45" s="133"/>
      <c r="I45" s="35">
        <v>58.787999999999997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58.787999999999997</v>
      </c>
      <c r="P45" s="202">
        <f>+J45-N45</f>
        <v>0</v>
      </c>
      <c r="Q45" s="35">
        <v>2939.3999999999996</v>
      </c>
      <c r="R45" s="202">
        <f>+J45*E$7</f>
        <v>0</v>
      </c>
    </row>
    <row r="46" spans="1:18" x14ac:dyDescent="0.2">
      <c r="A46" s="25"/>
      <c r="B46" s="25"/>
      <c r="C46" s="25"/>
      <c r="D46" s="25"/>
      <c r="E46" s="209"/>
      <c r="F46" s="21"/>
      <c r="G46" s="41"/>
      <c r="H46" s="198"/>
      <c r="I46" s="35"/>
      <c r="J46" s="184"/>
      <c r="K46" s="225"/>
      <c r="L46" s="198"/>
      <c r="M46" s="35"/>
      <c r="N46" s="184"/>
      <c r="O46" s="35"/>
      <c r="P46" s="184"/>
      <c r="Q46" s="35"/>
      <c r="R46" s="184"/>
    </row>
    <row r="47" spans="1:18" x14ac:dyDescent="0.2">
      <c r="A47" s="25"/>
      <c r="B47" s="25" t="s">
        <v>29</v>
      </c>
      <c r="C47" s="25"/>
      <c r="D47" s="25"/>
      <c r="E47" s="209"/>
      <c r="F47" s="21"/>
      <c r="G47" s="41"/>
      <c r="H47" s="198"/>
      <c r="I47" s="186"/>
      <c r="J47" s="184"/>
      <c r="K47" s="225"/>
      <c r="L47" s="198"/>
      <c r="M47" s="35"/>
      <c r="N47" s="184"/>
      <c r="O47" s="35"/>
      <c r="P47" s="184"/>
      <c r="Q47" s="35"/>
      <c r="R47" s="184"/>
    </row>
    <row r="48" spans="1:18" x14ac:dyDescent="0.2">
      <c r="A48" s="25"/>
      <c r="B48" s="25"/>
      <c r="C48" s="25" t="s">
        <v>104</v>
      </c>
      <c r="D48" s="25">
        <v>1</v>
      </c>
      <c r="E48" s="132"/>
      <c r="F48" s="226" t="s">
        <v>42</v>
      </c>
      <c r="G48" s="41">
        <v>20.185200000000002</v>
      </c>
      <c r="H48" s="133"/>
      <c r="I48" s="35">
        <v>20.185200000000002</v>
      </c>
      <c r="J48" s="202">
        <f>E48*H48</f>
        <v>0</v>
      </c>
      <c r="K48" s="225">
        <v>0</v>
      </c>
      <c r="L48" s="214"/>
      <c r="M48" s="35">
        <v>0</v>
      </c>
      <c r="N48" s="202">
        <f>J48*L48</f>
        <v>0</v>
      </c>
      <c r="O48" s="35">
        <v>20.185200000000002</v>
      </c>
      <c r="P48" s="202">
        <f>+J48-N48</f>
        <v>0</v>
      </c>
      <c r="Q48" s="35">
        <v>1009.2600000000001</v>
      </c>
      <c r="R48" s="202">
        <f>+J48*E$7</f>
        <v>0</v>
      </c>
    </row>
    <row r="49" spans="1:18" x14ac:dyDescent="0.2">
      <c r="A49" s="25"/>
      <c r="B49" s="25"/>
      <c r="C49" s="25" t="s">
        <v>105</v>
      </c>
      <c r="D49" s="25">
        <v>0.81845238095238115</v>
      </c>
      <c r="E49" s="132"/>
      <c r="F49" s="226" t="s">
        <v>79</v>
      </c>
      <c r="G49" s="41">
        <v>3.15</v>
      </c>
      <c r="H49" s="133"/>
      <c r="I49" s="35">
        <v>2.5781250000000004</v>
      </c>
      <c r="J49" s="202">
        <f>E49*H49</f>
        <v>0</v>
      </c>
      <c r="K49" s="225">
        <v>0</v>
      </c>
      <c r="L49" s="214"/>
      <c r="M49" s="35">
        <v>0</v>
      </c>
      <c r="N49" s="202">
        <f>J49*L49</f>
        <v>0</v>
      </c>
      <c r="O49" s="35">
        <v>2.5781250000000004</v>
      </c>
      <c r="P49" s="202">
        <f>+J49-N49</f>
        <v>0</v>
      </c>
      <c r="Q49" s="35">
        <v>128.90625000000003</v>
      </c>
      <c r="R49" s="202">
        <f>+J49*E$7</f>
        <v>0</v>
      </c>
    </row>
    <row r="50" spans="1:18" x14ac:dyDescent="0.2">
      <c r="A50" s="25"/>
      <c r="B50" s="25"/>
      <c r="C50" s="25"/>
      <c r="D50" s="25"/>
      <c r="E50" s="209"/>
      <c r="F50" s="21"/>
      <c r="G50" s="41"/>
      <c r="H50" s="198"/>
      <c r="I50" s="35"/>
      <c r="J50" s="184"/>
      <c r="K50" s="225"/>
      <c r="L50" s="198"/>
      <c r="M50" s="35"/>
      <c r="N50" s="184"/>
      <c r="O50" s="35"/>
      <c r="P50" s="184"/>
      <c r="Q50" s="35"/>
      <c r="R50" s="184"/>
    </row>
    <row r="51" spans="1:18" x14ac:dyDescent="0.2">
      <c r="A51" s="25"/>
      <c r="B51" s="25" t="s">
        <v>47</v>
      </c>
      <c r="C51" s="25"/>
      <c r="D51" s="25"/>
      <c r="E51" s="209"/>
      <c r="F51" s="21"/>
      <c r="G51" s="41"/>
      <c r="H51" s="199"/>
      <c r="I51" s="186"/>
      <c r="J51" s="184"/>
      <c r="K51" s="225"/>
      <c r="L51" s="199"/>
      <c r="M51" s="35"/>
      <c r="N51" s="184"/>
      <c r="O51" s="35"/>
      <c r="P51" s="184"/>
      <c r="Q51" s="35"/>
      <c r="R51" s="184"/>
    </row>
    <row r="52" spans="1:18" x14ac:dyDescent="0.2">
      <c r="A52" s="25"/>
      <c r="B52" s="25"/>
      <c r="C52" s="25" t="s">
        <v>104</v>
      </c>
      <c r="D52" s="25">
        <v>1</v>
      </c>
      <c r="E52" s="132"/>
      <c r="F52" s="226" t="s">
        <v>42</v>
      </c>
      <c r="G52" s="41">
        <v>234.49480000000003</v>
      </c>
      <c r="H52" s="133"/>
      <c r="I52" s="35">
        <v>234.49480000000003</v>
      </c>
      <c r="J52" s="202">
        <f t="shared" ref="J52:J57" si="12">E52*H52</f>
        <v>0</v>
      </c>
      <c r="K52" s="225">
        <v>0</v>
      </c>
      <c r="L52" s="214"/>
      <c r="M52" s="35">
        <v>0</v>
      </c>
      <c r="N52" s="202">
        <f t="shared" ref="N52:N57" si="13">J52*L52</f>
        <v>0</v>
      </c>
      <c r="O52" s="35">
        <v>234.49480000000003</v>
      </c>
      <c r="P52" s="202">
        <f t="shared" ref="P52:P57" si="14">+J52-N52</f>
        <v>0</v>
      </c>
      <c r="Q52" s="35">
        <v>11724.740000000002</v>
      </c>
      <c r="R52" s="202">
        <f t="shared" ref="R52:R57" si="15">+J52*E$7</f>
        <v>0</v>
      </c>
    </row>
    <row r="53" spans="1:18" x14ac:dyDescent="0.2">
      <c r="A53" s="25"/>
      <c r="B53" s="25"/>
      <c r="C53" s="25" t="s">
        <v>46</v>
      </c>
      <c r="D53" s="25">
        <v>1</v>
      </c>
      <c r="E53" s="132"/>
      <c r="F53" s="226" t="s">
        <v>42</v>
      </c>
      <c r="G53" s="41">
        <v>16.396160000000005</v>
      </c>
      <c r="H53" s="133"/>
      <c r="I53" s="35">
        <v>16.396160000000005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16.396160000000005</v>
      </c>
      <c r="P53" s="202">
        <f t="shared" si="14"/>
        <v>0</v>
      </c>
      <c r="Q53" s="35">
        <v>819.80800000000022</v>
      </c>
      <c r="R53" s="202">
        <f t="shared" si="15"/>
        <v>0</v>
      </c>
    </row>
    <row r="54" spans="1:18" x14ac:dyDescent="0.2">
      <c r="A54" s="25"/>
      <c r="B54" s="25"/>
      <c r="C54" s="25" t="s">
        <v>105</v>
      </c>
      <c r="D54" s="25">
        <v>1</v>
      </c>
      <c r="E54" s="132"/>
      <c r="F54" s="226" t="s">
        <v>42</v>
      </c>
      <c r="G54" s="41">
        <v>29.409929904344658</v>
      </c>
      <c r="H54" s="133"/>
      <c r="I54" s="35">
        <v>29.409929904344658</v>
      </c>
      <c r="J54" s="202">
        <f t="shared" si="12"/>
        <v>0</v>
      </c>
      <c r="K54" s="225">
        <v>0</v>
      </c>
      <c r="L54" s="214"/>
      <c r="M54" s="35">
        <v>0</v>
      </c>
      <c r="N54" s="202">
        <f t="shared" si="13"/>
        <v>0</v>
      </c>
      <c r="O54" s="35">
        <v>29.409929904344658</v>
      </c>
      <c r="P54" s="202">
        <f t="shared" si="14"/>
        <v>0</v>
      </c>
      <c r="Q54" s="35">
        <v>1470.4964952172329</v>
      </c>
      <c r="R54" s="202">
        <f t="shared" si="15"/>
        <v>0</v>
      </c>
    </row>
    <row r="55" spans="1:18" x14ac:dyDescent="0.2">
      <c r="A55" s="25"/>
      <c r="B55" s="25"/>
      <c r="C55" s="25" t="s">
        <v>4</v>
      </c>
      <c r="D55" s="25">
        <v>1</v>
      </c>
      <c r="E55" s="132"/>
      <c r="F55" s="226" t="s">
        <v>42</v>
      </c>
      <c r="G55" s="41">
        <v>10.332474333161922</v>
      </c>
      <c r="H55" s="133"/>
      <c r="I55" s="35">
        <v>10.332474333161922</v>
      </c>
      <c r="J55" s="202">
        <f t="shared" si="12"/>
        <v>0</v>
      </c>
      <c r="K55" s="225">
        <v>0</v>
      </c>
      <c r="L55" s="214"/>
      <c r="M55" s="35">
        <v>0</v>
      </c>
      <c r="N55" s="202">
        <f t="shared" si="13"/>
        <v>0</v>
      </c>
      <c r="O55" s="35">
        <v>10.332474333161922</v>
      </c>
      <c r="P55" s="202">
        <f t="shared" si="14"/>
        <v>0</v>
      </c>
      <c r="Q55" s="35">
        <v>516.6237166580961</v>
      </c>
      <c r="R55" s="202">
        <f t="shared" si="15"/>
        <v>0</v>
      </c>
    </row>
    <row r="56" spans="1:18" x14ac:dyDescent="0.2">
      <c r="A56" s="25"/>
      <c r="B56" s="133"/>
      <c r="C56" s="133"/>
      <c r="D56" s="25"/>
      <c r="E56" s="132"/>
      <c r="F56" s="226"/>
      <c r="G56" s="41"/>
      <c r="H56" s="133"/>
      <c r="I56" s="35">
        <v>0</v>
      </c>
      <c r="J56" s="202">
        <f t="shared" si="12"/>
        <v>0</v>
      </c>
      <c r="K56" s="225">
        <v>0</v>
      </c>
      <c r="L56" s="214"/>
      <c r="M56" s="35">
        <v>0</v>
      </c>
      <c r="N56" s="202">
        <f t="shared" si="13"/>
        <v>0</v>
      </c>
      <c r="O56" s="35">
        <v>0</v>
      </c>
      <c r="P56" s="202">
        <f t="shared" si="14"/>
        <v>0</v>
      </c>
      <c r="Q56" s="35">
        <v>0</v>
      </c>
      <c r="R56" s="202">
        <f t="shared" si="15"/>
        <v>0</v>
      </c>
    </row>
    <row r="57" spans="1:18" x14ac:dyDescent="0.2">
      <c r="A57" s="25"/>
      <c r="B57" s="133"/>
      <c r="C57" s="133"/>
      <c r="D57" s="25"/>
      <c r="E57" s="132"/>
      <c r="F57" s="226"/>
      <c r="G57" s="41"/>
      <c r="H57" s="133"/>
      <c r="I57" s="35">
        <v>0</v>
      </c>
      <c r="J57" s="202">
        <f t="shared" si="12"/>
        <v>0</v>
      </c>
      <c r="K57" s="225">
        <v>0</v>
      </c>
      <c r="L57" s="214"/>
      <c r="M57" s="35">
        <v>0</v>
      </c>
      <c r="N57" s="202">
        <f t="shared" si="13"/>
        <v>0</v>
      </c>
      <c r="O57" s="35">
        <v>0</v>
      </c>
      <c r="P57" s="202">
        <f t="shared" si="14"/>
        <v>0</v>
      </c>
      <c r="Q57" s="35">
        <v>0</v>
      </c>
      <c r="R57" s="202">
        <f t="shared" si="15"/>
        <v>0</v>
      </c>
    </row>
    <row r="58" spans="1:18" ht="13.5" thickBot="1" x14ac:dyDescent="0.25">
      <c r="A58" s="25"/>
      <c r="B58" s="25" t="s">
        <v>32</v>
      </c>
      <c r="C58" s="25"/>
      <c r="D58" s="25"/>
      <c r="E58" s="197"/>
      <c r="F58" s="21"/>
      <c r="G58" s="39">
        <v>0.08</v>
      </c>
      <c r="H58" s="215"/>
      <c r="I58" s="42">
        <v>44.854317983159326</v>
      </c>
      <c r="J58" s="202">
        <f>+SUM(J17:J57)/2*H58</f>
        <v>0</v>
      </c>
      <c r="K58" s="86"/>
      <c r="L58" s="137"/>
      <c r="M58" s="42">
        <v>0</v>
      </c>
      <c r="N58" s="202">
        <f>+SUM(N17:N57)/2*L58</f>
        <v>0</v>
      </c>
      <c r="O58" s="42">
        <v>44.854317983159326</v>
      </c>
      <c r="P58" s="202">
        <f>+SUM(P17:P57)/2*L58</f>
        <v>0</v>
      </c>
      <c r="Q58" s="42">
        <v>2242.7158991579663</v>
      </c>
      <c r="R58" s="184">
        <f>+J58*E$7</f>
        <v>0</v>
      </c>
    </row>
    <row r="59" spans="1:18" ht="13.5" thickBot="1" x14ac:dyDescent="0.25">
      <c r="A59" s="25" t="s">
        <v>33</v>
      </c>
      <c r="B59" s="25"/>
      <c r="C59" s="25"/>
      <c r="D59" s="25"/>
      <c r="E59" s="200"/>
      <c r="F59" s="25"/>
      <c r="G59" s="25"/>
      <c r="H59" s="197"/>
      <c r="I59" s="87">
        <v>1233.2858572206658</v>
      </c>
      <c r="J59" s="204">
        <f>SUM(J18:J58)</f>
        <v>0</v>
      </c>
      <c r="K59" s="35"/>
      <c r="L59" s="195"/>
      <c r="M59" s="87">
        <v>0</v>
      </c>
      <c r="N59" s="204">
        <f>SUM(N18:N58)</f>
        <v>0</v>
      </c>
      <c r="O59" s="87">
        <v>1233.2858572206658</v>
      </c>
      <c r="P59" s="204">
        <f>SUM(P18:P58)</f>
        <v>0</v>
      </c>
      <c r="Q59" s="87">
        <v>61664.292861033297</v>
      </c>
      <c r="R59" s="204">
        <f>SUM(R18:R58)</f>
        <v>0</v>
      </c>
    </row>
    <row r="60" spans="1:18" ht="13.5" thickTop="1" x14ac:dyDescent="0.2">
      <c r="A60" s="25" t="s">
        <v>34</v>
      </c>
      <c r="B60" s="25"/>
      <c r="C60" s="25"/>
      <c r="D60" s="25"/>
      <c r="E60" s="200"/>
      <c r="F60" s="25"/>
      <c r="G60" s="25"/>
      <c r="H60" s="197"/>
      <c r="I60" s="35">
        <v>1494.7141427793342</v>
      </c>
      <c r="J60" s="202">
        <f>+J13-J59</f>
        <v>0</v>
      </c>
      <c r="K60" s="35"/>
      <c r="L60" s="195"/>
      <c r="M60" s="35">
        <v>0</v>
      </c>
      <c r="N60" s="202">
        <f>+N13-N59</f>
        <v>0</v>
      </c>
      <c r="O60" s="35">
        <v>1494.7141427793342</v>
      </c>
      <c r="P60" s="202">
        <f>+P13-P59</f>
        <v>0</v>
      </c>
      <c r="Q60" s="35">
        <v>74735.707138966711</v>
      </c>
      <c r="R60" s="202">
        <f>+R13-R59</f>
        <v>0</v>
      </c>
    </row>
    <row r="61" spans="1:18" x14ac:dyDescent="0.2">
      <c r="A61" s="25"/>
      <c r="B61" s="25" t="s">
        <v>35</v>
      </c>
      <c r="C61" s="25"/>
      <c r="D61" s="25"/>
      <c r="E61" s="210"/>
      <c r="F61" s="17"/>
      <c r="G61" s="40">
        <v>0.90416851702394851</v>
      </c>
      <c r="H61" s="210" t="str">
        <f>IF(E10=0,"n/a",(YVarExp-(YTotExp+YTotRet-J10))/E10)</f>
        <v>n/a</v>
      </c>
      <c r="I61" s="25" t="s">
        <v>83</v>
      </c>
      <c r="J61" s="184"/>
      <c r="K61" s="25"/>
      <c r="L61" s="197"/>
      <c r="M61" s="25"/>
      <c r="N61" s="184"/>
      <c r="O61" s="25"/>
      <c r="P61" s="184"/>
      <c r="Q61" s="25"/>
      <c r="R61" s="184"/>
    </row>
    <row r="62" spans="1:18" x14ac:dyDescent="0.2">
      <c r="A62" s="25"/>
      <c r="B62" s="25"/>
      <c r="C62" s="25"/>
      <c r="D62" s="25"/>
      <c r="E62" s="178"/>
      <c r="F62" s="25"/>
      <c r="G62" s="25"/>
      <c r="H62" s="211"/>
      <c r="I62" s="25"/>
      <c r="J62" s="184"/>
      <c r="K62" s="25"/>
      <c r="L62" s="197"/>
      <c r="M62" s="25"/>
      <c r="N62" s="184"/>
      <c r="O62" s="25"/>
      <c r="P62" s="184"/>
      <c r="Q62" s="22" t="s">
        <v>19</v>
      </c>
      <c r="R62" s="184" t="s">
        <v>19</v>
      </c>
    </row>
    <row r="63" spans="1:18" x14ac:dyDescent="0.2">
      <c r="A63" s="23" t="s">
        <v>36</v>
      </c>
      <c r="B63" s="23"/>
      <c r="C63" s="23"/>
      <c r="D63" s="24" t="s">
        <v>2</v>
      </c>
      <c r="E63" s="196" t="s">
        <v>2</v>
      </c>
      <c r="F63" s="24" t="s">
        <v>21</v>
      </c>
      <c r="G63" s="24" t="s">
        <v>22</v>
      </c>
      <c r="H63" s="196" t="s">
        <v>22</v>
      </c>
      <c r="I63" s="24" t="s">
        <v>11</v>
      </c>
      <c r="J63" s="196" t="s">
        <v>11</v>
      </c>
      <c r="K63" s="24" t="s">
        <v>10</v>
      </c>
      <c r="L63" s="196" t="s">
        <v>10</v>
      </c>
      <c r="M63" s="24" t="s">
        <v>9</v>
      </c>
      <c r="N63" s="196" t="s">
        <v>9</v>
      </c>
      <c r="O63" s="24" t="s">
        <v>8</v>
      </c>
      <c r="P63" s="196" t="s">
        <v>8</v>
      </c>
      <c r="Q63" s="24" t="s">
        <v>11</v>
      </c>
      <c r="R63" s="208" t="s">
        <v>11</v>
      </c>
    </row>
    <row r="64" spans="1:18" x14ac:dyDescent="0.2">
      <c r="A64" s="25"/>
      <c r="B64" s="25" t="s">
        <v>106</v>
      </c>
      <c r="C64" s="25"/>
      <c r="D64" s="25"/>
      <c r="E64" s="178"/>
      <c r="F64" s="25"/>
      <c r="G64" s="25"/>
      <c r="H64" s="211"/>
      <c r="I64" s="186"/>
      <c r="J64" s="184"/>
      <c r="K64" s="225"/>
      <c r="L64" s="197"/>
      <c r="M64" s="25"/>
      <c r="N64" s="184"/>
      <c r="O64" s="25"/>
      <c r="P64" s="184"/>
      <c r="Q64" s="25"/>
      <c r="R64" s="184"/>
    </row>
    <row r="65" spans="1:18" x14ac:dyDescent="0.2">
      <c r="A65" s="25"/>
      <c r="B65" s="25"/>
      <c r="C65" s="25" t="s">
        <v>104</v>
      </c>
      <c r="D65" s="25">
        <v>1</v>
      </c>
      <c r="E65" s="132"/>
      <c r="F65" s="226" t="s">
        <v>42</v>
      </c>
      <c r="G65" s="41">
        <v>104.53131999999999</v>
      </c>
      <c r="H65" s="133"/>
      <c r="I65" s="35">
        <v>104.53131999999999</v>
      </c>
      <c r="J65" s="202">
        <f t="shared" ref="J65:J68" si="16">E65*H65</f>
        <v>0</v>
      </c>
      <c r="K65" s="225">
        <v>0</v>
      </c>
      <c r="L65" s="214"/>
      <c r="M65" s="35">
        <v>0</v>
      </c>
      <c r="N65" s="202">
        <f>J65*L65</f>
        <v>0</v>
      </c>
      <c r="O65" s="35">
        <v>104.53131999999999</v>
      </c>
      <c r="P65" s="202">
        <f t="shared" ref="P65:P68" si="17">+J65-N65</f>
        <v>0</v>
      </c>
      <c r="Q65" s="35">
        <v>5226.5659999999998</v>
      </c>
      <c r="R65" s="202">
        <f t="shared" ref="R65:R68" si="18">+J65*E$7</f>
        <v>0</v>
      </c>
    </row>
    <row r="66" spans="1:18" x14ac:dyDescent="0.2">
      <c r="A66" s="25"/>
      <c r="B66" s="25"/>
      <c r="C66" s="25" t="s">
        <v>46</v>
      </c>
      <c r="D66" s="25">
        <v>1</v>
      </c>
      <c r="E66" s="132"/>
      <c r="F66" s="226" t="s">
        <v>42</v>
      </c>
      <c r="G66" s="41">
        <v>48.6439868</v>
      </c>
      <c r="H66" s="133"/>
      <c r="I66" s="35">
        <v>48.6439868</v>
      </c>
      <c r="J66" s="202">
        <f t="shared" si="16"/>
        <v>0</v>
      </c>
      <c r="K66" s="225">
        <v>0</v>
      </c>
      <c r="L66" s="214"/>
      <c r="M66" s="35">
        <v>0</v>
      </c>
      <c r="N66" s="202">
        <f>J66*L66</f>
        <v>0</v>
      </c>
      <c r="O66" s="35">
        <v>48.6439868</v>
      </c>
      <c r="P66" s="202">
        <f t="shared" si="17"/>
        <v>0</v>
      </c>
      <c r="Q66" s="35">
        <v>2432.1993400000001</v>
      </c>
      <c r="R66" s="202">
        <f t="shared" si="18"/>
        <v>0</v>
      </c>
    </row>
    <row r="67" spans="1:18" x14ac:dyDescent="0.2">
      <c r="A67" s="25"/>
      <c r="B67" s="25"/>
      <c r="C67" s="25" t="s">
        <v>105</v>
      </c>
      <c r="D67" s="25">
        <v>1</v>
      </c>
      <c r="E67" s="132"/>
      <c r="F67" s="226" t="s">
        <v>42</v>
      </c>
      <c r="G67" s="41">
        <v>34.371815725349705</v>
      </c>
      <c r="H67" s="133"/>
      <c r="I67" s="35">
        <v>34.371815725349705</v>
      </c>
      <c r="J67" s="202">
        <f t="shared" si="16"/>
        <v>0</v>
      </c>
      <c r="K67" s="225">
        <v>0</v>
      </c>
      <c r="L67" s="214"/>
      <c r="M67" s="35">
        <v>0</v>
      </c>
      <c r="N67" s="202">
        <f>J67*L67</f>
        <v>0</v>
      </c>
      <c r="O67" s="35">
        <v>34.371815725349705</v>
      </c>
      <c r="P67" s="202">
        <f t="shared" si="17"/>
        <v>0</v>
      </c>
      <c r="Q67" s="35">
        <v>1718.5907862674853</v>
      </c>
      <c r="R67" s="202">
        <f t="shared" si="18"/>
        <v>0</v>
      </c>
    </row>
    <row r="68" spans="1:18" x14ac:dyDescent="0.2">
      <c r="A68" s="25"/>
      <c r="B68" s="25"/>
      <c r="C68" s="25" t="s">
        <v>4</v>
      </c>
      <c r="D68" s="25">
        <v>1</v>
      </c>
      <c r="E68" s="132"/>
      <c r="F68" s="226" t="s">
        <v>42</v>
      </c>
      <c r="G68" s="41">
        <v>19.258504080309716</v>
      </c>
      <c r="H68" s="133"/>
      <c r="I68" s="35">
        <v>19.258504080309716</v>
      </c>
      <c r="J68" s="202">
        <f t="shared" si="16"/>
        <v>0</v>
      </c>
      <c r="K68" s="225">
        <v>0</v>
      </c>
      <c r="L68" s="214"/>
      <c r="M68" s="35">
        <v>0</v>
      </c>
      <c r="N68" s="202">
        <f>J68*L68</f>
        <v>0</v>
      </c>
      <c r="O68" s="35">
        <v>19.258504080309716</v>
      </c>
      <c r="P68" s="202">
        <f t="shared" si="17"/>
        <v>0</v>
      </c>
      <c r="Q68" s="35">
        <v>962.92520401548586</v>
      </c>
      <c r="R68" s="202">
        <f t="shared" si="18"/>
        <v>0</v>
      </c>
    </row>
    <row r="69" spans="1:18" x14ac:dyDescent="0.2">
      <c r="A69" s="25"/>
      <c r="B69" s="25" t="s">
        <v>89</v>
      </c>
      <c r="C69" s="25"/>
      <c r="D69" s="25"/>
      <c r="E69" s="197"/>
      <c r="F69" s="21"/>
      <c r="G69" s="41"/>
      <c r="H69" s="197"/>
      <c r="I69" s="186"/>
      <c r="J69" s="184"/>
      <c r="K69" s="225"/>
      <c r="L69" s="197"/>
      <c r="M69" s="35"/>
      <c r="N69" s="184"/>
      <c r="O69" s="35"/>
      <c r="P69" s="184"/>
      <c r="Q69" s="35"/>
      <c r="R69" s="184"/>
    </row>
    <row r="70" spans="1:18" x14ac:dyDescent="0.2">
      <c r="A70" s="25"/>
      <c r="B70" s="25"/>
      <c r="C70" s="25" t="s">
        <v>104</v>
      </c>
      <c r="D70" s="41">
        <v>1437.8073000000002</v>
      </c>
      <c r="E70" s="132"/>
      <c r="F70" s="226" t="s">
        <v>100</v>
      </c>
      <c r="G70" s="39">
        <v>0.08</v>
      </c>
      <c r="H70" s="215"/>
      <c r="I70" s="35">
        <v>115.02458400000002</v>
      </c>
      <c r="J70" s="202">
        <f t="shared" ref="J70:J80" si="19">E70*H70</f>
        <v>0</v>
      </c>
      <c r="K70" s="225">
        <v>0</v>
      </c>
      <c r="L70" s="214"/>
      <c r="M70" s="35">
        <v>0</v>
      </c>
      <c r="N70" s="202">
        <f>J70*L70</f>
        <v>0</v>
      </c>
      <c r="O70" s="35">
        <v>115.02458400000002</v>
      </c>
      <c r="P70" s="202">
        <f t="shared" ref="P70:P73" si="20">+J70-N70</f>
        <v>0</v>
      </c>
      <c r="Q70" s="35">
        <v>5751.2292000000007</v>
      </c>
      <c r="R70" s="202">
        <f t="shared" ref="R70:R73" si="21">+J70*E$7</f>
        <v>0</v>
      </c>
    </row>
    <row r="71" spans="1:18" x14ac:dyDescent="0.2">
      <c r="A71" s="25"/>
      <c r="B71" s="25"/>
      <c r="C71" s="25" t="s">
        <v>46</v>
      </c>
      <c r="D71" s="41">
        <v>364.82990100000001</v>
      </c>
      <c r="E71" s="132"/>
      <c r="F71" s="226" t="s">
        <v>100</v>
      </c>
      <c r="G71" s="39">
        <v>0.08</v>
      </c>
      <c r="H71" s="215"/>
      <c r="I71" s="35">
        <v>29.186392080000001</v>
      </c>
      <c r="J71" s="202">
        <f t="shared" si="19"/>
        <v>0</v>
      </c>
      <c r="K71" s="225">
        <v>0</v>
      </c>
      <c r="L71" s="214"/>
      <c r="M71" s="35">
        <v>0</v>
      </c>
      <c r="N71" s="202">
        <f>J71*L71</f>
        <v>0</v>
      </c>
      <c r="O71" s="35">
        <v>29.186392080000001</v>
      </c>
      <c r="P71" s="202">
        <f t="shared" si="20"/>
        <v>0</v>
      </c>
      <c r="Q71" s="35">
        <v>1459.319604</v>
      </c>
      <c r="R71" s="202">
        <f t="shared" si="21"/>
        <v>0</v>
      </c>
    </row>
    <row r="72" spans="1:18" x14ac:dyDescent="0.2">
      <c r="A72" s="25"/>
      <c r="B72" s="25"/>
      <c r="C72" s="25" t="s">
        <v>105</v>
      </c>
      <c r="D72" s="41">
        <v>289.67260260306188</v>
      </c>
      <c r="E72" s="132"/>
      <c r="F72" s="226" t="s">
        <v>100</v>
      </c>
      <c r="G72" s="39">
        <v>0.08</v>
      </c>
      <c r="H72" s="215"/>
      <c r="I72" s="35">
        <v>23.173808208244949</v>
      </c>
      <c r="J72" s="202">
        <f t="shared" si="19"/>
        <v>0</v>
      </c>
      <c r="K72" s="225">
        <v>0</v>
      </c>
      <c r="L72" s="214"/>
      <c r="M72" s="35">
        <v>0</v>
      </c>
      <c r="N72" s="202">
        <f>J72*L72</f>
        <v>0</v>
      </c>
      <c r="O72" s="35">
        <v>23.173808208244949</v>
      </c>
      <c r="P72" s="202">
        <f t="shared" si="20"/>
        <v>0</v>
      </c>
      <c r="Q72" s="35">
        <v>1158.6904104122475</v>
      </c>
      <c r="R72" s="202">
        <f t="shared" si="21"/>
        <v>0</v>
      </c>
    </row>
    <row r="73" spans="1:18" x14ac:dyDescent="0.2">
      <c r="A73" s="25"/>
      <c r="B73" s="25"/>
      <c r="C73" s="25" t="s">
        <v>4</v>
      </c>
      <c r="D73" s="41">
        <v>105.51556093175687</v>
      </c>
      <c r="E73" s="132"/>
      <c r="F73" s="226" t="s">
        <v>100</v>
      </c>
      <c r="G73" s="39">
        <v>0.08</v>
      </c>
      <c r="H73" s="215"/>
      <c r="I73" s="35">
        <v>8.4412448745405495</v>
      </c>
      <c r="J73" s="202">
        <f t="shared" si="19"/>
        <v>0</v>
      </c>
      <c r="K73" s="225">
        <v>0</v>
      </c>
      <c r="L73" s="214"/>
      <c r="M73" s="35">
        <v>0</v>
      </c>
      <c r="N73" s="202">
        <f>J73*L73</f>
        <v>0</v>
      </c>
      <c r="O73" s="35">
        <v>8.4412448745405495</v>
      </c>
      <c r="P73" s="202">
        <f t="shared" si="20"/>
        <v>0</v>
      </c>
      <c r="Q73" s="35">
        <v>422.06224372702746</v>
      </c>
      <c r="R73" s="202">
        <f t="shared" si="21"/>
        <v>0</v>
      </c>
    </row>
    <row r="74" spans="1:18" x14ac:dyDescent="0.2">
      <c r="A74" s="25"/>
      <c r="B74" s="25" t="s">
        <v>156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ref="N74:N81" si="22">J74*L74</f>
        <v>0</v>
      </c>
      <c r="O74" s="35">
        <v>0</v>
      </c>
      <c r="P74" s="202">
        <f t="shared" ref="P74:P81" si="23">+J74-N74</f>
        <v>0</v>
      </c>
      <c r="Q74" s="35">
        <v>0</v>
      </c>
      <c r="R74" s="202">
        <f t="shared" ref="R74:R81" si="24">+J74*E$7</f>
        <v>0</v>
      </c>
    </row>
    <row r="75" spans="1:18" x14ac:dyDescent="0.2">
      <c r="A75" s="25"/>
      <c r="B75" s="25" t="s">
        <v>152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25" t="s">
        <v>137</v>
      </c>
      <c r="C76" s="25"/>
      <c r="D76" s="25">
        <v>1</v>
      </c>
      <c r="E76" s="132"/>
      <c r="F76" s="226" t="s">
        <v>42</v>
      </c>
      <c r="G76" s="41">
        <v>287.08999999999997</v>
      </c>
      <c r="H76" s="133"/>
      <c r="I76" s="35">
        <v>287.08999999999997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287.08999999999997</v>
      </c>
      <c r="P76" s="202">
        <f t="shared" si="23"/>
        <v>0</v>
      </c>
      <c r="Q76" s="35">
        <v>14354.499999999998</v>
      </c>
      <c r="R76" s="202">
        <f t="shared" si="24"/>
        <v>0</v>
      </c>
    </row>
    <row r="77" spans="1:18" x14ac:dyDescent="0.2">
      <c r="A77" s="25"/>
      <c r="B77" s="25" t="s">
        <v>453</v>
      </c>
      <c r="C77" s="25"/>
      <c r="D77" s="25">
        <v>1</v>
      </c>
      <c r="E77" s="132"/>
      <c r="F77" s="226" t="s">
        <v>42</v>
      </c>
      <c r="G77" s="41">
        <v>50</v>
      </c>
      <c r="H77" s="133"/>
      <c r="I77" s="35">
        <v>50</v>
      </c>
      <c r="J77" s="202">
        <f t="shared" si="19"/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50</v>
      </c>
      <c r="P77" s="202">
        <f t="shared" si="23"/>
        <v>0</v>
      </c>
      <c r="Q77" s="35">
        <v>2500</v>
      </c>
      <c r="R77" s="202">
        <f t="shared" si="24"/>
        <v>0</v>
      </c>
    </row>
    <row r="78" spans="1:18" x14ac:dyDescent="0.2">
      <c r="A78" s="25"/>
      <c r="B78" s="25" t="s">
        <v>159</v>
      </c>
      <c r="C78" s="25"/>
      <c r="D78" s="25">
        <v>1</v>
      </c>
      <c r="E78" s="132"/>
      <c r="F78" s="226" t="s">
        <v>42</v>
      </c>
      <c r="G78" s="41">
        <v>0</v>
      </c>
      <c r="H78" s="133"/>
      <c r="I78" s="35">
        <v>0</v>
      </c>
      <c r="J78" s="202">
        <f t="shared" si="19"/>
        <v>0</v>
      </c>
      <c r="K78" s="225">
        <v>0</v>
      </c>
      <c r="L78" s="214"/>
      <c r="M78" s="35">
        <v>0</v>
      </c>
      <c r="N78" s="202">
        <f t="shared" si="22"/>
        <v>0</v>
      </c>
      <c r="O78" s="35">
        <v>0</v>
      </c>
      <c r="P78" s="202">
        <f t="shared" si="23"/>
        <v>0</v>
      </c>
      <c r="Q78" s="35">
        <v>0</v>
      </c>
      <c r="R78" s="202">
        <f t="shared" si="24"/>
        <v>0</v>
      </c>
    </row>
    <row r="79" spans="1:18" x14ac:dyDescent="0.2">
      <c r="A79" s="25"/>
      <c r="B79" s="25" t="s">
        <v>160</v>
      </c>
      <c r="C79" s="25"/>
      <c r="D79" s="25">
        <v>1</v>
      </c>
      <c r="E79" s="132"/>
      <c r="F79" s="226" t="s">
        <v>42</v>
      </c>
      <c r="G79" s="41">
        <v>0</v>
      </c>
      <c r="H79" s="133"/>
      <c r="I79" s="35">
        <v>0</v>
      </c>
      <c r="J79" s="202">
        <f t="shared" si="19"/>
        <v>0</v>
      </c>
      <c r="K79" s="225">
        <v>0</v>
      </c>
      <c r="L79" s="214"/>
      <c r="M79" s="35">
        <v>0</v>
      </c>
      <c r="N79" s="202">
        <f t="shared" si="22"/>
        <v>0</v>
      </c>
      <c r="O79" s="35">
        <v>0</v>
      </c>
      <c r="P79" s="202">
        <f t="shared" si="23"/>
        <v>0</v>
      </c>
      <c r="Q79" s="35">
        <v>0</v>
      </c>
      <c r="R79" s="202">
        <f t="shared" si="24"/>
        <v>0</v>
      </c>
    </row>
    <row r="80" spans="1:18" x14ac:dyDescent="0.2">
      <c r="A80" s="25"/>
      <c r="B80" s="133"/>
      <c r="C80" s="133"/>
      <c r="D80" s="25">
        <v>1</v>
      </c>
      <c r="E80" s="132"/>
      <c r="F80" s="226"/>
      <c r="G80" s="41">
        <v>0</v>
      </c>
      <c r="H80" s="133"/>
      <c r="I80" s="35">
        <v>0</v>
      </c>
      <c r="J80" s="202">
        <f t="shared" si="19"/>
        <v>0</v>
      </c>
      <c r="K80" s="225">
        <v>0</v>
      </c>
      <c r="L80" s="214"/>
      <c r="M80" s="35">
        <v>0</v>
      </c>
      <c r="N80" s="202">
        <f t="shared" si="22"/>
        <v>0</v>
      </c>
      <c r="O80" s="35">
        <v>0</v>
      </c>
      <c r="P80" s="202">
        <f t="shared" si="23"/>
        <v>0</v>
      </c>
      <c r="Q80" s="35">
        <v>0</v>
      </c>
      <c r="R80" s="202">
        <f t="shared" si="24"/>
        <v>0</v>
      </c>
    </row>
    <row r="81" spans="1:25" ht="13.5" thickBot="1" x14ac:dyDescent="0.25">
      <c r="A81" s="25"/>
      <c r="B81" s="133"/>
      <c r="C81" s="133"/>
      <c r="D81" s="25">
        <v>1</v>
      </c>
      <c r="E81" s="132"/>
      <c r="F81" s="226"/>
      <c r="G81" s="41">
        <v>0</v>
      </c>
      <c r="H81" s="133"/>
      <c r="I81" s="35">
        <v>0</v>
      </c>
      <c r="J81" s="202">
        <f>E81*H81</f>
        <v>0</v>
      </c>
      <c r="K81" s="225">
        <v>0</v>
      </c>
      <c r="L81" s="214"/>
      <c r="M81" s="35">
        <v>0</v>
      </c>
      <c r="N81" s="202">
        <f t="shared" si="22"/>
        <v>0</v>
      </c>
      <c r="O81" s="35">
        <v>0</v>
      </c>
      <c r="P81" s="202">
        <f t="shared" si="23"/>
        <v>0</v>
      </c>
      <c r="Q81" s="35">
        <v>0</v>
      </c>
      <c r="R81" s="202">
        <f t="shared" si="24"/>
        <v>0</v>
      </c>
    </row>
    <row r="82" spans="1:25" ht="13.5" thickBot="1" x14ac:dyDescent="0.25">
      <c r="A82" s="25" t="s">
        <v>37</v>
      </c>
      <c r="B82" s="25"/>
      <c r="C82" s="25"/>
      <c r="D82" s="25"/>
      <c r="E82" s="197"/>
      <c r="F82" s="25"/>
      <c r="G82" s="25"/>
      <c r="H82" s="197"/>
      <c r="I82" s="121">
        <v>719.72165576844486</v>
      </c>
      <c r="J82" s="204">
        <f>+SUM(J65:J81)</f>
        <v>0</v>
      </c>
      <c r="K82" s="35"/>
      <c r="L82" s="195"/>
      <c r="M82" s="121">
        <v>0</v>
      </c>
      <c r="N82" s="204">
        <f>+SUM(N65:N81)</f>
        <v>0</v>
      </c>
      <c r="O82" s="121">
        <v>719.72165576844486</v>
      </c>
      <c r="P82" s="204">
        <f>+SUM(P65:P81)</f>
        <v>0</v>
      </c>
      <c r="Q82" s="121">
        <v>35986.082788422245</v>
      </c>
      <c r="R82" s="204">
        <f>+SUM(R65:R81)</f>
        <v>0</v>
      </c>
    </row>
    <row r="83" spans="1:25" ht="14.25" thickTop="1" thickBot="1" x14ac:dyDescent="0.25">
      <c r="A83" s="25" t="s">
        <v>52</v>
      </c>
      <c r="B83" s="25"/>
      <c r="C83" s="25"/>
      <c r="D83" s="25"/>
      <c r="E83" s="197"/>
      <c r="F83" s="25"/>
      <c r="G83" s="25"/>
      <c r="H83" s="197"/>
      <c r="I83" s="87">
        <v>1953.0075129891106</v>
      </c>
      <c r="J83" s="205">
        <f>+J59+J82</f>
        <v>0</v>
      </c>
      <c r="K83" s="35"/>
      <c r="L83" s="195"/>
      <c r="M83" s="87">
        <v>0</v>
      </c>
      <c r="N83" s="205">
        <f>+N59+N82</f>
        <v>0</v>
      </c>
      <c r="O83" s="87">
        <v>1953.0075129891106</v>
      </c>
      <c r="P83" s="205">
        <f>+P59+P82</f>
        <v>0</v>
      </c>
      <c r="Q83" s="87">
        <v>97650.375649455542</v>
      </c>
      <c r="R83" s="205">
        <f>+R59+R82</f>
        <v>0</v>
      </c>
    </row>
    <row r="84" spans="1:25" ht="13.5" thickTop="1" x14ac:dyDescent="0.2">
      <c r="A84" s="25"/>
      <c r="B84" s="25"/>
      <c r="C84" s="25"/>
      <c r="D84" s="25"/>
      <c r="E84" s="197"/>
      <c r="F84" s="25"/>
      <c r="G84" s="25"/>
      <c r="H84" s="197"/>
      <c r="I84" s="35"/>
      <c r="J84" s="184"/>
      <c r="K84" s="35"/>
      <c r="L84" s="195"/>
      <c r="M84" s="35"/>
      <c r="N84" s="184"/>
      <c r="O84" s="35"/>
      <c r="P84" s="184"/>
      <c r="Q84" s="35"/>
      <c r="R84" s="184"/>
    </row>
    <row r="85" spans="1:25" x14ac:dyDescent="0.2">
      <c r="A85" s="25" t="s">
        <v>153</v>
      </c>
      <c r="B85" s="25"/>
      <c r="C85" s="25"/>
      <c r="D85" s="25"/>
      <c r="E85" s="197"/>
      <c r="F85" s="25"/>
      <c r="G85" s="25"/>
      <c r="H85" s="197"/>
      <c r="I85" s="35">
        <v>774.99248701088936</v>
      </c>
      <c r="J85" s="202">
        <f>+J13-J83</f>
        <v>0</v>
      </c>
      <c r="K85" s="35"/>
      <c r="L85" s="195"/>
      <c r="M85" s="35">
        <v>0</v>
      </c>
      <c r="N85" s="202">
        <f>+N13-N83</f>
        <v>0</v>
      </c>
      <c r="O85" s="35">
        <v>774.99248701088936</v>
      </c>
      <c r="P85" s="202">
        <f>+P13-P83</f>
        <v>0</v>
      </c>
      <c r="Q85" s="35">
        <v>38749.624350544458</v>
      </c>
      <c r="R85" s="202">
        <f>+R13-R83</f>
        <v>0</v>
      </c>
    </row>
    <row r="86" spans="1:25" x14ac:dyDescent="0.2">
      <c r="A86" s="25"/>
      <c r="B86" s="25"/>
      <c r="C86" s="25"/>
      <c r="D86" s="25"/>
      <c r="E86" s="197"/>
      <c r="F86" s="25"/>
      <c r="G86" s="25"/>
      <c r="H86" s="197"/>
      <c r="I86" s="35"/>
      <c r="J86" s="206"/>
      <c r="K86" s="35"/>
      <c r="L86" s="195"/>
      <c r="M86" s="35"/>
      <c r="N86" s="195"/>
      <c r="O86" s="35"/>
      <c r="P86" s="195"/>
      <c r="Q86" s="35"/>
      <c r="R86" s="206"/>
    </row>
    <row r="87" spans="1:25" ht="13.5" thickBot="1" x14ac:dyDescent="0.25">
      <c r="A87" s="44" t="s">
        <v>38</v>
      </c>
      <c r="B87" s="44"/>
      <c r="C87" s="44"/>
      <c r="D87" s="44"/>
      <c r="E87" s="201"/>
      <c r="F87" s="44"/>
      <c r="G87" s="45">
        <v>1.4318236898747145</v>
      </c>
      <c r="H87" s="212" t="str">
        <f>IF(E10=0,"n/a",(YTotExp-(YTotExp+YTotRet-J10))/E10)</f>
        <v>n/a</v>
      </c>
      <c r="I87" s="44" t="s">
        <v>83</v>
      </c>
      <c r="J87" s="207"/>
      <c r="K87" s="44"/>
      <c r="L87" s="201"/>
      <c r="M87" s="44"/>
      <c r="N87" s="201"/>
      <c r="O87" s="44"/>
      <c r="P87" s="201"/>
      <c r="Q87" s="44"/>
      <c r="R87" s="207"/>
    </row>
    <row r="88" spans="1:25" ht="13.5" thickTop="1" x14ac:dyDescent="0.2"/>
    <row r="89" spans="1:25" s="17" customFormat="1" ht="15.75" x14ac:dyDescent="0.25">
      <c r="A89"/>
      <c r="B89" s="88"/>
      <c r="C89" s="89"/>
      <c r="D89" s="234" t="s">
        <v>115</v>
      </c>
      <c r="E89" s="235"/>
      <c r="F89" s="235"/>
      <c r="G89" s="235"/>
      <c r="H89" s="235"/>
      <c r="I89" s="235"/>
      <c r="J89" s="99"/>
      <c r="K89" s="99"/>
      <c r="M89"/>
      <c r="N89"/>
      <c r="Y89"/>
    </row>
    <row r="90" spans="1:25" s="17" customFormat="1" ht="15.75" x14ac:dyDescent="0.25">
      <c r="A90"/>
      <c r="B90" s="19" t="s">
        <v>116</v>
      </c>
      <c r="C90" s="19" t="s">
        <v>116</v>
      </c>
      <c r="D90" s="126" t="s">
        <v>170</v>
      </c>
      <c r="E90" s="18"/>
      <c r="F90" s="18"/>
      <c r="G90" s="126" t="s">
        <v>170</v>
      </c>
      <c r="H90" s="18"/>
      <c r="I90" s="18"/>
      <c r="J90" s="18"/>
      <c r="K90" s="18"/>
      <c r="M90"/>
      <c r="N90"/>
      <c r="Y90"/>
    </row>
    <row r="91" spans="1:25" s="17" customFormat="1" x14ac:dyDescent="0.2">
      <c r="A91"/>
      <c r="B91" s="19" t="s">
        <v>81</v>
      </c>
      <c r="C91" s="19" t="s">
        <v>81</v>
      </c>
      <c r="D91" s="126" t="s">
        <v>157</v>
      </c>
      <c r="E91" s="122"/>
      <c r="F91" s="122"/>
      <c r="G91" s="126" t="s">
        <v>11</v>
      </c>
      <c r="H91" s="122"/>
      <c r="I91" s="122"/>
      <c r="J91" s="122"/>
      <c r="K91" s="122"/>
      <c r="M91"/>
      <c r="N91"/>
      <c r="Y91"/>
    </row>
    <row r="92" spans="1:25" s="17" customFormat="1" x14ac:dyDescent="0.2">
      <c r="A92"/>
      <c r="B92" s="19" t="s">
        <v>30</v>
      </c>
      <c r="C92" s="99" t="s">
        <v>83</v>
      </c>
      <c r="D92" s="126" t="s">
        <v>99</v>
      </c>
      <c r="E92" s="122"/>
      <c r="F92" s="122"/>
      <c r="G92" s="126" t="s">
        <v>99</v>
      </c>
      <c r="H92" s="19"/>
      <c r="I92" s="19"/>
      <c r="J92" s="19"/>
      <c r="K92" s="19"/>
      <c r="M92"/>
      <c r="N92"/>
      <c r="Y92"/>
    </row>
    <row r="93" spans="1:25" s="17" customFormat="1" x14ac:dyDescent="0.2">
      <c r="A93"/>
      <c r="B93" s="90">
        <v>0.75</v>
      </c>
      <c r="C93" s="91">
        <v>1023</v>
      </c>
      <c r="D93" s="92">
        <v>1.205558022698598</v>
      </c>
      <c r="E93" s="93"/>
      <c r="F93" s="94"/>
      <c r="G93" s="92">
        <v>1.9090982531662861</v>
      </c>
      <c r="H93" s="93"/>
      <c r="I93" s="93"/>
      <c r="M93"/>
      <c r="N93"/>
      <c r="Y93"/>
    </row>
    <row r="94" spans="1:25" s="17" customFormat="1" x14ac:dyDescent="0.2">
      <c r="A94"/>
      <c r="B94" s="95">
        <v>0.9</v>
      </c>
      <c r="C94" s="96">
        <v>1227.6000000000001</v>
      </c>
      <c r="D94" s="97">
        <v>1.0046316855821649</v>
      </c>
      <c r="E94" s="83"/>
      <c r="F94" s="98"/>
      <c r="G94" s="97">
        <v>1.5909152109719049</v>
      </c>
      <c r="H94" s="83"/>
      <c r="I94" s="83"/>
      <c r="M94"/>
      <c r="N94"/>
      <c r="Y94"/>
    </row>
    <row r="95" spans="1:25" s="17" customFormat="1" x14ac:dyDescent="0.2">
      <c r="A95"/>
      <c r="B95" s="90">
        <v>1</v>
      </c>
      <c r="C95" s="91">
        <v>1364</v>
      </c>
      <c r="D95" s="92">
        <v>0.90416851702394851</v>
      </c>
      <c r="E95" s="93"/>
      <c r="F95" s="94"/>
      <c r="G95" s="92">
        <v>1.4318236898747145</v>
      </c>
      <c r="H95" s="93"/>
      <c r="I95" s="93"/>
      <c r="M95"/>
      <c r="N95"/>
      <c r="Y95"/>
    </row>
    <row r="96" spans="1:25" s="17" customFormat="1" x14ac:dyDescent="0.2">
      <c r="A96"/>
      <c r="B96" s="95">
        <v>1.1000000000000001</v>
      </c>
      <c r="C96" s="96">
        <v>1500.4</v>
      </c>
      <c r="D96" s="97">
        <v>0.82197137911268037</v>
      </c>
      <c r="E96" s="83"/>
      <c r="F96" s="98"/>
      <c r="G96" s="97">
        <v>1.3016578998861041</v>
      </c>
      <c r="H96" s="83"/>
      <c r="I96" s="83"/>
      <c r="M96"/>
      <c r="N96"/>
      <c r="Y96"/>
    </row>
    <row r="97" spans="1:25" s="17" customFormat="1" x14ac:dyDescent="0.2">
      <c r="A97"/>
      <c r="B97" s="90">
        <v>1.25</v>
      </c>
      <c r="C97" s="91">
        <v>1705</v>
      </c>
      <c r="D97" s="92">
        <v>0.72333481361915886</v>
      </c>
      <c r="E97" s="93"/>
      <c r="F97" s="94"/>
      <c r="G97" s="92">
        <v>1.1454589518997715</v>
      </c>
      <c r="H97" s="93"/>
      <c r="I97" s="93"/>
      <c r="M97"/>
      <c r="N97"/>
      <c r="Y97"/>
    </row>
    <row r="98" spans="1:25" s="17" customFormat="1" x14ac:dyDescent="0.2">
      <c r="A98"/>
      <c r="M98"/>
      <c r="N98"/>
      <c r="Y98"/>
    </row>
    <row r="99" spans="1:25" x14ac:dyDescent="0.2">
      <c r="A99" s="12" t="s">
        <v>536</v>
      </c>
      <c r="B99" s="17"/>
      <c r="C99" s="17"/>
      <c r="D99" s="17"/>
      <c r="E99" s="17"/>
      <c r="F99" s="17"/>
      <c r="G99" s="17"/>
      <c r="H99" s="17"/>
      <c r="I99" s="17"/>
      <c r="J99" s="28"/>
      <c r="K99" s="17"/>
      <c r="L99" s="17"/>
      <c r="M99" s="17"/>
      <c r="N99" s="17"/>
      <c r="O99" s="17"/>
      <c r="P99" s="17"/>
      <c r="Q99" s="17"/>
    </row>
    <row r="100" spans="1:2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28"/>
      <c r="K100" s="17"/>
      <c r="L100" s="17"/>
      <c r="M100" s="17"/>
      <c r="N100" s="17"/>
      <c r="O100" s="17"/>
      <c r="P100" s="17"/>
      <c r="Q100" s="17"/>
    </row>
    <row r="101" spans="1:25" ht="26.25" customHeight="1" x14ac:dyDescent="0.2">
      <c r="A101" s="236" t="s">
        <v>140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21"/>
      <c r="N101" s="221"/>
      <c r="O101" s="221"/>
      <c r="P101" s="221"/>
      <c r="Q101" s="221"/>
      <c r="R101" s="221"/>
    </row>
  </sheetData>
  <sheetProtection sheet="1" objects="1" scenarios="1"/>
  <mergeCells count="6">
    <mergeCell ref="D89:I89"/>
    <mergeCell ref="A101:L101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43">
    <tabColor rgb="FFFF0000"/>
    <pageSetUpPr fitToPage="1"/>
  </sheetPr>
  <dimension ref="A1:O85"/>
  <sheetViews>
    <sheetView showGridLines="0" workbookViewId="0">
      <selection sqref="A1:N1"/>
    </sheetView>
  </sheetViews>
  <sheetFormatPr defaultColWidth="9.140625" defaultRowHeight="12.75" x14ac:dyDescent="0.2"/>
  <cols>
    <col min="1" max="1" width="3.5703125" customWidth="1"/>
    <col min="2" max="2" width="4.42578125" customWidth="1"/>
    <col min="3" max="3" width="20.140625" customWidth="1"/>
    <col min="4" max="4" width="12.140625" customWidth="1"/>
    <col min="5" max="5" width="9.140625" customWidth="1"/>
    <col min="6" max="6" width="13.140625" customWidth="1"/>
    <col min="7" max="8" width="9.140625" customWidth="1"/>
    <col min="9" max="9" width="9.5703125" bestFit="1" customWidth="1"/>
    <col min="10" max="10" width="9.5703125" customWidth="1"/>
    <col min="11" max="11" width="11.42578125" customWidth="1"/>
    <col min="12" max="12" width="11.5703125" customWidth="1"/>
    <col min="13" max="13" width="14.5703125" customWidth="1"/>
    <col min="14" max="14" width="14.42578125" customWidth="1"/>
    <col min="15" max="15" width="9.140625" hidden="1" customWidth="1"/>
  </cols>
  <sheetData>
    <row r="1" spans="1:15" x14ac:dyDescent="0.2">
      <c r="A1" s="238" t="s">
        <v>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x14ac:dyDescent="0.2">
      <c r="A2" s="239" t="s">
        <v>515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 x14ac:dyDescent="0.2">
      <c r="A3" s="240" t="s">
        <v>488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5" x14ac:dyDescent="0.2">
      <c r="A5" s="123" t="s">
        <v>506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x14ac:dyDescent="0.2">
      <c r="A6" s="106"/>
      <c r="B6" s="22"/>
      <c r="C6" s="22"/>
      <c r="D6" s="22"/>
      <c r="E6" s="216" t="s">
        <v>526</v>
      </c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">
      <c r="A7" s="106"/>
      <c r="B7" s="32" t="s">
        <v>147</v>
      </c>
      <c r="C7" s="22"/>
      <c r="D7" s="22">
        <v>100</v>
      </c>
      <c r="E7" s="213"/>
      <c r="F7" s="115" t="s">
        <v>155</v>
      </c>
      <c r="G7" s="22"/>
      <c r="H7" s="22"/>
      <c r="I7" s="22"/>
      <c r="J7" s="22"/>
      <c r="K7" s="22"/>
      <c r="L7" s="22"/>
      <c r="M7" s="22"/>
      <c r="N7" s="190" t="s">
        <v>74</v>
      </c>
    </row>
    <row r="8" spans="1:15" x14ac:dyDescent="0.2">
      <c r="A8" s="106"/>
      <c r="B8" s="32" t="s">
        <v>97</v>
      </c>
      <c r="C8" s="22"/>
      <c r="D8" s="22">
        <v>600</v>
      </c>
      <c r="E8" s="213"/>
      <c r="F8" s="115" t="s">
        <v>489</v>
      </c>
      <c r="G8" s="190" t="s">
        <v>74</v>
      </c>
      <c r="H8" s="22"/>
      <c r="I8" s="22"/>
      <c r="J8" s="22"/>
      <c r="K8" s="22"/>
      <c r="L8" s="22"/>
      <c r="M8" s="22" t="s">
        <v>19</v>
      </c>
      <c r="N8" s="190" t="s">
        <v>19</v>
      </c>
    </row>
    <row r="9" spans="1:15" x14ac:dyDescent="0.2">
      <c r="A9" s="25"/>
      <c r="B9" s="17"/>
      <c r="C9" s="25"/>
      <c r="D9" s="21"/>
      <c r="E9" s="190" t="s">
        <v>74</v>
      </c>
      <c r="F9" s="21" t="s">
        <v>2</v>
      </c>
      <c r="G9" s="194" t="s">
        <v>2</v>
      </c>
      <c r="H9" s="21"/>
      <c r="I9" s="21"/>
      <c r="J9" s="190" t="s">
        <v>74</v>
      </c>
      <c r="K9" s="21"/>
      <c r="L9" s="190" t="s">
        <v>74</v>
      </c>
      <c r="M9" s="22" t="s">
        <v>11</v>
      </c>
      <c r="N9" s="190" t="s">
        <v>11</v>
      </c>
    </row>
    <row r="10" spans="1:15" x14ac:dyDescent="0.2">
      <c r="A10" s="23" t="s">
        <v>73</v>
      </c>
      <c r="B10" s="23"/>
      <c r="C10" s="23"/>
      <c r="D10" s="24" t="s">
        <v>20</v>
      </c>
      <c r="E10" s="191" t="s">
        <v>20</v>
      </c>
      <c r="F10" s="24" t="s">
        <v>101</v>
      </c>
      <c r="G10" s="191" t="s">
        <v>101</v>
      </c>
      <c r="H10" s="24" t="s">
        <v>21</v>
      </c>
      <c r="I10" s="24" t="s">
        <v>22</v>
      </c>
      <c r="J10" s="191" t="s">
        <v>22</v>
      </c>
      <c r="K10" s="24" t="s">
        <v>11</v>
      </c>
      <c r="L10" s="191" t="s">
        <v>11</v>
      </c>
      <c r="M10" s="24" t="str">
        <f>"(" &amp; D7 &amp; " AUs)"</f>
        <v>(100 AUs)</v>
      </c>
      <c r="N10" s="191" t="str">
        <f>"(" &amp; E7 &amp; " AUs)"</f>
        <v>( AUs)</v>
      </c>
    </row>
    <row r="11" spans="1:15" x14ac:dyDescent="0.2">
      <c r="A11" s="25"/>
      <c r="B11" s="25" t="s">
        <v>354</v>
      </c>
      <c r="C11" s="25"/>
      <c r="D11" s="33">
        <v>3.6</v>
      </c>
      <c r="E11" s="132"/>
      <c r="F11" s="34">
        <v>0.6</v>
      </c>
      <c r="G11" s="132"/>
      <c r="H11" s="227" t="s">
        <v>7</v>
      </c>
      <c r="I11" s="31">
        <v>290</v>
      </c>
      <c r="J11" s="133"/>
      <c r="K11" s="35">
        <v>626.40000000000009</v>
      </c>
      <c r="L11" s="202">
        <f>+E11*G11*J11</f>
        <v>0</v>
      </c>
      <c r="M11" s="35">
        <v>62640.000000000007</v>
      </c>
      <c r="N11" s="202">
        <f>+L11*E$7</f>
        <v>0</v>
      </c>
      <c r="O11" s="12"/>
    </row>
    <row r="12" spans="1:15" x14ac:dyDescent="0.2">
      <c r="A12" s="25"/>
      <c r="B12" s="25" t="s">
        <v>354</v>
      </c>
      <c r="C12" s="25"/>
      <c r="D12" s="33">
        <v>2.4</v>
      </c>
      <c r="E12" s="132"/>
      <c r="F12" s="34">
        <v>0.6</v>
      </c>
      <c r="G12" s="132"/>
      <c r="H12" s="227" t="s">
        <v>7</v>
      </c>
      <c r="I12" s="31">
        <v>290</v>
      </c>
      <c r="J12" s="133"/>
      <c r="K12" s="35">
        <v>417.59999999999997</v>
      </c>
      <c r="L12" s="202">
        <f t="shared" ref="L12:L16" si="0">+E12*G12*J12</f>
        <v>0</v>
      </c>
      <c r="M12" s="35">
        <v>41760</v>
      </c>
      <c r="N12" s="202">
        <f t="shared" ref="N12:N16" si="1">+L12*E$7</f>
        <v>0</v>
      </c>
    </row>
    <row r="13" spans="1:15" x14ac:dyDescent="0.2">
      <c r="A13" s="25"/>
      <c r="B13" s="25" t="s">
        <v>351</v>
      </c>
      <c r="C13" s="25"/>
      <c r="D13" s="33">
        <v>1.2</v>
      </c>
      <c r="E13" s="132"/>
      <c r="F13" s="34">
        <v>1.1000000000000001</v>
      </c>
      <c r="G13" s="132"/>
      <c r="H13" s="227" t="s">
        <v>7</v>
      </c>
      <c r="I13" s="31">
        <v>154.80000000000001</v>
      </c>
      <c r="J13" s="133"/>
      <c r="K13" s="35">
        <v>204.33600000000001</v>
      </c>
      <c r="L13" s="202">
        <f t="shared" si="0"/>
        <v>0</v>
      </c>
      <c r="M13" s="35">
        <v>20433.600000000002</v>
      </c>
      <c r="N13" s="202">
        <f t="shared" si="1"/>
        <v>0</v>
      </c>
    </row>
    <row r="14" spans="1:15" x14ac:dyDescent="0.2">
      <c r="A14" s="25"/>
      <c r="B14" s="25" t="s">
        <v>349</v>
      </c>
      <c r="C14" s="25"/>
      <c r="D14" s="33">
        <v>0</v>
      </c>
      <c r="E14" s="132"/>
      <c r="F14" s="34">
        <v>1.7</v>
      </c>
      <c r="G14" s="132"/>
      <c r="H14" s="227" t="s">
        <v>7</v>
      </c>
      <c r="I14" s="31">
        <v>161</v>
      </c>
      <c r="J14" s="133"/>
      <c r="K14" s="35">
        <v>0</v>
      </c>
      <c r="L14" s="202">
        <f t="shared" si="0"/>
        <v>0</v>
      </c>
      <c r="M14" s="35">
        <v>0</v>
      </c>
      <c r="N14" s="202">
        <f t="shared" si="1"/>
        <v>0</v>
      </c>
    </row>
    <row r="15" spans="1:15" x14ac:dyDescent="0.2">
      <c r="A15" s="25"/>
      <c r="B15" s="132"/>
      <c r="C15" s="132"/>
      <c r="D15" s="33">
        <v>0</v>
      </c>
      <c r="E15" s="132"/>
      <c r="F15" s="34">
        <v>0</v>
      </c>
      <c r="G15" s="132"/>
      <c r="H15" s="227"/>
      <c r="I15" s="31">
        <v>0</v>
      </c>
      <c r="J15" s="133"/>
      <c r="K15" s="35">
        <v>0</v>
      </c>
      <c r="L15" s="202">
        <f t="shared" si="0"/>
        <v>0</v>
      </c>
      <c r="M15" s="35">
        <v>0</v>
      </c>
      <c r="N15" s="202">
        <f t="shared" si="1"/>
        <v>0</v>
      </c>
    </row>
    <row r="16" spans="1:15" ht="13.5" thickBot="1" x14ac:dyDescent="0.25">
      <c r="A16" s="25"/>
      <c r="B16" s="132"/>
      <c r="C16" s="132"/>
      <c r="D16" s="33">
        <v>0</v>
      </c>
      <c r="E16" s="132"/>
      <c r="F16" s="34">
        <v>0</v>
      </c>
      <c r="G16" s="132"/>
      <c r="H16" s="227"/>
      <c r="I16" s="31">
        <v>0</v>
      </c>
      <c r="J16" s="133"/>
      <c r="K16" s="35">
        <v>0</v>
      </c>
      <c r="L16" s="184">
        <f t="shared" si="0"/>
        <v>0</v>
      </c>
      <c r="M16" s="35">
        <v>0</v>
      </c>
      <c r="N16" s="184">
        <f t="shared" si="1"/>
        <v>0</v>
      </c>
    </row>
    <row r="17" spans="1:14" x14ac:dyDescent="0.2">
      <c r="A17" s="25" t="s">
        <v>24</v>
      </c>
      <c r="B17" s="25"/>
      <c r="C17" s="25"/>
      <c r="D17" s="25"/>
      <c r="E17" s="25"/>
      <c r="F17" s="115">
        <v>360</v>
      </c>
      <c r="G17" s="200"/>
      <c r="H17" s="25"/>
      <c r="I17" s="25"/>
      <c r="J17" s="197"/>
      <c r="K17" s="36">
        <v>1248.336</v>
      </c>
      <c r="L17" s="203">
        <f>+SUM(L11:L16)</f>
        <v>0</v>
      </c>
      <c r="M17" s="36">
        <v>124833.60000000001</v>
      </c>
      <c r="N17" s="203">
        <f>+SUM(N11:N16)</f>
        <v>0</v>
      </c>
    </row>
    <row r="18" spans="1:14" x14ac:dyDescent="0.2">
      <c r="A18" s="25"/>
      <c r="B18" s="25"/>
      <c r="C18" s="25"/>
      <c r="D18" s="25"/>
      <c r="E18" s="25"/>
      <c r="F18" s="115">
        <v>492</v>
      </c>
      <c r="G18" s="200"/>
      <c r="H18" s="25"/>
      <c r="I18" s="25"/>
      <c r="J18" s="197"/>
      <c r="K18" s="35"/>
      <c r="L18" s="184"/>
      <c r="M18" s="35"/>
      <c r="N18" s="184"/>
    </row>
    <row r="19" spans="1:14" x14ac:dyDescent="0.2">
      <c r="A19" s="25"/>
      <c r="B19" s="25"/>
      <c r="C19" s="25"/>
      <c r="D19" s="25"/>
      <c r="E19" s="25"/>
      <c r="F19" s="114">
        <v>132</v>
      </c>
      <c r="G19" s="178"/>
      <c r="H19" s="21"/>
      <c r="I19" s="21"/>
      <c r="J19" s="211"/>
      <c r="K19" s="21"/>
      <c r="L19" s="184"/>
      <c r="M19" s="22" t="s">
        <v>19</v>
      </c>
      <c r="N19" s="178" t="s">
        <v>19</v>
      </c>
    </row>
    <row r="20" spans="1:14" x14ac:dyDescent="0.2">
      <c r="A20" s="23" t="s">
        <v>25</v>
      </c>
      <c r="B20" s="23"/>
      <c r="C20" s="23"/>
      <c r="D20" s="23"/>
      <c r="E20" s="23"/>
      <c r="F20" s="24" t="s">
        <v>2</v>
      </c>
      <c r="G20" s="196" t="s">
        <v>2</v>
      </c>
      <c r="H20" s="24" t="s">
        <v>21</v>
      </c>
      <c r="I20" s="24" t="s">
        <v>22</v>
      </c>
      <c r="J20" s="196" t="s">
        <v>22</v>
      </c>
      <c r="K20" s="24" t="s">
        <v>11</v>
      </c>
      <c r="L20" s="202" t="s">
        <v>11</v>
      </c>
      <c r="M20" s="24" t="s">
        <v>11</v>
      </c>
      <c r="N20" s="196" t="s">
        <v>11</v>
      </c>
    </row>
    <row r="21" spans="1:14" x14ac:dyDescent="0.2">
      <c r="A21" s="25" t="s">
        <v>26</v>
      </c>
      <c r="B21" s="25"/>
      <c r="C21" s="25"/>
      <c r="D21" s="25"/>
      <c r="E21" s="25"/>
      <c r="F21" s="25"/>
      <c r="G21" s="178"/>
      <c r="H21" s="25"/>
      <c r="I21" s="25"/>
      <c r="J21" s="211"/>
      <c r="K21" s="25"/>
      <c r="L21" s="184"/>
      <c r="M21" s="25"/>
      <c r="N21" s="184"/>
    </row>
    <row r="22" spans="1:14" x14ac:dyDescent="0.2">
      <c r="A22" s="25"/>
      <c r="B22" s="25" t="s">
        <v>27</v>
      </c>
      <c r="C22" s="25"/>
      <c r="D22" s="25"/>
      <c r="E22" s="25"/>
      <c r="G22" s="105"/>
      <c r="J22" s="105"/>
      <c r="K22" s="127"/>
      <c r="L22" s="105"/>
      <c r="N22" s="105"/>
    </row>
    <row r="23" spans="1:14" x14ac:dyDescent="0.2">
      <c r="A23" s="25"/>
      <c r="B23" s="25"/>
      <c r="C23" s="25" t="s">
        <v>432</v>
      </c>
      <c r="D23" s="25"/>
      <c r="E23" s="25"/>
      <c r="F23" s="34">
        <v>1</v>
      </c>
      <c r="G23" s="132"/>
      <c r="H23" s="227" t="s">
        <v>148</v>
      </c>
      <c r="I23" s="35">
        <v>16.25</v>
      </c>
      <c r="J23" s="133"/>
      <c r="K23" s="35">
        <v>16.25</v>
      </c>
      <c r="L23" s="202">
        <f t="shared" ref="L23:L26" si="2">+J23*G23</f>
        <v>0</v>
      </c>
      <c r="M23" s="35">
        <v>1625</v>
      </c>
      <c r="N23" s="202">
        <f t="shared" ref="N23:N26" si="3">+L23*E$7</f>
        <v>0</v>
      </c>
    </row>
    <row r="24" spans="1:14" x14ac:dyDescent="0.2">
      <c r="A24" s="25"/>
      <c r="B24" s="132"/>
      <c r="C24" s="132"/>
      <c r="D24" s="25"/>
      <c r="E24" s="25"/>
      <c r="F24" s="34">
        <v>1</v>
      </c>
      <c r="G24" s="132"/>
      <c r="H24" s="227"/>
      <c r="I24" s="35">
        <v>0</v>
      </c>
      <c r="J24" s="133"/>
      <c r="K24" s="35">
        <v>0</v>
      </c>
      <c r="L24" s="202">
        <f t="shared" si="2"/>
        <v>0</v>
      </c>
      <c r="M24" s="35">
        <v>0</v>
      </c>
      <c r="N24" s="202">
        <f t="shared" si="3"/>
        <v>0</v>
      </c>
    </row>
    <row r="25" spans="1:14" x14ac:dyDescent="0.2">
      <c r="A25" s="25"/>
      <c r="B25" s="132"/>
      <c r="C25" s="132"/>
      <c r="D25" s="25"/>
      <c r="E25" s="25"/>
      <c r="F25" s="34">
        <v>1</v>
      </c>
      <c r="G25" s="132"/>
      <c r="H25" s="227"/>
      <c r="I25" s="35">
        <v>0</v>
      </c>
      <c r="J25" s="133"/>
      <c r="K25" s="35">
        <v>0</v>
      </c>
      <c r="L25" s="202">
        <f t="shared" si="2"/>
        <v>0</v>
      </c>
      <c r="M25" s="35">
        <v>0</v>
      </c>
      <c r="N25" s="202">
        <f t="shared" si="3"/>
        <v>0</v>
      </c>
    </row>
    <row r="26" spans="1:14" x14ac:dyDescent="0.2">
      <c r="A26" s="25"/>
      <c r="B26" s="25" t="s">
        <v>111</v>
      </c>
      <c r="C26" s="25"/>
      <c r="D26" s="25"/>
      <c r="E26" s="25"/>
      <c r="F26" s="34">
        <v>1</v>
      </c>
      <c r="G26" s="132"/>
      <c r="H26" s="227" t="s">
        <v>148</v>
      </c>
      <c r="I26" s="35">
        <v>31.44</v>
      </c>
      <c r="J26" s="133"/>
      <c r="K26" s="35">
        <v>31.44</v>
      </c>
      <c r="L26" s="202">
        <f t="shared" si="2"/>
        <v>0</v>
      </c>
      <c r="M26" s="35">
        <v>3144</v>
      </c>
      <c r="N26" s="202">
        <f t="shared" si="3"/>
        <v>0</v>
      </c>
    </row>
    <row r="27" spans="1:14" x14ac:dyDescent="0.2">
      <c r="A27" s="25"/>
      <c r="B27" s="25" t="s">
        <v>109</v>
      </c>
      <c r="C27" s="25"/>
      <c r="D27" s="25"/>
      <c r="G27" s="105"/>
      <c r="J27" s="105"/>
      <c r="K27" s="127"/>
      <c r="L27" s="105"/>
      <c r="N27" s="105"/>
    </row>
    <row r="28" spans="1:14" x14ac:dyDescent="0.2">
      <c r="A28" s="25"/>
      <c r="B28" s="25"/>
      <c r="C28" s="25" t="s">
        <v>377</v>
      </c>
      <c r="D28" s="25"/>
      <c r="E28" s="25"/>
      <c r="F28" s="25">
        <v>180</v>
      </c>
      <c r="G28" s="132"/>
      <c r="H28" s="227" t="s">
        <v>83</v>
      </c>
      <c r="I28" s="35">
        <v>0.17</v>
      </c>
      <c r="J28" s="133"/>
      <c r="K28" s="35">
        <v>30.6</v>
      </c>
      <c r="L28" s="202">
        <f t="shared" ref="L28:L44" si="4">+J28*G28</f>
        <v>0</v>
      </c>
      <c r="M28" s="35">
        <v>3060</v>
      </c>
      <c r="N28" s="202">
        <f t="shared" ref="N28:N32" si="5">+L28*E$7</f>
        <v>0</v>
      </c>
    </row>
    <row r="29" spans="1:14" x14ac:dyDescent="0.2">
      <c r="A29" s="25"/>
      <c r="B29" s="25"/>
      <c r="C29" s="25" t="s">
        <v>357</v>
      </c>
      <c r="D29" s="25"/>
      <c r="E29" s="25"/>
      <c r="F29" s="25">
        <v>12.6</v>
      </c>
      <c r="G29" s="132"/>
      <c r="H29" s="227" t="s">
        <v>83</v>
      </c>
      <c r="I29" s="35">
        <v>0.56999999999999995</v>
      </c>
      <c r="J29" s="133"/>
      <c r="K29" s="35">
        <v>7.1819999999999995</v>
      </c>
      <c r="L29" s="202">
        <f t="shared" si="4"/>
        <v>0</v>
      </c>
      <c r="M29" s="35">
        <v>718.19999999999993</v>
      </c>
      <c r="N29" s="202">
        <f t="shared" si="5"/>
        <v>0</v>
      </c>
    </row>
    <row r="30" spans="1:14" x14ac:dyDescent="0.2">
      <c r="A30" s="25"/>
      <c r="B30" s="132"/>
      <c r="C30" s="132"/>
      <c r="D30" s="25"/>
      <c r="E30" s="25"/>
      <c r="F30" s="25">
        <v>0</v>
      </c>
      <c r="G30" s="132"/>
      <c r="H30" s="227"/>
      <c r="I30" s="35">
        <v>0</v>
      </c>
      <c r="J30" s="133"/>
      <c r="K30" s="35">
        <v>0</v>
      </c>
      <c r="L30" s="202">
        <f t="shared" si="4"/>
        <v>0</v>
      </c>
      <c r="M30" s="35">
        <v>0</v>
      </c>
      <c r="N30" s="202">
        <f t="shared" si="5"/>
        <v>0</v>
      </c>
    </row>
    <row r="31" spans="1:14" x14ac:dyDescent="0.2">
      <c r="A31" s="25"/>
      <c r="B31" s="132"/>
      <c r="C31" s="132"/>
      <c r="D31" s="25"/>
      <c r="E31" s="25"/>
      <c r="F31" s="25">
        <v>0</v>
      </c>
      <c r="G31" s="132"/>
      <c r="H31" s="227"/>
      <c r="I31" s="35">
        <v>0</v>
      </c>
      <c r="J31" s="133"/>
      <c r="K31" s="35">
        <v>0</v>
      </c>
      <c r="L31" s="202">
        <f t="shared" si="4"/>
        <v>0</v>
      </c>
      <c r="M31" s="35">
        <v>0</v>
      </c>
      <c r="N31" s="202">
        <f t="shared" si="5"/>
        <v>0</v>
      </c>
    </row>
    <row r="32" spans="1:14" x14ac:dyDescent="0.2">
      <c r="A32" s="25"/>
      <c r="B32" s="132"/>
      <c r="C32" s="132"/>
      <c r="D32" s="25"/>
      <c r="E32" s="25"/>
      <c r="F32" s="25">
        <v>0</v>
      </c>
      <c r="G32" s="132"/>
      <c r="H32" s="227"/>
      <c r="I32" s="35">
        <v>0</v>
      </c>
      <c r="J32" s="133"/>
      <c r="K32" s="35">
        <v>0</v>
      </c>
      <c r="L32" s="202">
        <f t="shared" si="4"/>
        <v>0</v>
      </c>
      <c r="M32" s="35">
        <v>0</v>
      </c>
      <c r="N32" s="202">
        <f t="shared" si="5"/>
        <v>0</v>
      </c>
    </row>
    <row r="33" spans="1:14" x14ac:dyDescent="0.2">
      <c r="A33" s="25"/>
      <c r="B33" s="25" t="s">
        <v>94</v>
      </c>
      <c r="C33" s="25"/>
      <c r="D33" s="25"/>
      <c r="E33" s="25"/>
      <c r="F33" s="25"/>
      <c r="G33" s="105"/>
      <c r="J33" s="105"/>
      <c r="K33" s="127"/>
      <c r="L33" s="105"/>
      <c r="N33" s="105"/>
    </row>
    <row r="34" spans="1:14" x14ac:dyDescent="0.2">
      <c r="A34" s="25"/>
      <c r="B34" s="25"/>
      <c r="C34" s="25" t="s">
        <v>375</v>
      </c>
      <c r="D34" s="25"/>
      <c r="E34" s="25"/>
      <c r="F34" s="25">
        <v>6.24</v>
      </c>
      <c r="G34" s="132"/>
      <c r="H34" s="227" t="s">
        <v>363</v>
      </c>
      <c r="I34" s="35">
        <v>0.51</v>
      </c>
      <c r="J34" s="133"/>
      <c r="K34" s="35">
        <v>3.1824000000000003</v>
      </c>
      <c r="L34" s="202">
        <f t="shared" si="4"/>
        <v>0</v>
      </c>
      <c r="M34" s="35">
        <v>318.24</v>
      </c>
      <c r="N34" s="202">
        <f t="shared" ref="N34:N50" si="6">+L34*E$7</f>
        <v>0</v>
      </c>
    </row>
    <row r="35" spans="1:14" x14ac:dyDescent="0.2">
      <c r="A35" s="25"/>
      <c r="B35" s="25"/>
      <c r="C35" s="25" t="s">
        <v>383</v>
      </c>
      <c r="D35" s="25"/>
      <c r="E35" s="25"/>
      <c r="F35" s="25">
        <v>19.68</v>
      </c>
      <c r="G35" s="132"/>
      <c r="H35" s="227" t="s">
        <v>363</v>
      </c>
      <c r="I35" s="35">
        <v>0.71</v>
      </c>
      <c r="J35" s="133"/>
      <c r="K35" s="35">
        <v>13.972799999999999</v>
      </c>
      <c r="L35" s="202">
        <f t="shared" si="4"/>
        <v>0</v>
      </c>
      <c r="M35" s="35">
        <v>1397.28</v>
      </c>
      <c r="N35" s="202">
        <f t="shared" si="6"/>
        <v>0</v>
      </c>
    </row>
    <row r="36" spans="1:14" x14ac:dyDescent="0.2">
      <c r="A36" s="25"/>
      <c r="B36" s="25"/>
      <c r="C36" s="25" t="s">
        <v>417</v>
      </c>
      <c r="D36" s="25"/>
      <c r="E36" s="25"/>
      <c r="F36" s="25">
        <v>19.68</v>
      </c>
      <c r="G36" s="132"/>
      <c r="H36" s="227" t="s">
        <v>363</v>
      </c>
      <c r="I36" s="35">
        <v>0.06</v>
      </c>
      <c r="J36" s="133"/>
      <c r="K36" s="35">
        <v>1.1807999999999998</v>
      </c>
      <c r="L36" s="202">
        <f t="shared" si="4"/>
        <v>0</v>
      </c>
      <c r="M36" s="35">
        <v>118.07999999999998</v>
      </c>
      <c r="N36" s="202">
        <f t="shared" si="6"/>
        <v>0</v>
      </c>
    </row>
    <row r="37" spans="1:14" x14ac:dyDescent="0.2">
      <c r="A37" s="25"/>
      <c r="B37" s="132"/>
      <c r="C37" s="132"/>
      <c r="D37" s="25"/>
      <c r="E37" s="25"/>
      <c r="F37" s="25">
        <v>0</v>
      </c>
      <c r="G37" s="132"/>
      <c r="H37" s="227"/>
      <c r="I37" s="35">
        <v>0</v>
      </c>
      <c r="J37" s="133"/>
      <c r="K37" s="35">
        <v>0</v>
      </c>
      <c r="L37" s="202">
        <f t="shared" si="4"/>
        <v>0</v>
      </c>
      <c r="M37" s="35">
        <v>0</v>
      </c>
      <c r="N37" s="202">
        <f t="shared" si="6"/>
        <v>0</v>
      </c>
    </row>
    <row r="38" spans="1:14" x14ac:dyDescent="0.2">
      <c r="A38" s="25"/>
      <c r="B38" s="132"/>
      <c r="C38" s="132"/>
      <c r="D38" s="25"/>
      <c r="E38" s="25"/>
      <c r="F38" s="25">
        <v>0</v>
      </c>
      <c r="G38" s="132"/>
      <c r="H38" s="227"/>
      <c r="I38" s="35">
        <v>0</v>
      </c>
      <c r="J38" s="133"/>
      <c r="K38" s="35">
        <v>0</v>
      </c>
      <c r="L38" s="202">
        <f t="shared" si="4"/>
        <v>0</v>
      </c>
      <c r="M38" s="35">
        <v>0</v>
      </c>
      <c r="N38" s="202">
        <f t="shared" si="6"/>
        <v>0</v>
      </c>
    </row>
    <row r="39" spans="1:14" x14ac:dyDescent="0.2">
      <c r="A39" s="25"/>
      <c r="B39" s="132"/>
      <c r="C39" s="132"/>
      <c r="D39" s="25"/>
      <c r="E39" s="25"/>
      <c r="F39" s="25">
        <v>0</v>
      </c>
      <c r="G39" s="132"/>
      <c r="H39" s="227"/>
      <c r="I39" s="35">
        <v>0</v>
      </c>
      <c r="J39" s="133"/>
      <c r="K39" s="35">
        <v>0</v>
      </c>
      <c r="L39" s="202">
        <f t="shared" si="4"/>
        <v>0</v>
      </c>
      <c r="M39" s="35">
        <v>0</v>
      </c>
      <c r="N39" s="202">
        <f t="shared" si="6"/>
        <v>0</v>
      </c>
    </row>
    <row r="40" spans="1:14" x14ac:dyDescent="0.2">
      <c r="A40" s="25"/>
      <c r="B40" s="25" t="s">
        <v>43</v>
      </c>
      <c r="C40" s="25"/>
      <c r="D40" s="25"/>
      <c r="E40" s="25"/>
      <c r="F40" s="37">
        <v>1</v>
      </c>
      <c r="G40" s="132"/>
      <c r="H40" s="227" t="s">
        <v>148</v>
      </c>
      <c r="I40" s="35">
        <v>23.88</v>
      </c>
      <c r="J40" s="133"/>
      <c r="K40" s="35">
        <v>23.88</v>
      </c>
      <c r="L40" s="202">
        <f t="shared" si="4"/>
        <v>0</v>
      </c>
      <c r="M40" s="35">
        <v>2388</v>
      </c>
      <c r="N40" s="202">
        <f t="shared" si="6"/>
        <v>0</v>
      </c>
    </row>
    <row r="41" spans="1:14" x14ac:dyDescent="0.2">
      <c r="A41" s="25"/>
      <c r="B41" s="25" t="s">
        <v>93</v>
      </c>
      <c r="C41" s="25"/>
      <c r="D41" s="25"/>
      <c r="E41" s="25"/>
      <c r="F41" s="38">
        <v>0.1</v>
      </c>
      <c r="G41" s="137"/>
      <c r="H41" s="227" t="s">
        <v>30</v>
      </c>
      <c r="I41" s="35">
        <v>23.88</v>
      </c>
      <c r="J41" s="133"/>
      <c r="K41" s="35">
        <v>2.3879999999999999</v>
      </c>
      <c r="L41" s="202">
        <f t="shared" si="4"/>
        <v>0</v>
      </c>
      <c r="M41" s="35">
        <v>238.79999999999998</v>
      </c>
      <c r="N41" s="202">
        <f t="shared" si="6"/>
        <v>0</v>
      </c>
    </row>
    <row r="42" spans="1:14" x14ac:dyDescent="0.2">
      <c r="A42" s="25"/>
      <c r="B42" s="25" t="s">
        <v>92</v>
      </c>
      <c r="C42" s="25"/>
      <c r="D42" s="25"/>
      <c r="E42" s="25"/>
      <c r="F42" s="25">
        <v>1</v>
      </c>
      <c r="G42" s="132"/>
      <c r="H42" s="227" t="s">
        <v>148</v>
      </c>
      <c r="I42" s="35">
        <v>36.047681666666669</v>
      </c>
      <c r="J42" s="133"/>
      <c r="K42" s="35">
        <v>36.047681666666669</v>
      </c>
      <c r="L42" s="202">
        <f t="shared" si="4"/>
        <v>0</v>
      </c>
      <c r="M42" s="35">
        <v>3604.7681666666667</v>
      </c>
      <c r="N42" s="202">
        <f t="shared" si="6"/>
        <v>0</v>
      </c>
    </row>
    <row r="43" spans="1:14" x14ac:dyDescent="0.2">
      <c r="A43" s="25"/>
      <c r="B43" s="25" t="s">
        <v>12</v>
      </c>
      <c r="C43" s="25"/>
      <c r="D43" s="25"/>
      <c r="E43" s="25"/>
      <c r="F43" s="34">
        <v>2.6000001000000004</v>
      </c>
      <c r="G43" s="132"/>
      <c r="H43" s="227" t="s">
        <v>31</v>
      </c>
      <c r="I43" s="35">
        <v>15</v>
      </c>
      <c r="J43" s="133"/>
      <c r="K43" s="35">
        <v>39.000001500000003</v>
      </c>
      <c r="L43" s="202">
        <f t="shared" si="4"/>
        <v>0</v>
      </c>
      <c r="M43" s="35">
        <v>3900.0001500000003</v>
      </c>
      <c r="N43" s="202">
        <f t="shared" si="6"/>
        <v>0</v>
      </c>
    </row>
    <row r="44" spans="1:14" x14ac:dyDescent="0.2">
      <c r="A44" s="25"/>
      <c r="B44" s="25" t="s">
        <v>98</v>
      </c>
      <c r="C44" s="25"/>
      <c r="D44" s="25"/>
      <c r="E44" s="25"/>
      <c r="F44" s="34">
        <v>1</v>
      </c>
      <c r="G44" s="132"/>
      <c r="H44" s="227" t="s">
        <v>148</v>
      </c>
      <c r="I44" s="35">
        <v>24</v>
      </c>
      <c r="J44" s="133"/>
      <c r="K44" s="35">
        <v>24</v>
      </c>
      <c r="L44" s="202">
        <f t="shared" si="4"/>
        <v>0</v>
      </c>
      <c r="M44" s="35">
        <v>2400</v>
      </c>
      <c r="N44" s="202">
        <f t="shared" si="6"/>
        <v>0</v>
      </c>
    </row>
    <row r="45" spans="1:14" x14ac:dyDescent="0.2">
      <c r="A45" s="25"/>
      <c r="B45" s="132"/>
      <c r="C45" s="132"/>
      <c r="D45" s="25"/>
      <c r="E45" s="25"/>
      <c r="F45" s="34"/>
      <c r="G45" s="132"/>
      <c r="H45" s="227"/>
      <c r="I45" s="35"/>
      <c r="J45" s="133"/>
      <c r="K45" s="35">
        <v>0</v>
      </c>
      <c r="L45" s="202">
        <f t="shared" ref="L45" si="7">+J45*G45</f>
        <v>0</v>
      </c>
      <c r="M45" s="35">
        <v>0</v>
      </c>
      <c r="N45" s="202">
        <f t="shared" si="6"/>
        <v>0</v>
      </c>
    </row>
    <row r="46" spans="1:14" x14ac:dyDescent="0.2">
      <c r="A46" s="25"/>
      <c r="B46" s="25" t="s">
        <v>312</v>
      </c>
      <c r="C46" s="25"/>
      <c r="D46" s="25"/>
      <c r="E46" s="25"/>
      <c r="F46" s="34">
        <v>1</v>
      </c>
      <c r="G46" s="132"/>
      <c r="H46" s="227"/>
      <c r="I46" s="35">
        <v>0</v>
      </c>
      <c r="J46" s="133"/>
      <c r="K46" s="35">
        <v>0</v>
      </c>
      <c r="L46" s="202">
        <f t="shared" ref="L46:L49" si="8">+J46*G46</f>
        <v>0</v>
      </c>
      <c r="M46" s="35">
        <v>0</v>
      </c>
      <c r="N46" s="202">
        <f t="shared" si="6"/>
        <v>0</v>
      </c>
    </row>
    <row r="47" spans="1:14" x14ac:dyDescent="0.2">
      <c r="A47" s="25"/>
      <c r="B47" s="25" t="s">
        <v>313</v>
      </c>
      <c r="C47" s="25"/>
      <c r="D47" s="25"/>
      <c r="E47" s="25"/>
      <c r="F47" s="34">
        <v>1</v>
      </c>
      <c r="G47" s="132"/>
      <c r="H47" s="227"/>
      <c r="I47" s="35">
        <v>0</v>
      </c>
      <c r="J47" s="133"/>
      <c r="K47" s="35">
        <v>0</v>
      </c>
      <c r="L47" s="202">
        <f t="shared" si="8"/>
        <v>0</v>
      </c>
      <c r="M47" s="35">
        <v>0</v>
      </c>
      <c r="N47" s="202">
        <f t="shared" si="6"/>
        <v>0</v>
      </c>
    </row>
    <row r="48" spans="1:14" x14ac:dyDescent="0.2">
      <c r="A48" s="25"/>
      <c r="B48" s="25" t="s">
        <v>314</v>
      </c>
      <c r="C48" s="25"/>
      <c r="D48" s="25"/>
      <c r="E48" s="25"/>
      <c r="F48" s="34">
        <v>1</v>
      </c>
      <c r="G48" s="132"/>
      <c r="H48" s="227"/>
      <c r="I48" s="35">
        <v>0</v>
      </c>
      <c r="J48" s="133"/>
      <c r="K48" s="35">
        <v>0</v>
      </c>
      <c r="L48" s="202">
        <f t="shared" si="8"/>
        <v>0</v>
      </c>
      <c r="M48" s="35">
        <v>0</v>
      </c>
      <c r="N48" s="202">
        <f t="shared" si="6"/>
        <v>0</v>
      </c>
    </row>
    <row r="49" spans="1:14" x14ac:dyDescent="0.2">
      <c r="A49" s="25"/>
      <c r="B49" s="25" t="s">
        <v>315</v>
      </c>
      <c r="C49" s="25"/>
      <c r="D49" s="25"/>
      <c r="E49" s="25"/>
      <c r="F49" s="34">
        <v>1</v>
      </c>
      <c r="G49" s="132"/>
      <c r="H49" s="227"/>
      <c r="I49" s="35">
        <v>0</v>
      </c>
      <c r="J49" s="133"/>
      <c r="K49" s="35">
        <v>0</v>
      </c>
      <c r="L49" s="202">
        <f t="shared" si="8"/>
        <v>0</v>
      </c>
      <c r="M49" s="35">
        <v>0</v>
      </c>
      <c r="N49" s="202">
        <f t="shared" si="6"/>
        <v>0</v>
      </c>
    </row>
    <row r="50" spans="1:14" ht="13.5" thickBot="1" x14ac:dyDescent="0.25">
      <c r="A50" s="25"/>
      <c r="B50" s="25" t="s">
        <v>32</v>
      </c>
      <c r="C50" s="25"/>
      <c r="D50" s="25"/>
      <c r="E50" s="25"/>
      <c r="F50" s="25"/>
      <c r="G50" s="200"/>
      <c r="H50" s="21"/>
      <c r="I50" s="39">
        <v>0.08</v>
      </c>
      <c r="J50" s="215"/>
      <c r="K50" s="35">
        <v>15.919110434009134</v>
      </c>
      <c r="L50" s="184">
        <f>+SUM(L21:L49)/2*J50</f>
        <v>0</v>
      </c>
      <c r="M50" s="35">
        <v>1591.9110434009135</v>
      </c>
      <c r="N50" s="184">
        <f t="shared" si="6"/>
        <v>0</v>
      </c>
    </row>
    <row r="51" spans="1:14" x14ac:dyDescent="0.2">
      <c r="A51" s="25" t="s">
        <v>33</v>
      </c>
      <c r="B51" s="25"/>
      <c r="C51" s="25"/>
      <c r="D51" s="25"/>
      <c r="E51" s="25"/>
      <c r="F51" s="25"/>
      <c r="G51" s="200"/>
      <c r="H51" s="25"/>
      <c r="I51" s="25"/>
      <c r="J51" s="197"/>
      <c r="K51" s="36">
        <v>245.04279360067579</v>
      </c>
      <c r="L51" s="203">
        <f>+SUM(L23:L50)</f>
        <v>0</v>
      </c>
      <c r="M51" s="36">
        <v>24504.27936006758</v>
      </c>
      <c r="N51" s="203">
        <f>+SUM(N23:N50)</f>
        <v>0</v>
      </c>
    </row>
    <row r="52" spans="1:14" x14ac:dyDescent="0.2">
      <c r="B52" s="25"/>
      <c r="C52" s="25"/>
      <c r="D52" s="25"/>
      <c r="E52" s="25"/>
      <c r="F52" s="25"/>
      <c r="G52" s="200"/>
      <c r="H52" s="25"/>
      <c r="I52" s="25"/>
      <c r="J52" s="197"/>
      <c r="K52" s="35"/>
      <c r="L52" s="184"/>
      <c r="M52" s="35"/>
      <c r="N52" s="184"/>
    </row>
    <row r="53" spans="1:14" x14ac:dyDescent="0.2">
      <c r="A53" s="25" t="s">
        <v>34</v>
      </c>
      <c r="B53" s="25"/>
      <c r="C53" s="25"/>
      <c r="D53" s="25"/>
      <c r="E53" s="25"/>
      <c r="F53" s="25"/>
      <c r="G53" s="200"/>
      <c r="H53" s="25"/>
      <c r="I53" s="25"/>
      <c r="J53" s="197"/>
      <c r="K53" s="35">
        <v>1003.2932063993242</v>
      </c>
      <c r="L53" s="202">
        <f>+L17-L51</f>
        <v>0</v>
      </c>
      <c r="M53" s="35">
        <v>100329.32063993243</v>
      </c>
      <c r="N53" s="202">
        <f>+N17-N51</f>
        <v>0</v>
      </c>
    </row>
    <row r="54" spans="1:14" x14ac:dyDescent="0.2">
      <c r="A54" s="25"/>
      <c r="B54" s="25" t="s">
        <v>527</v>
      </c>
      <c r="C54" s="25"/>
      <c r="D54" s="25"/>
      <c r="E54" s="25"/>
      <c r="F54" s="25"/>
      <c r="G54" s="178"/>
      <c r="H54" s="17"/>
      <c r="I54" s="40">
        <v>11.307442666854383</v>
      </c>
      <c r="J54" s="210" t="str">
        <f>IF((E11*G11+E12*G12)=0,"n/a",(L51-SUM(L13:L16))/(E11*G11+E12*G12))</f>
        <v>n/a</v>
      </c>
      <c r="K54" s="25" t="s">
        <v>7</v>
      </c>
      <c r="L54" s="184"/>
      <c r="M54" s="25"/>
      <c r="N54" s="184"/>
    </row>
    <row r="55" spans="1:14" x14ac:dyDescent="0.2">
      <c r="A55" s="25"/>
      <c r="B55" s="25"/>
      <c r="C55" s="25"/>
      <c r="D55" s="25"/>
      <c r="E55" s="25"/>
      <c r="F55" s="21"/>
      <c r="G55" s="178"/>
      <c r="H55" s="21"/>
      <c r="I55" s="21"/>
      <c r="J55" s="211"/>
      <c r="K55" s="21"/>
      <c r="L55" s="184"/>
      <c r="M55" s="22" t="s">
        <v>19</v>
      </c>
      <c r="N55" s="178" t="s">
        <v>19</v>
      </c>
    </row>
    <row r="56" spans="1:14" x14ac:dyDescent="0.2">
      <c r="A56" s="23" t="s">
        <v>36</v>
      </c>
      <c r="B56" s="23"/>
      <c r="C56" s="23"/>
      <c r="D56" s="23"/>
      <c r="E56" s="23"/>
      <c r="F56" s="24" t="s">
        <v>2</v>
      </c>
      <c r="G56" s="196" t="s">
        <v>2</v>
      </c>
      <c r="H56" s="24" t="s">
        <v>21</v>
      </c>
      <c r="I56" s="24" t="s">
        <v>22</v>
      </c>
      <c r="J56" s="196" t="s">
        <v>22</v>
      </c>
      <c r="K56" s="24" t="s">
        <v>11</v>
      </c>
      <c r="L56" s="202" t="s">
        <v>11</v>
      </c>
      <c r="M56" s="24" t="s">
        <v>11</v>
      </c>
      <c r="N56" s="202" t="s">
        <v>11</v>
      </c>
    </row>
    <row r="57" spans="1:14" x14ac:dyDescent="0.2">
      <c r="A57" s="25"/>
      <c r="B57" s="25" t="s">
        <v>91</v>
      </c>
      <c r="C57" s="25"/>
      <c r="D57" s="25"/>
      <c r="E57" s="25"/>
      <c r="F57" s="25">
        <v>1</v>
      </c>
      <c r="G57" s="132"/>
      <c r="H57" s="227" t="s">
        <v>148</v>
      </c>
      <c r="I57" s="35">
        <v>92.050438095238093</v>
      </c>
      <c r="J57" s="133"/>
      <c r="K57" s="35">
        <v>92.050438095238093</v>
      </c>
      <c r="L57" s="202">
        <f t="shared" ref="L57:L65" si="9">+G57*J57</f>
        <v>0</v>
      </c>
      <c r="M57" s="35">
        <v>9205.0438095238096</v>
      </c>
      <c r="N57" s="202">
        <f t="shared" ref="N57:N65" si="10">+L57*E$7</f>
        <v>0</v>
      </c>
    </row>
    <row r="58" spans="1:14" x14ac:dyDescent="0.2">
      <c r="A58" s="25"/>
      <c r="B58" s="25" t="s">
        <v>90</v>
      </c>
      <c r="C58" s="25"/>
      <c r="D58" s="25"/>
      <c r="E58" s="25"/>
      <c r="F58" s="25">
        <v>1</v>
      </c>
      <c r="G58" s="132"/>
      <c r="H58" s="227" t="s">
        <v>148</v>
      </c>
      <c r="I58" s="35">
        <v>76.040000000000006</v>
      </c>
      <c r="J58" s="133"/>
      <c r="K58" s="35">
        <v>76.040000000000006</v>
      </c>
      <c r="L58" s="202">
        <f t="shared" si="9"/>
        <v>0</v>
      </c>
      <c r="M58" s="35">
        <v>7604.0000000000009</v>
      </c>
      <c r="N58" s="202">
        <f t="shared" si="10"/>
        <v>0</v>
      </c>
    </row>
    <row r="59" spans="1:14" x14ac:dyDescent="0.2">
      <c r="A59" s="25"/>
      <c r="B59" s="25" t="s">
        <v>89</v>
      </c>
      <c r="C59" s="25"/>
      <c r="D59" s="25"/>
      <c r="E59" s="25"/>
      <c r="F59" s="41">
        <v>1477.4562500000002</v>
      </c>
      <c r="G59" s="132"/>
      <c r="H59" s="227" t="s">
        <v>88</v>
      </c>
      <c r="I59" s="39">
        <v>0.08</v>
      </c>
      <c r="J59" s="215"/>
      <c r="K59" s="35">
        <v>118.19650000000001</v>
      </c>
      <c r="L59" s="202">
        <f t="shared" si="9"/>
        <v>0</v>
      </c>
      <c r="M59" s="35">
        <v>11819.650000000001</v>
      </c>
      <c r="N59" s="202">
        <f t="shared" si="10"/>
        <v>0</v>
      </c>
    </row>
    <row r="60" spans="1:14" x14ac:dyDescent="0.2">
      <c r="A60" s="25"/>
      <c r="B60" s="25" t="s">
        <v>87</v>
      </c>
      <c r="C60" s="25"/>
      <c r="D60" s="25"/>
      <c r="E60" s="25"/>
      <c r="F60" s="25">
        <v>1</v>
      </c>
      <c r="G60" s="132"/>
      <c r="H60" s="227" t="s">
        <v>148</v>
      </c>
      <c r="I60" s="35">
        <v>0</v>
      </c>
      <c r="J60" s="133"/>
      <c r="K60" s="35">
        <v>0</v>
      </c>
      <c r="L60" s="202">
        <f t="shared" si="9"/>
        <v>0</v>
      </c>
      <c r="M60" s="35">
        <v>0</v>
      </c>
      <c r="N60" s="202">
        <f t="shared" si="10"/>
        <v>0</v>
      </c>
    </row>
    <row r="61" spans="1:14" x14ac:dyDescent="0.2">
      <c r="A61" s="25"/>
      <c r="B61" s="25" t="s">
        <v>152</v>
      </c>
      <c r="C61" s="25"/>
      <c r="D61" s="25"/>
      <c r="E61" s="25"/>
      <c r="F61" s="25">
        <v>1</v>
      </c>
      <c r="G61" s="132"/>
      <c r="H61" s="227" t="s">
        <v>148</v>
      </c>
      <c r="I61" s="35">
        <v>0</v>
      </c>
      <c r="J61" s="133"/>
      <c r="K61" s="35">
        <v>0</v>
      </c>
      <c r="L61" s="202">
        <f>+J61*G61</f>
        <v>0</v>
      </c>
      <c r="M61" s="35">
        <v>0</v>
      </c>
      <c r="N61" s="202">
        <f t="shared" si="10"/>
        <v>0</v>
      </c>
    </row>
    <row r="62" spans="1:14" x14ac:dyDescent="0.2">
      <c r="A62" s="25"/>
      <c r="B62" s="25" t="s">
        <v>156</v>
      </c>
      <c r="C62" s="25"/>
      <c r="D62" s="25"/>
      <c r="E62" s="25"/>
      <c r="F62" s="25">
        <v>1</v>
      </c>
      <c r="G62" s="132"/>
      <c r="H62" s="227" t="s">
        <v>148</v>
      </c>
      <c r="I62" s="35">
        <v>0</v>
      </c>
      <c r="J62" s="133"/>
      <c r="K62" s="35">
        <v>0</v>
      </c>
      <c r="L62" s="202">
        <f>+J62*G62</f>
        <v>0</v>
      </c>
      <c r="M62" s="35">
        <v>0</v>
      </c>
      <c r="N62" s="202">
        <f t="shared" si="10"/>
        <v>0</v>
      </c>
    </row>
    <row r="63" spans="1:14" x14ac:dyDescent="0.2">
      <c r="A63" s="25"/>
      <c r="B63" s="25" t="s">
        <v>139</v>
      </c>
      <c r="C63" s="25"/>
      <c r="D63" s="25"/>
      <c r="E63" s="25"/>
      <c r="F63" s="25">
        <v>1</v>
      </c>
      <c r="G63" s="132"/>
      <c r="H63" s="227" t="s">
        <v>86</v>
      </c>
      <c r="I63" s="35">
        <v>186</v>
      </c>
      <c r="J63" s="133"/>
      <c r="K63" s="35">
        <v>186</v>
      </c>
      <c r="L63" s="202">
        <f t="shared" si="9"/>
        <v>0</v>
      </c>
      <c r="M63" s="35">
        <v>18600</v>
      </c>
      <c r="N63" s="202">
        <f t="shared" si="10"/>
        <v>0</v>
      </c>
    </row>
    <row r="64" spans="1:14" x14ac:dyDescent="0.2">
      <c r="A64" s="25"/>
      <c r="B64" s="132"/>
      <c r="C64" s="132"/>
      <c r="D64" s="25"/>
      <c r="E64" s="25"/>
      <c r="F64" s="25"/>
      <c r="G64" s="132"/>
      <c r="H64" s="227"/>
      <c r="I64" s="35"/>
      <c r="J64" s="133"/>
      <c r="K64" s="35">
        <v>0</v>
      </c>
      <c r="L64" s="202">
        <f t="shared" si="9"/>
        <v>0</v>
      </c>
      <c r="M64" s="35">
        <v>0</v>
      </c>
      <c r="N64" s="202">
        <f t="shared" si="10"/>
        <v>0</v>
      </c>
    </row>
    <row r="65" spans="1:14" ht="13.5" thickBot="1" x14ac:dyDescent="0.25">
      <c r="A65" s="25"/>
      <c r="B65" s="132"/>
      <c r="C65" s="132"/>
      <c r="D65" s="25"/>
      <c r="E65" s="25"/>
      <c r="F65" s="25"/>
      <c r="G65" s="132"/>
      <c r="H65" s="227"/>
      <c r="I65" s="35"/>
      <c r="J65" s="133"/>
      <c r="K65" s="35">
        <v>0</v>
      </c>
      <c r="L65" s="202">
        <f t="shared" si="9"/>
        <v>0</v>
      </c>
      <c r="M65" s="35">
        <v>0</v>
      </c>
      <c r="N65" s="202">
        <f t="shared" si="10"/>
        <v>0</v>
      </c>
    </row>
    <row r="66" spans="1:14" ht="13.5" thickBot="1" x14ac:dyDescent="0.25">
      <c r="A66" s="25" t="s">
        <v>37</v>
      </c>
      <c r="B66" s="25"/>
      <c r="C66" s="25"/>
      <c r="D66" s="25"/>
      <c r="E66" s="25"/>
      <c r="F66" s="25"/>
      <c r="G66" s="197"/>
      <c r="H66" s="25"/>
      <c r="I66" s="25"/>
      <c r="J66" s="197"/>
      <c r="K66" s="121">
        <v>472.2869380952381</v>
      </c>
      <c r="L66" s="204">
        <f>+SUM(L57:L63)</f>
        <v>0</v>
      </c>
      <c r="M66" s="121">
        <v>47228.693809523815</v>
      </c>
      <c r="N66" s="204">
        <f>+SUM(N57:N63)</f>
        <v>0</v>
      </c>
    </row>
    <row r="67" spans="1:14" ht="14.25" thickTop="1" thickBot="1" x14ac:dyDescent="0.25">
      <c r="A67" s="25" t="s">
        <v>82</v>
      </c>
      <c r="B67" s="25"/>
      <c r="C67" s="25"/>
      <c r="D67" s="25"/>
      <c r="E67" s="25"/>
      <c r="F67" s="25"/>
      <c r="G67" s="197"/>
      <c r="H67" s="25"/>
      <c r="I67" s="25"/>
      <c r="J67" s="197"/>
      <c r="K67" s="43">
        <v>717.32973169591389</v>
      </c>
      <c r="L67" s="205">
        <f>+L51+L66</f>
        <v>0</v>
      </c>
      <c r="M67" s="43">
        <v>71732.973169591394</v>
      </c>
      <c r="N67" s="205">
        <f>+N51+N66</f>
        <v>0</v>
      </c>
    </row>
    <row r="68" spans="1:14" ht="13.5" thickTop="1" x14ac:dyDescent="0.2">
      <c r="A68" s="25" t="s">
        <v>85</v>
      </c>
      <c r="B68" s="25"/>
      <c r="C68" s="25"/>
      <c r="D68" s="25"/>
      <c r="E68" s="25"/>
      <c r="F68" s="25"/>
      <c r="G68" s="197"/>
      <c r="H68" s="25"/>
      <c r="I68" s="25"/>
      <c r="J68" s="197"/>
      <c r="K68" s="35">
        <v>531.00626830408612</v>
      </c>
      <c r="L68" s="202">
        <f>+L17-L67</f>
        <v>0</v>
      </c>
      <c r="M68" s="35">
        <v>53100.626830408612</v>
      </c>
      <c r="N68" s="202">
        <f>+N17-N67</f>
        <v>0</v>
      </c>
    </row>
    <row r="69" spans="1:14" ht="13.5" thickBot="1" x14ac:dyDescent="0.25">
      <c r="A69" s="44"/>
      <c r="B69" s="44" t="s">
        <v>528</v>
      </c>
      <c r="C69" s="44"/>
      <c r="D69" s="44"/>
      <c r="E69" s="44"/>
      <c r="F69" s="44"/>
      <c r="G69" s="201"/>
      <c r="H69" s="44"/>
      <c r="I69" s="45">
        <v>142.49825880442052</v>
      </c>
      <c r="J69" s="212" t="str">
        <f>IF((E11*G11+E12*G12)=0,"n/a",(L67-SUM(L13:L16))/(E11*G11+E12*G12))</f>
        <v>n/a</v>
      </c>
      <c r="K69" s="44" t="s">
        <v>7</v>
      </c>
      <c r="L69" s="201"/>
      <c r="M69" s="44"/>
      <c r="N69" s="201"/>
    </row>
    <row r="70" spans="1:14" ht="13.5" thickTop="1" x14ac:dyDescent="0.2"/>
    <row r="71" spans="1:14" ht="15.75" x14ac:dyDescent="0.25">
      <c r="C71" s="234" t="s">
        <v>113</v>
      </c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18"/>
    </row>
    <row r="72" spans="1:14" s="46" customFormat="1" ht="51" x14ac:dyDescent="0.2">
      <c r="C72" s="112" t="s">
        <v>114</v>
      </c>
      <c r="D72" s="112" t="s">
        <v>516</v>
      </c>
      <c r="E72" s="113"/>
      <c r="F72" s="112" t="s">
        <v>517</v>
      </c>
      <c r="G72" s="113"/>
      <c r="H72" s="242" t="s">
        <v>529</v>
      </c>
      <c r="I72" s="243"/>
      <c r="K72" s="242" t="s">
        <v>171</v>
      </c>
      <c r="L72" s="244"/>
      <c r="M72" s="243"/>
    </row>
    <row r="73" spans="1:14" x14ac:dyDescent="0.2">
      <c r="C73" s="47">
        <v>1.4000000000000001</v>
      </c>
      <c r="D73" s="111">
        <v>1422.3360000000002</v>
      </c>
      <c r="E73" s="111"/>
      <c r="F73" s="109">
        <v>552</v>
      </c>
      <c r="G73" s="109"/>
      <c r="H73" s="245">
        <v>24.568665311106987</v>
      </c>
      <c r="I73" s="246"/>
      <c r="J73" s="110"/>
      <c r="K73" s="247">
        <v>122.14136468950329</v>
      </c>
      <c r="L73" s="247"/>
      <c r="M73" s="248"/>
    </row>
    <row r="74" spans="1:14" x14ac:dyDescent="0.2">
      <c r="C74" s="48">
        <v>1.3</v>
      </c>
      <c r="D74" s="108">
        <v>1335.336</v>
      </c>
      <c r="E74" s="108"/>
      <c r="F74" s="107">
        <v>522</v>
      </c>
      <c r="G74" s="107"/>
      <c r="H74" s="249">
        <v>26.802180339389441</v>
      </c>
      <c r="I74" s="250"/>
      <c r="J74" s="101"/>
      <c r="K74" s="251">
        <v>131.53685428100357</v>
      </c>
      <c r="L74" s="251"/>
      <c r="M74" s="230"/>
    </row>
    <row r="75" spans="1:14" x14ac:dyDescent="0.2">
      <c r="C75" s="47">
        <v>1.2</v>
      </c>
      <c r="D75" s="111">
        <v>1248.336</v>
      </c>
      <c r="E75" s="111"/>
      <c r="F75" s="109">
        <v>492</v>
      </c>
      <c r="G75" s="109"/>
      <c r="H75" s="245">
        <v>29.48239837332839</v>
      </c>
      <c r="I75" s="246"/>
      <c r="J75" s="110"/>
      <c r="K75" s="247">
        <v>142.49825880442052</v>
      </c>
      <c r="L75" s="247"/>
      <c r="M75" s="248"/>
    </row>
    <row r="76" spans="1:14" x14ac:dyDescent="0.2">
      <c r="C76" s="48">
        <v>1.0999999999999999</v>
      </c>
      <c r="D76" s="108">
        <v>1161.3359999999998</v>
      </c>
      <c r="E76" s="108"/>
      <c r="F76" s="107">
        <v>461.99999999999994</v>
      </c>
      <c r="G76" s="107"/>
      <c r="H76" s="249">
        <v>32.758220414809323</v>
      </c>
      <c r="I76" s="250"/>
      <c r="J76" s="101"/>
      <c r="K76" s="251">
        <v>155.45264596845877</v>
      </c>
      <c r="L76" s="251"/>
      <c r="M76" s="230"/>
    </row>
    <row r="77" spans="1:14" x14ac:dyDescent="0.2">
      <c r="C77" s="47">
        <v>0.99999999999999989</v>
      </c>
      <c r="D77" s="111">
        <v>1074.3359999999998</v>
      </c>
      <c r="E77" s="111"/>
      <c r="F77" s="109">
        <v>431.99999999999994</v>
      </c>
      <c r="G77" s="109"/>
      <c r="H77" s="245">
        <v>36.852997966660496</v>
      </c>
      <c r="I77" s="246"/>
      <c r="J77" s="110"/>
      <c r="K77" s="247">
        <v>170.99791056530466</v>
      </c>
      <c r="L77" s="247"/>
      <c r="M77" s="248"/>
    </row>
    <row r="79" spans="1:14" x14ac:dyDescent="0.2">
      <c r="D79" s="12" t="str">
        <f>"Example Male "&amp;F8&amp;" Price"</f>
        <v>Example Male Kid Price</v>
      </c>
      <c r="K79" s="8">
        <f>+I11</f>
        <v>290</v>
      </c>
      <c r="L79" s="8"/>
    </row>
    <row r="80" spans="1:14" x14ac:dyDescent="0.2">
      <c r="D80" s="12" t="str">
        <f>"Example Female "&amp;F8&amp;" Price"</f>
        <v>Example Female Kid Price</v>
      </c>
      <c r="K80" s="8">
        <f>+I12</f>
        <v>290</v>
      </c>
      <c r="L80" s="8"/>
    </row>
    <row r="81" spans="1:14" x14ac:dyDescent="0.2">
      <c r="D81" s="12" t="str">
        <f>"Example Weighted Average "&amp;F8&amp;" Price ($/cwt)"</f>
        <v>Example Weighted Average Kid Price ($/cwt)</v>
      </c>
      <c r="K81" s="8">
        <f>+(K11+K12)/(D11*F11+D12*F12)</f>
        <v>290</v>
      </c>
      <c r="L81" s="8"/>
    </row>
    <row r="83" spans="1:14" x14ac:dyDescent="0.2">
      <c r="A83" s="25" t="s">
        <v>536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5" spans="1:14" ht="25.5" customHeight="1" x14ac:dyDescent="0.2">
      <c r="A85" s="236" t="s">
        <v>140</v>
      </c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</row>
  </sheetData>
  <sheetProtection sheet="1" objects="1" scenarios="1"/>
  <mergeCells count="18">
    <mergeCell ref="H76:I76"/>
    <mergeCell ref="K76:M76"/>
    <mergeCell ref="H77:I77"/>
    <mergeCell ref="K77:M77"/>
    <mergeCell ref="A85:N85"/>
    <mergeCell ref="H73:I73"/>
    <mergeCell ref="K73:M73"/>
    <mergeCell ref="H74:I74"/>
    <mergeCell ref="K74:M74"/>
    <mergeCell ref="H75:I75"/>
    <mergeCell ref="K75:M75"/>
    <mergeCell ref="H72:I72"/>
    <mergeCell ref="K72:M72"/>
    <mergeCell ref="A1:N1"/>
    <mergeCell ref="A2:N2"/>
    <mergeCell ref="A3:N3"/>
    <mergeCell ref="A4:N4"/>
    <mergeCell ref="C71:M71"/>
  </mergeCells>
  <printOptions horizontalCentered="1"/>
  <pageMargins left="0.7" right="0.7" top="0.75" bottom="0.75" header="0.3" footer="0.3"/>
  <pageSetup scale="38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45">
    <tabColor rgb="FFFF0000"/>
    <pageSetUpPr fitToPage="1"/>
  </sheetPr>
  <dimension ref="A1:O87"/>
  <sheetViews>
    <sheetView showGridLines="0" workbookViewId="0">
      <selection sqref="A1:N1"/>
    </sheetView>
  </sheetViews>
  <sheetFormatPr defaultColWidth="9.140625" defaultRowHeight="12.75" x14ac:dyDescent="0.2"/>
  <cols>
    <col min="1" max="1" width="3.5703125" customWidth="1"/>
    <col min="2" max="2" width="4.42578125" customWidth="1"/>
    <col min="3" max="3" width="20.140625" customWidth="1"/>
    <col min="4" max="4" width="12.140625" customWidth="1"/>
    <col min="5" max="5" width="9.140625" customWidth="1"/>
    <col min="6" max="6" width="13.140625" customWidth="1"/>
    <col min="7" max="8" width="9.140625" customWidth="1"/>
    <col min="9" max="9" width="9.5703125" bestFit="1" customWidth="1"/>
    <col min="10" max="10" width="9.5703125" customWidth="1"/>
    <col min="11" max="11" width="11.42578125" customWidth="1"/>
    <col min="12" max="12" width="11.5703125" customWidth="1"/>
    <col min="13" max="13" width="14.5703125" customWidth="1"/>
    <col min="14" max="14" width="14.42578125" customWidth="1"/>
    <col min="15" max="15" width="9.140625" hidden="1" customWidth="1"/>
  </cols>
  <sheetData>
    <row r="1" spans="1:15" x14ac:dyDescent="0.2">
      <c r="A1" s="238" t="s">
        <v>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x14ac:dyDescent="0.2">
      <c r="A2" s="239" t="s">
        <v>515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 x14ac:dyDescent="0.2">
      <c r="A3" s="240" t="s">
        <v>490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5" x14ac:dyDescent="0.2">
      <c r="A5" s="123" t="s">
        <v>506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x14ac:dyDescent="0.2">
      <c r="A6" s="106"/>
      <c r="B6" s="22"/>
      <c r="C6" s="22"/>
      <c r="D6" s="22"/>
      <c r="E6" s="216" t="s">
        <v>526</v>
      </c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">
      <c r="A7" s="106"/>
      <c r="B7" s="32" t="s">
        <v>147</v>
      </c>
      <c r="C7" s="22"/>
      <c r="D7" s="22">
        <v>100</v>
      </c>
      <c r="E7" s="213"/>
      <c r="F7" s="115" t="s">
        <v>155</v>
      </c>
      <c r="G7" s="22"/>
      <c r="H7" s="22"/>
      <c r="I7" s="22"/>
      <c r="J7" s="22"/>
      <c r="K7" s="22"/>
      <c r="L7" s="22"/>
      <c r="M7" s="22"/>
      <c r="N7" s="190" t="s">
        <v>74</v>
      </c>
    </row>
    <row r="8" spans="1:15" x14ac:dyDescent="0.2">
      <c r="A8" s="106"/>
      <c r="B8" s="32" t="s">
        <v>97</v>
      </c>
      <c r="C8" s="22"/>
      <c r="D8" s="22">
        <v>700</v>
      </c>
      <c r="E8" s="213"/>
      <c r="F8" s="115" t="s">
        <v>489</v>
      </c>
      <c r="G8" s="190" t="s">
        <v>74</v>
      </c>
      <c r="H8" s="22"/>
      <c r="I8" s="22"/>
      <c r="J8" s="22"/>
      <c r="K8" s="22"/>
      <c r="L8" s="22"/>
      <c r="M8" s="22" t="s">
        <v>19</v>
      </c>
      <c r="N8" s="190" t="s">
        <v>19</v>
      </c>
    </row>
    <row r="9" spans="1:15" x14ac:dyDescent="0.2">
      <c r="A9" s="25"/>
      <c r="B9" s="17"/>
      <c r="C9" s="25"/>
      <c r="D9" s="21"/>
      <c r="E9" s="190" t="s">
        <v>74</v>
      </c>
      <c r="F9" s="21" t="s">
        <v>2</v>
      </c>
      <c r="G9" s="194" t="s">
        <v>2</v>
      </c>
      <c r="H9" s="21"/>
      <c r="I9" s="21"/>
      <c r="J9" s="190" t="s">
        <v>74</v>
      </c>
      <c r="K9" s="21"/>
      <c r="L9" s="190" t="s">
        <v>74</v>
      </c>
      <c r="M9" s="22" t="s">
        <v>11</v>
      </c>
      <c r="N9" s="190" t="s">
        <v>11</v>
      </c>
    </row>
    <row r="10" spans="1:15" x14ac:dyDescent="0.2">
      <c r="A10" s="23" t="s">
        <v>73</v>
      </c>
      <c r="B10" s="23"/>
      <c r="C10" s="23"/>
      <c r="D10" s="24" t="s">
        <v>20</v>
      </c>
      <c r="E10" s="191" t="s">
        <v>20</v>
      </c>
      <c r="F10" s="24" t="s">
        <v>101</v>
      </c>
      <c r="G10" s="191" t="s">
        <v>101</v>
      </c>
      <c r="H10" s="24" t="s">
        <v>21</v>
      </c>
      <c r="I10" s="24" t="s">
        <v>22</v>
      </c>
      <c r="J10" s="191" t="s">
        <v>22</v>
      </c>
      <c r="K10" s="24" t="s">
        <v>11</v>
      </c>
      <c r="L10" s="191" t="s">
        <v>11</v>
      </c>
      <c r="M10" s="24" t="str">
        <f>"(" &amp; D7 &amp; " AUs)"</f>
        <v>(100 AUs)</v>
      </c>
      <c r="N10" s="191" t="str">
        <f>"(" &amp; E7 &amp; " AUs)"</f>
        <v>( AUs)</v>
      </c>
    </row>
    <row r="11" spans="1:15" x14ac:dyDescent="0.2">
      <c r="A11" s="25"/>
      <c r="B11" s="25" t="s">
        <v>347</v>
      </c>
      <c r="C11" s="25"/>
      <c r="D11" s="33">
        <v>2.63</v>
      </c>
      <c r="E11" s="132"/>
      <c r="F11" s="34">
        <v>0.65</v>
      </c>
      <c r="G11" s="132"/>
      <c r="H11" s="227" t="s">
        <v>7</v>
      </c>
      <c r="I11" s="31">
        <v>315</v>
      </c>
      <c r="J11" s="133"/>
      <c r="K11" s="35">
        <v>538.49249999999995</v>
      </c>
      <c r="L11" s="202">
        <f>+E11*G11*J11</f>
        <v>0</v>
      </c>
      <c r="M11" s="35">
        <v>53849.249999999993</v>
      </c>
      <c r="N11" s="202">
        <f>+L11*E$7</f>
        <v>0</v>
      </c>
      <c r="O11" s="12"/>
    </row>
    <row r="12" spans="1:15" x14ac:dyDescent="0.2">
      <c r="A12" s="25"/>
      <c r="B12" s="25" t="s">
        <v>347</v>
      </c>
      <c r="C12" s="25"/>
      <c r="D12" s="33">
        <v>1.22</v>
      </c>
      <c r="E12" s="132"/>
      <c r="F12" s="34">
        <v>0.65</v>
      </c>
      <c r="G12" s="132"/>
      <c r="H12" s="227" t="s">
        <v>7</v>
      </c>
      <c r="I12" s="31">
        <v>315</v>
      </c>
      <c r="J12" s="133"/>
      <c r="K12" s="35">
        <v>249.79500000000002</v>
      </c>
      <c r="L12" s="202">
        <f t="shared" ref="L12:L17" si="0">+E12*G12*J12</f>
        <v>0</v>
      </c>
      <c r="M12" s="35">
        <v>24979.5</v>
      </c>
      <c r="N12" s="202">
        <f t="shared" ref="N12:N17" si="1">+L12*E$7</f>
        <v>0</v>
      </c>
    </row>
    <row r="13" spans="1:15" x14ac:dyDescent="0.2">
      <c r="A13" s="25"/>
      <c r="B13" s="25" t="s">
        <v>348</v>
      </c>
      <c r="C13" s="25"/>
      <c r="D13" s="33">
        <v>1.66</v>
      </c>
      <c r="E13" s="132"/>
      <c r="F13" s="34">
        <v>1.1000000000000001</v>
      </c>
      <c r="G13" s="132"/>
      <c r="H13" s="227" t="s">
        <v>7</v>
      </c>
      <c r="I13" s="31">
        <v>1.1764705882352942</v>
      </c>
      <c r="J13" s="133"/>
      <c r="K13" s="35">
        <v>2.1482352941176472</v>
      </c>
      <c r="L13" s="202">
        <f t="shared" si="0"/>
        <v>0</v>
      </c>
      <c r="M13" s="35">
        <v>214.82352941176472</v>
      </c>
      <c r="N13" s="202">
        <f t="shared" si="1"/>
        <v>0</v>
      </c>
    </row>
    <row r="14" spans="1:15" x14ac:dyDescent="0.2">
      <c r="A14" s="25"/>
      <c r="B14" s="25" t="s">
        <v>349</v>
      </c>
      <c r="C14" s="25"/>
      <c r="D14" s="33">
        <v>0</v>
      </c>
      <c r="E14" s="132"/>
      <c r="F14" s="34">
        <v>1.7</v>
      </c>
      <c r="G14" s="132"/>
      <c r="H14" s="227" t="s">
        <v>7</v>
      </c>
      <c r="I14" s="31">
        <v>161</v>
      </c>
      <c r="J14" s="133"/>
      <c r="K14" s="35">
        <v>0</v>
      </c>
      <c r="L14" s="202">
        <f t="shared" si="0"/>
        <v>0</v>
      </c>
      <c r="M14" s="35">
        <v>0</v>
      </c>
      <c r="N14" s="202">
        <f t="shared" si="1"/>
        <v>0</v>
      </c>
    </row>
    <row r="15" spans="1:15" x14ac:dyDescent="0.2">
      <c r="A15" s="25"/>
      <c r="B15" s="25" t="s">
        <v>346</v>
      </c>
      <c r="C15" s="25"/>
      <c r="D15" s="33">
        <v>7</v>
      </c>
      <c r="E15" s="132"/>
      <c r="F15" s="34">
        <v>6.86</v>
      </c>
      <c r="G15" s="132"/>
      <c r="H15" s="227" t="s">
        <v>83</v>
      </c>
      <c r="I15" s="31">
        <v>4</v>
      </c>
      <c r="J15" s="133"/>
      <c r="K15" s="35">
        <v>192.08</v>
      </c>
      <c r="L15" s="202">
        <f t="shared" si="0"/>
        <v>0</v>
      </c>
      <c r="M15" s="35">
        <v>19208</v>
      </c>
      <c r="N15" s="202">
        <f t="shared" si="1"/>
        <v>0</v>
      </c>
    </row>
    <row r="16" spans="1:15" x14ac:dyDescent="0.2">
      <c r="A16" s="25"/>
      <c r="B16" s="132"/>
      <c r="C16" s="132"/>
      <c r="D16" s="33">
        <v>1.66</v>
      </c>
      <c r="E16" s="132"/>
      <c r="F16" s="34">
        <v>2</v>
      </c>
      <c r="G16" s="132"/>
      <c r="H16" s="227"/>
      <c r="I16" s="31">
        <v>6</v>
      </c>
      <c r="J16" s="133"/>
      <c r="K16" s="35">
        <v>19.919999999999998</v>
      </c>
      <c r="L16" s="202">
        <f t="shared" si="0"/>
        <v>0</v>
      </c>
      <c r="M16" s="35">
        <v>1991.9999999999998</v>
      </c>
      <c r="N16" s="202">
        <f t="shared" si="1"/>
        <v>0</v>
      </c>
    </row>
    <row r="17" spans="1:14" ht="13.5" thickBot="1" x14ac:dyDescent="0.25">
      <c r="A17" s="25"/>
      <c r="B17" s="132"/>
      <c r="C17" s="132"/>
      <c r="D17" s="33">
        <v>5.25</v>
      </c>
      <c r="E17" s="132"/>
      <c r="F17" s="34">
        <v>3</v>
      </c>
      <c r="G17" s="132"/>
      <c r="H17" s="227"/>
      <c r="I17" s="31">
        <v>8</v>
      </c>
      <c r="J17" s="133"/>
      <c r="K17" s="35">
        <v>126</v>
      </c>
      <c r="L17" s="184">
        <f t="shared" si="0"/>
        <v>0</v>
      </c>
      <c r="M17" s="35">
        <v>12600</v>
      </c>
      <c r="N17" s="184">
        <f t="shared" si="1"/>
        <v>0</v>
      </c>
    </row>
    <row r="18" spans="1:14" x14ac:dyDescent="0.2">
      <c r="A18" s="25" t="s">
        <v>24</v>
      </c>
      <c r="B18" s="25"/>
      <c r="C18" s="25"/>
      <c r="D18" s="25"/>
      <c r="E18" s="25"/>
      <c r="F18" s="115">
        <v>250.25</v>
      </c>
      <c r="G18" s="200"/>
      <c r="H18" s="25"/>
      <c r="I18" s="25"/>
      <c r="J18" s="197"/>
      <c r="K18" s="36">
        <v>1128.4357352941174</v>
      </c>
      <c r="L18" s="203">
        <f>+SUM(L11:L17)</f>
        <v>0</v>
      </c>
      <c r="M18" s="36">
        <v>112843.57352941176</v>
      </c>
      <c r="N18" s="203">
        <f>+SUM(N11:N17)</f>
        <v>0</v>
      </c>
    </row>
    <row r="19" spans="1:14" x14ac:dyDescent="0.2">
      <c r="A19" s="25"/>
      <c r="B19" s="25"/>
      <c r="C19" s="25"/>
      <c r="D19" s="25"/>
      <c r="E19" s="25"/>
      <c r="F19" s="115">
        <v>432.85</v>
      </c>
      <c r="G19" s="200"/>
      <c r="H19" s="25"/>
      <c r="I19" s="25"/>
      <c r="J19" s="197"/>
      <c r="K19" s="35"/>
      <c r="L19" s="184"/>
      <c r="M19" s="35"/>
      <c r="N19" s="184"/>
    </row>
    <row r="20" spans="1:14" x14ac:dyDescent="0.2">
      <c r="A20" s="25"/>
      <c r="B20" s="25"/>
      <c r="C20" s="25"/>
      <c r="D20" s="25"/>
      <c r="E20" s="25"/>
      <c r="F20" s="114">
        <v>182.60000000000002</v>
      </c>
      <c r="G20" s="178"/>
      <c r="H20" s="21"/>
      <c r="I20" s="21"/>
      <c r="J20" s="211"/>
      <c r="K20" s="21"/>
      <c r="L20" s="184"/>
      <c r="M20" s="22" t="s">
        <v>19</v>
      </c>
      <c r="N20" s="178" t="s">
        <v>19</v>
      </c>
    </row>
    <row r="21" spans="1:14" x14ac:dyDescent="0.2">
      <c r="A21" s="23" t="s">
        <v>25</v>
      </c>
      <c r="B21" s="23"/>
      <c r="C21" s="23"/>
      <c r="D21" s="23"/>
      <c r="E21" s="23"/>
      <c r="F21" s="24" t="s">
        <v>2</v>
      </c>
      <c r="G21" s="196" t="s">
        <v>2</v>
      </c>
      <c r="H21" s="24" t="s">
        <v>21</v>
      </c>
      <c r="I21" s="24" t="s">
        <v>22</v>
      </c>
      <c r="J21" s="196" t="s">
        <v>22</v>
      </c>
      <c r="K21" s="24" t="s">
        <v>11</v>
      </c>
      <c r="L21" s="202" t="s">
        <v>11</v>
      </c>
      <c r="M21" s="24" t="s">
        <v>11</v>
      </c>
      <c r="N21" s="196" t="s">
        <v>11</v>
      </c>
    </row>
    <row r="22" spans="1:14" x14ac:dyDescent="0.2">
      <c r="A22" s="25" t="s">
        <v>26</v>
      </c>
      <c r="B22" s="25"/>
      <c r="C22" s="25"/>
      <c r="D22" s="25"/>
      <c r="E22" s="25"/>
      <c r="F22" s="25"/>
      <c r="G22" s="178"/>
      <c r="H22" s="25"/>
      <c r="I22" s="25"/>
      <c r="J22" s="211"/>
      <c r="K22" s="25"/>
      <c r="L22" s="184"/>
      <c r="M22" s="25"/>
      <c r="N22" s="184"/>
    </row>
    <row r="23" spans="1:14" x14ac:dyDescent="0.2">
      <c r="A23" s="25"/>
      <c r="B23" s="25" t="s">
        <v>27</v>
      </c>
      <c r="C23" s="25"/>
      <c r="D23" s="25"/>
      <c r="E23" s="25"/>
      <c r="G23" s="105"/>
      <c r="J23" s="105"/>
      <c r="K23" s="127"/>
      <c r="L23" s="105"/>
      <c r="N23" s="105"/>
    </row>
    <row r="24" spans="1:14" x14ac:dyDescent="0.2">
      <c r="A24" s="25"/>
      <c r="B24" s="25"/>
      <c r="C24" s="25" t="s">
        <v>380</v>
      </c>
      <c r="D24" s="25"/>
      <c r="E24" s="25"/>
      <c r="F24" s="34">
        <v>1</v>
      </c>
      <c r="G24" s="132"/>
      <c r="H24" s="227" t="s">
        <v>148</v>
      </c>
      <c r="I24" s="35">
        <v>22.75</v>
      </c>
      <c r="J24" s="133"/>
      <c r="K24" s="35">
        <v>22.75</v>
      </c>
      <c r="L24" s="202">
        <f t="shared" ref="L24:L28" si="2">+J24*G24</f>
        <v>0</v>
      </c>
      <c r="M24" s="35">
        <v>2275</v>
      </c>
      <c r="N24" s="202">
        <f t="shared" ref="N24:N28" si="3">+L24*E$7</f>
        <v>0</v>
      </c>
    </row>
    <row r="25" spans="1:14" x14ac:dyDescent="0.2">
      <c r="A25" s="25"/>
      <c r="B25" s="25"/>
      <c r="C25" s="25" t="s">
        <v>432</v>
      </c>
      <c r="D25" s="25"/>
      <c r="E25" s="25"/>
      <c r="F25" s="34">
        <v>1</v>
      </c>
      <c r="G25" s="132"/>
      <c r="H25" s="227" t="s">
        <v>148</v>
      </c>
      <c r="I25" s="35">
        <v>16.25</v>
      </c>
      <c r="J25" s="133"/>
      <c r="K25" s="35">
        <v>16.25</v>
      </c>
      <c r="L25" s="202">
        <f t="shared" si="2"/>
        <v>0</v>
      </c>
      <c r="M25" s="35">
        <v>1625</v>
      </c>
      <c r="N25" s="202">
        <f t="shared" si="3"/>
        <v>0</v>
      </c>
    </row>
    <row r="26" spans="1:14" x14ac:dyDescent="0.2">
      <c r="A26" s="25"/>
      <c r="B26" s="132"/>
      <c r="C26" s="132"/>
      <c r="D26" s="25"/>
      <c r="E26" s="25"/>
      <c r="F26" s="34">
        <v>1</v>
      </c>
      <c r="G26" s="132"/>
      <c r="H26" s="227"/>
      <c r="I26" s="35">
        <v>0</v>
      </c>
      <c r="J26" s="133"/>
      <c r="K26" s="35">
        <v>0</v>
      </c>
      <c r="L26" s="202">
        <f t="shared" si="2"/>
        <v>0</v>
      </c>
      <c r="M26" s="35">
        <v>0</v>
      </c>
      <c r="N26" s="202">
        <f t="shared" si="3"/>
        <v>0</v>
      </c>
    </row>
    <row r="27" spans="1:14" x14ac:dyDescent="0.2">
      <c r="A27" s="25"/>
      <c r="B27" s="132"/>
      <c r="C27" s="132"/>
      <c r="D27" s="25"/>
      <c r="E27" s="25"/>
      <c r="F27" s="34">
        <v>1</v>
      </c>
      <c r="G27" s="132"/>
      <c r="H27" s="227"/>
      <c r="I27" s="35">
        <v>0</v>
      </c>
      <c r="J27" s="133"/>
      <c r="K27" s="35">
        <v>0</v>
      </c>
      <c r="L27" s="202">
        <f t="shared" si="2"/>
        <v>0</v>
      </c>
      <c r="M27" s="35">
        <v>0</v>
      </c>
      <c r="N27" s="202">
        <f t="shared" si="3"/>
        <v>0</v>
      </c>
    </row>
    <row r="28" spans="1:14" x14ac:dyDescent="0.2">
      <c r="A28" s="25"/>
      <c r="B28" s="25" t="s">
        <v>111</v>
      </c>
      <c r="C28" s="25"/>
      <c r="D28" s="25"/>
      <c r="E28" s="25"/>
      <c r="F28" s="34">
        <v>1</v>
      </c>
      <c r="G28" s="132"/>
      <c r="H28" s="227" t="s">
        <v>148</v>
      </c>
      <c r="I28" s="35">
        <v>28.872399999999999</v>
      </c>
      <c r="J28" s="133"/>
      <c r="K28" s="35">
        <v>28.872399999999999</v>
      </c>
      <c r="L28" s="202">
        <f t="shared" si="2"/>
        <v>0</v>
      </c>
      <c r="M28" s="35">
        <v>2887.24</v>
      </c>
      <c r="N28" s="202">
        <f t="shared" si="3"/>
        <v>0</v>
      </c>
    </row>
    <row r="29" spans="1:14" x14ac:dyDescent="0.2">
      <c r="A29" s="25"/>
      <c r="B29" s="25" t="s">
        <v>109</v>
      </c>
      <c r="C29" s="25"/>
      <c r="D29" s="25"/>
      <c r="G29" s="105"/>
      <c r="J29" s="105"/>
      <c r="K29" s="127"/>
      <c r="L29" s="105"/>
      <c r="N29" s="105"/>
    </row>
    <row r="30" spans="1:14" x14ac:dyDescent="0.2">
      <c r="A30" s="25"/>
      <c r="B30" s="25"/>
      <c r="C30" s="25" t="s">
        <v>377</v>
      </c>
      <c r="D30" s="25"/>
      <c r="E30" s="25"/>
      <c r="F30" s="25">
        <v>210</v>
      </c>
      <c r="G30" s="132"/>
      <c r="H30" s="227" t="s">
        <v>83</v>
      </c>
      <c r="I30" s="35">
        <v>0.17</v>
      </c>
      <c r="J30" s="133"/>
      <c r="K30" s="35">
        <v>35.700000000000003</v>
      </c>
      <c r="L30" s="202">
        <f t="shared" ref="L30:L46" si="4">+J30*G30</f>
        <v>0</v>
      </c>
      <c r="M30" s="35">
        <v>3570.0000000000005</v>
      </c>
      <c r="N30" s="202">
        <f t="shared" ref="N30:N34" si="5">+L30*E$7</f>
        <v>0</v>
      </c>
    </row>
    <row r="31" spans="1:14" x14ac:dyDescent="0.2">
      <c r="A31" s="25"/>
      <c r="B31" s="25"/>
      <c r="C31" s="25" t="s">
        <v>357</v>
      </c>
      <c r="D31" s="25"/>
      <c r="E31" s="25"/>
      <c r="F31" s="25">
        <v>14.7</v>
      </c>
      <c r="G31" s="132"/>
      <c r="H31" s="227" t="s">
        <v>83</v>
      </c>
      <c r="I31" s="35">
        <v>0.56999999999999995</v>
      </c>
      <c r="J31" s="133"/>
      <c r="K31" s="35">
        <v>8.3789999999999996</v>
      </c>
      <c r="L31" s="202">
        <f t="shared" si="4"/>
        <v>0</v>
      </c>
      <c r="M31" s="35">
        <v>837.9</v>
      </c>
      <c r="N31" s="202">
        <f t="shared" si="5"/>
        <v>0</v>
      </c>
    </row>
    <row r="32" spans="1:14" x14ac:dyDescent="0.2">
      <c r="A32" s="25"/>
      <c r="B32" s="132"/>
      <c r="C32" s="132"/>
      <c r="D32" s="25"/>
      <c r="E32" s="25"/>
      <c r="F32" s="25">
        <v>0</v>
      </c>
      <c r="G32" s="132"/>
      <c r="H32" s="227"/>
      <c r="I32" s="35">
        <v>0</v>
      </c>
      <c r="J32" s="133"/>
      <c r="K32" s="35">
        <v>0</v>
      </c>
      <c r="L32" s="202">
        <f t="shared" si="4"/>
        <v>0</v>
      </c>
      <c r="M32" s="35">
        <v>0</v>
      </c>
      <c r="N32" s="202">
        <f t="shared" si="5"/>
        <v>0</v>
      </c>
    </row>
    <row r="33" spans="1:14" x14ac:dyDescent="0.2">
      <c r="A33" s="25"/>
      <c r="B33" s="132"/>
      <c r="C33" s="132"/>
      <c r="D33" s="25"/>
      <c r="E33" s="25"/>
      <c r="F33" s="25">
        <v>0</v>
      </c>
      <c r="G33" s="132"/>
      <c r="H33" s="227"/>
      <c r="I33" s="35">
        <v>0</v>
      </c>
      <c r="J33" s="133"/>
      <c r="K33" s="35">
        <v>0</v>
      </c>
      <c r="L33" s="202">
        <f t="shared" si="4"/>
        <v>0</v>
      </c>
      <c r="M33" s="35">
        <v>0</v>
      </c>
      <c r="N33" s="202">
        <f t="shared" si="5"/>
        <v>0</v>
      </c>
    </row>
    <row r="34" spans="1:14" x14ac:dyDescent="0.2">
      <c r="A34" s="25"/>
      <c r="B34" s="132"/>
      <c r="C34" s="132"/>
      <c r="D34" s="25"/>
      <c r="E34" s="25"/>
      <c r="F34" s="25">
        <v>0</v>
      </c>
      <c r="G34" s="132"/>
      <c r="H34" s="227"/>
      <c r="I34" s="35">
        <v>0</v>
      </c>
      <c r="J34" s="133"/>
      <c r="K34" s="35">
        <v>0</v>
      </c>
      <c r="L34" s="202">
        <f t="shared" si="4"/>
        <v>0</v>
      </c>
      <c r="M34" s="35">
        <v>0</v>
      </c>
      <c r="N34" s="202">
        <f t="shared" si="5"/>
        <v>0</v>
      </c>
    </row>
    <row r="35" spans="1:14" x14ac:dyDescent="0.2">
      <c r="A35" s="25"/>
      <c r="B35" s="25" t="s">
        <v>94</v>
      </c>
      <c r="C35" s="25"/>
      <c r="D35" s="25"/>
      <c r="E35" s="25"/>
      <c r="F35" s="25"/>
      <c r="G35" s="105"/>
      <c r="J35" s="105"/>
      <c r="K35" s="127"/>
      <c r="L35" s="105"/>
      <c r="N35" s="105"/>
    </row>
    <row r="36" spans="1:14" x14ac:dyDescent="0.2">
      <c r="A36" s="25"/>
      <c r="B36" s="25"/>
      <c r="C36" s="25" t="s">
        <v>375</v>
      </c>
      <c r="D36" s="25"/>
      <c r="E36" s="25"/>
      <c r="F36" s="25">
        <v>7</v>
      </c>
      <c r="G36" s="132"/>
      <c r="H36" s="227" t="s">
        <v>363</v>
      </c>
      <c r="I36" s="35">
        <v>0.51</v>
      </c>
      <c r="J36" s="133"/>
      <c r="K36" s="35">
        <v>3.5700000000000003</v>
      </c>
      <c r="L36" s="202">
        <f t="shared" si="4"/>
        <v>0</v>
      </c>
      <c r="M36" s="35">
        <v>357</v>
      </c>
      <c r="N36" s="202">
        <f t="shared" ref="N36:N52" si="6">+L36*E$7</f>
        <v>0</v>
      </c>
    </row>
    <row r="37" spans="1:14" x14ac:dyDescent="0.2">
      <c r="A37" s="25"/>
      <c r="B37" s="25"/>
      <c r="C37" s="25" t="s">
        <v>383</v>
      </c>
      <c r="D37" s="25"/>
      <c r="E37" s="25"/>
      <c r="F37" s="25">
        <v>14</v>
      </c>
      <c r="G37" s="132"/>
      <c r="H37" s="227" t="s">
        <v>363</v>
      </c>
      <c r="I37" s="35">
        <v>0.71</v>
      </c>
      <c r="J37" s="133"/>
      <c r="K37" s="35">
        <v>9.94</v>
      </c>
      <c r="L37" s="202">
        <f t="shared" si="4"/>
        <v>0</v>
      </c>
      <c r="M37" s="35">
        <v>994</v>
      </c>
      <c r="N37" s="202">
        <f t="shared" si="6"/>
        <v>0</v>
      </c>
    </row>
    <row r="38" spans="1:14" x14ac:dyDescent="0.2">
      <c r="A38" s="25"/>
      <c r="B38" s="25"/>
      <c r="C38" s="25" t="s">
        <v>417</v>
      </c>
      <c r="D38" s="25"/>
      <c r="E38" s="25"/>
      <c r="F38" s="25">
        <v>14</v>
      </c>
      <c r="G38" s="132"/>
      <c r="H38" s="227" t="s">
        <v>363</v>
      </c>
      <c r="I38" s="35">
        <v>0.06</v>
      </c>
      <c r="J38" s="133"/>
      <c r="K38" s="35">
        <v>0.84</v>
      </c>
      <c r="L38" s="202">
        <f t="shared" si="4"/>
        <v>0</v>
      </c>
      <c r="M38" s="35">
        <v>84</v>
      </c>
      <c r="N38" s="202">
        <f t="shared" si="6"/>
        <v>0</v>
      </c>
    </row>
    <row r="39" spans="1:14" x14ac:dyDescent="0.2">
      <c r="A39" s="25"/>
      <c r="B39" s="132"/>
      <c r="C39" s="132"/>
      <c r="D39" s="25"/>
      <c r="E39" s="25"/>
      <c r="F39" s="25">
        <v>0</v>
      </c>
      <c r="G39" s="132"/>
      <c r="H39" s="227"/>
      <c r="I39" s="35">
        <v>0</v>
      </c>
      <c r="J39" s="133"/>
      <c r="K39" s="35">
        <v>0</v>
      </c>
      <c r="L39" s="202">
        <f t="shared" si="4"/>
        <v>0</v>
      </c>
      <c r="M39" s="35">
        <v>0</v>
      </c>
      <c r="N39" s="202">
        <f t="shared" si="6"/>
        <v>0</v>
      </c>
    </row>
    <row r="40" spans="1:14" x14ac:dyDescent="0.2">
      <c r="A40" s="25"/>
      <c r="B40" s="132"/>
      <c r="C40" s="132"/>
      <c r="D40" s="25"/>
      <c r="E40" s="25"/>
      <c r="F40" s="25">
        <v>0</v>
      </c>
      <c r="G40" s="132"/>
      <c r="H40" s="227"/>
      <c r="I40" s="35">
        <v>0</v>
      </c>
      <c r="J40" s="133"/>
      <c r="K40" s="35">
        <v>0</v>
      </c>
      <c r="L40" s="202">
        <f t="shared" si="4"/>
        <v>0</v>
      </c>
      <c r="M40" s="35">
        <v>0</v>
      </c>
      <c r="N40" s="202">
        <f t="shared" si="6"/>
        <v>0</v>
      </c>
    </row>
    <row r="41" spans="1:14" x14ac:dyDescent="0.2">
      <c r="A41" s="25"/>
      <c r="B41" s="132"/>
      <c r="C41" s="132"/>
      <c r="D41" s="25"/>
      <c r="E41" s="25"/>
      <c r="F41" s="25">
        <v>0</v>
      </c>
      <c r="G41" s="132"/>
      <c r="H41" s="227"/>
      <c r="I41" s="35">
        <v>0</v>
      </c>
      <c r="J41" s="133"/>
      <c r="K41" s="35">
        <v>0</v>
      </c>
      <c r="L41" s="202">
        <f t="shared" si="4"/>
        <v>0</v>
      </c>
      <c r="M41" s="35">
        <v>0</v>
      </c>
      <c r="N41" s="202">
        <f t="shared" si="6"/>
        <v>0</v>
      </c>
    </row>
    <row r="42" spans="1:14" x14ac:dyDescent="0.2">
      <c r="A42" s="25"/>
      <c r="B42" s="25" t="s">
        <v>43</v>
      </c>
      <c r="C42" s="25"/>
      <c r="D42" s="25"/>
      <c r="E42" s="25"/>
      <c r="F42" s="37">
        <v>1</v>
      </c>
      <c r="G42" s="132"/>
      <c r="H42" s="227" t="s">
        <v>148</v>
      </c>
      <c r="I42" s="35">
        <v>23.88</v>
      </c>
      <c r="J42" s="133"/>
      <c r="K42" s="35">
        <v>23.88</v>
      </c>
      <c r="L42" s="202">
        <f t="shared" si="4"/>
        <v>0</v>
      </c>
      <c r="M42" s="35">
        <v>2388</v>
      </c>
      <c r="N42" s="202">
        <f t="shared" si="6"/>
        <v>0</v>
      </c>
    </row>
    <row r="43" spans="1:14" x14ac:dyDescent="0.2">
      <c r="A43" s="25"/>
      <c r="B43" s="25" t="s">
        <v>93</v>
      </c>
      <c r="C43" s="25"/>
      <c r="D43" s="25"/>
      <c r="E43" s="25"/>
      <c r="F43" s="38">
        <v>0.1</v>
      </c>
      <c r="G43" s="137"/>
      <c r="H43" s="227" t="s">
        <v>30</v>
      </c>
      <c r="I43" s="35">
        <v>23.88</v>
      </c>
      <c r="J43" s="133"/>
      <c r="K43" s="35">
        <v>2.3879999999999999</v>
      </c>
      <c r="L43" s="202">
        <f t="shared" si="4"/>
        <v>0</v>
      </c>
      <c r="M43" s="35">
        <v>238.79999999999998</v>
      </c>
      <c r="N43" s="202">
        <f t="shared" si="6"/>
        <v>0</v>
      </c>
    </row>
    <row r="44" spans="1:14" x14ac:dyDescent="0.2">
      <c r="A44" s="25"/>
      <c r="B44" s="25" t="s">
        <v>92</v>
      </c>
      <c r="C44" s="25"/>
      <c r="D44" s="25"/>
      <c r="E44" s="25"/>
      <c r="F44" s="25">
        <v>1</v>
      </c>
      <c r="G44" s="132"/>
      <c r="H44" s="227" t="s">
        <v>148</v>
      </c>
      <c r="I44" s="35">
        <v>36.047681666666669</v>
      </c>
      <c r="J44" s="133"/>
      <c r="K44" s="35">
        <v>36.047681666666669</v>
      </c>
      <c r="L44" s="202">
        <f t="shared" si="4"/>
        <v>0</v>
      </c>
      <c r="M44" s="35">
        <v>3604.7681666666667</v>
      </c>
      <c r="N44" s="202">
        <f t="shared" si="6"/>
        <v>0</v>
      </c>
    </row>
    <row r="45" spans="1:14" x14ac:dyDescent="0.2">
      <c r="A45" s="25"/>
      <c r="B45" s="25" t="s">
        <v>12</v>
      </c>
      <c r="C45" s="25"/>
      <c r="D45" s="25"/>
      <c r="E45" s="25"/>
      <c r="F45" s="34">
        <v>2.6000001000000004</v>
      </c>
      <c r="G45" s="132"/>
      <c r="H45" s="227" t="s">
        <v>31</v>
      </c>
      <c r="I45" s="35">
        <v>15</v>
      </c>
      <c r="J45" s="133"/>
      <c r="K45" s="35">
        <v>39.000001500000003</v>
      </c>
      <c r="L45" s="202">
        <f t="shared" si="4"/>
        <v>0</v>
      </c>
      <c r="M45" s="35">
        <v>3900.0001500000003</v>
      </c>
      <c r="N45" s="202">
        <f t="shared" si="6"/>
        <v>0</v>
      </c>
    </row>
    <row r="46" spans="1:14" x14ac:dyDescent="0.2">
      <c r="A46" s="25"/>
      <c r="B46" s="25" t="s">
        <v>98</v>
      </c>
      <c r="C46" s="25"/>
      <c r="D46" s="25"/>
      <c r="E46" s="25"/>
      <c r="F46" s="34">
        <v>1</v>
      </c>
      <c r="G46" s="132"/>
      <c r="H46" s="227" t="s">
        <v>148</v>
      </c>
      <c r="I46" s="35">
        <v>24</v>
      </c>
      <c r="J46" s="133"/>
      <c r="K46" s="35">
        <v>24</v>
      </c>
      <c r="L46" s="202">
        <f t="shared" si="4"/>
        <v>0</v>
      </c>
      <c r="M46" s="35">
        <v>2400</v>
      </c>
      <c r="N46" s="202">
        <f t="shared" si="6"/>
        <v>0</v>
      </c>
    </row>
    <row r="47" spans="1:14" x14ac:dyDescent="0.2">
      <c r="A47" s="25"/>
      <c r="B47" s="132"/>
      <c r="C47" s="132"/>
      <c r="D47" s="25"/>
      <c r="E47" s="25"/>
      <c r="F47" s="34"/>
      <c r="G47" s="132"/>
      <c r="H47" s="227"/>
      <c r="I47" s="35"/>
      <c r="J47" s="133"/>
      <c r="K47" s="35">
        <v>0</v>
      </c>
      <c r="L47" s="202">
        <f t="shared" ref="L47" si="7">+J47*G47</f>
        <v>0</v>
      </c>
      <c r="M47" s="35">
        <v>0</v>
      </c>
      <c r="N47" s="202">
        <f t="shared" si="6"/>
        <v>0</v>
      </c>
    </row>
    <row r="48" spans="1:14" x14ac:dyDescent="0.2">
      <c r="A48" s="25"/>
      <c r="B48" s="25" t="s">
        <v>312</v>
      </c>
      <c r="C48" s="25"/>
      <c r="D48" s="25"/>
      <c r="E48" s="25"/>
      <c r="F48" s="34">
        <v>1</v>
      </c>
      <c r="G48" s="132"/>
      <c r="H48" s="227"/>
      <c r="I48" s="35">
        <v>0</v>
      </c>
      <c r="J48" s="133"/>
      <c r="K48" s="35">
        <v>0</v>
      </c>
      <c r="L48" s="202">
        <f t="shared" ref="L48:L51" si="8">+J48*G48</f>
        <v>0</v>
      </c>
      <c r="M48" s="35">
        <v>0</v>
      </c>
      <c r="N48" s="202">
        <f t="shared" si="6"/>
        <v>0</v>
      </c>
    </row>
    <row r="49" spans="1:14" x14ac:dyDescent="0.2">
      <c r="A49" s="25"/>
      <c r="B49" s="25" t="s">
        <v>313</v>
      </c>
      <c r="C49" s="25"/>
      <c r="D49" s="25"/>
      <c r="E49" s="25"/>
      <c r="F49" s="34">
        <v>1</v>
      </c>
      <c r="G49" s="132"/>
      <c r="H49" s="227"/>
      <c r="I49" s="35">
        <v>0</v>
      </c>
      <c r="J49" s="133"/>
      <c r="K49" s="35">
        <v>0</v>
      </c>
      <c r="L49" s="202">
        <f t="shared" si="8"/>
        <v>0</v>
      </c>
      <c r="M49" s="35">
        <v>0</v>
      </c>
      <c r="N49" s="202">
        <f t="shared" si="6"/>
        <v>0</v>
      </c>
    </row>
    <row r="50" spans="1:14" x14ac:dyDescent="0.2">
      <c r="A50" s="25"/>
      <c r="B50" s="25" t="s">
        <v>314</v>
      </c>
      <c r="C50" s="25"/>
      <c r="D50" s="25"/>
      <c r="E50" s="25"/>
      <c r="F50" s="34">
        <v>1</v>
      </c>
      <c r="G50" s="132"/>
      <c r="H50" s="227"/>
      <c r="I50" s="35">
        <v>0</v>
      </c>
      <c r="J50" s="133"/>
      <c r="K50" s="35">
        <v>0</v>
      </c>
      <c r="L50" s="202">
        <f t="shared" si="8"/>
        <v>0</v>
      </c>
      <c r="M50" s="35">
        <v>0</v>
      </c>
      <c r="N50" s="202">
        <f t="shared" si="6"/>
        <v>0</v>
      </c>
    </row>
    <row r="51" spans="1:14" x14ac:dyDescent="0.2">
      <c r="A51" s="25"/>
      <c r="B51" s="25" t="s">
        <v>315</v>
      </c>
      <c r="C51" s="25"/>
      <c r="D51" s="25"/>
      <c r="E51" s="25"/>
      <c r="F51" s="34">
        <v>1</v>
      </c>
      <c r="G51" s="132"/>
      <c r="H51" s="227"/>
      <c r="I51" s="35">
        <v>0</v>
      </c>
      <c r="J51" s="133"/>
      <c r="K51" s="35">
        <v>0</v>
      </c>
      <c r="L51" s="202">
        <f t="shared" si="8"/>
        <v>0</v>
      </c>
      <c r="M51" s="35">
        <v>0</v>
      </c>
      <c r="N51" s="202">
        <f t="shared" si="6"/>
        <v>0</v>
      </c>
    </row>
    <row r="52" spans="1:14" ht="13.5" thickBot="1" x14ac:dyDescent="0.25">
      <c r="A52" s="25"/>
      <c r="B52" s="25" t="s">
        <v>32</v>
      </c>
      <c r="C52" s="25"/>
      <c r="D52" s="25"/>
      <c r="E52" s="25"/>
      <c r="F52" s="25"/>
      <c r="G52" s="200"/>
      <c r="H52" s="21"/>
      <c r="I52" s="39">
        <v>0.08</v>
      </c>
      <c r="J52" s="215"/>
      <c r="K52" s="35">
        <v>15.976071437625571</v>
      </c>
      <c r="L52" s="184">
        <f>+SUM(L22:L51)/2*J52</f>
        <v>0</v>
      </c>
      <c r="M52" s="35">
        <v>1597.6071437625571</v>
      </c>
      <c r="N52" s="184">
        <f t="shared" si="6"/>
        <v>0</v>
      </c>
    </row>
    <row r="53" spans="1:14" x14ac:dyDescent="0.2">
      <c r="A53" s="25" t="s">
        <v>33</v>
      </c>
      <c r="B53" s="25"/>
      <c r="C53" s="25"/>
      <c r="D53" s="25"/>
      <c r="E53" s="25"/>
      <c r="F53" s="25"/>
      <c r="G53" s="200"/>
      <c r="H53" s="25"/>
      <c r="I53" s="25"/>
      <c r="J53" s="197"/>
      <c r="K53" s="36">
        <v>267.59315460429224</v>
      </c>
      <c r="L53" s="203">
        <f>+SUM(L24:L52)</f>
        <v>0</v>
      </c>
      <c r="M53" s="36">
        <v>26759.315460429221</v>
      </c>
      <c r="N53" s="203">
        <f>+SUM(N24:N52)</f>
        <v>0</v>
      </c>
    </row>
    <row r="54" spans="1:14" x14ac:dyDescent="0.2">
      <c r="B54" s="25"/>
      <c r="C54" s="25"/>
      <c r="D54" s="25"/>
      <c r="E54" s="25"/>
      <c r="F54" s="25"/>
      <c r="G54" s="200"/>
      <c r="H54" s="25"/>
      <c r="I54" s="25"/>
      <c r="J54" s="197"/>
      <c r="K54" s="35"/>
      <c r="L54" s="184"/>
      <c r="M54" s="35"/>
      <c r="N54" s="184"/>
    </row>
    <row r="55" spans="1:14" x14ac:dyDescent="0.2">
      <c r="A55" s="25" t="s">
        <v>34</v>
      </c>
      <c r="B55" s="25"/>
      <c r="C55" s="25"/>
      <c r="D55" s="25"/>
      <c r="E55" s="25"/>
      <c r="F55" s="25"/>
      <c r="G55" s="200"/>
      <c r="H55" s="25"/>
      <c r="I55" s="25"/>
      <c r="J55" s="197"/>
      <c r="K55" s="35">
        <v>860.84258068982513</v>
      </c>
      <c r="L55" s="202">
        <f>+L18-L53</f>
        <v>0</v>
      </c>
      <c r="M55" s="35">
        <v>86084.258068982541</v>
      </c>
      <c r="N55" s="202">
        <f>+N18-N53</f>
        <v>0</v>
      </c>
    </row>
    <row r="56" spans="1:14" x14ac:dyDescent="0.2">
      <c r="A56" s="25"/>
      <c r="B56" s="25" t="s">
        <v>527</v>
      </c>
      <c r="C56" s="25"/>
      <c r="D56" s="25"/>
      <c r="E56" s="25"/>
      <c r="F56" s="25"/>
      <c r="G56" s="178"/>
      <c r="H56" s="17"/>
      <c r="I56" s="40">
        <v>-28.993039236693463</v>
      </c>
      <c r="J56" s="210" t="str">
        <f>IF((E11*G11+E12*G12)=0,"n/a",(L53-SUM(L13:L17))/(E11*G11+E12*G12))</f>
        <v>n/a</v>
      </c>
      <c r="K56" s="25" t="s">
        <v>7</v>
      </c>
      <c r="L56" s="184"/>
      <c r="M56" s="25"/>
      <c r="N56" s="184"/>
    </row>
    <row r="57" spans="1:14" x14ac:dyDescent="0.2">
      <c r="A57" s="25"/>
      <c r="B57" s="25"/>
      <c r="C57" s="25"/>
      <c r="D57" s="25"/>
      <c r="E57" s="25"/>
      <c r="F57" s="21"/>
      <c r="G57" s="178"/>
      <c r="H57" s="21"/>
      <c r="I57" s="21"/>
      <c r="J57" s="211"/>
      <c r="K57" s="21"/>
      <c r="L57" s="184"/>
      <c r="M57" s="22" t="s">
        <v>19</v>
      </c>
      <c r="N57" s="178" t="s">
        <v>19</v>
      </c>
    </row>
    <row r="58" spans="1:14" x14ac:dyDescent="0.2">
      <c r="A58" s="23" t="s">
        <v>36</v>
      </c>
      <c r="B58" s="23"/>
      <c r="C58" s="23"/>
      <c r="D58" s="23"/>
      <c r="E58" s="23"/>
      <c r="F58" s="24" t="s">
        <v>2</v>
      </c>
      <c r="G58" s="196" t="s">
        <v>2</v>
      </c>
      <c r="H58" s="24" t="s">
        <v>21</v>
      </c>
      <c r="I58" s="24" t="s">
        <v>22</v>
      </c>
      <c r="J58" s="196" t="s">
        <v>22</v>
      </c>
      <c r="K58" s="24" t="s">
        <v>11</v>
      </c>
      <c r="L58" s="202" t="s">
        <v>11</v>
      </c>
      <c r="M58" s="24" t="s">
        <v>11</v>
      </c>
      <c r="N58" s="202" t="s">
        <v>11</v>
      </c>
    </row>
    <row r="59" spans="1:14" x14ac:dyDescent="0.2">
      <c r="A59" s="25"/>
      <c r="B59" s="25" t="s">
        <v>91</v>
      </c>
      <c r="C59" s="25"/>
      <c r="D59" s="25"/>
      <c r="E59" s="25"/>
      <c r="F59" s="25">
        <v>1</v>
      </c>
      <c r="G59" s="132"/>
      <c r="H59" s="227" t="s">
        <v>148</v>
      </c>
      <c r="I59" s="35">
        <v>92.050438095238093</v>
      </c>
      <c r="J59" s="133"/>
      <c r="K59" s="35">
        <v>92.050438095238093</v>
      </c>
      <c r="L59" s="202">
        <f t="shared" ref="L59:L67" si="9">+G59*J59</f>
        <v>0</v>
      </c>
      <c r="M59" s="35">
        <v>9205.0438095238096</v>
      </c>
      <c r="N59" s="202">
        <f t="shared" ref="N59:N67" si="10">+L59*E$7</f>
        <v>0</v>
      </c>
    </row>
    <row r="60" spans="1:14" x14ac:dyDescent="0.2">
      <c r="A60" s="25"/>
      <c r="B60" s="25" t="s">
        <v>90</v>
      </c>
      <c r="C60" s="25"/>
      <c r="D60" s="25"/>
      <c r="E60" s="25"/>
      <c r="F60" s="25">
        <v>1</v>
      </c>
      <c r="G60" s="132"/>
      <c r="H60" s="227" t="s">
        <v>148</v>
      </c>
      <c r="I60" s="35">
        <v>88.98</v>
      </c>
      <c r="J60" s="133"/>
      <c r="K60" s="35">
        <v>88.98</v>
      </c>
      <c r="L60" s="202">
        <f t="shared" si="9"/>
        <v>0</v>
      </c>
      <c r="M60" s="35">
        <v>8898</v>
      </c>
      <c r="N60" s="202">
        <f t="shared" si="10"/>
        <v>0</v>
      </c>
    </row>
    <row r="61" spans="1:14" x14ac:dyDescent="0.2">
      <c r="A61" s="25"/>
      <c r="B61" s="25" t="s">
        <v>89</v>
      </c>
      <c r="C61" s="25"/>
      <c r="D61" s="25"/>
      <c r="E61" s="25"/>
      <c r="F61" s="41">
        <v>1477.4562500000004</v>
      </c>
      <c r="G61" s="132"/>
      <c r="H61" s="227" t="s">
        <v>88</v>
      </c>
      <c r="I61" s="39">
        <v>0.08</v>
      </c>
      <c r="J61" s="215"/>
      <c r="K61" s="35">
        <v>118.19650000000003</v>
      </c>
      <c r="L61" s="202">
        <f t="shared" si="9"/>
        <v>0</v>
      </c>
      <c r="M61" s="35">
        <v>11819.650000000003</v>
      </c>
      <c r="N61" s="202">
        <f t="shared" si="10"/>
        <v>0</v>
      </c>
    </row>
    <row r="62" spans="1:14" x14ac:dyDescent="0.2">
      <c r="A62" s="25"/>
      <c r="B62" s="25" t="s">
        <v>87</v>
      </c>
      <c r="C62" s="25"/>
      <c r="D62" s="25"/>
      <c r="E62" s="25"/>
      <c r="F62" s="25">
        <v>1</v>
      </c>
      <c r="G62" s="132"/>
      <c r="H62" s="227" t="s">
        <v>148</v>
      </c>
      <c r="I62" s="35">
        <v>0</v>
      </c>
      <c r="J62" s="133"/>
      <c r="K62" s="35">
        <v>0</v>
      </c>
      <c r="L62" s="202">
        <f t="shared" si="9"/>
        <v>0</v>
      </c>
      <c r="M62" s="35">
        <v>0</v>
      </c>
      <c r="N62" s="202">
        <f t="shared" si="10"/>
        <v>0</v>
      </c>
    </row>
    <row r="63" spans="1:14" x14ac:dyDescent="0.2">
      <c r="A63" s="25"/>
      <c r="B63" s="25" t="s">
        <v>152</v>
      </c>
      <c r="C63" s="25"/>
      <c r="D63" s="25"/>
      <c r="E63" s="25"/>
      <c r="F63" s="25">
        <v>1</v>
      </c>
      <c r="G63" s="132"/>
      <c r="H63" s="227" t="s">
        <v>148</v>
      </c>
      <c r="I63" s="35">
        <v>0</v>
      </c>
      <c r="J63" s="133"/>
      <c r="K63" s="35">
        <v>0</v>
      </c>
      <c r="L63" s="202">
        <f>+J63*G63</f>
        <v>0</v>
      </c>
      <c r="M63" s="35">
        <v>0</v>
      </c>
      <c r="N63" s="202">
        <f t="shared" si="10"/>
        <v>0</v>
      </c>
    </row>
    <row r="64" spans="1:14" x14ac:dyDescent="0.2">
      <c r="A64" s="25"/>
      <c r="B64" s="25" t="s">
        <v>156</v>
      </c>
      <c r="C64" s="25"/>
      <c r="D64" s="25"/>
      <c r="E64" s="25"/>
      <c r="F64" s="25">
        <v>1</v>
      </c>
      <c r="G64" s="132"/>
      <c r="H64" s="227" t="s">
        <v>148</v>
      </c>
      <c r="I64" s="35">
        <v>0</v>
      </c>
      <c r="J64" s="133"/>
      <c r="K64" s="35">
        <v>0</v>
      </c>
      <c r="L64" s="202">
        <f>+J64*G64</f>
        <v>0</v>
      </c>
      <c r="M64" s="35">
        <v>0</v>
      </c>
      <c r="N64" s="202">
        <f t="shared" si="10"/>
        <v>0</v>
      </c>
    </row>
    <row r="65" spans="1:14" x14ac:dyDescent="0.2">
      <c r="A65" s="25"/>
      <c r="B65" s="25" t="s">
        <v>139</v>
      </c>
      <c r="C65" s="25"/>
      <c r="D65" s="25"/>
      <c r="E65" s="25"/>
      <c r="F65" s="25">
        <v>1</v>
      </c>
      <c r="G65" s="132"/>
      <c r="H65" s="227" t="s">
        <v>86</v>
      </c>
      <c r="I65" s="35">
        <v>186</v>
      </c>
      <c r="J65" s="133"/>
      <c r="K65" s="35">
        <v>186</v>
      </c>
      <c r="L65" s="202">
        <f t="shared" si="9"/>
        <v>0</v>
      </c>
      <c r="M65" s="35">
        <v>18600</v>
      </c>
      <c r="N65" s="202">
        <f t="shared" si="10"/>
        <v>0</v>
      </c>
    </row>
    <row r="66" spans="1:14" x14ac:dyDescent="0.2">
      <c r="A66" s="25"/>
      <c r="B66" s="132"/>
      <c r="C66" s="132"/>
      <c r="D66" s="25"/>
      <c r="E66" s="25"/>
      <c r="F66" s="25"/>
      <c r="G66" s="132"/>
      <c r="H66" s="227"/>
      <c r="I66" s="35"/>
      <c r="J66" s="133"/>
      <c r="K66" s="35">
        <v>0</v>
      </c>
      <c r="L66" s="202">
        <f t="shared" si="9"/>
        <v>0</v>
      </c>
      <c r="M66" s="35">
        <v>0</v>
      </c>
      <c r="N66" s="202">
        <f t="shared" si="10"/>
        <v>0</v>
      </c>
    </row>
    <row r="67" spans="1:14" ht="13.5" thickBot="1" x14ac:dyDescent="0.25">
      <c r="A67" s="25"/>
      <c r="B67" s="132"/>
      <c r="C67" s="132"/>
      <c r="D67" s="25"/>
      <c r="E67" s="25"/>
      <c r="F67" s="25"/>
      <c r="G67" s="132"/>
      <c r="H67" s="227"/>
      <c r="I67" s="35"/>
      <c r="J67" s="133"/>
      <c r="K67" s="35">
        <v>0</v>
      </c>
      <c r="L67" s="202">
        <f t="shared" si="9"/>
        <v>0</v>
      </c>
      <c r="M67" s="35">
        <v>0</v>
      </c>
      <c r="N67" s="202">
        <f t="shared" si="10"/>
        <v>0</v>
      </c>
    </row>
    <row r="68" spans="1:14" ht="13.5" thickBot="1" x14ac:dyDescent="0.25">
      <c r="A68" s="25" t="s">
        <v>37</v>
      </c>
      <c r="B68" s="25"/>
      <c r="C68" s="25"/>
      <c r="D68" s="25"/>
      <c r="E68" s="25"/>
      <c r="F68" s="25"/>
      <c r="G68" s="197"/>
      <c r="H68" s="25"/>
      <c r="I68" s="25"/>
      <c r="J68" s="197"/>
      <c r="K68" s="121">
        <v>485.2269380952381</v>
      </c>
      <c r="L68" s="204">
        <f>+SUM(L59:L65)</f>
        <v>0</v>
      </c>
      <c r="M68" s="121">
        <v>48522.693809523815</v>
      </c>
      <c r="N68" s="204">
        <f>+SUM(N59:N65)</f>
        <v>0</v>
      </c>
    </row>
    <row r="69" spans="1:14" ht="14.25" thickTop="1" thickBot="1" x14ac:dyDescent="0.25">
      <c r="A69" s="25" t="s">
        <v>82</v>
      </c>
      <c r="B69" s="25"/>
      <c r="C69" s="25"/>
      <c r="D69" s="25"/>
      <c r="E69" s="25"/>
      <c r="F69" s="25"/>
      <c r="G69" s="197"/>
      <c r="H69" s="25"/>
      <c r="I69" s="25"/>
      <c r="J69" s="197"/>
      <c r="K69" s="43">
        <v>752.82009269953028</v>
      </c>
      <c r="L69" s="205">
        <f>+L53+L68</f>
        <v>0</v>
      </c>
      <c r="M69" s="43">
        <v>75282.009269953036</v>
      </c>
      <c r="N69" s="205">
        <f>+N53+N68</f>
        <v>0</v>
      </c>
    </row>
    <row r="70" spans="1:14" ht="13.5" thickTop="1" x14ac:dyDescent="0.2">
      <c r="A70" s="25" t="s">
        <v>85</v>
      </c>
      <c r="B70" s="25"/>
      <c r="C70" s="25"/>
      <c r="D70" s="25"/>
      <c r="E70" s="25"/>
      <c r="F70" s="25"/>
      <c r="G70" s="197"/>
      <c r="H70" s="25"/>
      <c r="I70" s="25"/>
      <c r="J70" s="197"/>
      <c r="K70" s="35">
        <v>375.61564259458714</v>
      </c>
      <c r="L70" s="202">
        <f>+L18-L69</f>
        <v>0</v>
      </c>
      <c r="M70" s="35">
        <v>37561.564259458726</v>
      </c>
      <c r="N70" s="202">
        <f>+N18-N69</f>
        <v>0</v>
      </c>
    </row>
    <row r="71" spans="1:14" ht="13.5" thickBot="1" x14ac:dyDescent="0.25">
      <c r="A71" s="44"/>
      <c r="B71" s="44" t="s">
        <v>528</v>
      </c>
      <c r="C71" s="44"/>
      <c r="D71" s="44"/>
      <c r="E71" s="44"/>
      <c r="F71" s="44"/>
      <c r="G71" s="201"/>
      <c r="H71" s="44"/>
      <c r="I71" s="45">
        <v>164.90383912304202</v>
      </c>
      <c r="J71" s="212" t="str">
        <f>IF((E11*G11+E12*G12)=0,"n/a",(L69-SUM(L13:L17))/(E11*G11+E12*G12))</f>
        <v>n/a</v>
      </c>
      <c r="K71" s="44" t="s">
        <v>7</v>
      </c>
      <c r="L71" s="201"/>
      <c r="M71" s="44"/>
      <c r="N71" s="201"/>
    </row>
    <row r="72" spans="1:14" ht="13.5" thickTop="1" x14ac:dyDescent="0.2"/>
    <row r="73" spans="1:14" ht="15.75" x14ac:dyDescent="0.25">
      <c r="C73" s="234" t="s">
        <v>113</v>
      </c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18"/>
    </row>
    <row r="74" spans="1:14" s="46" customFormat="1" ht="51" x14ac:dyDescent="0.2">
      <c r="C74" s="112" t="s">
        <v>114</v>
      </c>
      <c r="D74" s="112" t="s">
        <v>516</v>
      </c>
      <c r="E74" s="113"/>
      <c r="F74" s="112" t="s">
        <v>517</v>
      </c>
      <c r="G74" s="113"/>
      <c r="H74" s="242" t="s">
        <v>529</v>
      </c>
      <c r="I74" s="243"/>
      <c r="K74" s="242" t="s">
        <v>171</v>
      </c>
      <c r="L74" s="244"/>
      <c r="M74" s="243"/>
    </row>
    <row r="75" spans="1:14" x14ac:dyDescent="0.2">
      <c r="C75" s="47">
        <v>0.95</v>
      </c>
      <c r="D75" s="111">
        <v>1338.6457352941172</v>
      </c>
      <c r="E75" s="111"/>
      <c r="F75" s="109">
        <v>499.58333333333337</v>
      </c>
      <c r="G75" s="109"/>
      <c r="H75" s="245">
        <v>26.253895562898045</v>
      </c>
      <c r="I75" s="246"/>
      <c r="J75" s="110"/>
      <c r="K75" s="247">
        <v>130.1872414129279</v>
      </c>
      <c r="L75" s="247"/>
      <c r="M75" s="248"/>
    </row>
    <row r="76" spans="1:14" x14ac:dyDescent="0.2">
      <c r="C76" s="48">
        <v>0.85</v>
      </c>
      <c r="D76" s="108">
        <v>1233.5407352941174</v>
      </c>
      <c r="E76" s="108"/>
      <c r="F76" s="107">
        <v>466.2166666666667</v>
      </c>
      <c r="G76" s="107"/>
      <c r="H76" s="249">
        <v>30.537747985748549</v>
      </c>
      <c r="I76" s="250"/>
      <c r="J76" s="101"/>
      <c r="K76" s="251">
        <v>145.50338746150766</v>
      </c>
      <c r="L76" s="251"/>
      <c r="M76" s="230"/>
    </row>
    <row r="77" spans="1:14" x14ac:dyDescent="0.2">
      <c r="C77" s="47">
        <v>0.75</v>
      </c>
      <c r="D77" s="111">
        <v>1128.4357352941174</v>
      </c>
      <c r="E77" s="111"/>
      <c r="F77" s="109">
        <v>432.85</v>
      </c>
      <c r="G77" s="109"/>
      <c r="H77" s="245">
        <v>36.49218352614519</v>
      </c>
      <c r="I77" s="246"/>
      <c r="J77" s="110"/>
      <c r="K77" s="247">
        <v>164.90383912304202</v>
      </c>
      <c r="L77" s="247"/>
      <c r="M77" s="248"/>
    </row>
    <row r="78" spans="1:14" x14ac:dyDescent="0.2">
      <c r="C78" s="48">
        <v>0.65</v>
      </c>
      <c r="D78" s="108">
        <v>1023.3307352941174</v>
      </c>
      <c r="E78" s="108"/>
      <c r="F78" s="107">
        <v>399.48333333333335</v>
      </c>
      <c r="G78" s="107"/>
      <c r="H78" s="249">
        <v>45.331120712408733</v>
      </c>
      <c r="I78" s="250"/>
      <c r="J78" s="101"/>
      <c r="K78" s="251">
        <v>190.27366052658695</v>
      </c>
      <c r="L78" s="251"/>
      <c r="M78" s="230"/>
    </row>
    <row r="79" spans="1:14" x14ac:dyDescent="0.2">
      <c r="C79" s="47">
        <v>0.55000000000000004</v>
      </c>
      <c r="D79" s="111">
        <v>918.22573529411738</v>
      </c>
      <c r="E79" s="111"/>
      <c r="F79" s="109">
        <v>366.11666666666667</v>
      </c>
      <c r="G79" s="109"/>
      <c r="H79" s="245">
        <v>59.820520026877276</v>
      </c>
      <c r="I79" s="246"/>
      <c r="J79" s="110"/>
      <c r="K79" s="247">
        <v>224.86887153142098</v>
      </c>
      <c r="L79" s="247"/>
      <c r="M79" s="248"/>
    </row>
    <row r="81" spans="1:14" x14ac:dyDescent="0.2">
      <c r="D81" s="12" t="str">
        <f>"Example Male "&amp;F8&amp;" Price"</f>
        <v>Example Male Kid Price</v>
      </c>
      <c r="K81" s="8">
        <f>+I11</f>
        <v>315</v>
      </c>
      <c r="L81" s="8"/>
    </row>
    <row r="82" spans="1:14" x14ac:dyDescent="0.2">
      <c r="D82" s="12" t="str">
        <f>"Example Female "&amp;F8&amp;" Price"</f>
        <v>Example Female Kid Price</v>
      </c>
      <c r="K82" s="8">
        <f>+I12</f>
        <v>315</v>
      </c>
      <c r="L82" s="8"/>
    </row>
    <row r="83" spans="1:14" x14ac:dyDescent="0.2">
      <c r="D83" s="12" t="str">
        <f>"Example Weighted Average "&amp;F8&amp;" Price ($/cwt)"</f>
        <v>Example Weighted Average Kid Price ($/cwt)</v>
      </c>
      <c r="K83" s="8">
        <f>+(K11+K12)/(D11*F11+D12*F12)</f>
        <v>314.99999999999994</v>
      </c>
      <c r="L83" s="8"/>
    </row>
    <row r="85" spans="1:14" x14ac:dyDescent="0.2">
      <c r="A85" s="25" t="s">
        <v>536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7" spans="1:14" ht="25.5" customHeight="1" x14ac:dyDescent="0.2">
      <c r="A87" s="236" t="s">
        <v>140</v>
      </c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</row>
  </sheetData>
  <sheetProtection sheet="1" objects="1" scenarios="1"/>
  <mergeCells count="18">
    <mergeCell ref="H78:I78"/>
    <mergeCell ref="K78:M78"/>
    <mergeCell ref="H79:I79"/>
    <mergeCell ref="K79:M79"/>
    <mergeCell ref="A87:N87"/>
    <mergeCell ref="H75:I75"/>
    <mergeCell ref="K75:M75"/>
    <mergeCell ref="H76:I76"/>
    <mergeCell ref="K76:M76"/>
    <mergeCell ref="H77:I77"/>
    <mergeCell ref="K77:M77"/>
    <mergeCell ref="H74:I74"/>
    <mergeCell ref="K74:M74"/>
    <mergeCell ref="A1:N1"/>
    <mergeCell ref="A2:N2"/>
    <mergeCell ref="A3:N3"/>
    <mergeCell ref="A4:N4"/>
    <mergeCell ref="C73:M73"/>
  </mergeCells>
  <printOptions horizontalCentered="1"/>
  <pageMargins left="0.7" right="0.7" top="0.75" bottom="0.75" header="0.3" footer="0.3"/>
  <pageSetup scale="38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47">
    <tabColor rgb="FFFF0000"/>
    <pageSetUpPr fitToPage="1"/>
  </sheetPr>
  <dimension ref="A1:O88"/>
  <sheetViews>
    <sheetView showGridLines="0" workbookViewId="0">
      <selection sqref="A1:N1"/>
    </sheetView>
  </sheetViews>
  <sheetFormatPr defaultColWidth="9.140625" defaultRowHeight="12.75" x14ac:dyDescent="0.2"/>
  <cols>
    <col min="1" max="1" width="3.5703125" customWidth="1"/>
    <col min="2" max="2" width="4.42578125" customWidth="1"/>
    <col min="3" max="3" width="20.140625" customWidth="1"/>
    <col min="4" max="4" width="12.140625" customWidth="1"/>
    <col min="5" max="5" width="9.140625" customWidth="1"/>
    <col min="6" max="6" width="13.140625" customWidth="1"/>
    <col min="7" max="8" width="9.140625" customWidth="1"/>
    <col min="9" max="9" width="9.5703125" bestFit="1" customWidth="1"/>
    <col min="10" max="10" width="9.5703125" customWidth="1"/>
    <col min="11" max="11" width="11.42578125" customWidth="1"/>
    <col min="12" max="12" width="11.5703125" customWidth="1"/>
    <col min="13" max="13" width="14.5703125" customWidth="1"/>
    <col min="14" max="14" width="14.42578125" customWidth="1"/>
    <col min="15" max="15" width="9.140625" hidden="1" customWidth="1"/>
  </cols>
  <sheetData>
    <row r="1" spans="1:15" x14ac:dyDescent="0.2">
      <c r="A1" s="238" t="s">
        <v>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x14ac:dyDescent="0.2">
      <c r="A2" s="239" t="s">
        <v>515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 x14ac:dyDescent="0.2">
      <c r="A3" s="240" t="s">
        <v>491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5" x14ac:dyDescent="0.2">
      <c r="A5" s="123" t="s">
        <v>506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x14ac:dyDescent="0.2">
      <c r="A6" s="106"/>
      <c r="B6" s="22"/>
      <c r="C6" s="22"/>
      <c r="D6" s="22"/>
      <c r="E6" s="216" t="s">
        <v>530</v>
      </c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">
      <c r="A7" s="106"/>
      <c r="B7" s="32" t="s">
        <v>147</v>
      </c>
      <c r="C7" s="22"/>
      <c r="D7" s="22">
        <v>100</v>
      </c>
      <c r="E7" s="213"/>
      <c r="F7" s="115" t="s">
        <v>155</v>
      </c>
      <c r="G7" s="22"/>
      <c r="H7" s="22"/>
      <c r="I7" s="22"/>
      <c r="J7" s="22"/>
      <c r="K7" s="22"/>
      <c r="L7" s="22"/>
      <c r="M7" s="22"/>
      <c r="N7" s="190" t="s">
        <v>74</v>
      </c>
    </row>
    <row r="8" spans="1:15" x14ac:dyDescent="0.2">
      <c r="A8" s="106"/>
      <c r="B8" s="32" t="s">
        <v>97</v>
      </c>
      <c r="C8" s="22"/>
      <c r="D8" s="22">
        <v>500</v>
      </c>
      <c r="E8" s="213"/>
      <c r="F8" s="115" t="s">
        <v>492</v>
      </c>
      <c r="G8" s="190" t="s">
        <v>74</v>
      </c>
      <c r="H8" s="22"/>
      <c r="I8" s="22"/>
      <c r="J8" s="22"/>
      <c r="K8" s="22"/>
      <c r="L8" s="22"/>
      <c r="M8" s="22" t="s">
        <v>19</v>
      </c>
      <c r="N8" s="190" t="s">
        <v>19</v>
      </c>
    </row>
    <row r="9" spans="1:15" x14ac:dyDescent="0.2">
      <c r="A9" s="25"/>
      <c r="B9" s="17"/>
      <c r="C9" s="25"/>
      <c r="D9" s="21"/>
      <c r="E9" s="190" t="s">
        <v>74</v>
      </c>
      <c r="F9" s="21" t="s">
        <v>2</v>
      </c>
      <c r="G9" s="194" t="s">
        <v>2</v>
      </c>
      <c r="H9" s="21"/>
      <c r="I9" s="21"/>
      <c r="J9" s="190" t="s">
        <v>74</v>
      </c>
      <c r="K9" s="21"/>
      <c r="L9" s="190" t="s">
        <v>74</v>
      </c>
      <c r="M9" s="22" t="s">
        <v>11</v>
      </c>
      <c r="N9" s="190" t="s">
        <v>11</v>
      </c>
    </row>
    <row r="10" spans="1:15" x14ac:dyDescent="0.2">
      <c r="A10" s="23" t="s">
        <v>73</v>
      </c>
      <c r="B10" s="23"/>
      <c r="C10" s="23"/>
      <c r="D10" s="24" t="s">
        <v>20</v>
      </c>
      <c r="E10" s="191" t="s">
        <v>20</v>
      </c>
      <c r="F10" s="24" t="s">
        <v>101</v>
      </c>
      <c r="G10" s="191" t="s">
        <v>101</v>
      </c>
      <c r="H10" s="24" t="s">
        <v>21</v>
      </c>
      <c r="I10" s="24" t="s">
        <v>22</v>
      </c>
      <c r="J10" s="191" t="s">
        <v>22</v>
      </c>
      <c r="K10" s="24" t="s">
        <v>11</v>
      </c>
      <c r="L10" s="191" t="s">
        <v>11</v>
      </c>
      <c r="M10" s="24" t="str">
        <f>"(" &amp; D7 &amp; " AUs)"</f>
        <v>(100 AUs)</v>
      </c>
      <c r="N10" s="191" t="str">
        <f>"(" &amp; E7 &amp; " AUs)"</f>
        <v>( AUs)</v>
      </c>
    </row>
    <row r="11" spans="1:15" x14ac:dyDescent="0.2">
      <c r="A11" s="25"/>
      <c r="B11" s="25" t="s">
        <v>353</v>
      </c>
      <c r="C11" s="25"/>
      <c r="D11" s="33">
        <v>2.33</v>
      </c>
      <c r="E11" s="132"/>
      <c r="F11" s="34">
        <v>0.8</v>
      </c>
      <c r="G11" s="132"/>
      <c r="H11" s="227" t="s">
        <v>7</v>
      </c>
      <c r="I11" s="31">
        <v>290</v>
      </c>
      <c r="J11" s="133"/>
      <c r="K11" s="35">
        <v>540.56000000000006</v>
      </c>
      <c r="L11" s="202">
        <f>+E11*G11*J11</f>
        <v>0</v>
      </c>
      <c r="M11" s="35">
        <v>54056.000000000007</v>
      </c>
      <c r="N11" s="202">
        <f>+L11*E$7</f>
        <v>0</v>
      </c>
      <c r="O11" s="12"/>
    </row>
    <row r="12" spans="1:15" x14ac:dyDescent="0.2">
      <c r="A12" s="25"/>
      <c r="B12" s="25" t="s">
        <v>353</v>
      </c>
      <c r="C12" s="25"/>
      <c r="D12" s="33">
        <v>1.23</v>
      </c>
      <c r="E12" s="132"/>
      <c r="F12" s="34">
        <v>0.8</v>
      </c>
      <c r="G12" s="132"/>
      <c r="H12" s="227" t="s">
        <v>7</v>
      </c>
      <c r="I12" s="31">
        <v>290</v>
      </c>
      <c r="J12" s="133"/>
      <c r="K12" s="35">
        <v>285.36</v>
      </c>
      <c r="L12" s="202">
        <f t="shared" ref="L12:L17" si="0">+E12*G12*J12</f>
        <v>0</v>
      </c>
      <c r="M12" s="35">
        <v>28536</v>
      </c>
      <c r="N12" s="202">
        <f t="shared" ref="N12:N17" si="1">+L12*E$7</f>
        <v>0</v>
      </c>
    </row>
    <row r="13" spans="1:15" x14ac:dyDescent="0.2">
      <c r="A13" s="25"/>
      <c r="B13" s="25" t="s">
        <v>350</v>
      </c>
      <c r="C13" s="25"/>
      <c r="D13" s="33">
        <v>1.1000000000000001</v>
      </c>
      <c r="E13" s="132"/>
      <c r="F13" s="34">
        <v>1.25</v>
      </c>
      <c r="G13" s="132"/>
      <c r="H13" s="227" t="s">
        <v>7</v>
      </c>
      <c r="I13" s="31">
        <v>86.8</v>
      </c>
      <c r="J13" s="133"/>
      <c r="K13" s="35">
        <v>119.35</v>
      </c>
      <c r="L13" s="202">
        <f t="shared" si="0"/>
        <v>0</v>
      </c>
      <c r="M13" s="35">
        <v>11935</v>
      </c>
      <c r="N13" s="202">
        <f t="shared" si="1"/>
        <v>0</v>
      </c>
    </row>
    <row r="14" spans="1:15" x14ac:dyDescent="0.2">
      <c r="A14" s="25"/>
      <c r="B14" s="25" t="s">
        <v>352</v>
      </c>
      <c r="C14" s="25"/>
      <c r="D14" s="33">
        <v>0.04</v>
      </c>
      <c r="E14" s="132"/>
      <c r="F14" s="34">
        <v>1.7</v>
      </c>
      <c r="G14" s="132"/>
      <c r="H14" s="227" t="s">
        <v>7</v>
      </c>
      <c r="I14" s="31">
        <v>91.8</v>
      </c>
      <c r="J14" s="133"/>
      <c r="K14" s="35">
        <v>6.2423999999999999</v>
      </c>
      <c r="L14" s="202">
        <f t="shared" si="0"/>
        <v>0</v>
      </c>
      <c r="M14" s="35">
        <v>624.24</v>
      </c>
      <c r="N14" s="202">
        <f t="shared" si="1"/>
        <v>0</v>
      </c>
    </row>
    <row r="15" spans="1:15" x14ac:dyDescent="0.2">
      <c r="A15" s="25"/>
      <c r="B15" s="25" t="s">
        <v>355</v>
      </c>
      <c r="C15" s="25"/>
      <c r="D15" s="33">
        <v>5</v>
      </c>
      <c r="E15" s="132"/>
      <c r="F15" s="34">
        <v>4.4000000000000004</v>
      </c>
      <c r="G15" s="132"/>
      <c r="H15" s="227" t="s">
        <v>83</v>
      </c>
      <c r="I15" s="31">
        <v>4</v>
      </c>
      <c r="J15" s="133"/>
      <c r="K15" s="35">
        <v>88</v>
      </c>
      <c r="L15" s="202">
        <f t="shared" si="0"/>
        <v>0</v>
      </c>
      <c r="M15" s="35">
        <v>8800</v>
      </c>
      <c r="N15" s="202">
        <f t="shared" si="1"/>
        <v>0</v>
      </c>
    </row>
    <row r="16" spans="1:15" x14ac:dyDescent="0.2">
      <c r="A16" s="25"/>
      <c r="B16" s="132"/>
      <c r="C16" s="132"/>
      <c r="D16" s="33">
        <v>0</v>
      </c>
      <c r="E16" s="132"/>
      <c r="F16" s="34">
        <v>0</v>
      </c>
      <c r="G16" s="132"/>
      <c r="H16" s="227"/>
      <c r="I16" s="31">
        <v>0</v>
      </c>
      <c r="J16" s="133"/>
      <c r="K16" s="35">
        <v>0</v>
      </c>
      <c r="L16" s="202">
        <f t="shared" si="0"/>
        <v>0</v>
      </c>
      <c r="M16" s="35">
        <v>0</v>
      </c>
      <c r="N16" s="202">
        <f t="shared" si="1"/>
        <v>0</v>
      </c>
    </row>
    <row r="17" spans="1:14" ht="13.5" thickBot="1" x14ac:dyDescent="0.25">
      <c r="A17" s="25"/>
      <c r="B17" s="132"/>
      <c r="C17" s="132"/>
      <c r="D17" s="33">
        <v>0</v>
      </c>
      <c r="E17" s="132"/>
      <c r="F17" s="34">
        <v>0</v>
      </c>
      <c r="G17" s="132"/>
      <c r="H17" s="227"/>
      <c r="I17" s="31">
        <v>0</v>
      </c>
      <c r="J17" s="133"/>
      <c r="K17" s="35">
        <v>0</v>
      </c>
      <c r="L17" s="184">
        <f t="shared" si="0"/>
        <v>0</v>
      </c>
      <c r="M17" s="35">
        <v>0</v>
      </c>
      <c r="N17" s="184">
        <f t="shared" si="1"/>
        <v>0</v>
      </c>
    </row>
    <row r="18" spans="1:14" x14ac:dyDescent="0.2">
      <c r="A18" s="25" t="s">
        <v>24</v>
      </c>
      <c r="B18" s="25"/>
      <c r="C18" s="25"/>
      <c r="D18" s="25"/>
      <c r="E18" s="25"/>
      <c r="F18" s="115">
        <v>284.8</v>
      </c>
      <c r="G18" s="200"/>
      <c r="H18" s="25"/>
      <c r="I18" s="25"/>
      <c r="J18" s="197"/>
      <c r="K18" s="36">
        <v>1039.5124000000001</v>
      </c>
      <c r="L18" s="203">
        <f>+SUM(L11:L17)</f>
        <v>0</v>
      </c>
      <c r="M18" s="36">
        <v>103951.24</v>
      </c>
      <c r="N18" s="203">
        <f>+SUM(N11:N17)</f>
        <v>0</v>
      </c>
    </row>
    <row r="19" spans="1:14" x14ac:dyDescent="0.2">
      <c r="A19" s="25"/>
      <c r="B19" s="25"/>
      <c r="C19" s="25"/>
      <c r="D19" s="25"/>
      <c r="E19" s="25"/>
      <c r="F19" s="115">
        <v>429.09999999999997</v>
      </c>
      <c r="G19" s="200"/>
      <c r="H19" s="25"/>
      <c r="I19" s="25"/>
      <c r="J19" s="197"/>
      <c r="K19" s="35"/>
      <c r="L19" s="184"/>
      <c r="M19" s="35"/>
      <c r="N19" s="184"/>
    </row>
    <row r="20" spans="1:14" x14ac:dyDescent="0.2">
      <c r="A20" s="25"/>
      <c r="B20" s="25"/>
      <c r="C20" s="25"/>
      <c r="D20" s="25"/>
      <c r="E20" s="25"/>
      <c r="F20" s="114">
        <v>144.29999999999995</v>
      </c>
      <c r="G20" s="178"/>
      <c r="H20" s="21"/>
      <c r="I20" s="21"/>
      <c r="J20" s="211"/>
      <c r="K20" s="21"/>
      <c r="L20" s="184"/>
      <c r="M20" s="22" t="s">
        <v>19</v>
      </c>
      <c r="N20" s="178" t="s">
        <v>19</v>
      </c>
    </row>
    <row r="21" spans="1:14" x14ac:dyDescent="0.2">
      <c r="A21" s="23" t="s">
        <v>25</v>
      </c>
      <c r="B21" s="23"/>
      <c r="C21" s="23"/>
      <c r="D21" s="23"/>
      <c r="E21" s="23"/>
      <c r="F21" s="24" t="s">
        <v>2</v>
      </c>
      <c r="G21" s="196" t="s">
        <v>2</v>
      </c>
      <c r="H21" s="24" t="s">
        <v>21</v>
      </c>
      <c r="I21" s="24" t="s">
        <v>22</v>
      </c>
      <c r="J21" s="196" t="s">
        <v>22</v>
      </c>
      <c r="K21" s="24" t="s">
        <v>11</v>
      </c>
      <c r="L21" s="202" t="s">
        <v>11</v>
      </c>
      <c r="M21" s="24" t="s">
        <v>11</v>
      </c>
      <c r="N21" s="196" t="s">
        <v>11</v>
      </c>
    </row>
    <row r="22" spans="1:14" x14ac:dyDescent="0.2">
      <c r="A22" s="25" t="s">
        <v>26</v>
      </c>
      <c r="B22" s="25"/>
      <c r="C22" s="25"/>
      <c r="D22" s="25"/>
      <c r="E22" s="25"/>
      <c r="F22" s="25"/>
      <c r="G22" s="178"/>
      <c r="H22" s="25"/>
      <c r="I22" s="25"/>
      <c r="J22" s="211"/>
      <c r="K22" s="25"/>
      <c r="L22" s="184"/>
      <c r="M22" s="25"/>
      <c r="N22" s="184"/>
    </row>
    <row r="23" spans="1:14" x14ac:dyDescent="0.2">
      <c r="A23" s="25"/>
      <c r="B23" s="25" t="s">
        <v>27</v>
      </c>
      <c r="C23" s="25"/>
      <c r="D23" s="25"/>
      <c r="E23" s="25"/>
      <c r="G23" s="105"/>
      <c r="J23" s="105"/>
      <c r="K23" s="127"/>
      <c r="L23" s="105"/>
      <c r="N23" s="105"/>
    </row>
    <row r="24" spans="1:14" x14ac:dyDescent="0.2">
      <c r="A24" s="25"/>
      <c r="B24" s="25"/>
      <c r="C24" s="25" t="s">
        <v>380</v>
      </c>
      <c r="D24" s="25"/>
      <c r="E24" s="25"/>
      <c r="F24" s="34">
        <v>1</v>
      </c>
      <c r="G24" s="132"/>
      <c r="H24" s="227" t="s">
        <v>148</v>
      </c>
      <c r="I24" s="35">
        <v>16.25</v>
      </c>
      <c r="J24" s="133"/>
      <c r="K24" s="35">
        <v>16.25</v>
      </c>
      <c r="L24" s="202">
        <f t="shared" ref="L24:L29" si="2">+J24*G24</f>
        <v>0</v>
      </c>
      <c r="M24" s="35">
        <v>1625</v>
      </c>
      <c r="N24" s="202">
        <f t="shared" ref="N24:N29" si="3">+L24*E$7</f>
        <v>0</v>
      </c>
    </row>
    <row r="25" spans="1:14" x14ac:dyDescent="0.2">
      <c r="A25" s="25"/>
      <c r="B25" s="25"/>
      <c r="C25" s="25" t="s">
        <v>432</v>
      </c>
      <c r="D25" s="25"/>
      <c r="E25" s="25"/>
      <c r="F25" s="34">
        <v>1</v>
      </c>
      <c r="G25" s="132"/>
      <c r="H25" s="227" t="s">
        <v>148</v>
      </c>
      <c r="I25" s="35">
        <v>16.25</v>
      </c>
      <c r="J25" s="133"/>
      <c r="K25" s="35">
        <v>16.25</v>
      </c>
      <c r="L25" s="202">
        <f t="shared" si="2"/>
        <v>0</v>
      </c>
      <c r="M25" s="35">
        <v>1625</v>
      </c>
      <c r="N25" s="202">
        <f t="shared" si="3"/>
        <v>0</v>
      </c>
    </row>
    <row r="26" spans="1:14" x14ac:dyDescent="0.2">
      <c r="A26" s="25"/>
      <c r="B26" s="25"/>
      <c r="C26" s="25" t="s">
        <v>428</v>
      </c>
      <c r="D26" s="25"/>
      <c r="E26" s="25"/>
      <c r="F26" s="34">
        <v>1</v>
      </c>
      <c r="G26" s="132"/>
      <c r="H26" s="227" t="s">
        <v>148</v>
      </c>
      <c r="I26" s="35">
        <v>2.75</v>
      </c>
      <c r="J26" s="133"/>
      <c r="K26" s="35">
        <v>2.75</v>
      </c>
      <c r="L26" s="202">
        <f t="shared" si="2"/>
        <v>0</v>
      </c>
      <c r="M26" s="35">
        <v>275</v>
      </c>
      <c r="N26" s="202">
        <f t="shared" si="3"/>
        <v>0</v>
      </c>
    </row>
    <row r="27" spans="1:14" x14ac:dyDescent="0.2">
      <c r="A27" s="25"/>
      <c r="B27" s="132"/>
      <c r="C27" s="132"/>
      <c r="D27" s="25"/>
      <c r="E27" s="25"/>
      <c r="F27" s="34">
        <v>1</v>
      </c>
      <c r="G27" s="132"/>
      <c r="H27" s="227"/>
      <c r="I27" s="35">
        <v>0</v>
      </c>
      <c r="J27" s="133"/>
      <c r="K27" s="35">
        <v>0</v>
      </c>
      <c r="L27" s="202">
        <f t="shared" si="2"/>
        <v>0</v>
      </c>
      <c r="M27" s="35">
        <v>0</v>
      </c>
      <c r="N27" s="202">
        <f t="shared" si="3"/>
        <v>0</v>
      </c>
    </row>
    <row r="28" spans="1:14" x14ac:dyDescent="0.2">
      <c r="A28" s="25"/>
      <c r="B28" s="132"/>
      <c r="C28" s="132"/>
      <c r="D28" s="25"/>
      <c r="E28" s="25"/>
      <c r="F28" s="34">
        <v>1</v>
      </c>
      <c r="G28" s="132"/>
      <c r="H28" s="227"/>
      <c r="I28" s="35">
        <v>0</v>
      </c>
      <c r="J28" s="133"/>
      <c r="K28" s="35">
        <v>0</v>
      </c>
      <c r="L28" s="202">
        <f t="shared" si="2"/>
        <v>0</v>
      </c>
      <c r="M28" s="35">
        <v>0</v>
      </c>
      <c r="N28" s="202">
        <f t="shared" si="3"/>
        <v>0</v>
      </c>
    </row>
    <row r="29" spans="1:14" x14ac:dyDescent="0.2">
      <c r="A29" s="25"/>
      <c r="B29" s="25" t="s">
        <v>111</v>
      </c>
      <c r="C29" s="25"/>
      <c r="D29" s="25"/>
      <c r="E29" s="25"/>
      <c r="F29" s="34">
        <v>1</v>
      </c>
      <c r="G29" s="132"/>
      <c r="H29" s="227" t="s">
        <v>148</v>
      </c>
      <c r="I29" s="35">
        <v>24.418399999999998</v>
      </c>
      <c r="J29" s="133"/>
      <c r="K29" s="35">
        <v>24.418399999999998</v>
      </c>
      <c r="L29" s="202">
        <f t="shared" si="2"/>
        <v>0</v>
      </c>
      <c r="M29" s="35">
        <v>2441.8399999999997</v>
      </c>
      <c r="N29" s="202">
        <f t="shared" si="3"/>
        <v>0</v>
      </c>
    </row>
    <row r="30" spans="1:14" x14ac:dyDescent="0.2">
      <c r="A30" s="25"/>
      <c r="B30" s="25" t="s">
        <v>109</v>
      </c>
      <c r="C30" s="25"/>
      <c r="D30" s="25"/>
      <c r="G30" s="105"/>
      <c r="J30" s="105"/>
      <c r="K30" s="127"/>
      <c r="L30" s="105"/>
      <c r="N30" s="105"/>
    </row>
    <row r="31" spans="1:14" x14ac:dyDescent="0.2">
      <c r="A31" s="25"/>
      <c r="B31" s="25"/>
      <c r="C31" s="25" t="s">
        <v>377</v>
      </c>
      <c r="D31" s="25"/>
      <c r="E31" s="25"/>
      <c r="F31" s="25">
        <v>150</v>
      </c>
      <c r="G31" s="132"/>
      <c r="H31" s="227" t="s">
        <v>83</v>
      </c>
      <c r="I31" s="35">
        <v>0.17</v>
      </c>
      <c r="J31" s="133"/>
      <c r="K31" s="35">
        <v>25.500000000000004</v>
      </c>
      <c r="L31" s="202">
        <f t="shared" ref="L31:L47" si="4">+J31*G31</f>
        <v>0</v>
      </c>
      <c r="M31" s="35">
        <v>2550.0000000000005</v>
      </c>
      <c r="N31" s="202">
        <f t="shared" ref="N31:N35" si="5">+L31*E$7</f>
        <v>0</v>
      </c>
    </row>
    <row r="32" spans="1:14" x14ac:dyDescent="0.2">
      <c r="A32" s="25"/>
      <c r="B32" s="25"/>
      <c r="C32" s="25" t="s">
        <v>357</v>
      </c>
      <c r="D32" s="25"/>
      <c r="E32" s="25"/>
      <c r="F32" s="25">
        <v>10.92</v>
      </c>
      <c r="G32" s="132"/>
      <c r="H32" s="227" t="s">
        <v>83</v>
      </c>
      <c r="I32" s="35">
        <v>0.56999999999999995</v>
      </c>
      <c r="J32" s="133"/>
      <c r="K32" s="35">
        <v>6.2243999999999993</v>
      </c>
      <c r="L32" s="202">
        <f t="shared" si="4"/>
        <v>0</v>
      </c>
      <c r="M32" s="35">
        <v>622.43999999999994</v>
      </c>
      <c r="N32" s="202">
        <f t="shared" si="5"/>
        <v>0</v>
      </c>
    </row>
    <row r="33" spans="1:14" x14ac:dyDescent="0.2">
      <c r="A33" s="25"/>
      <c r="B33" s="132"/>
      <c r="C33" s="132"/>
      <c r="D33" s="25"/>
      <c r="E33" s="25"/>
      <c r="F33" s="25">
        <v>0</v>
      </c>
      <c r="G33" s="132"/>
      <c r="H33" s="227"/>
      <c r="I33" s="35">
        <v>0</v>
      </c>
      <c r="J33" s="133"/>
      <c r="K33" s="35">
        <v>0</v>
      </c>
      <c r="L33" s="202">
        <f t="shared" si="4"/>
        <v>0</v>
      </c>
      <c r="M33" s="35">
        <v>0</v>
      </c>
      <c r="N33" s="202">
        <f t="shared" si="5"/>
        <v>0</v>
      </c>
    </row>
    <row r="34" spans="1:14" x14ac:dyDescent="0.2">
      <c r="A34" s="25"/>
      <c r="B34" s="132"/>
      <c r="C34" s="132"/>
      <c r="D34" s="25"/>
      <c r="E34" s="25"/>
      <c r="F34" s="25">
        <v>0</v>
      </c>
      <c r="G34" s="132"/>
      <c r="H34" s="227"/>
      <c r="I34" s="35">
        <v>0</v>
      </c>
      <c r="J34" s="133"/>
      <c r="K34" s="35">
        <v>0</v>
      </c>
      <c r="L34" s="202">
        <f t="shared" si="4"/>
        <v>0</v>
      </c>
      <c r="M34" s="35">
        <v>0</v>
      </c>
      <c r="N34" s="202">
        <f t="shared" si="5"/>
        <v>0</v>
      </c>
    </row>
    <row r="35" spans="1:14" x14ac:dyDescent="0.2">
      <c r="A35" s="25"/>
      <c r="B35" s="132"/>
      <c r="C35" s="132"/>
      <c r="D35" s="25"/>
      <c r="E35" s="25"/>
      <c r="F35" s="25">
        <v>0</v>
      </c>
      <c r="G35" s="132"/>
      <c r="H35" s="227"/>
      <c r="I35" s="35">
        <v>0</v>
      </c>
      <c r="J35" s="133"/>
      <c r="K35" s="35">
        <v>0</v>
      </c>
      <c r="L35" s="202">
        <f t="shared" si="4"/>
        <v>0</v>
      </c>
      <c r="M35" s="35">
        <v>0</v>
      </c>
      <c r="N35" s="202">
        <f t="shared" si="5"/>
        <v>0</v>
      </c>
    </row>
    <row r="36" spans="1:14" x14ac:dyDescent="0.2">
      <c r="A36" s="25"/>
      <c r="B36" s="25" t="s">
        <v>94</v>
      </c>
      <c r="C36" s="25"/>
      <c r="D36" s="25"/>
      <c r="E36" s="25"/>
      <c r="F36" s="25"/>
      <c r="G36" s="105"/>
      <c r="J36" s="105"/>
      <c r="K36" s="127"/>
      <c r="L36" s="105"/>
      <c r="N36" s="105"/>
    </row>
    <row r="37" spans="1:14" x14ac:dyDescent="0.2">
      <c r="A37" s="25"/>
      <c r="B37" s="25"/>
      <c r="C37" s="25" t="s">
        <v>375</v>
      </c>
      <c r="D37" s="25"/>
      <c r="E37" s="25"/>
      <c r="F37" s="25">
        <v>5</v>
      </c>
      <c r="G37" s="132"/>
      <c r="H37" s="227" t="s">
        <v>363</v>
      </c>
      <c r="I37" s="35">
        <v>0.51</v>
      </c>
      <c r="J37" s="133"/>
      <c r="K37" s="35">
        <v>2.5499999999999998</v>
      </c>
      <c r="L37" s="202">
        <f t="shared" si="4"/>
        <v>0</v>
      </c>
      <c r="M37" s="35">
        <v>254.99999999999997</v>
      </c>
      <c r="N37" s="202">
        <f t="shared" ref="N37:N53" si="6">+L37*E$7</f>
        <v>0</v>
      </c>
    </row>
    <row r="38" spans="1:14" x14ac:dyDescent="0.2">
      <c r="A38" s="25"/>
      <c r="B38" s="25"/>
      <c r="C38" s="25" t="s">
        <v>383</v>
      </c>
      <c r="D38" s="25"/>
      <c r="E38" s="25"/>
      <c r="F38" s="25">
        <v>15.06</v>
      </c>
      <c r="G38" s="132"/>
      <c r="H38" s="227" t="s">
        <v>363</v>
      </c>
      <c r="I38" s="35">
        <v>0.71</v>
      </c>
      <c r="J38" s="133"/>
      <c r="K38" s="35">
        <v>10.692600000000001</v>
      </c>
      <c r="L38" s="202">
        <f t="shared" si="4"/>
        <v>0</v>
      </c>
      <c r="M38" s="35">
        <v>1069.26</v>
      </c>
      <c r="N38" s="202">
        <f t="shared" si="6"/>
        <v>0</v>
      </c>
    </row>
    <row r="39" spans="1:14" x14ac:dyDescent="0.2">
      <c r="A39" s="25"/>
      <c r="B39" s="25"/>
      <c r="C39" s="25" t="s">
        <v>417</v>
      </c>
      <c r="D39" s="25"/>
      <c r="E39" s="25"/>
      <c r="F39" s="25">
        <v>15.06</v>
      </c>
      <c r="G39" s="132"/>
      <c r="H39" s="227" t="s">
        <v>363</v>
      </c>
      <c r="I39" s="35">
        <v>0.06</v>
      </c>
      <c r="J39" s="133"/>
      <c r="K39" s="35">
        <v>0.90359999999999996</v>
      </c>
      <c r="L39" s="202">
        <f t="shared" si="4"/>
        <v>0</v>
      </c>
      <c r="M39" s="35">
        <v>90.36</v>
      </c>
      <c r="N39" s="202">
        <f t="shared" si="6"/>
        <v>0</v>
      </c>
    </row>
    <row r="40" spans="1:14" x14ac:dyDescent="0.2">
      <c r="A40" s="25"/>
      <c r="B40" s="132"/>
      <c r="C40" s="132"/>
      <c r="D40" s="25"/>
      <c r="E40" s="25"/>
      <c r="F40" s="25">
        <v>0</v>
      </c>
      <c r="G40" s="132"/>
      <c r="H40" s="227"/>
      <c r="I40" s="35">
        <v>0</v>
      </c>
      <c r="J40" s="133"/>
      <c r="K40" s="35">
        <v>0</v>
      </c>
      <c r="L40" s="202">
        <f t="shared" si="4"/>
        <v>0</v>
      </c>
      <c r="M40" s="35">
        <v>0</v>
      </c>
      <c r="N40" s="202">
        <f t="shared" si="6"/>
        <v>0</v>
      </c>
    </row>
    <row r="41" spans="1:14" x14ac:dyDescent="0.2">
      <c r="A41" s="25"/>
      <c r="B41" s="132"/>
      <c r="C41" s="132"/>
      <c r="D41" s="25"/>
      <c r="E41" s="25"/>
      <c r="F41" s="25">
        <v>0</v>
      </c>
      <c r="G41" s="132"/>
      <c r="H41" s="227"/>
      <c r="I41" s="35">
        <v>0</v>
      </c>
      <c r="J41" s="133"/>
      <c r="K41" s="35">
        <v>0</v>
      </c>
      <c r="L41" s="202">
        <f t="shared" si="4"/>
        <v>0</v>
      </c>
      <c r="M41" s="35">
        <v>0</v>
      </c>
      <c r="N41" s="202">
        <f t="shared" si="6"/>
        <v>0</v>
      </c>
    </row>
    <row r="42" spans="1:14" x14ac:dyDescent="0.2">
      <c r="A42" s="25"/>
      <c r="B42" s="132"/>
      <c r="C42" s="132"/>
      <c r="D42" s="25"/>
      <c r="E42" s="25"/>
      <c r="F42" s="25">
        <v>0</v>
      </c>
      <c r="G42" s="132"/>
      <c r="H42" s="227"/>
      <c r="I42" s="35">
        <v>0</v>
      </c>
      <c r="J42" s="133"/>
      <c r="K42" s="35">
        <v>0</v>
      </c>
      <c r="L42" s="202">
        <f t="shared" si="4"/>
        <v>0</v>
      </c>
      <c r="M42" s="35">
        <v>0</v>
      </c>
      <c r="N42" s="202">
        <f t="shared" si="6"/>
        <v>0</v>
      </c>
    </row>
    <row r="43" spans="1:14" x14ac:dyDescent="0.2">
      <c r="A43" s="25"/>
      <c r="B43" s="25" t="s">
        <v>43</v>
      </c>
      <c r="C43" s="25"/>
      <c r="D43" s="25"/>
      <c r="E43" s="25"/>
      <c r="F43" s="37">
        <v>1</v>
      </c>
      <c r="G43" s="132"/>
      <c r="H43" s="227" t="s">
        <v>148</v>
      </c>
      <c r="I43" s="35">
        <v>23.88</v>
      </c>
      <c r="J43" s="133"/>
      <c r="K43" s="35">
        <v>23.88</v>
      </c>
      <c r="L43" s="202">
        <f t="shared" si="4"/>
        <v>0</v>
      </c>
      <c r="M43" s="35">
        <v>2388</v>
      </c>
      <c r="N43" s="202">
        <f t="shared" si="6"/>
        <v>0</v>
      </c>
    </row>
    <row r="44" spans="1:14" x14ac:dyDescent="0.2">
      <c r="A44" s="25"/>
      <c r="B44" s="25" t="s">
        <v>93</v>
      </c>
      <c r="C44" s="25"/>
      <c r="D44" s="25"/>
      <c r="E44" s="25"/>
      <c r="F44" s="38">
        <v>0.1</v>
      </c>
      <c r="G44" s="137"/>
      <c r="H44" s="227" t="s">
        <v>30</v>
      </c>
      <c r="I44" s="35">
        <v>23.88</v>
      </c>
      <c r="J44" s="133"/>
      <c r="K44" s="35">
        <v>2.3879999999999999</v>
      </c>
      <c r="L44" s="202">
        <f t="shared" si="4"/>
        <v>0</v>
      </c>
      <c r="M44" s="35">
        <v>238.79999999999998</v>
      </c>
      <c r="N44" s="202">
        <f t="shared" si="6"/>
        <v>0</v>
      </c>
    </row>
    <row r="45" spans="1:14" x14ac:dyDescent="0.2">
      <c r="A45" s="25"/>
      <c r="B45" s="25" t="s">
        <v>92</v>
      </c>
      <c r="C45" s="25"/>
      <c r="D45" s="25"/>
      <c r="E45" s="25"/>
      <c r="F45" s="25">
        <v>1</v>
      </c>
      <c r="G45" s="132"/>
      <c r="H45" s="227" t="s">
        <v>148</v>
      </c>
      <c r="I45" s="35">
        <v>36.047681666666669</v>
      </c>
      <c r="J45" s="133"/>
      <c r="K45" s="35">
        <v>36.047681666666669</v>
      </c>
      <c r="L45" s="202">
        <f t="shared" si="4"/>
        <v>0</v>
      </c>
      <c r="M45" s="35">
        <v>3604.7681666666667</v>
      </c>
      <c r="N45" s="202">
        <f t="shared" si="6"/>
        <v>0</v>
      </c>
    </row>
    <row r="46" spans="1:14" x14ac:dyDescent="0.2">
      <c r="A46" s="25"/>
      <c r="B46" s="25" t="s">
        <v>12</v>
      </c>
      <c r="C46" s="25"/>
      <c r="D46" s="25"/>
      <c r="E46" s="25"/>
      <c r="F46" s="34">
        <v>3.2000001000000005</v>
      </c>
      <c r="G46" s="132"/>
      <c r="H46" s="227" t="s">
        <v>31</v>
      </c>
      <c r="I46" s="35">
        <v>14.999999999999998</v>
      </c>
      <c r="J46" s="133"/>
      <c r="K46" s="35">
        <v>48.000001500000003</v>
      </c>
      <c r="L46" s="202">
        <f t="shared" si="4"/>
        <v>0</v>
      </c>
      <c r="M46" s="35">
        <v>4800.0001500000008</v>
      </c>
      <c r="N46" s="202">
        <f t="shared" si="6"/>
        <v>0</v>
      </c>
    </row>
    <row r="47" spans="1:14" x14ac:dyDescent="0.2">
      <c r="A47" s="25"/>
      <c r="B47" s="25" t="s">
        <v>98</v>
      </c>
      <c r="C47" s="25"/>
      <c r="D47" s="25"/>
      <c r="E47" s="25"/>
      <c r="F47" s="34">
        <v>1</v>
      </c>
      <c r="G47" s="132"/>
      <c r="H47" s="227" t="s">
        <v>148</v>
      </c>
      <c r="I47" s="35">
        <v>48</v>
      </c>
      <c r="J47" s="133"/>
      <c r="K47" s="35">
        <v>48</v>
      </c>
      <c r="L47" s="202">
        <f t="shared" si="4"/>
        <v>0</v>
      </c>
      <c r="M47" s="35">
        <v>4800</v>
      </c>
      <c r="N47" s="202">
        <f t="shared" si="6"/>
        <v>0</v>
      </c>
    </row>
    <row r="48" spans="1:14" x14ac:dyDescent="0.2">
      <c r="A48" s="25"/>
      <c r="B48" s="132"/>
      <c r="C48" s="132"/>
      <c r="D48" s="25"/>
      <c r="E48" s="25"/>
      <c r="F48" s="34"/>
      <c r="G48" s="132"/>
      <c r="H48" s="227"/>
      <c r="I48" s="35"/>
      <c r="J48" s="133"/>
      <c r="K48" s="35">
        <v>0</v>
      </c>
      <c r="L48" s="202">
        <f t="shared" ref="L48" si="7">+J48*G48</f>
        <v>0</v>
      </c>
      <c r="M48" s="35">
        <v>0</v>
      </c>
      <c r="N48" s="202">
        <f t="shared" si="6"/>
        <v>0</v>
      </c>
    </row>
    <row r="49" spans="1:14" x14ac:dyDescent="0.2">
      <c r="A49" s="25"/>
      <c r="B49" s="25" t="s">
        <v>312</v>
      </c>
      <c r="C49" s="25"/>
      <c r="D49" s="25"/>
      <c r="E49" s="25"/>
      <c r="F49" s="34">
        <v>1</v>
      </c>
      <c r="G49" s="132"/>
      <c r="H49" s="227"/>
      <c r="I49" s="35">
        <v>0</v>
      </c>
      <c r="J49" s="133"/>
      <c r="K49" s="35">
        <v>0</v>
      </c>
      <c r="L49" s="202">
        <f t="shared" ref="L49:L52" si="8">+J49*G49</f>
        <v>0</v>
      </c>
      <c r="M49" s="35">
        <v>0</v>
      </c>
      <c r="N49" s="202">
        <f t="shared" si="6"/>
        <v>0</v>
      </c>
    </row>
    <row r="50" spans="1:14" x14ac:dyDescent="0.2">
      <c r="A50" s="25"/>
      <c r="B50" s="25" t="s">
        <v>313</v>
      </c>
      <c r="C50" s="25"/>
      <c r="D50" s="25"/>
      <c r="E50" s="25"/>
      <c r="F50" s="34">
        <v>1</v>
      </c>
      <c r="G50" s="132"/>
      <c r="H50" s="227"/>
      <c r="I50" s="35">
        <v>0</v>
      </c>
      <c r="J50" s="133"/>
      <c r="K50" s="35">
        <v>0</v>
      </c>
      <c r="L50" s="202">
        <f t="shared" si="8"/>
        <v>0</v>
      </c>
      <c r="M50" s="35">
        <v>0</v>
      </c>
      <c r="N50" s="202">
        <f t="shared" si="6"/>
        <v>0</v>
      </c>
    </row>
    <row r="51" spans="1:14" x14ac:dyDescent="0.2">
      <c r="A51" s="25"/>
      <c r="B51" s="25" t="s">
        <v>314</v>
      </c>
      <c r="C51" s="25"/>
      <c r="D51" s="25"/>
      <c r="E51" s="25"/>
      <c r="F51" s="34">
        <v>1</v>
      </c>
      <c r="G51" s="132"/>
      <c r="H51" s="227"/>
      <c r="I51" s="35">
        <v>0</v>
      </c>
      <c r="J51" s="133"/>
      <c r="K51" s="35">
        <v>0</v>
      </c>
      <c r="L51" s="202">
        <f t="shared" si="8"/>
        <v>0</v>
      </c>
      <c r="M51" s="35">
        <v>0</v>
      </c>
      <c r="N51" s="202">
        <f t="shared" si="6"/>
        <v>0</v>
      </c>
    </row>
    <row r="52" spans="1:14" x14ac:dyDescent="0.2">
      <c r="A52" s="25"/>
      <c r="B52" s="25" t="s">
        <v>315</v>
      </c>
      <c r="C52" s="25"/>
      <c r="D52" s="25"/>
      <c r="E52" s="25"/>
      <c r="F52" s="34">
        <v>1</v>
      </c>
      <c r="G52" s="132"/>
      <c r="H52" s="227"/>
      <c r="I52" s="35">
        <v>0</v>
      </c>
      <c r="J52" s="133"/>
      <c r="K52" s="35">
        <v>0</v>
      </c>
      <c r="L52" s="202">
        <f t="shared" si="8"/>
        <v>0</v>
      </c>
      <c r="M52" s="35">
        <v>0</v>
      </c>
      <c r="N52" s="202">
        <f t="shared" si="6"/>
        <v>0</v>
      </c>
    </row>
    <row r="53" spans="1:14" ht="13.5" thickBot="1" x14ac:dyDescent="0.25">
      <c r="A53" s="25"/>
      <c r="B53" s="25" t="s">
        <v>32</v>
      </c>
      <c r="C53" s="25"/>
      <c r="D53" s="25"/>
      <c r="E53" s="25"/>
      <c r="F53" s="25"/>
      <c r="G53" s="200"/>
      <c r="H53" s="21"/>
      <c r="I53" s="39">
        <v>0.08</v>
      </c>
      <c r="J53" s="215"/>
      <c r="K53" s="35">
        <v>15.67612900124201</v>
      </c>
      <c r="L53" s="184">
        <f>+SUM(L22:L52)/2*J53</f>
        <v>0</v>
      </c>
      <c r="M53" s="35">
        <v>1567.6129001242011</v>
      </c>
      <c r="N53" s="184">
        <f t="shared" si="6"/>
        <v>0</v>
      </c>
    </row>
    <row r="54" spans="1:14" x14ac:dyDescent="0.2">
      <c r="A54" s="25" t="s">
        <v>33</v>
      </c>
      <c r="B54" s="25"/>
      <c r="C54" s="25"/>
      <c r="D54" s="25"/>
      <c r="E54" s="25"/>
      <c r="F54" s="25"/>
      <c r="G54" s="200"/>
      <c r="H54" s="25"/>
      <c r="I54" s="25"/>
      <c r="J54" s="197"/>
      <c r="K54" s="36">
        <v>279.53081216790872</v>
      </c>
      <c r="L54" s="203">
        <f>+SUM(L24:L53)</f>
        <v>0</v>
      </c>
      <c r="M54" s="36">
        <v>27953.081216790866</v>
      </c>
      <c r="N54" s="203">
        <f>+SUM(N24:N53)</f>
        <v>0</v>
      </c>
    </row>
    <row r="55" spans="1:14" x14ac:dyDescent="0.2">
      <c r="B55" s="25"/>
      <c r="C55" s="25"/>
      <c r="D55" s="25"/>
      <c r="E55" s="25"/>
      <c r="F55" s="25"/>
      <c r="G55" s="200"/>
      <c r="H55" s="25"/>
      <c r="I55" s="25"/>
      <c r="J55" s="197"/>
      <c r="K55" s="35"/>
      <c r="L55" s="184"/>
      <c r="M55" s="35"/>
      <c r="N55" s="184"/>
    </row>
    <row r="56" spans="1:14" x14ac:dyDescent="0.2">
      <c r="A56" s="25" t="s">
        <v>34</v>
      </c>
      <c r="B56" s="25"/>
      <c r="C56" s="25"/>
      <c r="D56" s="25"/>
      <c r="E56" s="25"/>
      <c r="F56" s="25"/>
      <c r="G56" s="200"/>
      <c r="H56" s="25"/>
      <c r="I56" s="25"/>
      <c r="J56" s="197"/>
      <c r="K56" s="35">
        <v>759.98158783209135</v>
      </c>
      <c r="L56" s="202">
        <f>+L18-L54</f>
        <v>0</v>
      </c>
      <c r="M56" s="35">
        <v>75998.158783209132</v>
      </c>
      <c r="N56" s="202">
        <f>+N18-N54</f>
        <v>0</v>
      </c>
    </row>
    <row r="57" spans="1:14" x14ac:dyDescent="0.2">
      <c r="A57" s="25"/>
      <c r="B57" s="25" t="s">
        <v>531</v>
      </c>
      <c r="C57" s="25"/>
      <c r="D57" s="25"/>
      <c r="E57" s="25"/>
      <c r="F57" s="25"/>
      <c r="G57" s="178"/>
      <c r="H57" s="17"/>
      <c r="I57" s="40">
        <v>23.152532362327502</v>
      </c>
      <c r="J57" s="210" t="str">
        <f>IF((E11*G11+E12*G12)=0,"n/a",(L54-SUM(L13:L17))/(E11*G11+E12*G12))</f>
        <v>n/a</v>
      </c>
      <c r="K57" s="25" t="s">
        <v>7</v>
      </c>
      <c r="L57" s="184"/>
      <c r="M57" s="25"/>
      <c r="N57" s="184"/>
    </row>
    <row r="58" spans="1:14" x14ac:dyDescent="0.2">
      <c r="A58" s="25"/>
      <c r="B58" s="25"/>
      <c r="C58" s="25"/>
      <c r="D58" s="25"/>
      <c r="E58" s="25"/>
      <c r="F58" s="21"/>
      <c r="G58" s="178"/>
      <c r="H58" s="21"/>
      <c r="I58" s="21"/>
      <c r="J58" s="211"/>
      <c r="K58" s="21"/>
      <c r="L58" s="184"/>
      <c r="M58" s="22" t="s">
        <v>19</v>
      </c>
      <c r="N58" s="178" t="s">
        <v>19</v>
      </c>
    </row>
    <row r="59" spans="1:14" x14ac:dyDescent="0.2">
      <c r="A59" s="23" t="s">
        <v>36</v>
      </c>
      <c r="B59" s="23"/>
      <c r="C59" s="23"/>
      <c r="D59" s="23"/>
      <c r="E59" s="23"/>
      <c r="F59" s="24" t="s">
        <v>2</v>
      </c>
      <c r="G59" s="196" t="s">
        <v>2</v>
      </c>
      <c r="H59" s="24" t="s">
        <v>21</v>
      </c>
      <c r="I59" s="24" t="s">
        <v>22</v>
      </c>
      <c r="J59" s="196" t="s">
        <v>22</v>
      </c>
      <c r="K59" s="24" t="s">
        <v>11</v>
      </c>
      <c r="L59" s="202" t="s">
        <v>11</v>
      </c>
      <c r="M59" s="24" t="s">
        <v>11</v>
      </c>
      <c r="N59" s="202" t="s">
        <v>11</v>
      </c>
    </row>
    <row r="60" spans="1:14" x14ac:dyDescent="0.2">
      <c r="A60" s="25"/>
      <c r="B60" s="25" t="s">
        <v>91</v>
      </c>
      <c r="C60" s="25"/>
      <c r="D60" s="25"/>
      <c r="E60" s="25"/>
      <c r="F60" s="25">
        <v>1</v>
      </c>
      <c r="G60" s="132"/>
      <c r="H60" s="227" t="s">
        <v>148</v>
      </c>
      <c r="I60" s="35">
        <v>92.050438095238093</v>
      </c>
      <c r="J60" s="133"/>
      <c r="K60" s="35">
        <v>92.050438095238093</v>
      </c>
      <c r="L60" s="202">
        <f t="shared" ref="L60:L68" si="9">+G60*J60</f>
        <v>0</v>
      </c>
      <c r="M60" s="35">
        <v>9205.0438095238096</v>
      </c>
      <c r="N60" s="202">
        <f t="shared" ref="N60:N68" si="10">+L60*E$7</f>
        <v>0</v>
      </c>
    </row>
    <row r="61" spans="1:14" x14ac:dyDescent="0.2">
      <c r="A61" s="25"/>
      <c r="B61" s="25" t="s">
        <v>90</v>
      </c>
      <c r="C61" s="25"/>
      <c r="D61" s="25"/>
      <c r="E61" s="25"/>
      <c r="F61" s="25">
        <v>1</v>
      </c>
      <c r="G61" s="132"/>
      <c r="H61" s="227" t="s">
        <v>148</v>
      </c>
      <c r="I61" s="35">
        <v>98.421599999999998</v>
      </c>
      <c r="J61" s="133"/>
      <c r="K61" s="35">
        <v>98.421599999999998</v>
      </c>
      <c r="L61" s="202">
        <f t="shared" si="9"/>
        <v>0</v>
      </c>
      <c r="M61" s="35">
        <v>9842.16</v>
      </c>
      <c r="N61" s="202">
        <f t="shared" si="10"/>
        <v>0</v>
      </c>
    </row>
    <row r="62" spans="1:14" x14ac:dyDescent="0.2">
      <c r="A62" s="25"/>
      <c r="B62" s="25" t="s">
        <v>89</v>
      </c>
      <c r="C62" s="25"/>
      <c r="D62" s="25"/>
      <c r="E62" s="25"/>
      <c r="F62" s="41">
        <v>1477.4562500000002</v>
      </c>
      <c r="G62" s="132"/>
      <c r="H62" s="227" t="s">
        <v>88</v>
      </c>
      <c r="I62" s="39">
        <v>0.08</v>
      </c>
      <c r="J62" s="215"/>
      <c r="K62" s="35">
        <v>118.19650000000001</v>
      </c>
      <c r="L62" s="202">
        <f t="shared" si="9"/>
        <v>0</v>
      </c>
      <c r="M62" s="35">
        <v>11819.650000000001</v>
      </c>
      <c r="N62" s="202">
        <f t="shared" si="10"/>
        <v>0</v>
      </c>
    </row>
    <row r="63" spans="1:14" x14ac:dyDescent="0.2">
      <c r="A63" s="25"/>
      <c r="B63" s="25" t="s">
        <v>87</v>
      </c>
      <c r="C63" s="25"/>
      <c r="D63" s="25"/>
      <c r="E63" s="25"/>
      <c r="F63" s="25">
        <v>1</v>
      </c>
      <c r="G63" s="132"/>
      <c r="H63" s="227" t="s">
        <v>148</v>
      </c>
      <c r="I63" s="35">
        <v>0</v>
      </c>
      <c r="J63" s="133"/>
      <c r="K63" s="35">
        <v>0</v>
      </c>
      <c r="L63" s="202">
        <f t="shared" si="9"/>
        <v>0</v>
      </c>
      <c r="M63" s="35">
        <v>0</v>
      </c>
      <c r="N63" s="202">
        <f t="shared" si="10"/>
        <v>0</v>
      </c>
    </row>
    <row r="64" spans="1:14" x14ac:dyDescent="0.2">
      <c r="A64" s="25"/>
      <c r="B64" s="25" t="s">
        <v>152</v>
      </c>
      <c r="C64" s="25"/>
      <c r="D64" s="25"/>
      <c r="E64" s="25"/>
      <c r="F64" s="25">
        <v>1</v>
      </c>
      <c r="G64" s="132"/>
      <c r="H64" s="227" t="s">
        <v>148</v>
      </c>
      <c r="I64" s="35">
        <v>0</v>
      </c>
      <c r="J64" s="133"/>
      <c r="K64" s="35">
        <v>0</v>
      </c>
      <c r="L64" s="202">
        <f>+J64*G64</f>
        <v>0</v>
      </c>
      <c r="M64" s="35">
        <v>0</v>
      </c>
      <c r="N64" s="202">
        <f t="shared" si="10"/>
        <v>0</v>
      </c>
    </row>
    <row r="65" spans="1:14" x14ac:dyDescent="0.2">
      <c r="A65" s="25"/>
      <c r="B65" s="25" t="s">
        <v>156</v>
      </c>
      <c r="C65" s="25"/>
      <c r="D65" s="25"/>
      <c r="E65" s="25"/>
      <c r="F65" s="25">
        <v>1</v>
      </c>
      <c r="G65" s="132"/>
      <c r="H65" s="227" t="s">
        <v>148</v>
      </c>
      <c r="I65" s="35">
        <v>0</v>
      </c>
      <c r="J65" s="133"/>
      <c r="K65" s="35">
        <v>0</v>
      </c>
      <c r="L65" s="202">
        <f>+J65*G65</f>
        <v>0</v>
      </c>
      <c r="M65" s="35">
        <v>0</v>
      </c>
      <c r="N65" s="202">
        <f t="shared" si="10"/>
        <v>0</v>
      </c>
    </row>
    <row r="66" spans="1:14" x14ac:dyDescent="0.2">
      <c r="A66" s="25"/>
      <c r="B66" s="25" t="s">
        <v>139</v>
      </c>
      <c r="C66" s="25"/>
      <c r="D66" s="25"/>
      <c r="E66" s="25"/>
      <c r="F66" s="25">
        <v>1</v>
      </c>
      <c r="G66" s="132"/>
      <c r="H66" s="227" t="s">
        <v>86</v>
      </c>
      <c r="I66" s="35">
        <v>186</v>
      </c>
      <c r="J66" s="133"/>
      <c r="K66" s="35">
        <v>186</v>
      </c>
      <c r="L66" s="202">
        <f t="shared" si="9"/>
        <v>0</v>
      </c>
      <c r="M66" s="35">
        <v>18600</v>
      </c>
      <c r="N66" s="202">
        <f t="shared" si="10"/>
        <v>0</v>
      </c>
    </row>
    <row r="67" spans="1:14" x14ac:dyDescent="0.2">
      <c r="A67" s="25"/>
      <c r="B67" s="132"/>
      <c r="C67" s="132"/>
      <c r="D67" s="25"/>
      <c r="E67" s="25"/>
      <c r="F67" s="25"/>
      <c r="G67" s="132"/>
      <c r="H67" s="227"/>
      <c r="I67" s="35"/>
      <c r="J67" s="133"/>
      <c r="K67" s="35">
        <v>0</v>
      </c>
      <c r="L67" s="202">
        <f t="shared" si="9"/>
        <v>0</v>
      </c>
      <c r="M67" s="35">
        <v>0</v>
      </c>
      <c r="N67" s="202">
        <f t="shared" si="10"/>
        <v>0</v>
      </c>
    </row>
    <row r="68" spans="1:14" ht="13.5" thickBot="1" x14ac:dyDescent="0.25">
      <c r="A68" s="25"/>
      <c r="B68" s="132"/>
      <c r="C68" s="132"/>
      <c r="D68" s="25"/>
      <c r="E68" s="25"/>
      <c r="F68" s="25"/>
      <c r="G68" s="132"/>
      <c r="H68" s="227"/>
      <c r="I68" s="35"/>
      <c r="J68" s="133"/>
      <c r="K68" s="35">
        <v>0</v>
      </c>
      <c r="L68" s="202">
        <f t="shared" si="9"/>
        <v>0</v>
      </c>
      <c r="M68" s="35">
        <v>0</v>
      </c>
      <c r="N68" s="202">
        <f t="shared" si="10"/>
        <v>0</v>
      </c>
    </row>
    <row r="69" spans="1:14" ht="13.5" thickBot="1" x14ac:dyDescent="0.25">
      <c r="A69" s="25" t="s">
        <v>37</v>
      </c>
      <c r="B69" s="25"/>
      <c r="C69" s="25"/>
      <c r="D69" s="25"/>
      <c r="E69" s="25"/>
      <c r="F69" s="25"/>
      <c r="G69" s="197"/>
      <c r="H69" s="25"/>
      <c r="I69" s="25"/>
      <c r="J69" s="197"/>
      <c r="K69" s="121">
        <v>494.66853809523809</v>
      </c>
      <c r="L69" s="204">
        <f>+SUM(L60:L66)</f>
        <v>0</v>
      </c>
      <c r="M69" s="121">
        <v>49466.853809523811</v>
      </c>
      <c r="N69" s="204">
        <f>+SUM(N60:N66)</f>
        <v>0</v>
      </c>
    </row>
    <row r="70" spans="1:14" ht="14.25" thickTop="1" thickBot="1" x14ac:dyDescent="0.25">
      <c r="A70" s="25" t="s">
        <v>82</v>
      </c>
      <c r="B70" s="25"/>
      <c r="C70" s="25"/>
      <c r="D70" s="25"/>
      <c r="E70" s="25"/>
      <c r="F70" s="25"/>
      <c r="G70" s="197"/>
      <c r="H70" s="25"/>
      <c r="I70" s="25"/>
      <c r="J70" s="197"/>
      <c r="K70" s="43">
        <v>774.19935026314681</v>
      </c>
      <c r="L70" s="205">
        <f>+L54+L69</f>
        <v>0</v>
      </c>
      <c r="M70" s="43">
        <v>77419.935026314677</v>
      </c>
      <c r="N70" s="205">
        <f>+N54+N69</f>
        <v>0</v>
      </c>
    </row>
    <row r="71" spans="1:14" ht="13.5" thickTop="1" x14ac:dyDescent="0.2">
      <c r="A71" s="25" t="s">
        <v>85</v>
      </c>
      <c r="B71" s="25"/>
      <c r="C71" s="25"/>
      <c r="D71" s="25"/>
      <c r="E71" s="25"/>
      <c r="F71" s="25"/>
      <c r="G71" s="197"/>
      <c r="H71" s="25"/>
      <c r="I71" s="25"/>
      <c r="J71" s="197"/>
      <c r="K71" s="35">
        <v>265.31304973685326</v>
      </c>
      <c r="L71" s="202">
        <f>+L18-L70</f>
        <v>0</v>
      </c>
      <c r="M71" s="35">
        <v>26531.304973685328</v>
      </c>
      <c r="N71" s="202">
        <f>+N18-N70</f>
        <v>0</v>
      </c>
    </row>
    <row r="72" spans="1:14" ht="13.5" thickBot="1" x14ac:dyDescent="0.25">
      <c r="A72" s="44"/>
      <c r="B72" s="44" t="s">
        <v>532</v>
      </c>
      <c r="C72" s="44"/>
      <c r="D72" s="44"/>
      <c r="E72" s="44"/>
      <c r="F72" s="44"/>
      <c r="G72" s="201"/>
      <c r="H72" s="44"/>
      <c r="I72" s="45">
        <v>196.84232804183526</v>
      </c>
      <c r="J72" s="212" t="str">
        <f>IF((E11*G11+E12*G12)=0,"n/a",(L70-SUM(L13:L17))/(E11*G11+E12*G12))</f>
        <v>n/a</v>
      </c>
      <c r="K72" s="44" t="s">
        <v>7</v>
      </c>
      <c r="L72" s="201"/>
      <c r="M72" s="44"/>
      <c r="N72" s="201"/>
    </row>
    <row r="73" spans="1:14" ht="13.5" thickTop="1" x14ac:dyDescent="0.2"/>
    <row r="74" spans="1:14" ht="15.75" x14ac:dyDescent="0.25">
      <c r="C74" s="234" t="s">
        <v>113</v>
      </c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18"/>
    </row>
    <row r="75" spans="1:14" s="46" customFormat="1" ht="51" x14ac:dyDescent="0.2">
      <c r="C75" s="112" t="s">
        <v>114</v>
      </c>
      <c r="D75" s="112" t="s">
        <v>516</v>
      </c>
      <c r="E75" s="113"/>
      <c r="F75" s="112" t="s">
        <v>517</v>
      </c>
      <c r="G75" s="113"/>
      <c r="H75" s="242" t="s">
        <v>533</v>
      </c>
      <c r="I75" s="243"/>
      <c r="K75" s="242" t="s">
        <v>171</v>
      </c>
      <c r="L75" s="244"/>
      <c r="M75" s="243"/>
    </row>
    <row r="76" spans="1:14" x14ac:dyDescent="0.2">
      <c r="C76" s="47">
        <v>1.1310000000000002</v>
      </c>
      <c r="D76" s="111">
        <v>1216.9388232008596</v>
      </c>
      <c r="E76" s="111"/>
      <c r="F76" s="109">
        <v>490.28152524167564</v>
      </c>
      <c r="G76" s="109"/>
      <c r="H76" s="245">
        <v>42.439679795839858</v>
      </c>
      <c r="I76" s="246"/>
      <c r="J76" s="110"/>
      <c r="K76" s="247">
        <v>162.03378196900849</v>
      </c>
      <c r="L76" s="247"/>
      <c r="M76" s="248"/>
    </row>
    <row r="77" spans="1:14" x14ac:dyDescent="0.2">
      <c r="C77" s="48">
        <v>1.0310000000000001</v>
      </c>
      <c r="D77" s="108">
        <v>1128.2256116004298</v>
      </c>
      <c r="E77" s="108"/>
      <c r="F77" s="107">
        <v>459.6907626208378</v>
      </c>
      <c r="G77" s="107"/>
      <c r="H77" s="249">
        <v>47.672685935894101</v>
      </c>
      <c r="I77" s="250"/>
      <c r="J77" s="101"/>
      <c r="K77" s="251">
        <v>177.74995868763202</v>
      </c>
      <c r="L77" s="251"/>
      <c r="M77" s="230"/>
    </row>
    <row r="78" spans="1:14" x14ac:dyDescent="0.2">
      <c r="C78" s="47">
        <v>0.93100000000000005</v>
      </c>
      <c r="D78" s="111">
        <v>1039.5124000000001</v>
      </c>
      <c r="E78" s="111"/>
      <c r="F78" s="109">
        <v>429.09999999999997</v>
      </c>
      <c r="G78" s="109"/>
      <c r="H78" s="245">
        <v>54.377705054866553</v>
      </c>
      <c r="I78" s="246"/>
      <c r="J78" s="110"/>
      <c r="K78" s="247">
        <v>196.84232804183526</v>
      </c>
      <c r="L78" s="247"/>
      <c r="M78" s="248"/>
    </row>
    <row r="79" spans="1:14" x14ac:dyDescent="0.2">
      <c r="C79" s="48">
        <v>0.83100000000000007</v>
      </c>
      <c r="D79" s="108">
        <v>950.79918839957043</v>
      </c>
      <c r="E79" s="108"/>
      <c r="F79" s="107">
        <v>398.50923737916219</v>
      </c>
      <c r="G79" s="107"/>
      <c r="H79" s="249">
        <v>63.27749311621951</v>
      </c>
      <c r="I79" s="250"/>
      <c r="J79" s="101"/>
      <c r="K79" s="251">
        <v>220.52973213832564</v>
      </c>
      <c r="L79" s="251"/>
      <c r="M79" s="230"/>
    </row>
    <row r="80" spans="1:14" x14ac:dyDescent="0.2">
      <c r="C80" s="47">
        <v>0.73100000000000009</v>
      </c>
      <c r="D80" s="111">
        <v>862.08597679914078</v>
      </c>
      <c r="E80" s="111"/>
      <c r="F80" s="109">
        <v>367.91847475832435</v>
      </c>
      <c r="G80" s="109"/>
      <c r="H80" s="245">
        <v>75.66056417614503</v>
      </c>
      <c r="I80" s="246"/>
      <c r="J80" s="110"/>
      <c r="K80" s="247">
        <v>250.69795814904049</v>
      </c>
      <c r="L80" s="247"/>
      <c r="M80" s="248"/>
    </row>
    <row r="82" spans="1:14" x14ac:dyDescent="0.2">
      <c r="D82" s="12" t="str">
        <f>"Example Male "&amp;F8&amp;" Price"</f>
        <v>Example Male Lamb Price</v>
      </c>
      <c r="K82" s="8">
        <f>+I11</f>
        <v>290</v>
      </c>
      <c r="L82" s="8"/>
    </row>
    <row r="83" spans="1:14" x14ac:dyDescent="0.2">
      <c r="D83" s="12" t="str">
        <f>"Example Female "&amp;F8&amp;" Price"</f>
        <v>Example Female Lamb Price</v>
      </c>
      <c r="K83" s="8">
        <f>+I12</f>
        <v>290</v>
      </c>
      <c r="L83" s="8"/>
    </row>
    <row r="84" spans="1:14" x14ac:dyDescent="0.2">
      <c r="D84" s="12" t="str">
        <f>"Example Weighted Average "&amp;F8&amp;" Price ($/cwt)"</f>
        <v>Example Weighted Average Lamb Price ($/cwt)</v>
      </c>
      <c r="K84" s="8">
        <f>+(K11+K12)/(D11*F11+D12*F12)</f>
        <v>290.00000000000006</v>
      </c>
      <c r="L84" s="8"/>
    </row>
    <row r="86" spans="1:14" x14ac:dyDescent="0.2">
      <c r="A86" s="25" t="s">
        <v>536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8" spans="1:14" ht="25.5" customHeight="1" x14ac:dyDescent="0.2">
      <c r="A88" s="236" t="s">
        <v>140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</row>
  </sheetData>
  <sheetProtection sheet="1" objects="1" scenarios="1"/>
  <mergeCells count="18">
    <mergeCell ref="H79:I79"/>
    <mergeCell ref="K79:M79"/>
    <mergeCell ref="H80:I80"/>
    <mergeCell ref="K80:M80"/>
    <mergeCell ref="A88:N88"/>
    <mergeCell ref="H76:I76"/>
    <mergeCell ref="K76:M76"/>
    <mergeCell ref="H77:I77"/>
    <mergeCell ref="K77:M77"/>
    <mergeCell ref="H78:I78"/>
    <mergeCell ref="K78:M78"/>
    <mergeCell ref="H75:I75"/>
    <mergeCell ref="K75:M75"/>
    <mergeCell ref="A1:N1"/>
    <mergeCell ref="A2:N2"/>
    <mergeCell ref="A3:N3"/>
    <mergeCell ref="A4:N4"/>
    <mergeCell ref="C74:M74"/>
  </mergeCells>
  <printOptions horizontalCentered="1"/>
  <pageMargins left="0.7" right="0.7" top="0.75" bottom="0.75" header="0.3" footer="0.3"/>
  <pageSetup scale="38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49">
    <tabColor rgb="FFFF0000"/>
    <pageSetUpPr fitToPage="1"/>
  </sheetPr>
  <dimension ref="A1:O86"/>
  <sheetViews>
    <sheetView showGridLines="0" workbookViewId="0">
      <selection sqref="A1:N1"/>
    </sheetView>
  </sheetViews>
  <sheetFormatPr defaultColWidth="9.140625" defaultRowHeight="12.75" x14ac:dyDescent="0.2"/>
  <cols>
    <col min="1" max="1" width="3.5703125" customWidth="1"/>
    <col min="2" max="2" width="4.42578125" customWidth="1"/>
    <col min="3" max="3" width="20.140625" customWidth="1"/>
    <col min="4" max="4" width="12.140625" customWidth="1"/>
    <col min="5" max="5" width="9.140625" customWidth="1"/>
    <col min="6" max="6" width="13.140625" customWidth="1"/>
    <col min="7" max="8" width="9.140625" customWidth="1"/>
    <col min="9" max="9" width="9.5703125" bestFit="1" customWidth="1"/>
    <col min="10" max="10" width="9.5703125" customWidth="1"/>
    <col min="11" max="11" width="11.42578125" customWidth="1"/>
    <col min="12" max="12" width="11.5703125" customWidth="1"/>
    <col min="13" max="13" width="14.5703125" customWidth="1"/>
    <col min="14" max="14" width="14.42578125" customWidth="1"/>
    <col min="15" max="15" width="9.140625" hidden="1" customWidth="1"/>
  </cols>
  <sheetData>
    <row r="1" spans="1:15" x14ac:dyDescent="0.2">
      <c r="A1" s="238" t="s">
        <v>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x14ac:dyDescent="0.2">
      <c r="A2" s="239" t="s">
        <v>515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 x14ac:dyDescent="0.2">
      <c r="A3" s="240" t="s">
        <v>493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x14ac:dyDescent="0.2">
      <c r="A4" s="241" t="s">
        <v>509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5" x14ac:dyDescent="0.2">
      <c r="A5" s="123" t="s">
        <v>506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x14ac:dyDescent="0.2">
      <c r="A6" s="106"/>
      <c r="B6" s="22"/>
      <c r="C6" s="22"/>
      <c r="D6" s="22"/>
      <c r="E6" s="216" t="s">
        <v>530</v>
      </c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">
      <c r="A7" s="106"/>
      <c r="B7" s="32" t="s">
        <v>147</v>
      </c>
      <c r="C7" s="22"/>
      <c r="D7" s="22">
        <v>100</v>
      </c>
      <c r="E7" s="213"/>
      <c r="F7" s="115" t="s">
        <v>155</v>
      </c>
      <c r="G7" s="22"/>
      <c r="H7" s="22"/>
      <c r="I7" s="22"/>
      <c r="J7" s="22"/>
      <c r="K7" s="22"/>
      <c r="L7" s="22"/>
      <c r="M7" s="22"/>
      <c r="N7" s="190" t="s">
        <v>74</v>
      </c>
    </row>
    <row r="8" spans="1:15" x14ac:dyDescent="0.2">
      <c r="A8" s="106"/>
      <c r="B8" s="32" t="s">
        <v>97</v>
      </c>
      <c r="C8" s="22"/>
      <c r="D8" s="22">
        <v>500</v>
      </c>
      <c r="E8" s="213"/>
      <c r="F8" s="115" t="s">
        <v>492</v>
      </c>
      <c r="G8" s="190" t="s">
        <v>74</v>
      </c>
      <c r="H8" s="22"/>
      <c r="I8" s="22"/>
      <c r="J8" s="22"/>
      <c r="K8" s="22"/>
      <c r="L8" s="22"/>
      <c r="M8" s="22" t="s">
        <v>19</v>
      </c>
      <c r="N8" s="190" t="s">
        <v>19</v>
      </c>
    </row>
    <row r="9" spans="1:15" x14ac:dyDescent="0.2">
      <c r="A9" s="25"/>
      <c r="B9" s="17"/>
      <c r="C9" s="25"/>
      <c r="D9" s="21"/>
      <c r="E9" s="190" t="s">
        <v>74</v>
      </c>
      <c r="F9" s="21" t="s">
        <v>2</v>
      </c>
      <c r="G9" s="194" t="s">
        <v>2</v>
      </c>
      <c r="H9" s="21"/>
      <c r="I9" s="21"/>
      <c r="J9" s="190" t="s">
        <v>74</v>
      </c>
      <c r="K9" s="21"/>
      <c r="L9" s="190" t="s">
        <v>74</v>
      </c>
      <c r="M9" s="22" t="s">
        <v>11</v>
      </c>
      <c r="N9" s="190" t="s">
        <v>11</v>
      </c>
    </row>
    <row r="10" spans="1:15" x14ac:dyDescent="0.2">
      <c r="A10" s="23" t="s">
        <v>73</v>
      </c>
      <c r="B10" s="23"/>
      <c r="C10" s="23"/>
      <c r="D10" s="24" t="s">
        <v>20</v>
      </c>
      <c r="E10" s="191" t="s">
        <v>20</v>
      </c>
      <c r="F10" s="24" t="s">
        <v>101</v>
      </c>
      <c r="G10" s="191" t="s">
        <v>101</v>
      </c>
      <c r="H10" s="24" t="s">
        <v>21</v>
      </c>
      <c r="I10" s="24" t="s">
        <v>22</v>
      </c>
      <c r="J10" s="191" t="s">
        <v>22</v>
      </c>
      <c r="K10" s="24" t="s">
        <v>11</v>
      </c>
      <c r="L10" s="191" t="s">
        <v>11</v>
      </c>
      <c r="M10" s="24" t="str">
        <f>"(" &amp; D7 &amp; " AUs)"</f>
        <v>(100 AUs)</v>
      </c>
      <c r="N10" s="191" t="str">
        <f>"(" &amp; E7 &amp; " AUs)"</f>
        <v>( AUs)</v>
      </c>
    </row>
    <row r="11" spans="1:15" x14ac:dyDescent="0.2">
      <c r="A11" s="25"/>
      <c r="B11" s="25" t="s">
        <v>353</v>
      </c>
      <c r="C11" s="25"/>
      <c r="D11" s="33">
        <v>2.33</v>
      </c>
      <c r="E11" s="132"/>
      <c r="F11" s="34">
        <v>0.8</v>
      </c>
      <c r="G11" s="132"/>
      <c r="H11" s="227" t="s">
        <v>7</v>
      </c>
      <c r="I11" s="31">
        <v>290</v>
      </c>
      <c r="J11" s="133"/>
      <c r="K11" s="35">
        <v>540.56000000000006</v>
      </c>
      <c r="L11" s="202">
        <f>+E11*G11*J11</f>
        <v>0</v>
      </c>
      <c r="M11" s="35">
        <v>54056.000000000007</v>
      </c>
      <c r="N11" s="202">
        <f>+L11*E$7</f>
        <v>0</v>
      </c>
      <c r="O11" s="12"/>
    </row>
    <row r="12" spans="1:15" x14ac:dyDescent="0.2">
      <c r="A12" s="25"/>
      <c r="B12" s="25" t="s">
        <v>353</v>
      </c>
      <c r="C12" s="25"/>
      <c r="D12" s="33">
        <v>1.23</v>
      </c>
      <c r="E12" s="132"/>
      <c r="F12" s="34">
        <v>0.8</v>
      </c>
      <c r="G12" s="132"/>
      <c r="H12" s="227" t="s">
        <v>7</v>
      </c>
      <c r="I12" s="31">
        <v>290</v>
      </c>
      <c r="J12" s="133"/>
      <c r="K12" s="35">
        <v>285.36</v>
      </c>
      <c r="L12" s="202">
        <f t="shared" ref="L12:L16" si="0">+E12*G12*J12</f>
        <v>0</v>
      </c>
      <c r="M12" s="35">
        <v>28536</v>
      </c>
      <c r="N12" s="202">
        <f t="shared" ref="N12:N16" si="1">+L12*E$7</f>
        <v>0</v>
      </c>
    </row>
    <row r="13" spans="1:15" x14ac:dyDescent="0.2">
      <c r="A13" s="25"/>
      <c r="B13" s="25" t="s">
        <v>350</v>
      </c>
      <c r="C13" s="25"/>
      <c r="D13" s="33">
        <v>1.1000000000000001</v>
      </c>
      <c r="E13" s="132"/>
      <c r="F13" s="34">
        <v>1.25</v>
      </c>
      <c r="G13" s="132"/>
      <c r="H13" s="227" t="s">
        <v>7</v>
      </c>
      <c r="I13" s="31">
        <v>86.8</v>
      </c>
      <c r="J13" s="133"/>
      <c r="K13" s="35">
        <v>119.35</v>
      </c>
      <c r="L13" s="202">
        <f t="shared" si="0"/>
        <v>0</v>
      </c>
      <c r="M13" s="35">
        <v>11935</v>
      </c>
      <c r="N13" s="202">
        <f t="shared" si="1"/>
        <v>0</v>
      </c>
    </row>
    <row r="14" spans="1:15" x14ac:dyDescent="0.2">
      <c r="A14" s="25"/>
      <c r="B14" s="25" t="s">
        <v>352</v>
      </c>
      <c r="C14" s="25"/>
      <c r="D14" s="33">
        <v>0.04</v>
      </c>
      <c r="E14" s="132"/>
      <c r="F14" s="34">
        <v>1.7</v>
      </c>
      <c r="G14" s="132"/>
      <c r="H14" s="227" t="s">
        <v>7</v>
      </c>
      <c r="I14" s="31">
        <v>91.8</v>
      </c>
      <c r="J14" s="133"/>
      <c r="K14" s="35">
        <v>6.2423999999999999</v>
      </c>
      <c r="L14" s="202">
        <f t="shared" si="0"/>
        <v>0</v>
      </c>
      <c r="M14" s="35">
        <v>624.24</v>
      </c>
      <c r="N14" s="202">
        <f t="shared" si="1"/>
        <v>0</v>
      </c>
    </row>
    <row r="15" spans="1:15" x14ac:dyDescent="0.2">
      <c r="A15" s="25"/>
      <c r="B15" s="132"/>
      <c r="C15" s="132"/>
      <c r="D15" s="33">
        <v>0</v>
      </c>
      <c r="E15" s="132"/>
      <c r="F15" s="34">
        <v>0</v>
      </c>
      <c r="G15" s="132"/>
      <c r="H15" s="227"/>
      <c r="I15" s="31">
        <v>0</v>
      </c>
      <c r="J15" s="133"/>
      <c r="K15" s="35">
        <v>0</v>
      </c>
      <c r="L15" s="202">
        <f t="shared" si="0"/>
        <v>0</v>
      </c>
      <c r="M15" s="35">
        <v>0</v>
      </c>
      <c r="N15" s="202">
        <f t="shared" si="1"/>
        <v>0</v>
      </c>
    </row>
    <row r="16" spans="1:15" ht="13.5" thickBot="1" x14ac:dyDescent="0.25">
      <c r="A16" s="25"/>
      <c r="B16" s="132"/>
      <c r="C16" s="132"/>
      <c r="D16" s="33">
        <v>0</v>
      </c>
      <c r="E16" s="132"/>
      <c r="F16" s="34">
        <v>0</v>
      </c>
      <c r="G16" s="132"/>
      <c r="H16" s="227"/>
      <c r="I16" s="31">
        <v>0</v>
      </c>
      <c r="J16" s="133"/>
      <c r="K16" s="35">
        <v>0</v>
      </c>
      <c r="L16" s="184">
        <f t="shared" si="0"/>
        <v>0</v>
      </c>
      <c r="M16" s="35">
        <v>0</v>
      </c>
      <c r="N16" s="184">
        <f t="shared" si="1"/>
        <v>0</v>
      </c>
    </row>
    <row r="17" spans="1:14" x14ac:dyDescent="0.2">
      <c r="A17" s="25" t="s">
        <v>24</v>
      </c>
      <c r="B17" s="25"/>
      <c r="C17" s="25"/>
      <c r="D17" s="25"/>
      <c r="E17" s="25"/>
      <c r="F17" s="115">
        <v>284.8</v>
      </c>
      <c r="G17" s="200"/>
      <c r="H17" s="25"/>
      <c r="I17" s="25"/>
      <c r="J17" s="197"/>
      <c r="K17" s="36">
        <v>951.51240000000007</v>
      </c>
      <c r="L17" s="203">
        <f>+SUM(L11:L16)</f>
        <v>0</v>
      </c>
      <c r="M17" s="36">
        <v>95151.24</v>
      </c>
      <c r="N17" s="203">
        <f>+SUM(N11:N16)</f>
        <v>0</v>
      </c>
    </row>
    <row r="18" spans="1:14" x14ac:dyDescent="0.2">
      <c r="A18" s="25"/>
      <c r="B18" s="25"/>
      <c r="C18" s="25"/>
      <c r="D18" s="25"/>
      <c r="E18" s="25"/>
      <c r="F18" s="115">
        <v>429.09999999999997</v>
      </c>
      <c r="G18" s="200"/>
      <c r="H18" s="25"/>
      <c r="I18" s="25"/>
      <c r="J18" s="197"/>
      <c r="K18" s="35"/>
      <c r="L18" s="184"/>
      <c r="M18" s="35"/>
      <c r="N18" s="184"/>
    </row>
    <row r="19" spans="1:14" x14ac:dyDescent="0.2">
      <c r="A19" s="25"/>
      <c r="B19" s="25"/>
      <c r="C19" s="25"/>
      <c r="D19" s="25"/>
      <c r="E19" s="25"/>
      <c r="F19" s="114">
        <v>144.29999999999995</v>
      </c>
      <c r="G19" s="178"/>
      <c r="H19" s="21"/>
      <c r="I19" s="21"/>
      <c r="J19" s="211"/>
      <c r="K19" s="21"/>
      <c r="L19" s="184"/>
      <c r="M19" s="22" t="s">
        <v>19</v>
      </c>
      <c r="N19" s="178" t="s">
        <v>19</v>
      </c>
    </row>
    <row r="20" spans="1:14" x14ac:dyDescent="0.2">
      <c r="A20" s="23" t="s">
        <v>25</v>
      </c>
      <c r="B20" s="23"/>
      <c r="C20" s="23"/>
      <c r="D20" s="23"/>
      <c r="E20" s="23"/>
      <c r="F20" s="24" t="s">
        <v>2</v>
      </c>
      <c r="G20" s="196" t="s">
        <v>2</v>
      </c>
      <c r="H20" s="24" t="s">
        <v>21</v>
      </c>
      <c r="I20" s="24" t="s">
        <v>22</v>
      </c>
      <c r="J20" s="196" t="s">
        <v>22</v>
      </c>
      <c r="K20" s="24" t="s">
        <v>11</v>
      </c>
      <c r="L20" s="202" t="s">
        <v>11</v>
      </c>
      <c r="M20" s="24" t="s">
        <v>11</v>
      </c>
      <c r="N20" s="196" t="s">
        <v>11</v>
      </c>
    </row>
    <row r="21" spans="1:14" x14ac:dyDescent="0.2">
      <c r="A21" s="25" t="s">
        <v>26</v>
      </c>
      <c r="B21" s="25"/>
      <c r="C21" s="25"/>
      <c r="D21" s="25"/>
      <c r="E21" s="25"/>
      <c r="F21" s="25"/>
      <c r="G21" s="178"/>
      <c r="H21" s="25"/>
      <c r="I21" s="25"/>
      <c r="J21" s="211"/>
      <c r="K21" s="25"/>
      <c r="L21" s="184"/>
      <c r="M21" s="25"/>
      <c r="N21" s="184"/>
    </row>
    <row r="22" spans="1:14" x14ac:dyDescent="0.2">
      <c r="A22" s="25"/>
      <c r="B22" s="25" t="s">
        <v>27</v>
      </c>
      <c r="C22" s="25"/>
      <c r="D22" s="25"/>
      <c r="E22" s="25"/>
      <c r="G22" s="105"/>
      <c r="J22" s="105"/>
      <c r="K22" s="127"/>
      <c r="L22" s="105"/>
      <c r="N22" s="105"/>
    </row>
    <row r="23" spans="1:14" x14ac:dyDescent="0.2">
      <c r="A23" s="25"/>
      <c r="B23" s="25"/>
      <c r="C23" s="25" t="s">
        <v>432</v>
      </c>
      <c r="D23" s="25"/>
      <c r="E23" s="25"/>
      <c r="F23" s="34">
        <v>1</v>
      </c>
      <c r="G23" s="132"/>
      <c r="H23" s="227" t="s">
        <v>148</v>
      </c>
      <c r="I23" s="35">
        <v>16.25</v>
      </c>
      <c r="J23" s="133"/>
      <c r="K23" s="35">
        <v>16.25</v>
      </c>
      <c r="L23" s="202">
        <f t="shared" ref="L23:L27" si="2">+J23*G23</f>
        <v>0</v>
      </c>
      <c r="M23" s="35">
        <v>1625</v>
      </c>
      <c r="N23" s="202">
        <f t="shared" ref="N23:N27" si="3">+L23*E$7</f>
        <v>0</v>
      </c>
    </row>
    <row r="24" spans="1:14" x14ac:dyDescent="0.2">
      <c r="A24" s="25"/>
      <c r="B24" s="25"/>
      <c r="C24" s="25" t="s">
        <v>428</v>
      </c>
      <c r="D24" s="25"/>
      <c r="E24" s="25"/>
      <c r="F24" s="34">
        <v>1</v>
      </c>
      <c r="G24" s="132"/>
      <c r="H24" s="227" t="s">
        <v>148</v>
      </c>
      <c r="I24" s="35">
        <v>2.75</v>
      </c>
      <c r="J24" s="133"/>
      <c r="K24" s="35">
        <v>2.75</v>
      </c>
      <c r="L24" s="202">
        <f t="shared" si="2"/>
        <v>0</v>
      </c>
      <c r="M24" s="35">
        <v>275</v>
      </c>
      <c r="N24" s="202">
        <f t="shared" si="3"/>
        <v>0</v>
      </c>
    </row>
    <row r="25" spans="1:14" x14ac:dyDescent="0.2">
      <c r="A25" s="25"/>
      <c r="B25" s="132"/>
      <c r="C25" s="132"/>
      <c r="D25" s="25"/>
      <c r="E25" s="25"/>
      <c r="F25" s="34">
        <v>1</v>
      </c>
      <c r="G25" s="132"/>
      <c r="H25" s="227"/>
      <c r="I25" s="35">
        <v>0</v>
      </c>
      <c r="J25" s="133"/>
      <c r="K25" s="35">
        <v>0</v>
      </c>
      <c r="L25" s="202">
        <f t="shared" si="2"/>
        <v>0</v>
      </c>
      <c r="M25" s="35">
        <v>0</v>
      </c>
      <c r="N25" s="202">
        <f t="shared" si="3"/>
        <v>0</v>
      </c>
    </row>
    <row r="26" spans="1:14" x14ac:dyDescent="0.2">
      <c r="A26" s="25"/>
      <c r="B26" s="132"/>
      <c r="C26" s="132"/>
      <c r="D26" s="25"/>
      <c r="E26" s="25"/>
      <c r="F26" s="34">
        <v>1</v>
      </c>
      <c r="G26" s="132"/>
      <c r="H26" s="227"/>
      <c r="I26" s="35">
        <v>0</v>
      </c>
      <c r="J26" s="133"/>
      <c r="K26" s="35">
        <v>0</v>
      </c>
      <c r="L26" s="202">
        <f t="shared" si="2"/>
        <v>0</v>
      </c>
      <c r="M26" s="35">
        <v>0</v>
      </c>
      <c r="N26" s="202">
        <f t="shared" si="3"/>
        <v>0</v>
      </c>
    </row>
    <row r="27" spans="1:14" x14ac:dyDescent="0.2">
      <c r="A27" s="25"/>
      <c r="B27" s="25" t="s">
        <v>111</v>
      </c>
      <c r="C27" s="25"/>
      <c r="D27" s="25"/>
      <c r="E27" s="25"/>
      <c r="F27" s="34">
        <v>1</v>
      </c>
      <c r="G27" s="132"/>
      <c r="H27" s="227" t="s">
        <v>148</v>
      </c>
      <c r="I27" s="35">
        <v>24.418399999999998</v>
      </c>
      <c r="J27" s="133"/>
      <c r="K27" s="35">
        <v>24.418399999999998</v>
      </c>
      <c r="L27" s="202">
        <f t="shared" si="2"/>
        <v>0</v>
      </c>
      <c r="M27" s="35">
        <v>2441.8399999999997</v>
      </c>
      <c r="N27" s="202">
        <f t="shared" si="3"/>
        <v>0</v>
      </c>
    </row>
    <row r="28" spans="1:14" x14ac:dyDescent="0.2">
      <c r="A28" s="25"/>
      <c r="B28" s="25" t="s">
        <v>109</v>
      </c>
      <c r="C28" s="25"/>
      <c r="D28" s="25"/>
      <c r="G28" s="105"/>
      <c r="J28" s="105"/>
      <c r="K28" s="127"/>
      <c r="L28" s="105"/>
      <c r="N28" s="105"/>
    </row>
    <row r="29" spans="1:14" x14ac:dyDescent="0.2">
      <c r="A29" s="25"/>
      <c r="B29" s="25"/>
      <c r="C29" s="25" t="s">
        <v>377</v>
      </c>
      <c r="D29" s="25"/>
      <c r="E29" s="25"/>
      <c r="F29" s="25">
        <v>150</v>
      </c>
      <c r="G29" s="132"/>
      <c r="H29" s="227" t="s">
        <v>83</v>
      </c>
      <c r="I29" s="35">
        <v>0.17</v>
      </c>
      <c r="J29" s="133"/>
      <c r="K29" s="35">
        <v>25.500000000000004</v>
      </c>
      <c r="L29" s="202">
        <f t="shared" ref="L29:L45" si="4">+J29*G29</f>
        <v>0</v>
      </c>
      <c r="M29" s="35">
        <v>2550.0000000000005</v>
      </c>
      <c r="N29" s="202">
        <f t="shared" ref="N29:N33" si="5">+L29*E$7</f>
        <v>0</v>
      </c>
    </row>
    <row r="30" spans="1:14" x14ac:dyDescent="0.2">
      <c r="A30" s="25"/>
      <c r="B30" s="25"/>
      <c r="C30" s="25" t="s">
        <v>357</v>
      </c>
      <c r="D30" s="25"/>
      <c r="E30" s="25"/>
      <c r="F30" s="25">
        <v>10.92</v>
      </c>
      <c r="G30" s="132"/>
      <c r="H30" s="227" t="s">
        <v>83</v>
      </c>
      <c r="I30" s="35">
        <v>0.56999999999999995</v>
      </c>
      <c r="J30" s="133"/>
      <c r="K30" s="35">
        <v>6.2243999999999993</v>
      </c>
      <c r="L30" s="202">
        <f t="shared" si="4"/>
        <v>0</v>
      </c>
      <c r="M30" s="35">
        <v>622.43999999999994</v>
      </c>
      <c r="N30" s="202">
        <f t="shared" si="5"/>
        <v>0</v>
      </c>
    </row>
    <row r="31" spans="1:14" x14ac:dyDescent="0.2">
      <c r="A31" s="25"/>
      <c r="B31" s="132"/>
      <c r="C31" s="132"/>
      <c r="D31" s="25"/>
      <c r="E31" s="25"/>
      <c r="F31" s="25">
        <v>0</v>
      </c>
      <c r="G31" s="132"/>
      <c r="H31" s="227"/>
      <c r="I31" s="35">
        <v>0</v>
      </c>
      <c r="J31" s="133"/>
      <c r="K31" s="35">
        <v>0</v>
      </c>
      <c r="L31" s="202">
        <f t="shared" si="4"/>
        <v>0</v>
      </c>
      <c r="M31" s="35">
        <v>0</v>
      </c>
      <c r="N31" s="202">
        <f t="shared" si="5"/>
        <v>0</v>
      </c>
    </row>
    <row r="32" spans="1:14" x14ac:dyDescent="0.2">
      <c r="A32" s="25"/>
      <c r="B32" s="132"/>
      <c r="C32" s="132"/>
      <c r="D32" s="25"/>
      <c r="E32" s="25"/>
      <c r="F32" s="25">
        <v>0</v>
      </c>
      <c r="G32" s="132"/>
      <c r="H32" s="227"/>
      <c r="I32" s="35">
        <v>0</v>
      </c>
      <c r="J32" s="133"/>
      <c r="K32" s="35">
        <v>0</v>
      </c>
      <c r="L32" s="202">
        <f t="shared" si="4"/>
        <v>0</v>
      </c>
      <c r="M32" s="35">
        <v>0</v>
      </c>
      <c r="N32" s="202">
        <f t="shared" si="5"/>
        <v>0</v>
      </c>
    </row>
    <row r="33" spans="1:14" x14ac:dyDescent="0.2">
      <c r="A33" s="25"/>
      <c r="B33" s="132"/>
      <c r="C33" s="132"/>
      <c r="D33" s="25"/>
      <c r="E33" s="25"/>
      <c r="F33" s="25">
        <v>0</v>
      </c>
      <c r="G33" s="132"/>
      <c r="H33" s="227"/>
      <c r="I33" s="35">
        <v>0</v>
      </c>
      <c r="J33" s="133"/>
      <c r="K33" s="35">
        <v>0</v>
      </c>
      <c r="L33" s="202">
        <f t="shared" si="4"/>
        <v>0</v>
      </c>
      <c r="M33" s="35">
        <v>0</v>
      </c>
      <c r="N33" s="202">
        <f t="shared" si="5"/>
        <v>0</v>
      </c>
    </row>
    <row r="34" spans="1:14" x14ac:dyDescent="0.2">
      <c r="A34" s="25"/>
      <c r="B34" s="25" t="s">
        <v>94</v>
      </c>
      <c r="C34" s="25"/>
      <c r="D34" s="25"/>
      <c r="E34" s="25"/>
      <c r="F34" s="25"/>
      <c r="G34" s="105"/>
      <c r="J34" s="105"/>
      <c r="K34" s="127"/>
      <c r="L34" s="105"/>
      <c r="N34" s="105"/>
    </row>
    <row r="35" spans="1:14" x14ac:dyDescent="0.2">
      <c r="A35" s="25"/>
      <c r="B35" s="25"/>
      <c r="C35" s="25" t="s">
        <v>375</v>
      </c>
      <c r="D35" s="25"/>
      <c r="E35" s="25"/>
      <c r="F35" s="25">
        <v>5</v>
      </c>
      <c r="G35" s="132"/>
      <c r="H35" s="227" t="s">
        <v>363</v>
      </c>
      <c r="I35" s="35">
        <v>0.51</v>
      </c>
      <c r="J35" s="133"/>
      <c r="K35" s="35">
        <v>2.5499999999999998</v>
      </c>
      <c r="L35" s="202">
        <f t="shared" si="4"/>
        <v>0</v>
      </c>
      <c r="M35" s="35">
        <v>254.99999999999997</v>
      </c>
      <c r="N35" s="202">
        <f t="shared" ref="N35:N51" si="6">+L35*E$7</f>
        <v>0</v>
      </c>
    </row>
    <row r="36" spans="1:14" x14ac:dyDescent="0.2">
      <c r="A36" s="25"/>
      <c r="B36" s="25"/>
      <c r="C36" s="25" t="s">
        <v>383</v>
      </c>
      <c r="D36" s="25"/>
      <c r="E36" s="25"/>
      <c r="F36" s="25">
        <v>15.06</v>
      </c>
      <c r="G36" s="132"/>
      <c r="H36" s="227" t="s">
        <v>363</v>
      </c>
      <c r="I36" s="35">
        <v>0.71</v>
      </c>
      <c r="J36" s="133"/>
      <c r="K36" s="35">
        <v>10.692600000000001</v>
      </c>
      <c r="L36" s="202">
        <f t="shared" si="4"/>
        <v>0</v>
      </c>
      <c r="M36" s="35">
        <v>1069.26</v>
      </c>
      <c r="N36" s="202">
        <f t="shared" si="6"/>
        <v>0</v>
      </c>
    </row>
    <row r="37" spans="1:14" x14ac:dyDescent="0.2">
      <c r="A37" s="25"/>
      <c r="B37" s="25"/>
      <c r="C37" s="25" t="s">
        <v>417</v>
      </c>
      <c r="D37" s="25"/>
      <c r="E37" s="25"/>
      <c r="F37" s="25">
        <v>15.06</v>
      </c>
      <c r="G37" s="132"/>
      <c r="H37" s="227" t="s">
        <v>363</v>
      </c>
      <c r="I37" s="35">
        <v>0.06</v>
      </c>
      <c r="J37" s="133"/>
      <c r="K37" s="35">
        <v>0.90359999999999996</v>
      </c>
      <c r="L37" s="202">
        <f t="shared" si="4"/>
        <v>0</v>
      </c>
      <c r="M37" s="35">
        <v>90.36</v>
      </c>
      <c r="N37" s="202">
        <f t="shared" si="6"/>
        <v>0</v>
      </c>
    </row>
    <row r="38" spans="1:14" x14ac:dyDescent="0.2">
      <c r="A38" s="25"/>
      <c r="B38" s="132"/>
      <c r="C38" s="132"/>
      <c r="D38" s="25"/>
      <c r="E38" s="25"/>
      <c r="F38" s="25">
        <v>0</v>
      </c>
      <c r="G38" s="132"/>
      <c r="H38" s="227"/>
      <c r="I38" s="35">
        <v>0</v>
      </c>
      <c r="J38" s="133"/>
      <c r="K38" s="35">
        <v>0</v>
      </c>
      <c r="L38" s="202">
        <f t="shared" si="4"/>
        <v>0</v>
      </c>
      <c r="M38" s="35">
        <v>0</v>
      </c>
      <c r="N38" s="202">
        <f t="shared" si="6"/>
        <v>0</v>
      </c>
    </row>
    <row r="39" spans="1:14" x14ac:dyDescent="0.2">
      <c r="A39" s="25"/>
      <c r="B39" s="132"/>
      <c r="C39" s="132"/>
      <c r="D39" s="25"/>
      <c r="E39" s="25"/>
      <c r="F39" s="25">
        <v>0</v>
      </c>
      <c r="G39" s="132"/>
      <c r="H39" s="227"/>
      <c r="I39" s="35">
        <v>0</v>
      </c>
      <c r="J39" s="133"/>
      <c r="K39" s="35">
        <v>0</v>
      </c>
      <c r="L39" s="202">
        <f t="shared" si="4"/>
        <v>0</v>
      </c>
      <c r="M39" s="35">
        <v>0</v>
      </c>
      <c r="N39" s="202">
        <f t="shared" si="6"/>
        <v>0</v>
      </c>
    </row>
    <row r="40" spans="1:14" x14ac:dyDescent="0.2">
      <c r="A40" s="25"/>
      <c r="B40" s="132"/>
      <c r="C40" s="132"/>
      <c r="D40" s="25"/>
      <c r="E40" s="25"/>
      <c r="F40" s="25">
        <v>0</v>
      </c>
      <c r="G40" s="132"/>
      <c r="H40" s="227"/>
      <c r="I40" s="35">
        <v>0</v>
      </c>
      <c r="J40" s="133"/>
      <c r="K40" s="35">
        <v>0</v>
      </c>
      <c r="L40" s="202">
        <f t="shared" si="4"/>
        <v>0</v>
      </c>
      <c r="M40" s="35">
        <v>0</v>
      </c>
      <c r="N40" s="202">
        <f t="shared" si="6"/>
        <v>0</v>
      </c>
    </row>
    <row r="41" spans="1:14" x14ac:dyDescent="0.2">
      <c r="A41" s="25"/>
      <c r="B41" s="25" t="s">
        <v>43</v>
      </c>
      <c r="C41" s="25"/>
      <c r="D41" s="25"/>
      <c r="E41" s="25"/>
      <c r="F41" s="37">
        <v>1</v>
      </c>
      <c r="G41" s="132"/>
      <c r="H41" s="227" t="s">
        <v>148</v>
      </c>
      <c r="I41" s="35">
        <v>23.88</v>
      </c>
      <c r="J41" s="133"/>
      <c r="K41" s="35">
        <v>23.88</v>
      </c>
      <c r="L41" s="202">
        <f t="shared" si="4"/>
        <v>0</v>
      </c>
      <c r="M41" s="35">
        <v>2388</v>
      </c>
      <c r="N41" s="202">
        <f t="shared" si="6"/>
        <v>0</v>
      </c>
    </row>
    <row r="42" spans="1:14" x14ac:dyDescent="0.2">
      <c r="A42" s="25"/>
      <c r="B42" s="25" t="s">
        <v>93</v>
      </c>
      <c r="C42" s="25"/>
      <c r="D42" s="25"/>
      <c r="E42" s="25"/>
      <c r="F42" s="38">
        <v>0.1</v>
      </c>
      <c r="G42" s="137"/>
      <c r="H42" s="227" t="s">
        <v>30</v>
      </c>
      <c r="I42" s="35">
        <v>23.88</v>
      </c>
      <c r="J42" s="133"/>
      <c r="K42" s="35">
        <v>2.3879999999999999</v>
      </c>
      <c r="L42" s="202">
        <f t="shared" si="4"/>
        <v>0</v>
      </c>
      <c r="M42" s="35">
        <v>238.79999999999998</v>
      </c>
      <c r="N42" s="202">
        <f t="shared" si="6"/>
        <v>0</v>
      </c>
    </row>
    <row r="43" spans="1:14" x14ac:dyDescent="0.2">
      <c r="A43" s="25"/>
      <c r="B43" s="25" t="s">
        <v>92</v>
      </c>
      <c r="C43" s="25"/>
      <c r="D43" s="25"/>
      <c r="E43" s="25"/>
      <c r="F43" s="25">
        <v>1</v>
      </c>
      <c r="G43" s="132"/>
      <c r="H43" s="227" t="s">
        <v>148</v>
      </c>
      <c r="I43" s="35">
        <v>36.047681666666669</v>
      </c>
      <c r="J43" s="133"/>
      <c r="K43" s="35">
        <v>36.047681666666669</v>
      </c>
      <c r="L43" s="202">
        <f t="shared" si="4"/>
        <v>0</v>
      </c>
      <c r="M43" s="35">
        <v>3604.7681666666667</v>
      </c>
      <c r="N43" s="202">
        <f t="shared" si="6"/>
        <v>0</v>
      </c>
    </row>
    <row r="44" spans="1:14" x14ac:dyDescent="0.2">
      <c r="A44" s="25"/>
      <c r="B44" s="25" t="s">
        <v>12</v>
      </c>
      <c r="C44" s="25"/>
      <c r="D44" s="25"/>
      <c r="E44" s="25"/>
      <c r="F44" s="34">
        <v>3.2000001000000005</v>
      </c>
      <c r="G44" s="132"/>
      <c r="H44" s="227" t="s">
        <v>31</v>
      </c>
      <c r="I44" s="35">
        <v>14.999999999999998</v>
      </c>
      <c r="J44" s="133"/>
      <c r="K44" s="35">
        <v>48.000001500000003</v>
      </c>
      <c r="L44" s="202">
        <f t="shared" si="4"/>
        <v>0</v>
      </c>
      <c r="M44" s="35">
        <v>4800.0001500000008</v>
      </c>
      <c r="N44" s="202">
        <f t="shared" si="6"/>
        <v>0</v>
      </c>
    </row>
    <row r="45" spans="1:14" x14ac:dyDescent="0.2">
      <c r="A45" s="25"/>
      <c r="B45" s="25" t="s">
        <v>98</v>
      </c>
      <c r="C45" s="25"/>
      <c r="D45" s="25"/>
      <c r="E45" s="25"/>
      <c r="F45" s="34">
        <v>1</v>
      </c>
      <c r="G45" s="132"/>
      <c r="H45" s="227" t="s">
        <v>148</v>
      </c>
      <c r="I45" s="35">
        <v>48</v>
      </c>
      <c r="J45" s="133"/>
      <c r="K45" s="35">
        <v>48</v>
      </c>
      <c r="L45" s="202">
        <f t="shared" si="4"/>
        <v>0</v>
      </c>
      <c r="M45" s="35">
        <v>4800</v>
      </c>
      <c r="N45" s="202">
        <f t="shared" si="6"/>
        <v>0</v>
      </c>
    </row>
    <row r="46" spans="1:14" x14ac:dyDescent="0.2">
      <c r="A46" s="25"/>
      <c r="B46" s="132"/>
      <c r="C46" s="132"/>
      <c r="D46" s="25"/>
      <c r="E46" s="25"/>
      <c r="F46" s="34"/>
      <c r="G46" s="132"/>
      <c r="H46" s="227"/>
      <c r="I46" s="35"/>
      <c r="J46" s="133"/>
      <c r="K46" s="35">
        <v>0</v>
      </c>
      <c r="L46" s="202">
        <f t="shared" ref="L46" si="7">+J46*G46</f>
        <v>0</v>
      </c>
      <c r="M46" s="35">
        <v>0</v>
      </c>
      <c r="N46" s="202">
        <f t="shared" si="6"/>
        <v>0</v>
      </c>
    </row>
    <row r="47" spans="1:14" x14ac:dyDescent="0.2">
      <c r="A47" s="25"/>
      <c r="B47" s="25" t="s">
        <v>312</v>
      </c>
      <c r="C47" s="25"/>
      <c r="D47" s="25"/>
      <c r="E47" s="25"/>
      <c r="F47" s="34">
        <v>1</v>
      </c>
      <c r="G47" s="132"/>
      <c r="H47" s="227"/>
      <c r="I47" s="35">
        <v>0</v>
      </c>
      <c r="J47" s="133"/>
      <c r="K47" s="35">
        <v>0</v>
      </c>
      <c r="L47" s="202">
        <f t="shared" ref="L47:L50" si="8">+J47*G47</f>
        <v>0</v>
      </c>
      <c r="M47" s="35">
        <v>0</v>
      </c>
      <c r="N47" s="202">
        <f t="shared" si="6"/>
        <v>0</v>
      </c>
    </row>
    <row r="48" spans="1:14" x14ac:dyDescent="0.2">
      <c r="A48" s="25"/>
      <c r="B48" s="25" t="s">
        <v>313</v>
      </c>
      <c r="C48" s="25"/>
      <c r="D48" s="25"/>
      <c r="E48" s="25"/>
      <c r="F48" s="34">
        <v>1</v>
      </c>
      <c r="G48" s="132"/>
      <c r="H48" s="227"/>
      <c r="I48" s="35">
        <v>0</v>
      </c>
      <c r="J48" s="133"/>
      <c r="K48" s="35">
        <v>0</v>
      </c>
      <c r="L48" s="202">
        <f t="shared" si="8"/>
        <v>0</v>
      </c>
      <c r="M48" s="35">
        <v>0</v>
      </c>
      <c r="N48" s="202">
        <f t="shared" si="6"/>
        <v>0</v>
      </c>
    </row>
    <row r="49" spans="1:14" x14ac:dyDescent="0.2">
      <c r="A49" s="25"/>
      <c r="B49" s="25" t="s">
        <v>314</v>
      </c>
      <c r="C49" s="25"/>
      <c r="D49" s="25"/>
      <c r="E49" s="25"/>
      <c r="F49" s="34">
        <v>1</v>
      </c>
      <c r="G49" s="132"/>
      <c r="H49" s="227"/>
      <c r="I49" s="35">
        <v>0</v>
      </c>
      <c r="J49" s="133"/>
      <c r="K49" s="35">
        <v>0</v>
      </c>
      <c r="L49" s="202">
        <f t="shared" si="8"/>
        <v>0</v>
      </c>
      <c r="M49" s="35">
        <v>0</v>
      </c>
      <c r="N49" s="202">
        <f t="shared" si="6"/>
        <v>0</v>
      </c>
    </row>
    <row r="50" spans="1:14" x14ac:dyDescent="0.2">
      <c r="A50" s="25"/>
      <c r="B50" s="25" t="s">
        <v>315</v>
      </c>
      <c r="C50" s="25"/>
      <c r="D50" s="25"/>
      <c r="E50" s="25"/>
      <c r="F50" s="34">
        <v>1</v>
      </c>
      <c r="G50" s="132"/>
      <c r="H50" s="227"/>
      <c r="I50" s="35">
        <v>0</v>
      </c>
      <c r="J50" s="133"/>
      <c r="K50" s="35">
        <v>0</v>
      </c>
      <c r="L50" s="202">
        <f t="shared" si="8"/>
        <v>0</v>
      </c>
      <c r="M50" s="35">
        <v>0</v>
      </c>
      <c r="N50" s="202">
        <f t="shared" si="6"/>
        <v>0</v>
      </c>
    </row>
    <row r="51" spans="1:14" ht="13.5" thickBot="1" x14ac:dyDescent="0.25">
      <c r="A51" s="25"/>
      <c r="B51" s="25" t="s">
        <v>32</v>
      </c>
      <c r="C51" s="25"/>
      <c r="D51" s="25"/>
      <c r="E51" s="25"/>
      <c r="F51" s="25"/>
      <c r="G51" s="200"/>
      <c r="H51" s="21"/>
      <c r="I51" s="39">
        <v>0.08</v>
      </c>
      <c r="J51" s="215"/>
      <c r="K51" s="35">
        <v>19.896410883981741</v>
      </c>
      <c r="L51" s="184">
        <f>+SUM(L21:L50)/2*J51</f>
        <v>0</v>
      </c>
      <c r="M51" s="35">
        <v>1989.6410883981741</v>
      </c>
      <c r="N51" s="184">
        <f t="shared" si="6"/>
        <v>0</v>
      </c>
    </row>
    <row r="52" spans="1:14" x14ac:dyDescent="0.2">
      <c r="A52" s="25" t="s">
        <v>33</v>
      </c>
      <c r="B52" s="25"/>
      <c r="C52" s="25"/>
      <c r="D52" s="25"/>
      <c r="E52" s="25"/>
      <c r="F52" s="25"/>
      <c r="G52" s="200"/>
      <c r="H52" s="25"/>
      <c r="I52" s="25"/>
      <c r="J52" s="197"/>
      <c r="K52" s="36">
        <v>267.50109405064842</v>
      </c>
      <c r="L52" s="203">
        <f>+SUM(L23:L51)</f>
        <v>0</v>
      </c>
      <c r="M52" s="36">
        <v>26750.109405064839</v>
      </c>
      <c r="N52" s="203">
        <f>+SUM(N23:N51)</f>
        <v>0</v>
      </c>
    </row>
    <row r="53" spans="1:14" x14ac:dyDescent="0.2">
      <c r="B53" s="25"/>
      <c r="C53" s="25"/>
      <c r="D53" s="25"/>
      <c r="E53" s="25"/>
      <c r="F53" s="25"/>
      <c r="G53" s="200"/>
      <c r="H53" s="25"/>
      <c r="I53" s="25"/>
      <c r="J53" s="197"/>
      <c r="K53" s="35"/>
      <c r="L53" s="184"/>
      <c r="M53" s="35"/>
      <c r="N53" s="184"/>
    </row>
    <row r="54" spans="1:14" x14ac:dyDescent="0.2">
      <c r="A54" s="25" t="s">
        <v>34</v>
      </c>
      <c r="B54" s="25"/>
      <c r="C54" s="25"/>
      <c r="D54" s="25"/>
      <c r="E54" s="25"/>
      <c r="F54" s="25"/>
      <c r="G54" s="200"/>
      <c r="H54" s="25"/>
      <c r="I54" s="25"/>
      <c r="J54" s="197"/>
      <c r="K54" s="35">
        <v>684.01130594935171</v>
      </c>
      <c r="L54" s="202">
        <f>+L17-L52</f>
        <v>0</v>
      </c>
      <c r="M54" s="35">
        <v>68401.130594935166</v>
      </c>
      <c r="N54" s="202">
        <f>+N17-N52</f>
        <v>0</v>
      </c>
    </row>
    <row r="55" spans="1:14" x14ac:dyDescent="0.2">
      <c r="A55" s="25"/>
      <c r="B55" s="25" t="s">
        <v>531</v>
      </c>
      <c r="C55" s="25"/>
      <c r="D55" s="25"/>
      <c r="E55" s="25"/>
      <c r="F55" s="25"/>
      <c r="G55" s="178"/>
      <c r="H55" s="17"/>
      <c r="I55" s="40">
        <v>49.827490888570374</v>
      </c>
      <c r="J55" s="210" t="str">
        <f>IF((E11*G11+E12*G12)=0,"n/a",(L52-SUM(L13:L16))/(E11*G11+E12*G12))</f>
        <v>n/a</v>
      </c>
      <c r="K55" s="25" t="s">
        <v>7</v>
      </c>
      <c r="L55" s="184"/>
      <c r="M55" s="25"/>
      <c r="N55" s="184"/>
    </row>
    <row r="56" spans="1:14" x14ac:dyDescent="0.2">
      <c r="A56" s="25"/>
      <c r="B56" s="25"/>
      <c r="C56" s="25"/>
      <c r="D56" s="25"/>
      <c r="E56" s="25"/>
      <c r="F56" s="21"/>
      <c r="G56" s="178"/>
      <c r="H56" s="21"/>
      <c r="I56" s="21"/>
      <c r="J56" s="211"/>
      <c r="K56" s="21"/>
      <c r="L56" s="184"/>
      <c r="M56" s="22" t="s">
        <v>19</v>
      </c>
      <c r="N56" s="178" t="s">
        <v>19</v>
      </c>
    </row>
    <row r="57" spans="1:14" x14ac:dyDescent="0.2">
      <c r="A57" s="23" t="s">
        <v>36</v>
      </c>
      <c r="B57" s="23"/>
      <c r="C57" s="23"/>
      <c r="D57" s="23"/>
      <c r="E57" s="23"/>
      <c r="F57" s="24" t="s">
        <v>2</v>
      </c>
      <c r="G57" s="196" t="s">
        <v>2</v>
      </c>
      <c r="H57" s="24" t="s">
        <v>21</v>
      </c>
      <c r="I57" s="24" t="s">
        <v>22</v>
      </c>
      <c r="J57" s="196" t="s">
        <v>22</v>
      </c>
      <c r="K57" s="24" t="s">
        <v>11</v>
      </c>
      <c r="L57" s="202" t="s">
        <v>11</v>
      </c>
      <c r="M57" s="24" t="s">
        <v>11</v>
      </c>
      <c r="N57" s="202" t="s">
        <v>11</v>
      </c>
    </row>
    <row r="58" spans="1:14" x14ac:dyDescent="0.2">
      <c r="A58" s="25"/>
      <c r="B58" s="25" t="s">
        <v>91</v>
      </c>
      <c r="C58" s="25"/>
      <c r="D58" s="25"/>
      <c r="E58" s="25"/>
      <c r="F58" s="25">
        <v>1</v>
      </c>
      <c r="G58" s="132"/>
      <c r="H58" s="227" t="s">
        <v>148</v>
      </c>
      <c r="I58" s="35">
        <v>92.050438095238093</v>
      </c>
      <c r="J58" s="133"/>
      <c r="K58" s="35">
        <v>92.050438095238093</v>
      </c>
      <c r="L58" s="202">
        <f t="shared" ref="L58:L66" si="9">+G58*J58</f>
        <v>0</v>
      </c>
      <c r="M58" s="35">
        <v>9205.0438095238096</v>
      </c>
      <c r="N58" s="202">
        <f t="shared" ref="N58:N66" si="10">+L58*E$7</f>
        <v>0</v>
      </c>
    </row>
    <row r="59" spans="1:14" x14ac:dyDescent="0.2">
      <c r="A59" s="25"/>
      <c r="B59" s="25" t="s">
        <v>90</v>
      </c>
      <c r="C59" s="25"/>
      <c r="D59" s="25"/>
      <c r="E59" s="25"/>
      <c r="F59" s="25">
        <v>1</v>
      </c>
      <c r="G59" s="132"/>
      <c r="H59" s="227" t="s">
        <v>148</v>
      </c>
      <c r="I59" s="35">
        <v>98.421599999999998</v>
      </c>
      <c r="J59" s="133"/>
      <c r="K59" s="35">
        <v>98.421599999999998</v>
      </c>
      <c r="L59" s="202">
        <f t="shared" si="9"/>
        <v>0</v>
      </c>
      <c r="M59" s="35">
        <v>9842.16</v>
      </c>
      <c r="N59" s="202">
        <f t="shared" si="10"/>
        <v>0</v>
      </c>
    </row>
    <row r="60" spans="1:14" x14ac:dyDescent="0.2">
      <c r="A60" s="25"/>
      <c r="B60" s="25" t="s">
        <v>89</v>
      </c>
      <c r="C60" s="25"/>
      <c r="D60" s="25"/>
      <c r="E60" s="25"/>
      <c r="F60" s="41">
        <v>1477.4562500000002</v>
      </c>
      <c r="G60" s="132"/>
      <c r="H60" s="227" t="s">
        <v>88</v>
      </c>
      <c r="I60" s="39">
        <v>0.08</v>
      </c>
      <c r="J60" s="215"/>
      <c r="K60" s="35">
        <v>118.19650000000001</v>
      </c>
      <c r="L60" s="202">
        <f t="shared" si="9"/>
        <v>0</v>
      </c>
      <c r="M60" s="35">
        <v>11819.650000000001</v>
      </c>
      <c r="N60" s="202">
        <f t="shared" si="10"/>
        <v>0</v>
      </c>
    </row>
    <row r="61" spans="1:14" x14ac:dyDescent="0.2">
      <c r="A61" s="25"/>
      <c r="B61" s="25" t="s">
        <v>87</v>
      </c>
      <c r="C61" s="25"/>
      <c r="D61" s="25"/>
      <c r="E61" s="25"/>
      <c r="F61" s="25">
        <v>1</v>
      </c>
      <c r="G61" s="132"/>
      <c r="H61" s="227" t="s">
        <v>148</v>
      </c>
      <c r="I61" s="35">
        <v>0</v>
      </c>
      <c r="J61" s="133"/>
      <c r="K61" s="35">
        <v>0</v>
      </c>
      <c r="L61" s="202">
        <f t="shared" si="9"/>
        <v>0</v>
      </c>
      <c r="M61" s="35">
        <v>0</v>
      </c>
      <c r="N61" s="202">
        <f t="shared" si="10"/>
        <v>0</v>
      </c>
    </row>
    <row r="62" spans="1:14" x14ac:dyDescent="0.2">
      <c r="A62" s="25"/>
      <c r="B62" s="25" t="s">
        <v>152</v>
      </c>
      <c r="C62" s="25"/>
      <c r="D62" s="25"/>
      <c r="E62" s="25"/>
      <c r="F62" s="25">
        <v>1</v>
      </c>
      <c r="G62" s="132"/>
      <c r="H62" s="227" t="s">
        <v>148</v>
      </c>
      <c r="I62" s="35">
        <v>0</v>
      </c>
      <c r="J62" s="133"/>
      <c r="K62" s="35">
        <v>0</v>
      </c>
      <c r="L62" s="202">
        <f>+J62*G62</f>
        <v>0</v>
      </c>
      <c r="M62" s="35">
        <v>0</v>
      </c>
      <c r="N62" s="202">
        <f t="shared" si="10"/>
        <v>0</v>
      </c>
    </row>
    <row r="63" spans="1:14" x14ac:dyDescent="0.2">
      <c r="A63" s="25"/>
      <c r="B63" s="25" t="s">
        <v>156</v>
      </c>
      <c r="C63" s="25"/>
      <c r="D63" s="25"/>
      <c r="E63" s="25"/>
      <c r="F63" s="25">
        <v>1</v>
      </c>
      <c r="G63" s="132"/>
      <c r="H63" s="227" t="s">
        <v>148</v>
      </c>
      <c r="I63" s="35">
        <v>0</v>
      </c>
      <c r="J63" s="133"/>
      <c r="K63" s="35">
        <v>0</v>
      </c>
      <c r="L63" s="202">
        <f>+J63*G63</f>
        <v>0</v>
      </c>
      <c r="M63" s="35">
        <v>0</v>
      </c>
      <c r="N63" s="202">
        <f t="shared" si="10"/>
        <v>0</v>
      </c>
    </row>
    <row r="64" spans="1:14" x14ac:dyDescent="0.2">
      <c r="A64" s="25"/>
      <c r="B64" s="25" t="s">
        <v>139</v>
      </c>
      <c r="C64" s="25"/>
      <c r="D64" s="25"/>
      <c r="E64" s="25"/>
      <c r="F64" s="25">
        <v>1</v>
      </c>
      <c r="G64" s="132"/>
      <c r="H64" s="227" t="s">
        <v>86</v>
      </c>
      <c r="I64" s="35">
        <v>186</v>
      </c>
      <c r="J64" s="133"/>
      <c r="K64" s="35">
        <v>186</v>
      </c>
      <c r="L64" s="202">
        <f t="shared" si="9"/>
        <v>0</v>
      </c>
      <c r="M64" s="35">
        <v>18600</v>
      </c>
      <c r="N64" s="202">
        <f t="shared" si="10"/>
        <v>0</v>
      </c>
    </row>
    <row r="65" spans="1:14" x14ac:dyDescent="0.2">
      <c r="A65" s="25"/>
      <c r="B65" s="132"/>
      <c r="C65" s="132"/>
      <c r="D65" s="25"/>
      <c r="E65" s="25"/>
      <c r="F65" s="25"/>
      <c r="G65" s="132"/>
      <c r="H65" s="227"/>
      <c r="I65" s="35"/>
      <c r="J65" s="133"/>
      <c r="K65" s="35">
        <v>0</v>
      </c>
      <c r="L65" s="202">
        <f t="shared" si="9"/>
        <v>0</v>
      </c>
      <c r="M65" s="35">
        <v>0</v>
      </c>
      <c r="N65" s="202">
        <f t="shared" si="10"/>
        <v>0</v>
      </c>
    </row>
    <row r="66" spans="1:14" ht="13.5" thickBot="1" x14ac:dyDescent="0.25">
      <c r="A66" s="25"/>
      <c r="B66" s="132"/>
      <c r="C66" s="132"/>
      <c r="D66" s="25"/>
      <c r="E66" s="25"/>
      <c r="F66" s="25"/>
      <c r="G66" s="132"/>
      <c r="H66" s="227"/>
      <c r="I66" s="35"/>
      <c r="J66" s="133"/>
      <c r="K66" s="35">
        <v>0</v>
      </c>
      <c r="L66" s="202">
        <f t="shared" si="9"/>
        <v>0</v>
      </c>
      <c r="M66" s="35">
        <v>0</v>
      </c>
      <c r="N66" s="202">
        <f t="shared" si="10"/>
        <v>0</v>
      </c>
    </row>
    <row r="67" spans="1:14" ht="13.5" thickBot="1" x14ac:dyDescent="0.25">
      <c r="A67" s="25" t="s">
        <v>37</v>
      </c>
      <c r="B67" s="25"/>
      <c r="C67" s="25"/>
      <c r="D67" s="25"/>
      <c r="E67" s="25"/>
      <c r="F67" s="25"/>
      <c r="G67" s="197"/>
      <c r="H67" s="25"/>
      <c r="I67" s="25"/>
      <c r="J67" s="197"/>
      <c r="K67" s="121">
        <v>494.66853809523809</v>
      </c>
      <c r="L67" s="204">
        <f>+SUM(L58:L64)</f>
        <v>0</v>
      </c>
      <c r="M67" s="121">
        <v>49466.853809523811</v>
      </c>
      <c r="N67" s="204">
        <f>+SUM(N58:N64)</f>
        <v>0</v>
      </c>
    </row>
    <row r="68" spans="1:14" ht="14.25" thickTop="1" thickBot="1" x14ac:dyDescent="0.25">
      <c r="A68" s="25" t="s">
        <v>82</v>
      </c>
      <c r="B68" s="25"/>
      <c r="C68" s="25"/>
      <c r="D68" s="25"/>
      <c r="E68" s="25"/>
      <c r="F68" s="25"/>
      <c r="G68" s="197"/>
      <c r="H68" s="25"/>
      <c r="I68" s="25"/>
      <c r="J68" s="197"/>
      <c r="K68" s="43">
        <v>762.16963214588645</v>
      </c>
      <c r="L68" s="205">
        <f>+L52+L67</f>
        <v>0</v>
      </c>
      <c r="M68" s="43">
        <v>76216.963214588643</v>
      </c>
      <c r="N68" s="205">
        <f>+N52+N67</f>
        <v>0</v>
      </c>
    </row>
    <row r="69" spans="1:14" ht="13.5" thickTop="1" x14ac:dyDescent="0.2">
      <c r="A69" s="25" t="s">
        <v>85</v>
      </c>
      <c r="B69" s="25"/>
      <c r="C69" s="25"/>
      <c r="D69" s="25"/>
      <c r="E69" s="25"/>
      <c r="F69" s="25"/>
      <c r="G69" s="197"/>
      <c r="H69" s="25"/>
      <c r="I69" s="25"/>
      <c r="J69" s="197"/>
      <c r="K69" s="35">
        <v>189.34276785411362</v>
      </c>
      <c r="L69" s="202">
        <f>+L17-L68</f>
        <v>0</v>
      </c>
      <c r="M69" s="35">
        <v>18934.276785411363</v>
      </c>
      <c r="N69" s="202">
        <f>+N17-N68</f>
        <v>0</v>
      </c>
    </row>
    <row r="70" spans="1:14" ht="13.5" thickBot="1" x14ac:dyDescent="0.25">
      <c r="A70" s="44"/>
      <c r="B70" s="44" t="s">
        <v>532</v>
      </c>
      <c r="C70" s="44"/>
      <c r="D70" s="44"/>
      <c r="E70" s="44"/>
      <c r="F70" s="44"/>
      <c r="G70" s="201"/>
      <c r="H70" s="44"/>
      <c r="I70" s="45">
        <v>223.51728656807811</v>
      </c>
      <c r="J70" s="212" t="str">
        <f>IF((E11*G11+E12*G12)=0,"n/a",(L68-SUM(L13:L16))/(E11*G11+E12*G12))</f>
        <v>n/a</v>
      </c>
      <c r="K70" s="44" t="s">
        <v>7</v>
      </c>
      <c r="L70" s="201"/>
      <c r="M70" s="44"/>
      <c r="N70" s="201"/>
    </row>
    <row r="71" spans="1:14" ht="13.5" thickTop="1" x14ac:dyDescent="0.2"/>
    <row r="72" spans="1:14" ht="15.75" x14ac:dyDescent="0.25">
      <c r="C72" s="234" t="s">
        <v>113</v>
      </c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18"/>
    </row>
    <row r="73" spans="1:14" s="46" customFormat="1" ht="51" x14ac:dyDescent="0.2">
      <c r="C73" s="112" t="s">
        <v>114</v>
      </c>
      <c r="D73" s="112" t="s">
        <v>516</v>
      </c>
      <c r="E73" s="113"/>
      <c r="F73" s="112" t="s">
        <v>517</v>
      </c>
      <c r="G73" s="113"/>
      <c r="H73" s="242" t="s">
        <v>533</v>
      </c>
      <c r="I73" s="243"/>
      <c r="K73" s="242" t="s">
        <v>171</v>
      </c>
      <c r="L73" s="244"/>
      <c r="M73" s="243"/>
    </row>
    <row r="74" spans="1:14" x14ac:dyDescent="0.2">
      <c r="C74" s="47">
        <v>1.1310000000000002</v>
      </c>
      <c r="D74" s="111">
        <v>1128.9388232008596</v>
      </c>
      <c r="E74" s="111"/>
      <c r="F74" s="109">
        <v>490.28152524167564</v>
      </c>
      <c r="G74" s="109"/>
      <c r="H74" s="245">
        <v>48.190865070281703</v>
      </c>
      <c r="I74" s="246"/>
      <c r="J74" s="110"/>
      <c r="K74" s="247">
        <v>183.99168328459831</v>
      </c>
      <c r="L74" s="247"/>
      <c r="M74" s="248"/>
    </row>
    <row r="75" spans="1:14" x14ac:dyDescent="0.2">
      <c r="C75" s="48">
        <v>1.0310000000000001</v>
      </c>
      <c r="D75" s="108">
        <v>1040.2256116004298</v>
      </c>
      <c r="E75" s="108"/>
      <c r="F75" s="107">
        <v>459.6907626208378</v>
      </c>
      <c r="G75" s="107"/>
      <c r="H75" s="249">
        <v>54.133018593127794</v>
      </c>
      <c r="I75" s="250"/>
      <c r="J75" s="101"/>
      <c r="K75" s="251">
        <v>201.83762734711999</v>
      </c>
      <c r="L75" s="251"/>
      <c r="M75" s="230"/>
    </row>
    <row r="76" spans="1:14" x14ac:dyDescent="0.2">
      <c r="C76" s="47">
        <v>0.93100000000000005</v>
      </c>
      <c r="D76" s="111">
        <v>951.51240000000007</v>
      </c>
      <c r="E76" s="111"/>
      <c r="F76" s="109">
        <v>429.09999999999997</v>
      </c>
      <c r="G76" s="109"/>
      <c r="H76" s="245">
        <v>61.746663964875736</v>
      </c>
      <c r="I76" s="246"/>
      <c r="J76" s="110"/>
      <c r="K76" s="247">
        <v>223.51728656807813</v>
      </c>
      <c r="L76" s="247"/>
      <c r="M76" s="248"/>
    </row>
    <row r="77" spans="1:14" x14ac:dyDescent="0.2">
      <c r="C77" s="48">
        <v>0.83100000000000007</v>
      </c>
      <c r="D77" s="108">
        <v>862.79918839957043</v>
      </c>
      <c r="E77" s="108"/>
      <c r="F77" s="107">
        <v>398.50923737916219</v>
      </c>
      <c r="G77" s="107"/>
      <c r="H77" s="249">
        <v>71.85250094767045</v>
      </c>
      <c r="I77" s="250"/>
      <c r="J77" s="101"/>
      <c r="K77" s="251">
        <v>250.41467364004893</v>
      </c>
      <c r="L77" s="251"/>
      <c r="M77" s="230"/>
    </row>
    <row r="78" spans="1:14" x14ac:dyDescent="0.2">
      <c r="C78" s="47">
        <v>0.73100000000000009</v>
      </c>
      <c r="D78" s="111">
        <v>774.08597679914078</v>
      </c>
      <c r="E78" s="111"/>
      <c r="F78" s="109">
        <v>367.91847475832435</v>
      </c>
      <c r="G78" s="109"/>
      <c r="H78" s="245">
        <v>85.913655731950371</v>
      </c>
      <c r="I78" s="246"/>
      <c r="J78" s="110"/>
      <c r="K78" s="247">
        <v>284.67112694238125</v>
      </c>
      <c r="L78" s="247"/>
      <c r="M78" s="248"/>
    </row>
    <row r="80" spans="1:14" x14ac:dyDescent="0.2">
      <c r="D80" s="12" t="str">
        <f>"Example Male "&amp;F8&amp;" Price"</f>
        <v>Example Male Lamb Price</v>
      </c>
      <c r="K80" s="8">
        <f>+I11</f>
        <v>290</v>
      </c>
      <c r="L80" s="8"/>
    </row>
    <row r="81" spans="1:14" x14ac:dyDescent="0.2">
      <c r="D81" s="12" t="str">
        <f>"Example Female "&amp;F8&amp;" Price"</f>
        <v>Example Female Lamb Price</v>
      </c>
      <c r="K81" s="8">
        <f>+I12</f>
        <v>290</v>
      </c>
      <c r="L81" s="8"/>
    </row>
    <row r="82" spans="1:14" x14ac:dyDescent="0.2">
      <c r="D82" s="12" t="str">
        <f>"Example Weighted Average "&amp;F8&amp;" Price ($/cwt)"</f>
        <v>Example Weighted Average Lamb Price ($/cwt)</v>
      </c>
      <c r="K82" s="8">
        <f>+(K11+K12)/(D11*F11+D12*F12)</f>
        <v>290.00000000000006</v>
      </c>
      <c r="L82" s="8"/>
    </row>
    <row r="84" spans="1:14" x14ac:dyDescent="0.2">
      <c r="A84" s="25" t="s">
        <v>536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6" spans="1:14" ht="25.5" customHeight="1" x14ac:dyDescent="0.2">
      <c r="A86" s="236" t="s">
        <v>140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</row>
  </sheetData>
  <sheetProtection sheet="1" objects="1" scenarios="1"/>
  <mergeCells count="18">
    <mergeCell ref="H77:I77"/>
    <mergeCell ref="K77:M77"/>
    <mergeCell ref="H78:I78"/>
    <mergeCell ref="K78:M78"/>
    <mergeCell ref="A86:N86"/>
    <mergeCell ref="H74:I74"/>
    <mergeCell ref="K74:M74"/>
    <mergeCell ref="H75:I75"/>
    <mergeCell ref="K75:M75"/>
    <mergeCell ref="H76:I76"/>
    <mergeCell ref="K76:M76"/>
    <mergeCell ref="H73:I73"/>
    <mergeCell ref="K73:M73"/>
    <mergeCell ref="A1:N1"/>
    <mergeCell ref="A2:N2"/>
    <mergeCell ref="A3:N3"/>
    <mergeCell ref="A4:N4"/>
    <mergeCell ref="C72:M72"/>
  </mergeCells>
  <printOptions horizontalCentered="1"/>
  <pageMargins left="0.7" right="0.7" top="0.75" bottom="0.75" header="0.3" footer="0.3"/>
  <pageSetup scale="38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39">
    <tabColor rgb="FFFFFF00"/>
  </sheetPr>
  <dimension ref="A1:I116"/>
  <sheetViews>
    <sheetView workbookViewId="0">
      <selection sqref="A1:G1"/>
    </sheetView>
  </sheetViews>
  <sheetFormatPr defaultColWidth="9.140625" defaultRowHeight="12.75" x14ac:dyDescent="0.2"/>
  <cols>
    <col min="1" max="1" width="2.5703125" style="17" customWidth="1"/>
    <col min="2" max="2" width="20.42578125" style="17" customWidth="1"/>
    <col min="3" max="3" width="16.140625" style="17" customWidth="1"/>
    <col min="4" max="4" width="12" style="17" customWidth="1"/>
    <col min="5" max="5" width="16" style="17" customWidth="1"/>
    <col min="6" max="6" width="14.42578125" style="17" customWidth="1"/>
    <col min="7" max="7" width="11.140625" style="17" customWidth="1"/>
    <col min="8" max="8" width="16.42578125" style="17" customWidth="1"/>
    <col min="9" max="16384" width="9.140625" style="17"/>
  </cols>
  <sheetData>
    <row r="1" spans="1:8" x14ac:dyDescent="0.2">
      <c r="A1" s="239" t="s">
        <v>178</v>
      </c>
      <c r="B1" s="239"/>
      <c r="C1" s="239"/>
      <c r="D1" s="239"/>
      <c r="E1" s="239"/>
      <c r="F1" s="239"/>
      <c r="G1" s="239"/>
    </row>
    <row r="2" spans="1:8" x14ac:dyDescent="0.2">
      <c r="A2" s="22"/>
      <c r="B2" s="22"/>
      <c r="C2" s="22"/>
      <c r="D2" s="22"/>
      <c r="E2" s="22"/>
      <c r="F2" s="22"/>
      <c r="G2" s="22"/>
    </row>
    <row r="3" spans="1:8" x14ac:dyDescent="0.2">
      <c r="A3" s="240" t="s">
        <v>310</v>
      </c>
      <c r="B3" s="240"/>
      <c r="C3" s="240"/>
      <c r="D3" s="240"/>
      <c r="E3" s="240"/>
      <c r="F3" s="240"/>
      <c r="G3" s="240"/>
    </row>
    <row r="4" spans="1:8" x14ac:dyDescent="0.2">
      <c r="A4" s="130"/>
      <c r="B4" s="130"/>
      <c r="C4" s="130"/>
      <c r="D4" s="130"/>
      <c r="E4" s="130"/>
      <c r="F4" s="130"/>
      <c r="G4" s="130"/>
    </row>
    <row r="5" spans="1:8" x14ac:dyDescent="0.2">
      <c r="A5" s="131" t="s">
        <v>71</v>
      </c>
      <c r="B5" s="130"/>
      <c r="C5" s="130"/>
      <c r="D5" s="132">
        <v>0</v>
      </c>
      <c r="E5" s="130"/>
      <c r="F5" s="130"/>
      <c r="G5" s="130"/>
    </row>
    <row r="6" spans="1:8" x14ac:dyDescent="0.2">
      <c r="A6" s="20"/>
      <c r="B6" s="22"/>
      <c r="C6" s="22"/>
      <c r="D6" s="22"/>
      <c r="E6" s="22"/>
      <c r="F6" s="22"/>
      <c r="G6" s="22"/>
    </row>
    <row r="7" spans="1:8" x14ac:dyDescent="0.2">
      <c r="A7" s="123" t="s">
        <v>179</v>
      </c>
      <c r="C7" s="21"/>
      <c r="D7" s="21"/>
      <c r="E7" s="21"/>
      <c r="F7" s="21"/>
      <c r="G7" s="21"/>
      <c r="H7" s="22" t="s">
        <v>19</v>
      </c>
    </row>
    <row r="8" spans="1:8" x14ac:dyDescent="0.2">
      <c r="A8" s="23" t="s">
        <v>73</v>
      </c>
      <c r="B8" s="23"/>
      <c r="C8" s="24" t="s">
        <v>20</v>
      </c>
      <c r="D8" s="24" t="s">
        <v>2</v>
      </c>
      <c r="E8" s="24" t="s">
        <v>21</v>
      </c>
      <c r="F8" s="24" t="s">
        <v>22</v>
      </c>
      <c r="G8" s="24" t="s">
        <v>11</v>
      </c>
      <c r="H8" s="24" t="s">
        <v>11</v>
      </c>
    </row>
    <row r="9" spans="1:8" x14ac:dyDescent="0.2">
      <c r="B9" s="132" t="s">
        <v>180</v>
      </c>
      <c r="C9" s="132">
        <v>0</v>
      </c>
      <c r="D9" s="132">
        <v>0</v>
      </c>
      <c r="E9" s="132" t="s">
        <v>7</v>
      </c>
      <c r="F9" s="133">
        <v>0</v>
      </c>
      <c r="G9" s="30">
        <f>IF($D$5=0,0,C9/$D$5*D9*F9)</f>
        <v>0</v>
      </c>
      <c r="H9" s="30">
        <f>+G9*$D$5</f>
        <v>0</v>
      </c>
    </row>
    <row r="10" spans="1:8" x14ac:dyDescent="0.2">
      <c r="B10" s="132" t="s">
        <v>181</v>
      </c>
      <c r="C10" s="132">
        <v>0</v>
      </c>
      <c r="D10" s="132">
        <v>0</v>
      </c>
      <c r="E10" s="132" t="s">
        <v>7</v>
      </c>
      <c r="F10" s="133">
        <v>0</v>
      </c>
      <c r="G10" s="30">
        <f t="shared" ref="G10:G16" si="0">IF($D$5=0,0,C10/$D$5*D10*F10)</f>
        <v>0</v>
      </c>
      <c r="H10" s="30">
        <f t="shared" ref="H10:H16" si="1">+G10*$D$5</f>
        <v>0</v>
      </c>
    </row>
    <row r="11" spans="1:8" x14ac:dyDescent="0.2">
      <c r="B11" s="132" t="s">
        <v>182</v>
      </c>
      <c r="C11" s="132">
        <v>0</v>
      </c>
      <c r="D11" s="132">
        <v>0</v>
      </c>
      <c r="E11" s="132" t="s">
        <v>7</v>
      </c>
      <c r="F11" s="133">
        <v>0</v>
      </c>
      <c r="G11" s="30">
        <f t="shared" si="0"/>
        <v>0</v>
      </c>
      <c r="H11" s="30">
        <f t="shared" si="1"/>
        <v>0</v>
      </c>
    </row>
    <row r="12" spans="1:8" x14ac:dyDescent="0.2">
      <c r="B12" s="132" t="s">
        <v>183</v>
      </c>
      <c r="C12" s="132">
        <v>0</v>
      </c>
      <c r="D12" s="132">
        <v>0</v>
      </c>
      <c r="E12" s="132" t="s">
        <v>7</v>
      </c>
      <c r="F12" s="133">
        <v>0</v>
      </c>
      <c r="G12" s="30">
        <f t="shared" si="0"/>
        <v>0</v>
      </c>
      <c r="H12" s="30">
        <f t="shared" si="1"/>
        <v>0</v>
      </c>
    </row>
    <row r="13" spans="1:8" x14ac:dyDescent="0.2">
      <c r="B13" s="132" t="s">
        <v>184</v>
      </c>
      <c r="C13" s="132">
        <v>0</v>
      </c>
      <c r="D13" s="132">
        <v>0</v>
      </c>
      <c r="E13" s="132" t="s">
        <v>7</v>
      </c>
      <c r="F13" s="133">
        <v>0</v>
      </c>
      <c r="G13" s="30">
        <f t="shared" si="0"/>
        <v>0</v>
      </c>
      <c r="H13" s="30">
        <f t="shared" si="1"/>
        <v>0</v>
      </c>
    </row>
    <row r="14" spans="1:8" x14ac:dyDescent="0.2">
      <c r="B14" s="132" t="s">
        <v>23</v>
      </c>
      <c r="C14" s="132">
        <v>0</v>
      </c>
      <c r="D14" s="132">
        <v>0</v>
      </c>
      <c r="E14" s="132" t="s">
        <v>7</v>
      </c>
      <c r="F14" s="133">
        <v>0</v>
      </c>
      <c r="G14" s="30">
        <f t="shared" si="0"/>
        <v>0</v>
      </c>
      <c r="H14" s="30">
        <f t="shared" si="1"/>
        <v>0</v>
      </c>
    </row>
    <row r="15" spans="1:8" x14ac:dyDescent="0.2">
      <c r="B15" s="132" t="s">
        <v>23</v>
      </c>
      <c r="C15" s="132">
        <v>0</v>
      </c>
      <c r="D15" s="132">
        <v>0</v>
      </c>
      <c r="E15" s="132" t="s">
        <v>7</v>
      </c>
      <c r="F15" s="133">
        <v>0</v>
      </c>
      <c r="G15" s="30">
        <f t="shared" si="0"/>
        <v>0</v>
      </c>
      <c r="H15" s="30">
        <f t="shared" si="1"/>
        <v>0</v>
      </c>
    </row>
    <row r="16" spans="1:8" x14ac:dyDescent="0.2">
      <c r="B16" s="132" t="s">
        <v>23</v>
      </c>
      <c r="C16" s="132">
        <v>0</v>
      </c>
      <c r="D16" s="132">
        <v>0</v>
      </c>
      <c r="E16" s="132" t="s">
        <v>7</v>
      </c>
      <c r="F16" s="133">
        <v>0</v>
      </c>
      <c r="G16" s="30">
        <f t="shared" si="0"/>
        <v>0</v>
      </c>
      <c r="H16" s="30">
        <f t="shared" si="1"/>
        <v>0</v>
      </c>
    </row>
    <row r="17" spans="1:9" x14ac:dyDescent="0.2">
      <c r="C17" s="22"/>
      <c r="D17" s="22"/>
      <c r="E17" s="22"/>
      <c r="F17" s="22"/>
    </row>
    <row r="18" spans="1:9" x14ac:dyDescent="0.2">
      <c r="A18" s="17" t="s">
        <v>24</v>
      </c>
      <c r="C18" s="22"/>
      <c r="D18" s="22"/>
      <c r="E18" s="22"/>
      <c r="F18" s="22"/>
      <c r="G18" s="30">
        <f>+SUM(G9:G17)</f>
        <v>0</v>
      </c>
      <c r="H18" s="30">
        <f>+SUM(H9:H17)</f>
        <v>0</v>
      </c>
    </row>
    <row r="19" spans="1:9" x14ac:dyDescent="0.2">
      <c r="C19" s="22"/>
      <c r="D19" s="22"/>
      <c r="E19" s="22"/>
      <c r="F19" s="22"/>
      <c r="G19" s="30"/>
      <c r="H19" s="30"/>
    </row>
    <row r="20" spans="1:9" x14ac:dyDescent="0.2">
      <c r="A20" s="25"/>
      <c r="B20" s="25"/>
      <c r="C20" s="21"/>
      <c r="D20" s="21"/>
      <c r="E20" s="21"/>
      <c r="F20" s="21"/>
      <c r="G20" s="21"/>
      <c r="H20" s="22" t="s">
        <v>19</v>
      </c>
    </row>
    <row r="21" spans="1:9" x14ac:dyDescent="0.2">
      <c r="A21" s="23" t="s">
        <v>25</v>
      </c>
      <c r="B21" s="23"/>
      <c r="C21" s="24"/>
      <c r="D21" s="24" t="s">
        <v>2</v>
      </c>
      <c r="E21" s="24" t="s">
        <v>21</v>
      </c>
      <c r="F21" s="24" t="s">
        <v>22</v>
      </c>
      <c r="G21" s="24" t="s">
        <v>11</v>
      </c>
      <c r="H21" s="24" t="s">
        <v>11</v>
      </c>
    </row>
    <row r="22" spans="1:9" x14ac:dyDescent="0.2">
      <c r="A22" s="25" t="s">
        <v>26</v>
      </c>
      <c r="B22" s="25"/>
      <c r="C22" s="21"/>
      <c r="D22" s="21"/>
      <c r="E22" s="21"/>
      <c r="F22" s="21"/>
      <c r="G22" s="25"/>
      <c r="H22" s="25"/>
      <c r="I22" s="25"/>
    </row>
    <row r="23" spans="1:9" x14ac:dyDescent="0.2">
      <c r="B23" s="17" t="s">
        <v>185</v>
      </c>
      <c r="C23" s="22"/>
      <c r="D23" s="132">
        <v>0</v>
      </c>
      <c r="E23" s="132" t="s">
        <v>68</v>
      </c>
      <c r="F23" s="133">
        <v>0</v>
      </c>
      <c r="G23" s="30">
        <f>D23*F23</f>
        <v>0</v>
      </c>
      <c r="H23" s="30">
        <f>+G23*$D$5</f>
        <v>0</v>
      </c>
    </row>
    <row r="24" spans="1:9" x14ac:dyDescent="0.2">
      <c r="B24" s="17" t="s">
        <v>40</v>
      </c>
      <c r="C24" s="28">
        <f>+SUM(G25:G28)</f>
        <v>0</v>
      </c>
      <c r="G24" s="30"/>
      <c r="H24" s="30"/>
    </row>
    <row r="25" spans="1:9" x14ac:dyDescent="0.2">
      <c r="C25" s="132" t="s">
        <v>186</v>
      </c>
      <c r="D25" s="132">
        <v>0</v>
      </c>
      <c r="E25" s="132" t="s">
        <v>42</v>
      </c>
      <c r="F25" s="133">
        <v>0</v>
      </c>
      <c r="G25" s="30">
        <f t="shared" ref="G25:G59" si="2">D25*F25</f>
        <v>0</v>
      </c>
      <c r="H25" s="30">
        <f t="shared" ref="H25:H61" si="3">+G25*$D$5</f>
        <v>0</v>
      </c>
    </row>
    <row r="26" spans="1:9" x14ac:dyDescent="0.2">
      <c r="C26" s="132" t="s">
        <v>187</v>
      </c>
      <c r="D26" s="132">
        <v>0</v>
      </c>
      <c r="E26" s="132" t="s">
        <v>42</v>
      </c>
      <c r="F26" s="133">
        <v>0</v>
      </c>
      <c r="G26" s="30">
        <f t="shared" si="2"/>
        <v>0</v>
      </c>
      <c r="H26" s="30">
        <f t="shared" si="3"/>
        <v>0</v>
      </c>
    </row>
    <row r="27" spans="1:9" x14ac:dyDescent="0.2">
      <c r="C27" s="132" t="s">
        <v>188</v>
      </c>
      <c r="D27" s="132">
        <v>0</v>
      </c>
      <c r="E27" s="132" t="s">
        <v>42</v>
      </c>
      <c r="F27" s="133">
        <v>0</v>
      </c>
      <c r="G27" s="30">
        <f t="shared" si="2"/>
        <v>0</v>
      </c>
      <c r="H27" s="30">
        <f t="shared" si="3"/>
        <v>0</v>
      </c>
    </row>
    <row r="28" spans="1:9" x14ac:dyDescent="0.2">
      <c r="C28" s="132" t="s">
        <v>189</v>
      </c>
      <c r="D28" s="132">
        <v>0</v>
      </c>
      <c r="E28" s="132" t="s">
        <v>42</v>
      </c>
      <c r="F28" s="133">
        <v>0</v>
      </c>
      <c r="G28" s="30">
        <f t="shared" si="2"/>
        <v>0</v>
      </c>
      <c r="H28" s="30">
        <f t="shared" si="3"/>
        <v>0</v>
      </c>
    </row>
    <row r="29" spans="1:9" x14ac:dyDescent="0.2">
      <c r="B29" s="17" t="s">
        <v>109</v>
      </c>
      <c r="C29" s="28">
        <f>SUM(G30:G37)</f>
        <v>0</v>
      </c>
      <c r="D29" s="22"/>
      <c r="E29" s="22"/>
      <c r="F29" s="22"/>
      <c r="G29" s="30"/>
      <c r="H29" s="30"/>
    </row>
    <row r="30" spans="1:9" x14ac:dyDescent="0.2">
      <c r="C30" s="17" t="s">
        <v>54</v>
      </c>
      <c r="D30" s="132">
        <v>0</v>
      </c>
      <c r="E30" s="132" t="s">
        <v>66</v>
      </c>
      <c r="F30" s="133">
        <v>0</v>
      </c>
      <c r="G30" s="30">
        <f>D30*F30</f>
        <v>0</v>
      </c>
      <c r="H30" s="30">
        <f>+G30*$D$5</f>
        <v>0</v>
      </c>
    </row>
    <row r="31" spans="1:9" x14ac:dyDescent="0.2">
      <c r="C31" s="17" t="s">
        <v>55</v>
      </c>
      <c r="D31" s="132">
        <v>0</v>
      </c>
      <c r="E31" s="132" t="s">
        <v>57</v>
      </c>
      <c r="F31" s="133">
        <v>0</v>
      </c>
      <c r="G31" s="30">
        <f>D31*F31</f>
        <v>0</v>
      </c>
      <c r="H31" s="30">
        <f>+G31*$D$5</f>
        <v>0</v>
      </c>
    </row>
    <row r="32" spans="1:9" x14ac:dyDescent="0.2">
      <c r="C32" s="17" t="s">
        <v>67</v>
      </c>
      <c r="D32" s="132">
        <v>0</v>
      </c>
      <c r="E32" s="132" t="s">
        <v>68</v>
      </c>
      <c r="F32" s="133">
        <v>0</v>
      </c>
      <c r="G32" s="30">
        <f t="shared" si="2"/>
        <v>0</v>
      </c>
      <c r="H32" s="30">
        <f t="shared" si="3"/>
        <v>0</v>
      </c>
    </row>
    <row r="33" spans="2:8" x14ac:dyDescent="0.2">
      <c r="C33" s="132" t="s">
        <v>69</v>
      </c>
      <c r="D33" s="132">
        <v>0</v>
      </c>
      <c r="E33" s="132" t="s">
        <v>57</v>
      </c>
      <c r="F33" s="133">
        <v>0</v>
      </c>
      <c r="G33" s="30">
        <f t="shared" si="2"/>
        <v>0</v>
      </c>
      <c r="H33" s="30">
        <f t="shared" si="3"/>
        <v>0</v>
      </c>
    </row>
    <row r="34" spans="2:8" x14ac:dyDescent="0.2">
      <c r="C34" s="132" t="s">
        <v>69</v>
      </c>
      <c r="D34" s="132">
        <v>0</v>
      </c>
      <c r="E34" s="132" t="s">
        <v>57</v>
      </c>
      <c r="F34" s="133">
        <v>0</v>
      </c>
      <c r="G34" s="30">
        <f t="shared" si="2"/>
        <v>0</v>
      </c>
      <c r="H34" s="30">
        <f t="shared" si="3"/>
        <v>0</v>
      </c>
    </row>
    <row r="35" spans="2:8" x14ac:dyDescent="0.2">
      <c r="C35" s="132" t="s">
        <v>69</v>
      </c>
      <c r="D35" s="132">
        <v>0</v>
      </c>
      <c r="E35" s="132" t="s">
        <v>57</v>
      </c>
      <c r="F35" s="133">
        <v>0</v>
      </c>
      <c r="G35" s="30">
        <f t="shared" si="2"/>
        <v>0</v>
      </c>
      <c r="H35" s="30">
        <f t="shared" si="3"/>
        <v>0</v>
      </c>
    </row>
    <row r="36" spans="2:8" x14ac:dyDescent="0.2">
      <c r="C36" s="132" t="s">
        <v>69</v>
      </c>
      <c r="D36" s="132">
        <v>0</v>
      </c>
      <c r="E36" s="132" t="s">
        <v>57</v>
      </c>
      <c r="F36" s="133">
        <v>0</v>
      </c>
      <c r="G36" s="30">
        <f t="shared" si="2"/>
        <v>0</v>
      </c>
      <c r="H36" s="30">
        <f t="shared" si="3"/>
        <v>0</v>
      </c>
    </row>
    <row r="37" spans="2:8" x14ac:dyDescent="0.2">
      <c r="C37" s="132" t="s">
        <v>69</v>
      </c>
      <c r="D37" s="132">
        <v>0</v>
      </c>
      <c r="E37" s="132" t="s">
        <v>57</v>
      </c>
      <c r="F37" s="133">
        <v>0</v>
      </c>
      <c r="G37" s="30">
        <f t="shared" si="2"/>
        <v>0</v>
      </c>
      <c r="H37" s="30">
        <f t="shared" si="3"/>
        <v>0</v>
      </c>
    </row>
    <row r="38" spans="2:8" x14ac:dyDescent="0.2">
      <c r="B38" s="17" t="s">
        <v>120</v>
      </c>
      <c r="C38" s="28">
        <f>SUM(G39:G48)</f>
        <v>0</v>
      </c>
      <c r="D38" s="134"/>
      <c r="E38" s="134"/>
      <c r="F38" s="135"/>
      <c r="G38" s="30"/>
      <c r="H38" s="30"/>
    </row>
    <row r="39" spans="2:8" x14ac:dyDescent="0.2">
      <c r="C39" s="136" t="s">
        <v>190</v>
      </c>
      <c r="D39" s="132">
        <v>0</v>
      </c>
      <c r="E39" s="132" t="s">
        <v>191</v>
      </c>
      <c r="F39" s="133">
        <v>0</v>
      </c>
      <c r="G39" s="30">
        <f t="shared" ref="G39:G48" si="4">D39*F39</f>
        <v>0</v>
      </c>
      <c r="H39" s="30">
        <f t="shared" ref="H39:H48" si="5">+G39*$D$5</f>
        <v>0</v>
      </c>
    </row>
    <row r="40" spans="2:8" x14ac:dyDescent="0.2">
      <c r="C40" s="136" t="s">
        <v>192</v>
      </c>
      <c r="D40" s="132">
        <v>0</v>
      </c>
      <c r="E40" s="132" t="s">
        <v>191</v>
      </c>
      <c r="F40" s="133">
        <v>0</v>
      </c>
      <c r="G40" s="30">
        <f t="shared" si="4"/>
        <v>0</v>
      </c>
      <c r="H40" s="30">
        <f t="shared" si="5"/>
        <v>0</v>
      </c>
    </row>
    <row r="41" spans="2:8" x14ac:dyDescent="0.2">
      <c r="C41" s="136" t="s">
        <v>193</v>
      </c>
      <c r="D41" s="132">
        <v>0</v>
      </c>
      <c r="E41" s="132" t="s">
        <v>191</v>
      </c>
      <c r="F41" s="133">
        <v>0</v>
      </c>
      <c r="G41" s="30">
        <f t="shared" si="4"/>
        <v>0</v>
      </c>
      <c r="H41" s="30">
        <f t="shared" si="5"/>
        <v>0</v>
      </c>
    </row>
    <row r="42" spans="2:8" x14ac:dyDescent="0.2">
      <c r="C42" s="136" t="s">
        <v>194</v>
      </c>
      <c r="D42" s="132">
        <v>0</v>
      </c>
      <c r="E42" s="132" t="s">
        <v>191</v>
      </c>
      <c r="F42" s="133">
        <v>0</v>
      </c>
      <c r="G42" s="30">
        <f t="shared" si="4"/>
        <v>0</v>
      </c>
      <c r="H42" s="30">
        <f t="shared" si="5"/>
        <v>0</v>
      </c>
    </row>
    <row r="43" spans="2:8" x14ac:dyDescent="0.2">
      <c r="C43" s="136" t="s">
        <v>195</v>
      </c>
      <c r="D43" s="132">
        <v>0</v>
      </c>
      <c r="E43" s="132" t="s">
        <v>191</v>
      </c>
      <c r="F43" s="133">
        <v>0</v>
      </c>
      <c r="G43" s="30">
        <f t="shared" si="4"/>
        <v>0</v>
      </c>
      <c r="H43" s="30">
        <f t="shared" si="5"/>
        <v>0</v>
      </c>
    </row>
    <row r="44" spans="2:8" x14ac:dyDescent="0.2">
      <c r="C44" s="136" t="s">
        <v>196</v>
      </c>
      <c r="D44" s="132">
        <v>0</v>
      </c>
      <c r="E44" s="132" t="s">
        <v>191</v>
      </c>
      <c r="F44" s="133">
        <v>0</v>
      </c>
      <c r="G44" s="30">
        <f t="shared" si="4"/>
        <v>0</v>
      </c>
      <c r="H44" s="30">
        <f t="shared" si="5"/>
        <v>0</v>
      </c>
    </row>
    <row r="45" spans="2:8" x14ac:dyDescent="0.2">
      <c r="C45" s="136" t="s">
        <v>197</v>
      </c>
      <c r="D45" s="132">
        <v>0</v>
      </c>
      <c r="E45" s="132" t="s">
        <v>191</v>
      </c>
      <c r="F45" s="133">
        <v>0</v>
      </c>
      <c r="G45" s="30">
        <f t="shared" si="4"/>
        <v>0</v>
      </c>
      <c r="H45" s="30">
        <f t="shared" si="5"/>
        <v>0</v>
      </c>
    </row>
    <row r="46" spans="2:8" x14ac:dyDescent="0.2">
      <c r="C46" s="136" t="s">
        <v>198</v>
      </c>
      <c r="D46" s="132">
        <v>0</v>
      </c>
      <c r="E46" s="132" t="s">
        <v>191</v>
      </c>
      <c r="F46" s="133">
        <v>0</v>
      </c>
      <c r="G46" s="30">
        <f t="shared" si="4"/>
        <v>0</v>
      </c>
      <c r="H46" s="30">
        <f t="shared" si="5"/>
        <v>0</v>
      </c>
    </row>
    <row r="47" spans="2:8" x14ac:dyDescent="0.2">
      <c r="C47" s="136" t="s">
        <v>199</v>
      </c>
      <c r="D47" s="132">
        <v>0</v>
      </c>
      <c r="E47" s="132" t="s">
        <v>191</v>
      </c>
      <c r="F47" s="133">
        <v>0</v>
      </c>
      <c r="G47" s="30">
        <f t="shared" si="4"/>
        <v>0</v>
      </c>
      <c r="H47" s="30">
        <f t="shared" si="5"/>
        <v>0</v>
      </c>
    </row>
    <row r="48" spans="2:8" x14ac:dyDescent="0.2">
      <c r="C48" s="136" t="s">
        <v>200</v>
      </c>
      <c r="D48" s="132">
        <v>0</v>
      </c>
      <c r="E48" s="132" t="s">
        <v>191</v>
      </c>
      <c r="F48" s="133">
        <v>0</v>
      </c>
      <c r="G48" s="30">
        <f t="shared" si="4"/>
        <v>0</v>
      </c>
      <c r="H48" s="30">
        <f t="shared" si="5"/>
        <v>0</v>
      </c>
    </row>
    <row r="49" spans="1:8" x14ac:dyDescent="0.2">
      <c r="C49" s="11"/>
      <c r="G49" s="30"/>
      <c r="H49" s="30"/>
    </row>
    <row r="50" spans="1:8" x14ac:dyDescent="0.2">
      <c r="B50" s="17" t="s">
        <v>321</v>
      </c>
      <c r="C50" s="22"/>
      <c r="D50" s="22">
        <v>1</v>
      </c>
      <c r="E50" s="22" t="s">
        <v>20</v>
      </c>
      <c r="F50" s="133">
        <v>0</v>
      </c>
      <c r="G50" s="30">
        <f t="shared" si="2"/>
        <v>0</v>
      </c>
      <c r="H50" s="30">
        <f t="shared" si="3"/>
        <v>0</v>
      </c>
    </row>
    <row r="51" spans="1:8" x14ac:dyDescent="0.2">
      <c r="C51" s="22"/>
      <c r="G51" s="30"/>
      <c r="H51" s="30"/>
    </row>
    <row r="52" spans="1:8" x14ac:dyDescent="0.2">
      <c r="B52" s="17" t="s">
        <v>12</v>
      </c>
      <c r="C52" s="22"/>
      <c r="D52" s="132">
        <v>0</v>
      </c>
      <c r="E52" s="132" t="s">
        <v>31</v>
      </c>
      <c r="F52" s="133">
        <v>0</v>
      </c>
      <c r="G52" s="30">
        <f t="shared" si="2"/>
        <v>0</v>
      </c>
      <c r="H52" s="30">
        <f t="shared" si="3"/>
        <v>0</v>
      </c>
    </row>
    <row r="53" spans="1:8" x14ac:dyDescent="0.2">
      <c r="C53" s="22"/>
      <c r="G53" s="30"/>
      <c r="H53" s="30"/>
    </row>
    <row r="54" spans="1:8" x14ac:dyDescent="0.2">
      <c r="B54" s="136" t="s">
        <v>72</v>
      </c>
      <c r="C54" s="22"/>
      <c r="D54" s="132">
        <v>0</v>
      </c>
      <c r="E54" s="132" t="s">
        <v>57</v>
      </c>
      <c r="F54" s="133">
        <v>0</v>
      </c>
      <c r="G54" s="30">
        <f t="shared" si="2"/>
        <v>0</v>
      </c>
      <c r="H54" s="30">
        <f t="shared" si="3"/>
        <v>0</v>
      </c>
    </row>
    <row r="55" spans="1:8" x14ac:dyDescent="0.2">
      <c r="B55" s="136" t="s">
        <v>72</v>
      </c>
      <c r="C55" s="22"/>
      <c r="D55" s="132">
        <v>0</v>
      </c>
      <c r="E55" s="132" t="s">
        <v>57</v>
      </c>
      <c r="F55" s="133">
        <v>0</v>
      </c>
      <c r="G55" s="30">
        <f t="shared" si="2"/>
        <v>0</v>
      </c>
      <c r="H55" s="30">
        <f t="shared" si="3"/>
        <v>0</v>
      </c>
    </row>
    <row r="56" spans="1:8" x14ac:dyDescent="0.2">
      <c r="B56" s="136" t="s">
        <v>72</v>
      </c>
      <c r="C56" s="22"/>
      <c r="D56" s="132">
        <v>0</v>
      </c>
      <c r="E56" s="132" t="s">
        <v>57</v>
      </c>
      <c r="F56" s="133">
        <v>0</v>
      </c>
      <c r="G56" s="30">
        <f t="shared" si="2"/>
        <v>0</v>
      </c>
      <c r="H56" s="30">
        <f t="shared" si="3"/>
        <v>0</v>
      </c>
    </row>
    <row r="57" spans="1:8" x14ac:dyDescent="0.2">
      <c r="B57" s="136" t="s">
        <v>72</v>
      </c>
      <c r="C57" s="22"/>
      <c r="D57" s="132">
        <v>0</v>
      </c>
      <c r="E57" s="132" t="s">
        <v>57</v>
      </c>
      <c r="F57" s="133">
        <v>0</v>
      </c>
      <c r="G57" s="30">
        <f t="shared" si="2"/>
        <v>0</v>
      </c>
      <c r="H57" s="30">
        <f t="shared" si="3"/>
        <v>0</v>
      </c>
    </row>
    <row r="58" spans="1:8" x14ac:dyDescent="0.2">
      <c r="B58" s="136" t="s">
        <v>72</v>
      </c>
      <c r="C58" s="22"/>
      <c r="D58" s="132">
        <v>0</v>
      </c>
      <c r="E58" s="132" t="s">
        <v>57</v>
      </c>
      <c r="F58" s="133">
        <v>0</v>
      </c>
      <c r="G58" s="30">
        <f t="shared" si="2"/>
        <v>0</v>
      </c>
      <c r="H58" s="30">
        <f t="shared" si="3"/>
        <v>0</v>
      </c>
    </row>
    <row r="59" spans="1:8" x14ac:dyDescent="0.2">
      <c r="B59" s="136" t="s">
        <v>72</v>
      </c>
      <c r="C59" s="22"/>
      <c r="D59" s="132">
        <v>0</v>
      </c>
      <c r="E59" s="132" t="s">
        <v>57</v>
      </c>
      <c r="F59" s="133">
        <v>0</v>
      </c>
      <c r="G59" s="30">
        <f t="shared" si="2"/>
        <v>0</v>
      </c>
      <c r="H59" s="30">
        <f t="shared" si="3"/>
        <v>0</v>
      </c>
    </row>
    <row r="60" spans="1:8" x14ac:dyDescent="0.2">
      <c r="G60" s="30"/>
      <c r="H60" s="30"/>
    </row>
    <row r="61" spans="1:8" x14ac:dyDescent="0.2">
      <c r="B61" s="17" t="s">
        <v>64</v>
      </c>
      <c r="C61" s="22"/>
      <c r="D61" s="22"/>
      <c r="E61" s="22"/>
      <c r="F61" s="137">
        <v>0</v>
      </c>
      <c r="G61" s="30">
        <f>+SUM(G23:G59)/2*F61</f>
        <v>0</v>
      </c>
      <c r="H61" s="30">
        <f t="shared" si="3"/>
        <v>0</v>
      </c>
    </row>
    <row r="62" spans="1:8" x14ac:dyDescent="0.2">
      <c r="C62" s="22"/>
      <c r="D62" s="22"/>
      <c r="E62" s="22"/>
      <c r="F62" s="22"/>
    </row>
    <row r="63" spans="1:8" x14ac:dyDescent="0.2">
      <c r="A63" s="17" t="s">
        <v>33</v>
      </c>
      <c r="C63" s="22"/>
      <c r="D63" s="22"/>
      <c r="E63" s="22"/>
      <c r="F63" s="22"/>
      <c r="G63" s="30">
        <f>+SUM(G23:G62)</f>
        <v>0</v>
      </c>
      <c r="H63" s="30">
        <f>+SUM(H23:H62)</f>
        <v>0</v>
      </c>
    </row>
    <row r="64" spans="1:8" x14ac:dyDescent="0.2">
      <c r="C64" s="22"/>
      <c r="D64" s="22"/>
      <c r="E64" s="22"/>
      <c r="F64" s="22"/>
      <c r="G64" s="30"/>
      <c r="H64" s="30"/>
    </row>
    <row r="65" spans="1:8" x14ac:dyDescent="0.2">
      <c r="A65" s="25" t="s">
        <v>63</v>
      </c>
      <c r="C65" s="22"/>
      <c r="D65" s="22"/>
      <c r="E65" s="22"/>
      <c r="F65" s="22"/>
      <c r="G65" s="30">
        <f>+G18-G63</f>
        <v>0</v>
      </c>
      <c r="H65" s="30">
        <f>+H18-H63</f>
        <v>0</v>
      </c>
    </row>
    <row r="66" spans="1:8" x14ac:dyDescent="0.2">
      <c r="C66" s="22"/>
      <c r="D66" s="22"/>
      <c r="E66" s="22"/>
      <c r="F66" s="22"/>
      <c r="G66" s="30"/>
      <c r="H66" s="30"/>
    </row>
    <row r="67" spans="1:8" x14ac:dyDescent="0.2">
      <c r="B67" s="17" t="s">
        <v>35</v>
      </c>
      <c r="C67" s="22"/>
      <c r="D67" s="22"/>
      <c r="E67" s="28">
        <f>IF((H101/100+C13*D13)=0,0,(G63-SUM(G11:G12,G14:G16))/(H101/100+C13/D5*D13))</f>
        <v>0</v>
      </c>
      <c r="F67" s="22" t="str">
        <f>+E9</f>
        <v>CWT</v>
      </c>
      <c r="G67" s="30"/>
      <c r="H67" s="30"/>
    </row>
    <row r="68" spans="1:8" x14ac:dyDescent="0.2">
      <c r="C68" s="22"/>
      <c r="D68" s="22"/>
      <c r="E68" s="22"/>
      <c r="F68" s="22"/>
      <c r="G68" s="30"/>
      <c r="H68" s="30"/>
    </row>
    <row r="69" spans="1:8" x14ac:dyDescent="0.2">
      <c r="A69" s="25"/>
      <c r="B69" s="25"/>
      <c r="C69" s="21"/>
      <c r="D69" s="21"/>
      <c r="E69" s="21"/>
      <c r="F69" s="21"/>
      <c r="G69" s="21"/>
      <c r="H69" s="22" t="s">
        <v>19</v>
      </c>
    </row>
    <row r="70" spans="1:8" x14ac:dyDescent="0.2">
      <c r="A70" s="23" t="s">
        <v>36</v>
      </c>
      <c r="B70" s="23"/>
      <c r="C70" s="24"/>
      <c r="D70" s="24" t="s">
        <v>2</v>
      </c>
      <c r="E70" s="24" t="s">
        <v>21</v>
      </c>
      <c r="F70" s="24" t="s">
        <v>22</v>
      </c>
      <c r="G70" s="24" t="s">
        <v>11</v>
      </c>
      <c r="H70" s="24" t="s">
        <v>11</v>
      </c>
    </row>
    <row r="71" spans="1:8" x14ac:dyDescent="0.2">
      <c r="B71" s="17" t="s">
        <v>91</v>
      </c>
      <c r="C71" s="22"/>
      <c r="D71" s="132">
        <v>0</v>
      </c>
      <c r="E71" s="132" t="s">
        <v>77</v>
      </c>
      <c r="F71" s="133">
        <v>0</v>
      </c>
      <c r="G71" s="30">
        <f>D71*F71</f>
        <v>0</v>
      </c>
      <c r="H71" s="30">
        <f t="shared" ref="H71:H82" si="6">+G71*$D$5</f>
        <v>0</v>
      </c>
    </row>
    <row r="72" spans="1:8" x14ac:dyDescent="0.2">
      <c r="B72" s="17" t="s">
        <v>90</v>
      </c>
      <c r="C72" s="22"/>
      <c r="D72" s="132">
        <v>0</v>
      </c>
      <c r="E72" s="132" t="s">
        <v>77</v>
      </c>
      <c r="F72" s="133">
        <v>0</v>
      </c>
      <c r="G72" s="30">
        <f t="shared" ref="G72:G82" si="7">D72*F72</f>
        <v>0</v>
      </c>
      <c r="H72" s="30">
        <f t="shared" si="6"/>
        <v>0</v>
      </c>
    </row>
    <row r="73" spans="1:8" x14ac:dyDescent="0.2">
      <c r="B73" s="17" t="s">
        <v>89</v>
      </c>
      <c r="C73" s="22"/>
      <c r="D73" s="132">
        <v>0</v>
      </c>
      <c r="E73" s="132" t="s">
        <v>77</v>
      </c>
      <c r="F73" s="133">
        <v>0</v>
      </c>
      <c r="G73" s="30">
        <f t="shared" si="7"/>
        <v>0</v>
      </c>
      <c r="H73" s="30">
        <f t="shared" si="6"/>
        <v>0</v>
      </c>
    </row>
    <row r="74" spans="1:8" x14ac:dyDescent="0.2">
      <c r="B74" s="17" t="s">
        <v>87</v>
      </c>
      <c r="C74" s="22"/>
      <c r="D74" s="132">
        <v>0</v>
      </c>
      <c r="E74" s="132" t="s">
        <v>77</v>
      </c>
      <c r="F74" s="133">
        <v>0</v>
      </c>
      <c r="G74" s="30">
        <f t="shared" si="7"/>
        <v>0</v>
      </c>
      <c r="H74" s="30">
        <f t="shared" si="6"/>
        <v>0</v>
      </c>
    </row>
    <row r="75" spans="1:8" x14ac:dyDescent="0.2">
      <c r="B75" s="17" t="s">
        <v>201</v>
      </c>
      <c r="C75" s="22"/>
      <c r="D75" s="132">
        <v>0</v>
      </c>
      <c r="E75" s="132" t="s">
        <v>77</v>
      </c>
      <c r="F75" s="133">
        <v>0</v>
      </c>
      <c r="G75" s="30">
        <f t="shared" si="7"/>
        <v>0</v>
      </c>
      <c r="H75" s="30">
        <f t="shared" si="6"/>
        <v>0</v>
      </c>
    </row>
    <row r="76" spans="1:8" x14ac:dyDescent="0.2">
      <c r="B76" s="17" t="s">
        <v>202</v>
      </c>
      <c r="C76" s="22"/>
      <c r="D76" s="132">
        <v>0</v>
      </c>
      <c r="E76" s="132" t="s">
        <v>77</v>
      </c>
      <c r="F76" s="133">
        <v>0</v>
      </c>
      <c r="G76" s="30">
        <f t="shared" si="7"/>
        <v>0</v>
      </c>
      <c r="H76" s="30">
        <f t="shared" si="6"/>
        <v>0</v>
      </c>
    </row>
    <row r="77" spans="1:8" x14ac:dyDescent="0.2">
      <c r="B77" s="17" t="s">
        <v>156</v>
      </c>
      <c r="C77" s="22"/>
      <c r="D77" s="132">
        <v>0</v>
      </c>
      <c r="E77" s="132" t="s">
        <v>77</v>
      </c>
      <c r="F77" s="133">
        <v>0</v>
      </c>
      <c r="G77" s="30">
        <f t="shared" si="7"/>
        <v>0</v>
      </c>
      <c r="H77" s="30">
        <f t="shared" si="6"/>
        <v>0</v>
      </c>
    </row>
    <row r="78" spans="1:8" x14ac:dyDescent="0.2">
      <c r="B78" s="136" t="s">
        <v>65</v>
      </c>
      <c r="C78" s="22"/>
      <c r="D78" s="132">
        <v>0</v>
      </c>
      <c r="E78" s="132" t="s">
        <v>77</v>
      </c>
      <c r="F78" s="133">
        <v>0</v>
      </c>
      <c r="G78" s="30">
        <f t="shared" si="7"/>
        <v>0</v>
      </c>
      <c r="H78" s="30">
        <f t="shared" si="6"/>
        <v>0</v>
      </c>
    </row>
    <row r="79" spans="1:8" x14ac:dyDescent="0.2">
      <c r="B79" s="136" t="s">
        <v>65</v>
      </c>
      <c r="C79" s="22"/>
      <c r="D79" s="132">
        <v>0</v>
      </c>
      <c r="E79" s="132" t="s">
        <v>77</v>
      </c>
      <c r="F79" s="133">
        <v>0</v>
      </c>
      <c r="G79" s="30">
        <f t="shared" si="7"/>
        <v>0</v>
      </c>
      <c r="H79" s="30">
        <f t="shared" si="6"/>
        <v>0</v>
      </c>
    </row>
    <row r="80" spans="1:8" x14ac:dyDescent="0.2">
      <c r="B80" s="136" t="s">
        <v>65</v>
      </c>
      <c r="C80" s="22"/>
      <c r="D80" s="132">
        <v>0</v>
      </c>
      <c r="E80" s="132" t="s">
        <v>77</v>
      </c>
      <c r="F80" s="133">
        <v>0</v>
      </c>
      <c r="G80" s="30">
        <f t="shared" si="7"/>
        <v>0</v>
      </c>
      <c r="H80" s="30">
        <f t="shared" si="6"/>
        <v>0</v>
      </c>
    </row>
    <row r="81" spans="1:8" x14ac:dyDescent="0.2">
      <c r="B81" s="136" t="s">
        <v>65</v>
      </c>
      <c r="C81" s="22"/>
      <c r="D81" s="132">
        <v>0</v>
      </c>
      <c r="E81" s="132" t="s">
        <v>77</v>
      </c>
      <c r="F81" s="133">
        <v>0</v>
      </c>
      <c r="G81" s="30">
        <f t="shared" si="7"/>
        <v>0</v>
      </c>
      <c r="H81" s="30">
        <f t="shared" si="6"/>
        <v>0</v>
      </c>
    </row>
    <row r="82" spans="1:8" x14ac:dyDescent="0.2">
      <c r="B82" s="136" t="s">
        <v>65</v>
      </c>
      <c r="C82" s="22"/>
      <c r="D82" s="132">
        <v>0</v>
      </c>
      <c r="E82" s="132" t="s">
        <v>77</v>
      </c>
      <c r="F82" s="133">
        <v>0</v>
      </c>
      <c r="G82" s="30">
        <f t="shared" si="7"/>
        <v>0</v>
      </c>
      <c r="H82" s="30">
        <f t="shared" si="6"/>
        <v>0</v>
      </c>
    </row>
    <row r="84" spans="1:8" x14ac:dyDescent="0.2">
      <c r="A84" s="25"/>
      <c r="D84" s="17" t="s">
        <v>37</v>
      </c>
      <c r="G84" s="30">
        <f>+SUM(G71:G83)</f>
        <v>0</v>
      </c>
      <c r="H84" s="30">
        <f>+SUM(H71:H83)</f>
        <v>0</v>
      </c>
    </row>
    <row r="85" spans="1:8" x14ac:dyDescent="0.2">
      <c r="A85" s="25"/>
    </row>
    <row r="86" spans="1:8" x14ac:dyDescent="0.2">
      <c r="A86" s="25"/>
      <c r="D86" s="17" t="s">
        <v>52</v>
      </c>
      <c r="G86" s="30">
        <f>+G63+G84</f>
        <v>0</v>
      </c>
      <c r="H86" s="30">
        <f>+H63+H84</f>
        <v>0</v>
      </c>
    </row>
    <row r="87" spans="1:8" x14ac:dyDescent="0.2">
      <c r="A87" s="25"/>
    </row>
    <row r="88" spans="1:8" x14ac:dyDescent="0.2">
      <c r="A88" s="25"/>
      <c r="D88" s="17" t="s">
        <v>53</v>
      </c>
      <c r="G88" s="30">
        <f>+G18-G86</f>
        <v>0</v>
      </c>
      <c r="H88" s="30">
        <f>+H18-H86</f>
        <v>0</v>
      </c>
    </row>
    <row r="89" spans="1:8" x14ac:dyDescent="0.2">
      <c r="A89" s="25"/>
      <c r="G89" s="30"/>
      <c r="H89" s="30"/>
    </row>
    <row r="90" spans="1:8" x14ac:dyDescent="0.2">
      <c r="A90" s="25"/>
      <c r="B90" s="17" t="s">
        <v>203</v>
      </c>
      <c r="E90" s="28">
        <f>IF((H101/100+C13*D13)=0,0,(G86-SUM(G11:G12,G14:G16))/(H101/100+C13/D5*D13))</f>
        <v>0</v>
      </c>
      <c r="F90" s="22" t="str">
        <f>+F67</f>
        <v>CWT</v>
      </c>
      <c r="G90" s="30"/>
      <c r="H90" s="30"/>
    </row>
    <row r="93" spans="1:8" ht="15.75" x14ac:dyDescent="0.25">
      <c r="B93" s="281" t="s">
        <v>204</v>
      </c>
      <c r="C93" s="263"/>
      <c r="D93" s="263"/>
      <c r="E93" s="263"/>
      <c r="F93" s="263"/>
      <c r="G93" s="263"/>
      <c r="H93" s="263"/>
    </row>
    <row r="94" spans="1:8" ht="38.25" x14ac:dyDescent="0.2">
      <c r="B94" s="189" t="s">
        <v>112</v>
      </c>
      <c r="C94" s="189" t="s">
        <v>308</v>
      </c>
      <c r="D94" s="189" t="s">
        <v>309</v>
      </c>
      <c r="E94" s="282" t="str">
        <f>"Your Breakeven Pay Weight to Cover Total Cost"</f>
        <v>Your Breakeven Pay Weight to Cover Total Cost</v>
      </c>
      <c r="F94" s="283"/>
      <c r="G94" s="282" t="s">
        <v>172</v>
      </c>
      <c r="H94" s="284"/>
    </row>
    <row r="95" spans="1:8" x14ac:dyDescent="0.2">
      <c r="B95" s="138">
        <f>+B96-0.03</f>
        <v>-0.06</v>
      </c>
      <c r="C95" s="139">
        <f>+IF($B$97=0,0,YTotRet-$G$9-$G$10+($G$9+$G$10)*B95/$B$97)</f>
        <v>0</v>
      </c>
      <c r="D95" s="140">
        <f>IF($B$97=0,0,$H$101*B95/$B$97+$H$102)</f>
        <v>0</v>
      </c>
      <c r="E95" s="260">
        <f>IF($C$97=0,0,(YTotExp-($G$18-$G$9-$G$10))/(YPrice/100)/(B95-$C$11/$D$5))</f>
        <v>0</v>
      </c>
      <c r="F95" s="261"/>
      <c r="G95" s="262">
        <f>IF(D95-$H$102=0,0,(YTotExp-($G$18-$G$9-$G$10))/(D95-$H$102)*100)</f>
        <v>0</v>
      </c>
      <c r="H95" s="263"/>
    </row>
    <row r="96" spans="1:8" x14ac:dyDescent="0.2">
      <c r="B96" s="141">
        <f>+B97-0.03</f>
        <v>-0.03</v>
      </c>
      <c r="C96" s="142">
        <f>+IF($B$97=0,0,YTotRet-$G$9-$G$10+($G$9+$G$10)*B96/$B$97)</f>
        <v>0</v>
      </c>
      <c r="D96" s="143">
        <f>IF($B$97=0,0,$H$101*B96/$B$97+$H$102)</f>
        <v>0</v>
      </c>
      <c r="E96" s="279">
        <f>IF($C$97=0,0,(YTotExp-($G$18-$G$9-$G$10))/(YPrice/100)/(B96-$C$11/$D$5))</f>
        <v>0</v>
      </c>
      <c r="F96" s="261"/>
      <c r="G96" s="280">
        <f>IF(D96-$H$102=0,0,(YTotExp-($G$18-$G$9-$G$10))/(D96-$H$102)*100)</f>
        <v>0</v>
      </c>
      <c r="H96" s="263"/>
    </row>
    <row r="97" spans="2:8" x14ac:dyDescent="0.2">
      <c r="B97" s="144">
        <v>0</v>
      </c>
      <c r="C97" s="139">
        <f>+G18</f>
        <v>0</v>
      </c>
      <c r="D97" s="140">
        <f>H101+H102</f>
        <v>0</v>
      </c>
      <c r="E97" s="260">
        <f>IF($C$97=0,0,(YTotExp-($G$18-$G$9-$G$10))/(YPrice/100)/(B97-$C$11/$D$5))</f>
        <v>0</v>
      </c>
      <c r="F97" s="261"/>
      <c r="G97" s="262">
        <f>IF(D97-$H$102=0,0,(YTotExp-($G$18-$G$9-$G$10))/(D97-$H$102)*100)</f>
        <v>0</v>
      </c>
      <c r="H97" s="263"/>
    </row>
    <row r="98" spans="2:8" x14ac:dyDescent="0.2">
      <c r="B98" s="141">
        <f>+B97+0.03</f>
        <v>0.03</v>
      </c>
      <c r="C98" s="142">
        <f>+IF($B$97=0,0,YTotRet-$G$9-$G$10+($G$9+$G$10)*B98/$B$97)</f>
        <v>0</v>
      </c>
      <c r="D98" s="143">
        <f>IF($B$97=0,0,$H$101*B98/$B$97+$H$102)</f>
        <v>0</v>
      </c>
      <c r="E98" s="279">
        <f>IF($C$97=0,0,(YTotExp-($G$18-$G$9-$G$10))/(YPrice/100)/(B98-$C$11/$D$5))</f>
        <v>0</v>
      </c>
      <c r="F98" s="261"/>
      <c r="G98" s="280">
        <f>IF(D98-$H$102=0,0,(YTotExp-($G$18-$G$9-$G$10))/(D98-$H$102)*100)</f>
        <v>0</v>
      </c>
      <c r="H98" s="263"/>
    </row>
    <row r="99" spans="2:8" x14ac:dyDescent="0.2">
      <c r="B99" s="138">
        <f>+B98+0.03</f>
        <v>0.06</v>
      </c>
      <c r="C99" s="139">
        <f>+IF($B$97=0,0,YTotRet-$G$9-$G$10+($G$9+$G$10)*B99/$B$97)</f>
        <v>0</v>
      </c>
      <c r="D99" s="140">
        <f>IF($B$97=0,0,$H$101*B99/$B$97+$H$102)</f>
        <v>0</v>
      </c>
      <c r="E99" s="260">
        <f>IF($C$97=0,0,(YTotExp-($G$18-$G$9-$G$10))/(YPrice/100)/(B99-$C$11/$D$5))</f>
        <v>0</v>
      </c>
      <c r="F99" s="261"/>
      <c r="G99" s="262">
        <f>IF(D99-$H$102=0,0,(YTotExp-($G$18-$G$9-$G$10))/(D99-$H$102)*100)</f>
        <v>0</v>
      </c>
      <c r="H99" s="263"/>
    </row>
    <row r="101" spans="2:8" x14ac:dyDescent="0.2">
      <c r="C101" s="17" t="s">
        <v>205</v>
      </c>
      <c r="F101" s="31">
        <f>+F9</f>
        <v>0</v>
      </c>
      <c r="G101" s="31"/>
      <c r="H101" s="145">
        <f>IF(D5=0,0,(C9*D9+C10*D10)*100/D5)</f>
        <v>0</v>
      </c>
    </row>
    <row r="102" spans="2:8" x14ac:dyDescent="0.2">
      <c r="C102" s="17" t="s">
        <v>206</v>
      </c>
      <c r="F102" s="31">
        <f>+F10</f>
        <v>0</v>
      </c>
      <c r="G102" s="31"/>
      <c r="H102" s="145">
        <f>IF(D5=0,0,(C11*D11+C12*D12)*100/D5)</f>
        <v>0</v>
      </c>
    </row>
    <row r="103" spans="2:8" x14ac:dyDescent="0.2">
      <c r="C103" s="17" t="s">
        <v>207</v>
      </c>
      <c r="F103" s="31">
        <f>+IF((C9*D9+C10*D10)=0,F13,(G9+G10)/((C9*D9+C10*D10)/D5))</f>
        <v>0</v>
      </c>
      <c r="G103" s="31"/>
    </row>
    <row r="104" spans="2:8" ht="13.5" thickBot="1" x14ac:dyDescent="0.25"/>
    <row r="105" spans="2:8" ht="18.75" thickBot="1" x14ac:dyDescent="0.3">
      <c r="C105" s="264" t="s">
        <v>320</v>
      </c>
      <c r="D105" s="265"/>
      <c r="E105" s="265"/>
      <c r="F105" s="265"/>
      <c r="G105" s="265"/>
      <c r="H105" s="266"/>
    </row>
    <row r="106" spans="2:8" x14ac:dyDescent="0.2">
      <c r="C106" s="146" t="s">
        <v>131</v>
      </c>
      <c r="D106" s="80"/>
      <c r="E106" s="147">
        <v>0</v>
      </c>
      <c r="F106" s="82" t="s">
        <v>132</v>
      </c>
      <c r="G106" s="81"/>
      <c r="H106" s="148"/>
    </row>
    <row r="107" spans="2:8" x14ac:dyDescent="0.2">
      <c r="C107" s="149" t="str">
        <f>+"Your Animal"&amp;IF(M25="Stocker"," Grazing"," Feeding")&amp;" Days"</f>
        <v>Your Animal Feeding Days</v>
      </c>
      <c r="D107" s="80"/>
      <c r="E107" s="150">
        <v>0</v>
      </c>
      <c r="F107" s="82" t="s">
        <v>39</v>
      </c>
      <c r="G107" s="81"/>
      <c r="H107" s="151"/>
    </row>
    <row r="108" spans="2:8" ht="13.5" thickBot="1" x14ac:dyDescent="0.25">
      <c r="C108" s="152" t="s">
        <v>130</v>
      </c>
      <c r="D108" s="80"/>
      <c r="E108" s="153">
        <v>0</v>
      </c>
      <c r="F108" s="81"/>
      <c r="G108" s="81"/>
      <c r="H108" s="154"/>
    </row>
    <row r="109" spans="2:8" ht="13.35" customHeight="1" x14ac:dyDescent="0.2">
      <c r="C109" s="267" t="s">
        <v>208</v>
      </c>
      <c r="D109" s="270" t="s">
        <v>209</v>
      </c>
      <c r="E109" s="273"/>
      <c r="F109" s="276" t="str">
        <f>+"Purchase Weight (Pounds/Head): "&amp;D23*100</f>
        <v>Purchase Weight (Pounds/Head): 0</v>
      </c>
      <c r="G109" s="277"/>
      <c r="H109" s="278" t="s">
        <v>125</v>
      </c>
    </row>
    <row r="110" spans="2:8" ht="24" x14ac:dyDescent="0.2">
      <c r="C110" s="268"/>
      <c r="D110" s="271"/>
      <c r="E110" s="274"/>
      <c r="F110" s="155" t="str">
        <f>"Sales Price        "&amp;IF(F13="",".00",TEXT(F13,"#.00"))</f>
        <v>Sales Price        .00</v>
      </c>
      <c r="G110" s="156"/>
      <c r="H110" s="157" t="str">
        <f>"Purchase Price        "&amp;IF(F23="",".00",TEXT(F23,"#.00"))</f>
        <v>Purchase Price        .00</v>
      </c>
    </row>
    <row r="111" spans="2:8" ht="43.35" customHeight="1" thickBot="1" x14ac:dyDescent="0.25">
      <c r="C111" s="269"/>
      <c r="D111" s="272"/>
      <c r="E111" s="275"/>
      <c r="F111" s="187" t="s">
        <v>318</v>
      </c>
      <c r="G111" s="158"/>
      <c r="H111" s="188" t="s">
        <v>319</v>
      </c>
    </row>
    <row r="112" spans="2:8" x14ac:dyDescent="0.2">
      <c r="C112" s="159">
        <f>+C114*1.2</f>
        <v>0</v>
      </c>
      <c r="D112" s="160">
        <f>+(C112*$E$107+$D$23*100)*(1-$E$108)</f>
        <v>0</v>
      </c>
      <c r="E112" s="160"/>
      <c r="F112" s="161">
        <f>IF($D$23=0,0,(((D112*$F$13/100*($C$13/$D$5))-($G$86-SUM($G$14:$G$16)-$G$23))/(100*$D$23))*100)</f>
        <v>0</v>
      </c>
      <c r="G112" s="162"/>
      <c r="H112" s="163">
        <f>IF($C$13=0,0,($G$86-SUM($G$14:$G$16))/(D112*($C$13/$D$5)*100))</f>
        <v>0</v>
      </c>
    </row>
    <row r="113" spans="3:8" x14ac:dyDescent="0.2">
      <c r="C113" s="164">
        <f>+C114*1.1</f>
        <v>0</v>
      </c>
      <c r="D113" s="160">
        <f>+(C113*$E$107+$D$23*100)*(1-$E$108)</f>
        <v>0</v>
      </c>
      <c r="E113" s="160"/>
      <c r="F113" s="161">
        <f>IF($D$23=0,0,(((D113*$F$13/100*($C$13/$D$5))-($G$86-SUM($G$14:$G$16)-$G$23))/(100*$D$23))*100)</f>
        <v>0</v>
      </c>
      <c r="G113" s="165"/>
      <c r="H113" s="166">
        <f>IF($C$13=0,0,($G$86-SUM($G$14:$G$16))/(D113*($C$13/$D$5)*100))</f>
        <v>0</v>
      </c>
    </row>
    <row r="114" spans="3:8" x14ac:dyDescent="0.2">
      <c r="C114" s="167">
        <f>+E106</f>
        <v>0</v>
      </c>
      <c r="D114" s="168">
        <f>+(C114*$E$107+$D$23*100)*(1-$E$108)</f>
        <v>0</v>
      </c>
      <c r="E114" s="168"/>
      <c r="F114" s="169">
        <f>IF($D$23=0,0,(((D114*$F$13/100*($C$13/$D$5))-($G$86-SUM($G$14:$G$16)-$G$23))/(100*$D$23))*100)</f>
        <v>0</v>
      </c>
      <c r="G114" s="170"/>
      <c r="H114" s="171">
        <f>IF($C$13=0,0,($G$86-SUM($G$14:$G$16))/(D114*($C$13/$D$5)*100))</f>
        <v>0</v>
      </c>
    </row>
    <row r="115" spans="3:8" x14ac:dyDescent="0.2">
      <c r="C115" s="164">
        <f>+C114*0.9</f>
        <v>0</v>
      </c>
      <c r="D115" s="160">
        <f>+(C115*$E$107+$D$23*100)*(1-$E$108)</f>
        <v>0</v>
      </c>
      <c r="E115" s="160"/>
      <c r="F115" s="161">
        <f>IF($D$23=0,0,(((D115*$F$13/100*($C$13/$D$5))-($G$86-SUM($G$14:$G$16)-$G$23))/(100*$D$23))*100)</f>
        <v>0</v>
      </c>
      <c r="G115" s="165"/>
      <c r="H115" s="166">
        <f>IF($C$13=0,0,($G$86-SUM($G$14:$G$16))/(D115*($C$13/$D$5)*100))</f>
        <v>0</v>
      </c>
    </row>
    <row r="116" spans="3:8" ht="13.5" thickBot="1" x14ac:dyDescent="0.25">
      <c r="C116" s="172">
        <f>+C114*0.8</f>
        <v>0</v>
      </c>
      <c r="D116" s="173">
        <f>+(C116*$E$107+$D$23*100)*(1-$E$108)</f>
        <v>0</v>
      </c>
      <c r="E116" s="173"/>
      <c r="F116" s="174">
        <f>IF($D$23=0,0,(((D116*$F$13/100*($C$13/$D$5))-($G$86-SUM($G$14:$G$16)-$G$23))/(100*$D$23))*100)</f>
        <v>0</v>
      </c>
      <c r="G116" s="175"/>
      <c r="H116" s="176">
        <f>IF($C$13=0,0,($G$86-SUM($G$14:$G$16))/(D116*($C$13/$D$5)*100))</f>
        <v>0</v>
      </c>
    </row>
  </sheetData>
  <mergeCells count="20">
    <mergeCell ref="E95:F95"/>
    <mergeCell ref="G95:H95"/>
    <mergeCell ref="A1:G1"/>
    <mergeCell ref="A3:G3"/>
    <mergeCell ref="B93:H93"/>
    <mergeCell ref="E94:F94"/>
    <mergeCell ref="G94:H94"/>
    <mergeCell ref="E96:F96"/>
    <mergeCell ref="G96:H96"/>
    <mergeCell ref="E97:F97"/>
    <mergeCell ref="G97:H97"/>
    <mergeCell ref="E98:F98"/>
    <mergeCell ref="G98:H98"/>
    <mergeCell ref="E99:F99"/>
    <mergeCell ref="G99:H99"/>
    <mergeCell ref="C105:H105"/>
    <mergeCell ref="C109:C111"/>
    <mergeCell ref="D109:D111"/>
    <mergeCell ref="E109:E111"/>
    <mergeCell ref="F109:H109"/>
  </mergeCells>
  <pageMargins left="0.7" right="0.7" top="0.75" bottom="0.75" header="0.3" footer="0.3"/>
  <pageSetup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40">
    <tabColor rgb="FFFFFF00"/>
  </sheetPr>
  <dimension ref="A1:K155"/>
  <sheetViews>
    <sheetView workbookViewId="0">
      <selection sqref="A1:G1"/>
    </sheetView>
  </sheetViews>
  <sheetFormatPr defaultColWidth="9.140625" defaultRowHeight="12.75" x14ac:dyDescent="0.2"/>
  <cols>
    <col min="1" max="1" width="2.5703125" style="17" customWidth="1"/>
    <col min="2" max="2" width="24.5703125" style="17" customWidth="1"/>
    <col min="3" max="5" width="13.42578125" style="17" customWidth="1"/>
    <col min="6" max="6" width="12.42578125" style="17" customWidth="1"/>
    <col min="7" max="7" width="16.140625" style="17" customWidth="1"/>
    <col min="8" max="16384" width="9.140625" style="17"/>
  </cols>
  <sheetData>
    <row r="1" spans="1:7" x14ac:dyDescent="0.2">
      <c r="A1" s="261" t="s">
        <v>61</v>
      </c>
      <c r="B1" s="261"/>
      <c r="C1" s="261"/>
      <c r="D1" s="261"/>
      <c r="E1" s="261"/>
      <c r="F1" s="261"/>
      <c r="G1" s="261"/>
    </row>
    <row r="2" spans="1:7" x14ac:dyDescent="0.2">
      <c r="A2" s="22"/>
      <c r="B2" s="22"/>
      <c r="C2" s="22"/>
      <c r="D2" s="22"/>
      <c r="E2" s="22"/>
      <c r="F2" s="22"/>
      <c r="G2" s="22"/>
    </row>
    <row r="3" spans="1:7" x14ac:dyDescent="0.2">
      <c r="A3" s="240" t="s">
        <v>70</v>
      </c>
      <c r="B3" s="261"/>
      <c r="C3" s="261"/>
      <c r="D3" s="261"/>
      <c r="E3" s="261"/>
      <c r="F3" s="261"/>
      <c r="G3" s="22"/>
    </row>
    <row r="4" spans="1:7" x14ac:dyDescent="0.2">
      <c r="A4" s="129"/>
      <c r="B4" s="100"/>
      <c r="C4" s="100"/>
      <c r="D4" s="100"/>
      <c r="E4" s="100"/>
      <c r="F4" s="100"/>
      <c r="G4" s="100"/>
    </row>
    <row r="5" spans="1:7" x14ac:dyDescent="0.2">
      <c r="A5" s="131" t="s">
        <v>62</v>
      </c>
      <c r="B5" s="22"/>
      <c r="C5" s="22"/>
      <c r="D5" s="177">
        <v>0</v>
      </c>
      <c r="E5" s="22"/>
      <c r="F5" s="22"/>
      <c r="G5" s="22"/>
    </row>
    <row r="6" spans="1:7" x14ac:dyDescent="0.2">
      <c r="A6" s="20"/>
      <c r="B6" s="22"/>
      <c r="C6" s="22"/>
      <c r="D6" s="22"/>
      <c r="E6" s="22"/>
      <c r="F6" s="22"/>
      <c r="G6" s="22"/>
    </row>
    <row r="7" spans="1:7" x14ac:dyDescent="0.2">
      <c r="A7" s="123" t="s">
        <v>179</v>
      </c>
      <c r="C7" s="25"/>
      <c r="D7" s="21"/>
      <c r="E7" s="21"/>
      <c r="F7" s="21"/>
      <c r="G7" s="22" t="s">
        <v>19</v>
      </c>
    </row>
    <row r="8" spans="1:7" x14ac:dyDescent="0.2">
      <c r="A8" s="23" t="s">
        <v>73</v>
      </c>
      <c r="B8" s="23"/>
      <c r="C8" s="24" t="s">
        <v>2</v>
      </c>
      <c r="D8" s="24" t="s">
        <v>21</v>
      </c>
      <c r="E8" s="24" t="s">
        <v>22</v>
      </c>
      <c r="F8" s="24" t="s">
        <v>11</v>
      </c>
      <c r="G8" s="24" t="s">
        <v>11</v>
      </c>
    </row>
    <row r="9" spans="1:7" x14ac:dyDescent="0.2">
      <c r="B9" s="132" t="s">
        <v>210</v>
      </c>
      <c r="C9" s="132">
        <v>0</v>
      </c>
      <c r="D9" s="132" t="s">
        <v>57</v>
      </c>
      <c r="E9" s="133">
        <v>0</v>
      </c>
      <c r="F9" s="30">
        <f>C9*E9</f>
        <v>0</v>
      </c>
      <c r="G9" s="30">
        <f>+F9*$D$5</f>
        <v>0</v>
      </c>
    </row>
    <row r="10" spans="1:7" x14ac:dyDescent="0.2">
      <c r="B10" s="132" t="s">
        <v>211</v>
      </c>
      <c r="C10" s="132">
        <v>0</v>
      </c>
      <c r="D10" s="132" t="s">
        <v>57</v>
      </c>
      <c r="E10" s="133">
        <v>0</v>
      </c>
      <c r="F10" s="30">
        <f t="shared" ref="F10:F16" si="0">C10*E10</f>
        <v>0</v>
      </c>
      <c r="G10" s="30">
        <f t="shared" ref="G10:G16" si="1">+F10*$D$5</f>
        <v>0</v>
      </c>
    </row>
    <row r="11" spans="1:7" x14ac:dyDescent="0.2">
      <c r="B11" s="132" t="s">
        <v>211</v>
      </c>
      <c r="C11" s="132">
        <v>0</v>
      </c>
      <c r="D11" s="132" t="s">
        <v>57</v>
      </c>
      <c r="E11" s="133">
        <v>0</v>
      </c>
      <c r="F11" s="30">
        <f t="shared" si="0"/>
        <v>0</v>
      </c>
      <c r="G11" s="30">
        <f t="shared" si="1"/>
        <v>0</v>
      </c>
    </row>
    <row r="12" spans="1:7" x14ac:dyDescent="0.2">
      <c r="B12" s="132" t="s">
        <v>211</v>
      </c>
      <c r="C12" s="132">
        <v>0</v>
      </c>
      <c r="D12" s="132" t="s">
        <v>57</v>
      </c>
      <c r="E12" s="133">
        <v>0</v>
      </c>
      <c r="F12" s="30">
        <f t="shared" si="0"/>
        <v>0</v>
      </c>
      <c r="G12" s="30">
        <f t="shared" si="1"/>
        <v>0</v>
      </c>
    </row>
    <row r="13" spans="1:7" x14ac:dyDescent="0.2">
      <c r="B13" s="132" t="s">
        <v>211</v>
      </c>
      <c r="C13" s="132">
        <v>0</v>
      </c>
      <c r="D13" s="132" t="s">
        <v>57</v>
      </c>
      <c r="E13" s="133">
        <v>0</v>
      </c>
      <c r="F13" s="30">
        <f t="shared" si="0"/>
        <v>0</v>
      </c>
      <c r="G13" s="30">
        <f t="shared" si="1"/>
        <v>0</v>
      </c>
    </row>
    <row r="14" spans="1:7" x14ac:dyDescent="0.2">
      <c r="B14" s="132" t="s">
        <v>211</v>
      </c>
      <c r="C14" s="132">
        <v>0</v>
      </c>
      <c r="D14" s="132" t="s">
        <v>57</v>
      </c>
      <c r="E14" s="133">
        <v>0</v>
      </c>
      <c r="F14" s="30">
        <f t="shared" si="0"/>
        <v>0</v>
      </c>
      <c r="G14" s="30">
        <f t="shared" si="1"/>
        <v>0</v>
      </c>
    </row>
    <row r="15" spans="1:7" x14ac:dyDescent="0.2">
      <c r="B15" s="132" t="s">
        <v>211</v>
      </c>
      <c r="C15" s="132">
        <v>0</v>
      </c>
      <c r="D15" s="132" t="s">
        <v>57</v>
      </c>
      <c r="E15" s="133">
        <v>0</v>
      </c>
      <c r="F15" s="30">
        <f t="shared" si="0"/>
        <v>0</v>
      </c>
      <c r="G15" s="30">
        <f t="shared" si="1"/>
        <v>0</v>
      </c>
    </row>
    <row r="16" spans="1:7" x14ac:dyDescent="0.2">
      <c r="B16" s="132" t="s">
        <v>211</v>
      </c>
      <c r="C16" s="132">
        <v>0</v>
      </c>
      <c r="D16" s="132" t="s">
        <v>57</v>
      </c>
      <c r="E16" s="133">
        <v>0</v>
      </c>
      <c r="F16" s="30">
        <f t="shared" si="0"/>
        <v>0</v>
      </c>
      <c r="G16" s="30">
        <f t="shared" si="1"/>
        <v>0</v>
      </c>
    </row>
    <row r="17" spans="1:11" x14ac:dyDescent="0.2">
      <c r="C17" s="22"/>
      <c r="D17" s="22"/>
      <c r="E17" s="22"/>
    </row>
    <row r="18" spans="1:11" x14ac:dyDescent="0.2">
      <c r="A18" s="17" t="s">
        <v>24</v>
      </c>
      <c r="C18" s="22"/>
      <c r="D18" s="22"/>
      <c r="E18" s="22"/>
      <c r="F18" s="30">
        <f>+SUM(F9:F16)</f>
        <v>0</v>
      </c>
      <c r="G18" s="30">
        <f>+SUM(G9:G16)</f>
        <v>0</v>
      </c>
    </row>
    <row r="19" spans="1:11" x14ac:dyDescent="0.2">
      <c r="C19" s="22"/>
      <c r="D19" s="22"/>
      <c r="E19" s="22"/>
      <c r="F19" s="30"/>
      <c r="G19" s="30"/>
    </row>
    <row r="20" spans="1:11" x14ac:dyDescent="0.2">
      <c r="C20" s="22"/>
      <c r="D20" s="22"/>
      <c r="E20" s="22"/>
      <c r="F20" s="30"/>
      <c r="G20" s="22" t="s">
        <v>19</v>
      </c>
    </row>
    <row r="21" spans="1:11" x14ac:dyDescent="0.2">
      <c r="A21" s="23" t="s">
        <v>25</v>
      </c>
      <c r="B21" s="23"/>
      <c r="C21" s="24" t="s">
        <v>2</v>
      </c>
      <c r="D21" s="24" t="s">
        <v>21</v>
      </c>
      <c r="E21" s="24" t="s">
        <v>22</v>
      </c>
      <c r="F21" s="24" t="s">
        <v>11</v>
      </c>
      <c r="G21" s="24" t="s">
        <v>11</v>
      </c>
    </row>
    <row r="22" spans="1:11" x14ac:dyDescent="0.2">
      <c r="A22" s="25"/>
      <c r="B22" s="25"/>
      <c r="C22" s="21"/>
      <c r="D22" s="21"/>
      <c r="E22" s="21"/>
      <c r="F22" s="25"/>
      <c r="G22" s="25"/>
      <c r="H22" s="25"/>
      <c r="I22" s="25"/>
      <c r="J22" s="25"/>
      <c r="K22" s="25"/>
    </row>
    <row r="23" spans="1:11" x14ac:dyDescent="0.2">
      <c r="A23" s="25" t="s">
        <v>212</v>
      </c>
      <c r="B23" s="25"/>
      <c r="C23" s="21"/>
      <c r="D23" s="21"/>
      <c r="E23" s="21"/>
      <c r="F23" s="25"/>
      <c r="G23" s="25"/>
      <c r="H23" s="25"/>
      <c r="I23" s="25"/>
      <c r="J23" s="25"/>
      <c r="K23" s="25"/>
    </row>
    <row r="24" spans="1:11" x14ac:dyDescent="0.2">
      <c r="A24" s="25"/>
      <c r="B24" s="132" t="s">
        <v>213</v>
      </c>
      <c r="C24" s="132">
        <v>0</v>
      </c>
      <c r="D24" s="132" t="s">
        <v>42</v>
      </c>
      <c r="E24" s="133">
        <v>0</v>
      </c>
      <c r="F24" s="30">
        <f t="shared" ref="F24:F29" si="2">C24*E24</f>
        <v>0</v>
      </c>
      <c r="G24" s="30">
        <f t="shared" ref="G24:G89" si="3">+F24*$D$5</f>
        <v>0</v>
      </c>
      <c r="H24" s="25"/>
      <c r="I24" s="25"/>
      <c r="J24" s="25"/>
      <c r="K24" s="25"/>
    </row>
    <row r="25" spans="1:11" x14ac:dyDescent="0.2">
      <c r="A25" s="25"/>
      <c r="B25" s="132" t="s">
        <v>214</v>
      </c>
      <c r="C25" s="132">
        <v>0</v>
      </c>
      <c r="D25" s="132" t="s">
        <v>42</v>
      </c>
      <c r="E25" s="133">
        <v>0</v>
      </c>
      <c r="F25" s="30">
        <f t="shared" si="2"/>
        <v>0</v>
      </c>
      <c r="G25" s="30">
        <f t="shared" si="3"/>
        <v>0</v>
      </c>
      <c r="H25" s="25"/>
      <c r="I25" s="25"/>
      <c r="J25" s="25"/>
      <c r="K25" s="25"/>
    </row>
    <row r="26" spans="1:11" x14ac:dyDescent="0.2">
      <c r="A26" s="25"/>
      <c r="B26" s="132" t="s">
        <v>215</v>
      </c>
      <c r="C26" s="132">
        <v>0</v>
      </c>
      <c r="D26" s="132" t="s">
        <v>42</v>
      </c>
      <c r="E26" s="133">
        <v>0</v>
      </c>
      <c r="F26" s="30">
        <f t="shared" si="2"/>
        <v>0</v>
      </c>
      <c r="G26" s="30">
        <f t="shared" si="3"/>
        <v>0</v>
      </c>
      <c r="H26" s="25"/>
      <c r="I26" s="25"/>
      <c r="J26" s="25"/>
      <c r="K26" s="25"/>
    </row>
    <row r="27" spans="1:11" x14ac:dyDescent="0.2">
      <c r="A27" s="25"/>
      <c r="B27" s="132" t="s">
        <v>216</v>
      </c>
      <c r="C27" s="132">
        <v>0</v>
      </c>
      <c r="D27" s="132" t="s">
        <v>42</v>
      </c>
      <c r="E27" s="133">
        <v>0</v>
      </c>
      <c r="F27" s="30">
        <f t="shared" si="2"/>
        <v>0</v>
      </c>
      <c r="G27" s="30">
        <f t="shared" si="3"/>
        <v>0</v>
      </c>
      <c r="H27" s="25"/>
      <c r="I27" s="25"/>
      <c r="J27" s="25"/>
      <c r="K27" s="25"/>
    </row>
    <row r="28" spans="1:11" x14ac:dyDescent="0.2">
      <c r="A28" s="25"/>
      <c r="B28" s="132" t="s">
        <v>217</v>
      </c>
      <c r="C28" s="132">
        <v>0</v>
      </c>
      <c r="D28" s="132" t="s">
        <v>42</v>
      </c>
      <c r="E28" s="133">
        <v>0</v>
      </c>
      <c r="F28" s="30">
        <f t="shared" si="2"/>
        <v>0</v>
      </c>
      <c r="G28" s="30">
        <f t="shared" si="3"/>
        <v>0</v>
      </c>
      <c r="H28" s="25"/>
      <c r="I28" s="25"/>
      <c r="J28" s="25"/>
      <c r="K28" s="25"/>
    </row>
    <row r="29" spans="1:11" x14ac:dyDescent="0.2">
      <c r="A29" s="25"/>
      <c r="B29" s="132" t="s">
        <v>218</v>
      </c>
      <c r="C29" s="132">
        <v>0</v>
      </c>
      <c r="D29" s="132" t="s">
        <v>42</v>
      </c>
      <c r="E29" s="133">
        <v>0</v>
      </c>
      <c r="F29" s="30">
        <f t="shared" si="2"/>
        <v>0</v>
      </c>
      <c r="G29" s="30">
        <f t="shared" si="3"/>
        <v>0</v>
      </c>
      <c r="H29" s="25"/>
      <c r="I29" s="25"/>
      <c r="J29" s="25"/>
      <c r="K29" s="25"/>
    </row>
    <row r="30" spans="1:11" x14ac:dyDescent="0.2">
      <c r="A30" s="25" t="s">
        <v>219</v>
      </c>
      <c r="B30" s="25"/>
      <c r="C30" s="21"/>
      <c r="D30" s="21"/>
      <c r="E30" s="21"/>
      <c r="F30" s="25"/>
      <c r="G30" s="25"/>
      <c r="H30" s="25"/>
      <c r="I30" s="25"/>
      <c r="J30" s="25"/>
      <c r="K30" s="25"/>
    </row>
    <row r="31" spans="1:11" x14ac:dyDescent="0.2">
      <c r="A31" s="25"/>
      <c r="B31" s="132" t="s">
        <v>28</v>
      </c>
      <c r="C31" s="132">
        <v>0</v>
      </c>
      <c r="D31" s="132" t="s">
        <v>79</v>
      </c>
      <c r="E31" s="133">
        <v>0</v>
      </c>
      <c r="F31" s="30">
        <f t="shared" ref="F31:F36" si="4">C31*E31</f>
        <v>0</v>
      </c>
      <c r="G31" s="30">
        <f t="shared" si="3"/>
        <v>0</v>
      </c>
      <c r="H31" s="25"/>
      <c r="I31" s="25"/>
      <c r="J31" s="25"/>
      <c r="K31" s="25"/>
    </row>
    <row r="32" spans="1:11" x14ac:dyDescent="0.2">
      <c r="A32" s="25"/>
      <c r="B32" s="132" t="s">
        <v>29</v>
      </c>
      <c r="C32" s="132">
        <v>0</v>
      </c>
      <c r="D32" s="132" t="s">
        <v>79</v>
      </c>
      <c r="E32" s="133">
        <v>0</v>
      </c>
      <c r="F32" s="30">
        <f t="shared" si="4"/>
        <v>0</v>
      </c>
      <c r="G32" s="30">
        <f t="shared" si="3"/>
        <v>0</v>
      </c>
      <c r="H32" s="25"/>
      <c r="I32" s="25"/>
      <c r="J32" s="25"/>
      <c r="K32" s="25"/>
    </row>
    <row r="33" spans="1:11" x14ac:dyDescent="0.2">
      <c r="A33" s="25"/>
      <c r="B33" s="132" t="s">
        <v>220</v>
      </c>
      <c r="C33" s="132">
        <v>0</v>
      </c>
      <c r="D33" s="132" t="s">
        <v>42</v>
      </c>
      <c r="E33" s="133">
        <v>0</v>
      </c>
      <c r="F33" s="30">
        <f t="shared" si="4"/>
        <v>0</v>
      </c>
      <c r="G33" s="30">
        <f t="shared" si="3"/>
        <v>0</v>
      </c>
      <c r="H33" s="25"/>
      <c r="I33" s="25"/>
      <c r="J33" s="25"/>
      <c r="K33" s="25"/>
    </row>
    <row r="34" spans="1:11" x14ac:dyDescent="0.2">
      <c r="A34" s="25"/>
      <c r="B34" s="132" t="s">
        <v>221</v>
      </c>
      <c r="C34" s="132">
        <v>0</v>
      </c>
      <c r="D34" s="132" t="s">
        <v>42</v>
      </c>
      <c r="E34" s="133">
        <v>0</v>
      </c>
      <c r="F34" s="30">
        <f t="shared" si="4"/>
        <v>0</v>
      </c>
      <c r="G34" s="30">
        <f t="shared" si="3"/>
        <v>0</v>
      </c>
      <c r="H34" s="25"/>
      <c r="I34" s="25"/>
      <c r="J34" s="25"/>
      <c r="K34" s="25"/>
    </row>
    <row r="35" spans="1:11" x14ac:dyDescent="0.2">
      <c r="A35" s="25"/>
      <c r="B35" s="132" t="s">
        <v>222</v>
      </c>
      <c r="C35" s="132">
        <v>0</v>
      </c>
      <c r="D35" s="132" t="s">
        <v>42</v>
      </c>
      <c r="E35" s="133">
        <v>0</v>
      </c>
      <c r="F35" s="30">
        <f t="shared" si="4"/>
        <v>0</v>
      </c>
      <c r="G35" s="30">
        <f t="shared" si="3"/>
        <v>0</v>
      </c>
      <c r="H35" s="25"/>
      <c r="I35" s="25"/>
      <c r="J35" s="25"/>
      <c r="K35" s="25"/>
    </row>
    <row r="36" spans="1:11" x14ac:dyDescent="0.2">
      <c r="A36" s="25"/>
      <c r="B36" s="132" t="s">
        <v>223</v>
      </c>
      <c r="C36" s="132">
        <v>0</v>
      </c>
      <c r="D36" s="132" t="s">
        <v>42</v>
      </c>
      <c r="E36" s="133">
        <v>0</v>
      </c>
      <c r="F36" s="30">
        <f t="shared" si="4"/>
        <v>0</v>
      </c>
      <c r="G36" s="30">
        <f t="shared" si="3"/>
        <v>0</v>
      </c>
      <c r="H36" s="25"/>
      <c r="I36" s="25"/>
      <c r="J36" s="25"/>
      <c r="K36" s="25"/>
    </row>
    <row r="37" spans="1:11" x14ac:dyDescent="0.2">
      <c r="A37" s="25" t="s">
        <v>12</v>
      </c>
      <c r="B37" s="25"/>
      <c r="C37" s="21"/>
      <c r="D37" s="21"/>
      <c r="E37" s="21"/>
      <c r="F37" s="25"/>
      <c r="G37" s="25"/>
      <c r="H37" s="25"/>
      <c r="I37" s="25"/>
      <c r="J37" s="25"/>
      <c r="K37" s="25"/>
    </row>
    <row r="38" spans="1:11" x14ac:dyDescent="0.2">
      <c r="A38" s="25"/>
      <c r="B38" s="132" t="s">
        <v>224</v>
      </c>
      <c r="C38" s="132">
        <v>0</v>
      </c>
      <c r="D38" s="132" t="s">
        <v>44</v>
      </c>
      <c r="E38" s="133">
        <v>0</v>
      </c>
      <c r="F38" s="30">
        <f t="shared" ref="F38:F43" si="5">C38*E38</f>
        <v>0</v>
      </c>
      <c r="G38" s="30">
        <f t="shared" si="3"/>
        <v>0</v>
      </c>
      <c r="H38" s="25"/>
      <c r="I38" s="25"/>
      <c r="J38" s="25"/>
      <c r="K38" s="25"/>
    </row>
    <row r="39" spans="1:11" x14ac:dyDescent="0.2">
      <c r="A39" s="25"/>
      <c r="B39" s="132" t="s">
        <v>225</v>
      </c>
      <c r="C39" s="132">
        <v>0</v>
      </c>
      <c r="D39" s="132" t="s">
        <v>44</v>
      </c>
      <c r="E39" s="133">
        <v>0</v>
      </c>
      <c r="F39" s="30">
        <f t="shared" si="5"/>
        <v>0</v>
      </c>
      <c r="G39" s="30">
        <f t="shared" si="3"/>
        <v>0</v>
      </c>
      <c r="H39" s="25"/>
      <c r="I39" s="25"/>
      <c r="J39" s="25"/>
      <c r="K39" s="25"/>
    </row>
    <row r="40" spans="1:11" x14ac:dyDescent="0.2">
      <c r="A40" s="25"/>
      <c r="B40" s="132" t="s">
        <v>226</v>
      </c>
      <c r="C40" s="132">
        <v>0</v>
      </c>
      <c r="D40" s="132" t="s">
        <v>44</v>
      </c>
      <c r="E40" s="133">
        <v>0</v>
      </c>
      <c r="F40" s="30">
        <f t="shared" si="5"/>
        <v>0</v>
      </c>
      <c r="G40" s="30">
        <f t="shared" si="3"/>
        <v>0</v>
      </c>
      <c r="H40" s="25"/>
      <c r="I40" s="25"/>
      <c r="J40" s="25"/>
      <c r="K40" s="25"/>
    </row>
    <row r="41" spans="1:11" x14ac:dyDescent="0.2">
      <c r="A41" s="25"/>
      <c r="B41" s="132" t="s">
        <v>227</v>
      </c>
      <c r="C41" s="132">
        <v>0</v>
      </c>
      <c r="D41" s="132" t="s">
        <v>44</v>
      </c>
      <c r="E41" s="133">
        <v>0</v>
      </c>
      <c r="F41" s="30">
        <f t="shared" si="5"/>
        <v>0</v>
      </c>
      <c r="G41" s="30">
        <f t="shared" si="3"/>
        <v>0</v>
      </c>
      <c r="H41" s="25"/>
      <c r="I41" s="25"/>
      <c r="J41" s="25"/>
      <c r="K41" s="25"/>
    </row>
    <row r="42" spans="1:11" x14ac:dyDescent="0.2">
      <c r="A42" s="25"/>
      <c r="B42" s="132" t="s">
        <v>228</v>
      </c>
      <c r="C42" s="132">
        <v>0</v>
      </c>
      <c r="D42" s="132" t="s">
        <v>44</v>
      </c>
      <c r="E42" s="133">
        <v>0</v>
      </c>
      <c r="F42" s="30">
        <f t="shared" si="5"/>
        <v>0</v>
      </c>
      <c r="G42" s="30">
        <f t="shared" si="3"/>
        <v>0</v>
      </c>
      <c r="H42" s="25"/>
      <c r="I42" s="25"/>
      <c r="J42" s="25"/>
      <c r="K42" s="25"/>
    </row>
    <row r="43" spans="1:11" x14ac:dyDescent="0.2">
      <c r="A43" s="25"/>
      <c r="B43" s="132" t="s">
        <v>136</v>
      </c>
      <c r="C43" s="132">
        <v>0</v>
      </c>
      <c r="D43" s="132" t="s">
        <v>44</v>
      </c>
      <c r="E43" s="133">
        <v>0</v>
      </c>
      <c r="F43" s="30">
        <f t="shared" si="5"/>
        <v>0</v>
      </c>
      <c r="G43" s="30">
        <f t="shared" si="3"/>
        <v>0</v>
      </c>
      <c r="H43" s="25"/>
      <c r="I43" s="25"/>
      <c r="J43" s="25"/>
      <c r="K43" s="25"/>
    </row>
    <row r="44" spans="1:11" x14ac:dyDescent="0.2">
      <c r="A44" s="25" t="s">
        <v>229</v>
      </c>
      <c r="B44" s="25"/>
      <c r="C44" s="21"/>
      <c r="D44" s="21"/>
      <c r="E44" s="21"/>
      <c r="F44" s="25"/>
      <c r="G44" s="25"/>
      <c r="H44" s="25"/>
      <c r="I44" s="25"/>
      <c r="J44" s="25"/>
      <c r="K44" s="25"/>
    </row>
    <row r="45" spans="1:11" x14ac:dyDescent="0.2">
      <c r="A45" s="25"/>
      <c r="B45" s="132" t="s">
        <v>1</v>
      </c>
      <c r="C45" s="132">
        <v>0</v>
      </c>
      <c r="D45" s="132" t="s">
        <v>83</v>
      </c>
      <c r="E45" s="133">
        <v>0</v>
      </c>
      <c r="F45" s="30">
        <f t="shared" ref="F45:F50" si="6">C45*E45</f>
        <v>0</v>
      </c>
      <c r="G45" s="30">
        <f t="shared" si="3"/>
        <v>0</v>
      </c>
      <c r="H45" s="25"/>
      <c r="I45" s="25"/>
      <c r="J45" s="25"/>
      <c r="K45" s="25"/>
    </row>
    <row r="46" spans="1:11" x14ac:dyDescent="0.2">
      <c r="A46" s="25"/>
      <c r="B46" s="132" t="s">
        <v>230</v>
      </c>
      <c r="C46" s="132">
        <v>0</v>
      </c>
      <c r="D46" s="132" t="s">
        <v>83</v>
      </c>
      <c r="E46" s="133">
        <v>0</v>
      </c>
      <c r="F46" s="30">
        <f t="shared" si="6"/>
        <v>0</v>
      </c>
      <c r="G46" s="30">
        <f t="shared" si="3"/>
        <v>0</v>
      </c>
      <c r="H46" s="25"/>
      <c r="I46" s="25"/>
      <c r="J46" s="25"/>
      <c r="K46" s="25"/>
    </row>
    <row r="47" spans="1:11" x14ac:dyDescent="0.2">
      <c r="A47" s="25"/>
      <c r="B47" s="132" t="s">
        <v>231</v>
      </c>
      <c r="C47" s="132">
        <v>0</v>
      </c>
      <c r="D47" s="132" t="s">
        <v>83</v>
      </c>
      <c r="E47" s="133">
        <v>0</v>
      </c>
      <c r="F47" s="30">
        <f t="shared" si="6"/>
        <v>0</v>
      </c>
      <c r="G47" s="30">
        <f t="shared" si="3"/>
        <v>0</v>
      </c>
      <c r="H47" s="25"/>
      <c r="I47" s="25"/>
      <c r="J47" s="25"/>
      <c r="K47" s="25"/>
    </row>
    <row r="48" spans="1:11" x14ac:dyDescent="0.2">
      <c r="A48" s="25"/>
      <c r="B48" s="132" t="s">
        <v>232</v>
      </c>
      <c r="C48" s="132">
        <v>0</v>
      </c>
      <c r="D48" s="132" t="s">
        <v>233</v>
      </c>
      <c r="E48" s="133">
        <v>0</v>
      </c>
      <c r="F48" s="30">
        <f t="shared" si="6"/>
        <v>0</v>
      </c>
      <c r="G48" s="30">
        <f t="shared" si="3"/>
        <v>0</v>
      </c>
      <c r="H48" s="25"/>
      <c r="I48" s="25"/>
      <c r="J48" s="25"/>
      <c r="K48" s="25"/>
    </row>
    <row r="49" spans="1:11" x14ac:dyDescent="0.2">
      <c r="A49" s="25"/>
      <c r="B49" s="132" t="s">
        <v>234</v>
      </c>
      <c r="C49" s="132">
        <v>0</v>
      </c>
      <c r="D49" s="132" t="s">
        <v>235</v>
      </c>
      <c r="E49" s="133">
        <v>0</v>
      </c>
      <c r="F49" s="30">
        <f t="shared" si="6"/>
        <v>0</v>
      </c>
      <c r="G49" s="30">
        <f t="shared" si="3"/>
        <v>0</v>
      </c>
      <c r="H49" s="25"/>
      <c r="I49" s="25"/>
      <c r="J49" s="25"/>
      <c r="K49" s="25"/>
    </row>
    <row r="50" spans="1:11" x14ac:dyDescent="0.2">
      <c r="A50" s="25"/>
      <c r="B50" s="132" t="s">
        <v>236</v>
      </c>
      <c r="C50" s="132">
        <v>0</v>
      </c>
      <c r="D50" s="132" t="s">
        <v>83</v>
      </c>
      <c r="E50" s="133">
        <v>0</v>
      </c>
      <c r="F50" s="30">
        <f t="shared" si="6"/>
        <v>0</v>
      </c>
      <c r="G50" s="30">
        <f t="shared" si="3"/>
        <v>0</v>
      </c>
      <c r="H50" s="25"/>
      <c r="I50" s="25"/>
      <c r="J50" s="25"/>
      <c r="K50" s="25"/>
    </row>
    <row r="51" spans="1:11" x14ac:dyDescent="0.2">
      <c r="A51" s="25" t="s">
        <v>237</v>
      </c>
      <c r="B51" s="25"/>
      <c r="C51" s="21"/>
      <c r="D51" s="21"/>
      <c r="E51" s="21"/>
      <c r="F51" s="25"/>
      <c r="G51" s="25"/>
      <c r="H51" s="25"/>
      <c r="I51" s="25"/>
      <c r="J51" s="25"/>
      <c r="K51" s="25"/>
    </row>
    <row r="52" spans="1:11" x14ac:dyDescent="0.2">
      <c r="A52" s="25"/>
      <c r="B52" s="132" t="s">
        <v>238</v>
      </c>
      <c r="C52" s="132">
        <v>0</v>
      </c>
      <c r="D52" s="132" t="s">
        <v>83</v>
      </c>
      <c r="E52" s="133">
        <v>0</v>
      </c>
      <c r="F52" s="30">
        <f t="shared" ref="F52:F59" si="7">C52*E52</f>
        <v>0</v>
      </c>
      <c r="G52" s="30">
        <f t="shared" si="3"/>
        <v>0</v>
      </c>
      <c r="H52" s="25"/>
      <c r="I52" s="25"/>
      <c r="J52" s="25"/>
      <c r="K52" s="25"/>
    </row>
    <row r="53" spans="1:11" x14ac:dyDescent="0.2">
      <c r="A53" s="25"/>
      <c r="B53" s="132" t="s">
        <v>239</v>
      </c>
      <c r="C53" s="132">
        <v>0</v>
      </c>
      <c r="D53" s="132" t="s">
        <v>83</v>
      </c>
      <c r="E53" s="133">
        <v>0</v>
      </c>
      <c r="F53" s="30">
        <f t="shared" si="7"/>
        <v>0</v>
      </c>
      <c r="G53" s="30">
        <f t="shared" si="3"/>
        <v>0</v>
      </c>
      <c r="H53" s="25"/>
      <c r="I53" s="25"/>
      <c r="J53" s="25"/>
      <c r="K53" s="25"/>
    </row>
    <row r="54" spans="1:11" x14ac:dyDescent="0.2">
      <c r="A54" s="25"/>
      <c r="B54" s="132" t="s">
        <v>240</v>
      </c>
      <c r="C54" s="132">
        <v>0</v>
      </c>
      <c r="D54" s="132" t="s">
        <v>83</v>
      </c>
      <c r="E54" s="133">
        <v>0</v>
      </c>
      <c r="F54" s="30">
        <f t="shared" si="7"/>
        <v>0</v>
      </c>
      <c r="G54" s="30">
        <f t="shared" si="3"/>
        <v>0</v>
      </c>
      <c r="H54" s="25"/>
      <c r="I54" s="25"/>
      <c r="J54" s="25"/>
      <c r="K54" s="25"/>
    </row>
    <row r="55" spans="1:11" x14ac:dyDescent="0.2">
      <c r="A55" s="25"/>
      <c r="B55" s="132" t="s">
        <v>241</v>
      </c>
      <c r="C55" s="132">
        <v>0</v>
      </c>
      <c r="D55" s="132" t="s">
        <v>83</v>
      </c>
      <c r="E55" s="133">
        <v>0</v>
      </c>
      <c r="F55" s="30">
        <f t="shared" si="7"/>
        <v>0</v>
      </c>
      <c r="G55" s="30">
        <f t="shared" si="3"/>
        <v>0</v>
      </c>
      <c r="H55" s="25"/>
      <c r="I55" s="25"/>
      <c r="J55" s="25"/>
      <c r="K55" s="25"/>
    </row>
    <row r="56" spans="1:11" x14ac:dyDescent="0.2">
      <c r="A56" s="25"/>
      <c r="B56" s="132" t="s">
        <v>242</v>
      </c>
      <c r="C56" s="132">
        <v>0</v>
      </c>
      <c r="D56" s="132" t="s">
        <v>83</v>
      </c>
      <c r="E56" s="133">
        <v>0</v>
      </c>
      <c r="F56" s="30">
        <f t="shared" si="7"/>
        <v>0</v>
      </c>
      <c r="G56" s="30">
        <f t="shared" si="3"/>
        <v>0</v>
      </c>
      <c r="H56" s="25"/>
      <c r="I56" s="25"/>
      <c r="J56" s="25"/>
      <c r="K56" s="25"/>
    </row>
    <row r="57" spans="1:11" x14ac:dyDescent="0.2">
      <c r="A57" s="25"/>
      <c r="B57" s="132" t="s">
        <v>243</v>
      </c>
      <c r="C57" s="132">
        <v>0</v>
      </c>
      <c r="D57" s="132" t="s">
        <v>135</v>
      </c>
      <c r="E57" s="133">
        <v>0</v>
      </c>
      <c r="F57" s="30">
        <f t="shared" si="7"/>
        <v>0</v>
      </c>
      <c r="G57" s="30">
        <f t="shared" si="3"/>
        <v>0</v>
      </c>
      <c r="H57" s="25"/>
      <c r="I57" s="25"/>
      <c r="J57" s="25"/>
      <c r="K57" s="25"/>
    </row>
    <row r="58" spans="1:11" x14ac:dyDescent="0.2">
      <c r="A58" s="25"/>
      <c r="B58" s="132" t="s">
        <v>244</v>
      </c>
      <c r="C58" s="132">
        <v>0</v>
      </c>
      <c r="D58" s="132" t="s">
        <v>83</v>
      </c>
      <c r="E58" s="133">
        <v>0</v>
      </c>
      <c r="F58" s="30">
        <f t="shared" si="7"/>
        <v>0</v>
      </c>
      <c r="G58" s="30">
        <f t="shared" si="3"/>
        <v>0</v>
      </c>
      <c r="H58" s="25"/>
      <c r="I58" s="25"/>
      <c r="J58" s="25"/>
      <c r="K58" s="25"/>
    </row>
    <row r="59" spans="1:11" x14ac:dyDescent="0.2">
      <c r="A59" s="25"/>
      <c r="B59" s="132" t="s">
        <v>245</v>
      </c>
      <c r="C59" s="132">
        <v>0</v>
      </c>
      <c r="D59" s="132" t="s">
        <v>83</v>
      </c>
      <c r="E59" s="133">
        <v>0</v>
      </c>
      <c r="F59" s="30">
        <f t="shared" si="7"/>
        <v>0</v>
      </c>
      <c r="G59" s="30">
        <f t="shared" si="3"/>
        <v>0</v>
      </c>
      <c r="H59" s="25"/>
      <c r="I59" s="25"/>
      <c r="J59" s="25"/>
      <c r="K59" s="25"/>
    </row>
    <row r="60" spans="1:11" x14ac:dyDescent="0.2">
      <c r="A60" s="25" t="s">
        <v>246</v>
      </c>
      <c r="B60" s="25"/>
      <c r="C60" s="21"/>
      <c r="D60" s="21"/>
      <c r="E60" s="21"/>
      <c r="F60" s="25"/>
      <c r="G60" s="25"/>
      <c r="H60" s="25"/>
      <c r="I60" s="25"/>
      <c r="J60" s="25"/>
      <c r="K60" s="25"/>
    </row>
    <row r="61" spans="1:11" x14ac:dyDescent="0.2">
      <c r="A61" s="25"/>
      <c r="B61" s="132" t="s">
        <v>247</v>
      </c>
      <c r="C61" s="132">
        <v>0</v>
      </c>
      <c r="D61" s="132" t="s">
        <v>248</v>
      </c>
      <c r="E61" s="133">
        <v>0</v>
      </c>
      <c r="F61" s="30">
        <f t="shared" ref="F61:F66" si="8">C61*E61</f>
        <v>0</v>
      </c>
      <c r="G61" s="30">
        <f t="shared" si="3"/>
        <v>0</v>
      </c>
      <c r="H61" s="25"/>
      <c r="I61" s="25"/>
      <c r="J61" s="25"/>
      <c r="K61" s="25"/>
    </row>
    <row r="62" spans="1:11" x14ac:dyDescent="0.2">
      <c r="A62" s="25"/>
      <c r="B62" s="132" t="s">
        <v>249</v>
      </c>
      <c r="C62" s="132">
        <v>0</v>
      </c>
      <c r="D62" s="132" t="s">
        <v>248</v>
      </c>
      <c r="E62" s="133">
        <v>0</v>
      </c>
      <c r="F62" s="30">
        <f t="shared" si="8"/>
        <v>0</v>
      </c>
      <c r="G62" s="30">
        <f t="shared" si="3"/>
        <v>0</v>
      </c>
      <c r="H62" s="25"/>
      <c r="I62" s="25"/>
      <c r="J62" s="25"/>
      <c r="K62" s="25"/>
    </row>
    <row r="63" spans="1:11" x14ac:dyDescent="0.2">
      <c r="A63" s="25"/>
      <c r="B63" s="132" t="s">
        <v>250</v>
      </c>
      <c r="C63" s="132">
        <v>0</v>
      </c>
      <c r="D63" s="132" t="s">
        <v>248</v>
      </c>
      <c r="E63" s="133">
        <v>0</v>
      </c>
      <c r="F63" s="30">
        <f t="shared" si="8"/>
        <v>0</v>
      </c>
      <c r="G63" s="30">
        <f t="shared" si="3"/>
        <v>0</v>
      </c>
      <c r="H63" s="25"/>
      <c r="I63" s="25"/>
      <c r="J63" s="25"/>
      <c r="K63" s="25"/>
    </row>
    <row r="64" spans="1:11" x14ac:dyDescent="0.2">
      <c r="A64" s="25"/>
      <c r="B64" s="132" t="s">
        <v>251</v>
      </c>
      <c r="C64" s="132">
        <v>0</v>
      </c>
      <c r="D64" s="132" t="s">
        <v>248</v>
      </c>
      <c r="E64" s="133">
        <v>0</v>
      </c>
      <c r="F64" s="30">
        <f t="shared" si="8"/>
        <v>0</v>
      </c>
      <c r="G64" s="30">
        <f t="shared" si="3"/>
        <v>0</v>
      </c>
      <c r="H64" s="25"/>
      <c r="I64" s="25"/>
      <c r="J64" s="25"/>
      <c r="K64" s="25"/>
    </row>
    <row r="65" spans="1:11" x14ac:dyDescent="0.2">
      <c r="A65" s="25"/>
      <c r="B65" s="132" t="s">
        <v>252</v>
      </c>
      <c r="C65" s="132">
        <v>0</v>
      </c>
      <c r="D65" s="132" t="s">
        <v>248</v>
      </c>
      <c r="E65" s="133">
        <v>0</v>
      </c>
      <c r="F65" s="30">
        <f t="shared" si="8"/>
        <v>0</v>
      </c>
      <c r="G65" s="30">
        <f t="shared" si="3"/>
        <v>0</v>
      </c>
      <c r="H65" s="25"/>
      <c r="I65" s="25"/>
      <c r="J65" s="25"/>
      <c r="K65" s="25"/>
    </row>
    <row r="66" spans="1:11" x14ac:dyDescent="0.2">
      <c r="A66" s="25"/>
      <c r="B66" s="132" t="s">
        <v>253</v>
      </c>
      <c r="C66" s="132">
        <v>0</v>
      </c>
      <c r="D66" s="132" t="s">
        <v>248</v>
      </c>
      <c r="E66" s="133">
        <v>0</v>
      </c>
      <c r="F66" s="30">
        <f t="shared" si="8"/>
        <v>0</v>
      </c>
      <c r="G66" s="30">
        <f t="shared" si="3"/>
        <v>0</v>
      </c>
      <c r="H66" s="25"/>
      <c r="I66" s="25"/>
      <c r="J66" s="25"/>
      <c r="K66" s="25"/>
    </row>
    <row r="67" spans="1:11" x14ac:dyDescent="0.2">
      <c r="A67" s="25" t="s">
        <v>59</v>
      </c>
      <c r="B67" s="25"/>
      <c r="C67" s="21"/>
      <c r="D67" s="21"/>
      <c r="E67" s="21"/>
      <c r="F67" s="25"/>
      <c r="G67" s="25"/>
      <c r="H67" s="25"/>
      <c r="I67" s="25"/>
      <c r="J67" s="25"/>
      <c r="K67" s="25"/>
    </row>
    <row r="68" spans="1:11" x14ac:dyDescent="0.2">
      <c r="A68" s="25"/>
      <c r="B68" s="132" t="s">
        <v>254</v>
      </c>
      <c r="C68" s="132">
        <v>0</v>
      </c>
      <c r="D68" s="132" t="s">
        <v>248</v>
      </c>
      <c r="E68" s="133">
        <v>0</v>
      </c>
      <c r="F68" s="30">
        <f t="shared" ref="F68:F73" si="9">C68*E68</f>
        <v>0</v>
      </c>
      <c r="G68" s="30">
        <f t="shared" si="3"/>
        <v>0</v>
      </c>
      <c r="H68" s="25"/>
      <c r="I68" s="25"/>
      <c r="J68" s="25"/>
      <c r="K68" s="25"/>
    </row>
    <row r="69" spans="1:11" x14ac:dyDescent="0.2">
      <c r="A69" s="25"/>
      <c r="B69" s="132" t="s">
        <v>255</v>
      </c>
      <c r="C69" s="132">
        <v>0</v>
      </c>
      <c r="D69" s="132" t="s">
        <v>248</v>
      </c>
      <c r="E69" s="133">
        <v>0</v>
      </c>
      <c r="F69" s="30">
        <f t="shared" si="9"/>
        <v>0</v>
      </c>
      <c r="G69" s="30">
        <f t="shared" si="3"/>
        <v>0</v>
      </c>
      <c r="H69" s="25"/>
      <c r="I69" s="25"/>
      <c r="J69" s="25"/>
      <c r="K69" s="25"/>
    </row>
    <row r="70" spans="1:11" x14ac:dyDescent="0.2">
      <c r="A70" s="25"/>
      <c r="B70" s="132" t="s">
        <v>256</v>
      </c>
      <c r="C70" s="132">
        <v>0</v>
      </c>
      <c r="D70" s="132" t="s">
        <v>248</v>
      </c>
      <c r="E70" s="133">
        <v>0</v>
      </c>
      <c r="F70" s="30">
        <f t="shared" si="9"/>
        <v>0</v>
      </c>
      <c r="G70" s="30">
        <f t="shared" si="3"/>
        <v>0</v>
      </c>
      <c r="H70" s="25"/>
      <c r="I70" s="25"/>
      <c r="J70" s="25"/>
      <c r="K70" s="25"/>
    </row>
    <row r="71" spans="1:11" x14ac:dyDescent="0.2">
      <c r="A71" s="25"/>
      <c r="B71" s="132" t="s">
        <v>257</v>
      </c>
      <c r="C71" s="132">
        <v>0</v>
      </c>
      <c r="D71" s="132" t="s">
        <v>248</v>
      </c>
      <c r="E71" s="133">
        <v>0</v>
      </c>
      <c r="F71" s="30">
        <f t="shared" si="9"/>
        <v>0</v>
      </c>
      <c r="G71" s="30">
        <f t="shared" si="3"/>
        <v>0</v>
      </c>
      <c r="H71" s="25"/>
      <c r="I71" s="25"/>
      <c r="J71" s="25"/>
      <c r="K71" s="25"/>
    </row>
    <row r="72" spans="1:11" x14ac:dyDescent="0.2">
      <c r="A72" s="25"/>
      <c r="B72" s="132" t="s">
        <v>258</v>
      </c>
      <c r="C72" s="132">
        <v>0</v>
      </c>
      <c r="D72" s="132" t="s">
        <v>248</v>
      </c>
      <c r="E72" s="133">
        <v>0</v>
      </c>
      <c r="F72" s="30">
        <f t="shared" si="9"/>
        <v>0</v>
      </c>
      <c r="G72" s="30">
        <f t="shared" si="3"/>
        <v>0</v>
      </c>
      <c r="H72" s="25"/>
      <c r="I72" s="25"/>
      <c r="J72" s="25"/>
      <c r="K72" s="25"/>
    </row>
    <row r="73" spans="1:11" x14ac:dyDescent="0.2">
      <c r="A73" s="25"/>
      <c r="B73" s="132" t="s">
        <v>259</v>
      </c>
      <c r="C73" s="132">
        <v>0</v>
      </c>
      <c r="D73" s="132" t="s">
        <v>248</v>
      </c>
      <c r="E73" s="133">
        <v>0</v>
      </c>
      <c r="F73" s="30">
        <f t="shared" si="9"/>
        <v>0</v>
      </c>
      <c r="G73" s="30">
        <f t="shared" si="3"/>
        <v>0</v>
      </c>
      <c r="H73" s="25"/>
      <c r="I73" s="25"/>
      <c r="J73" s="25"/>
      <c r="K73" s="25"/>
    </row>
    <row r="74" spans="1:11" x14ac:dyDescent="0.2">
      <c r="A74" s="25" t="s">
        <v>58</v>
      </c>
      <c r="B74" s="25"/>
      <c r="C74" s="21"/>
      <c r="D74" s="21"/>
      <c r="E74" s="21"/>
      <c r="F74" s="25"/>
      <c r="G74" s="25"/>
      <c r="H74" s="25"/>
      <c r="I74" s="25"/>
      <c r="J74" s="25"/>
      <c r="K74" s="25"/>
    </row>
    <row r="75" spans="1:11" x14ac:dyDescent="0.2">
      <c r="A75" s="25"/>
      <c r="B75" s="132" t="s">
        <v>260</v>
      </c>
      <c r="C75" s="132">
        <v>0</v>
      </c>
      <c r="D75" s="132" t="s">
        <v>248</v>
      </c>
      <c r="E75" s="133">
        <v>0</v>
      </c>
      <c r="F75" s="30">
        <f t="shared" ref="F75:F80" si="10">C75*E75</f>
        <v>0</v>
      </c>
      <c r="G75" s="30">
        <f t="shared" si="3"/>
        <v>0</v>
      </c>
      <c r="H75" s="25"/>
      <c r="I75" s="25"/>
      <c r="J75" s="25"/>
      <c r="K75" s="25"/>
    </row>
    <row r="76" spans="1:11" x14ac:dyDescent="0.2">
      <c r="A76" s="25"/>
      <c r="B76" s="132" t="s">
        <v>261</v>
      </c>
      <c r="C76" s="132">
        <v>0</v>
      </c>
      <c r="D76" s="132" t="s">
        <v>248</v>
      </c>
      <c r="E76" s="133">
        <v>0</v>
      </c>
      <c r="F76" s="30">
        <f t="shared" si="10"/>
        <v>0</v>
      </c>
      <c r="G76" s="30">
        <f t="shared" si="3"/>
        <v>0</v>
      </c>
      <c r="H76" s="25"/>
      <c r="I76" s="25"/>
      <c r="J76" s="25"/>
      <c r="K76" s="25"/>
    </row>
    <row r="77" spans="1:11" x14ac:dyDescent="0.2">
      <c r="A77" s="25"/>
      <c r="B77" s="132" t="s">
        <v>262</v>
      </c>
      <c r="C77" s="132">
        <v>0</v>
      </c>
      <c r="D77" s="132" t="s">
        <v>248</v>
      </c>
      <c r="E77" s="133">
        <v>0</v>
      </c>
      <c r="F77" s="30">
        <f t="shared" si="10"/>
        <v>0</v>
      </c>
      <c r="G77" s="30">
        <f t="shared" si="3"/>
        <v>0</v>
      </c>
      <c r="H77" s="25"/>
      <c r="I77" s="25"/>
      <c r="J77" s="25"/>
      <c r="K77" s="25"/>
    </row>
    <row r="78" spans="1:11" x14ac:dyDescent="0.2">
      <c r="A78" s="25"/>
      <c r="B78" s="132" t="s">
        <v>263</v>
      </c>
      <c r="C78" s="132">
        <v>0</v>
      </c>
      <c r="D78" s="132" t="s">
        <v>248</v>
      </c>
      <c r="E78" s="133">
        <v>0</v>
      </c>
      <c r="F78" s="30">
        <f t="shared" si="10"/>
        <v>0</v>
      </c>
      <c r="G78" s="30">
        <f t="shared" si="3"/>
        <v>0</v>
      </c>
      <c r="H78" s="25"/>
      <c r="I78" s="25"/>
      <c r="J78" s="25"/>
      <c r="K78" s="25"/>
    </row>
    <row r="79" spans="1:11" x14ac:dyDescent="0.2">
      <c r="A79" s="25"/>
      <c r="B79" s="132" t="s">
        <v>264</v>
      </c>
      <c r="C79" s="132">
        <v>0</v>
      </c>
      <c r="D79" s="132" t="s">
        <v>248</v>
      </c>
      <c r="E79" s="133">
        <v>0</v>
      </c>
      <c r="F79" s="30">
        <f t="shared" si="10"/>
        <v>0</v>
      </c>
      <c r="G79" s="30">
        <f t="shared" si="3"/>
        <v>0</v>
      </c>
      <c r="H79" s="25"/>
      <c r="I79" s="25"/>
      <c r="J79" s="25"/>
      <c r="K79" s="25"/>
    </row>
    <row r="80" spans="1:11" x14ac:dyDescent="0.2">
      <c r="A80" s="25"/>
      <c r="B80" s="132" t="s">
        <v>265</v>
      </c>
      <c r="C80" s="132">
        <v>0</v>
      </c>
      <c r="D80" s="132" t="s">
        <v>248</v>
      </c>
      <c r="E80" s="133">
        <v>0</v>
      </c>
      <c r="F80" s="30">
        <f t="shared" si="10"/>
        <v>0</v>
      </c>
      <c r="G80" s="30">
        <f t="shared" si="3"/>
        <v>0</v>
      </c>
      <c r="H80" s="25"/>
      <c r="I80" s="25"/>
      <c r="J80" s="25"/>
      <c r="K80" s="25"/>
    </row>
    <row r="81" spans="1:11" x14ac:dyDescent="0.2">
      <c r="A81" s="25" t="s">
        <v>60</v>
      </c>
      <c r="B81" s="25"/>
      <c r="C81" s="21"/>
      <c r="D81" s="21"/>
      <c r="E81" s="21"/>
      <c r="F81" s="25"/>
      <c r="G81" s="25"/>
      <c r="H81" s="25"/>
      <c r="I81" s="25"/>
      <c r="J81" s="25"/>
      <c r="K81" s="25"/>
    </row>
    <row r="82" spans="1:11" x14ac:dyDescent="0.2">
      <c r="A82" s="25"/>
      <c r="B82" s="132" t="s">
        <v>266</v>
      </c>
      <c r="C82" s="132">
        <v>0</v>
      </c>
      <c r="D82" s="132" t="s">
        <v>248</v>
      </c>
      <c r="E82" s="133">
        <v>0</v>
      </c>
      <c r="F82" s="30">
        <f t="shared" ref="F82:F87" si="11">C82*E82</f>
        <v>0</v>
      </c>
      <c r="G82" s="30">
        <f t="shared" si="3"/>
        <v>0</v>
      </c>
      <c r="H82" s="25"/>
      <c r="I82" s="25"/>
      <c r="J82" s="25"/>
      <c r="K82" s="25"/>
    </row>
    <row r="83" spans="1:11" x14ac:dyDescent="0.2">
      <c r="A83" s="25"/>
      <c r="B83" s="132" t="s">
        <v>267</v>
      </c>
      <c r="C83" s="132">
        <v>0</v>
      </c>
      <c r="D83" s="132" t="s">
        <v>248</v>
      </c>
      <c r="E83" s="133">
        <v>0</v>
      </c>
      <c r="F83" s="30">
        <f t="shared" si="11"/>
        <v>0</v>
      </c>
      <c r="G83" s="30">
        <f t="shared" si="3"/>
        <v>0</v>
      </c>
      <c r="H83" s="25"/>
      <c r="I83" s="25"/>
      <c r="J83" s="25"/>
      <c r="K83" s="25"/>
    </row>
    <row r="84" spans="1:11" x14ac:dyDescent="0.2">
      <c r="A84" s="25"/>
      <c r="B84" s="132" t="s">
        <v>268</v>
      </c>
      <c r="C84" s="132">
        <v>0</v>
      </c>
      <c r="D84" s="132" t="s">
        <v>248</v>
      </c>
      <c r="E84" s="133">
        <v>0</v>
      </c>
      <c r="F84" s="30">
        <f t="shared" si="11"/>
        <v>0</v>
      </c>
      <c r="G84" s="30">
        <f t="shared" si="3"/>
        <v>0</v>
      </c>
      <c r="H84" s="25"/>
      <c r="I84" s="25"/>
      <c r="J84" s="25"/>
      <c r="K84" s="25"/>
    </row>
    <row r="85" spans="1:11" x14ac:dyDescent="0.2">
      <c r="A85" s="25"/>
      <c r="B85" s="132" t="s">
        <v>269</v>
      </c>
      <c r="C85" s="132">
        <v>0</v>
      </c>
      <c r="D85" s="132" t="s">
        <v>248</v>
      </c>
      <c r="E85" s="133">
        <v>0</v>
      </c>
      <c r="F85" s="30">
        <f t="shared" si="11"/>
        <v>0</v>
      </c>
      <c r="G85" s="30">
        <f t="shared" si="3"/>
        <v>0</v>
      </c>
      <c r="H85" s="25"/>
      <c r="I85" s="25"/>
      <c r="J85" s="25"/>
      <c r="K85" s="25"/>
    </row>
    <row r="86" spans="1:11" x14ac:dyDescent="0.2">
      <c r="A86" s="25"/>
      <c r="B86" s="132" t="s">
        <v>270</v>
      </c>
      <c r="C86" s="132">
        <v>0</v>
      </c>
      <c r="D86" s="132" t="s">
        <v>248</v>
      </c>
      <c r="E86" s="133">
        <v>0</v>
      </c>
      <c r="F86" s="30">
        <f t="shared" si="11"/>
        <v>0</v>
      </c>
      <c r="G86" s="30">
        <f t="shared" si="3"/>
        <v>0</v>
      </c>
      <c r="H86" s="25"/>
      <c r="I86" s="25"/>
      <c r="J86" s="25"/>
      <c r="K86" s="25"/>
    </row>
    <row r="87" spans="1:11" x14ac:dyDescent="0.2">
      <c r="A87" s="25"/>
      <c r="B87" s="132" t="s">
        <v>271</v>
      </c>
      <c r="C87" s="132">
        <v>0</v>
      </c>
      <c r="D87" s="132" t="s">
        <v>248</v>
      </c>
      <c r="E87" s="133">
        <v>0</v>
      </c>
      <c r="F87" s="30">
        <f t="shared" si="11"/>
        <v>0</v>
      </c>
      <c r="G87" s="30">
        <f t="shared" si="3"/>
        <v>0</v>
      </c>
      <c r="H87" s="25"/>
      <c r="I87" s="25"/>
      <c r="J87" s="25"/>
      <c r="K87" s="25"/>
    </row>
    <row r="88" spans="1:11" x14ac:dyDescent="0.2">
      <c r="A88" s="25" t="s">
        <v>103</v>
      </c>
      <c r="B88" s="25"/>
      <c r="C88" s="21"/>
      <c r="D88" s="21"/>
      <c r="E88" s="21"/>
      <c r="F88" s="25"/>
      <c r="G88" s="25"/>
      <c r="H88" s="25"/>
      <c r="I88" s="25"/>
      <c r="J88" s="25"/>
      <c r="K88" s="25"/>
    </row>
    <row r="89" spans="1:11" x14ac:dyDescent="0.2">
      <c r="A89" s="25"/>
      <c r="B89" s="132" t="s">
        <v>272</v>
      </c>
      <c r="C89" s="132">
        <v>0</v>
      </c>
      <c r="D89" s="132" t="s">
        <v>248</v>
      </c>
      <c r="E89" s="133">
        <v>0</v>
      </c>
      <c r="F89" s="30">
        <f t="shared" ref="F89:F94" si="12">C89*E89</f>
        <v>0</v>
      </c>
      <c r="G89" s="30">
        <f t="shared" si="3"/>
        <v>0</v>
      </c>
      <c r="H89" s="25"/>
      <c r="I89" s="25"/>
      <c r="J89" s="25"/>
      <c r="K89" s="25"/>
    </row>
    <row r="90" spans="1:11" x14ac:dyDescent="0.2">
      <c r="A90" s="25"/>
      <c r="B90" s="132" t="s">
        <v>273</v>
      </c>
      <c r="C90" s="132">
        <v>0</v>
      </c>
      <c r="D90" s="132" t="s">
        <v>248</v>
      </c>
      <c r="E90" s="133">
        <v>0</v>
      </c>
      <c r="F90" s="30">
        <f t="shared" si="12"/>
        <v>0</v>
      </c>
      <c r="G90" s="30">
        <f>+F90*$D$5</f>
        <v>0</v>
      </c>
      <c r="H90" s="25"/>
      <c r="I90" s="25"/>
      <c r="J90" s="25"/>
      <c r="K90" s="25"/>
    </row>
    <row r="91" spans="1:11" x14ac:dyDescent="0.2">
      <c r="A91" s="25"/>
      <c r="B91" s="132" t="s">
        <v>274</v>
      </c>
      <c r="C91" s="132">
        <v>0</v>
      </c>
      <c r="D91" s="132" t="s">
        <v>248</v>
      </c>
      <c r="E91" s="133">
        <v>0</v>
      </c>
      <c r="F91" s="30">
        <f t="shared" si="12"/>
        <v>0</v>
      </c>
      <c r="G91" s="30">
        <f>+F91*$D$5</f>
        <v>0</v>
      </c>
      <c r="H91" s="25"/>
      <c r="I91" s="25"/>
      <c r="J91" s="25"/>
      <c r="K91" s="25"/>
    </row>
    <row r="92" spans="1:11" x14ac:dyDescent="0.2">
      <c r="A92" s="25"/>
      <c r="B92" s="132" t="s">
        <v>275</v>
      </c>
      <c r="C92" s="132">
        <v>0</v>
      </c>
      <c r="D92" s="132" t="s">
        <v>248</v>
      </c>
      <c r="E92" s="133">
        <v>0</v>
      </c>
      <c r="F92" s="30">
        <f t="shared" si="12"/>
        <v>0</v>
      </c>
      <c r="G92" s="30">
        <f>+F92*$D$5</f>
        <v>0</v>
      </c>
      <c r="H92" s="25"/>
      <c r="I92" s="25"/>
      <c r="J92" s="25"/>
      <c r="K92" s="25"/>
    </row>
    <row r="93" spans="1:11" x14ac:dyDescent="0.2">
      <c r="A93" s="25"/>
      <c r="B93" s="132" t="s">
        <v>276</v>
      </c>
      <c r="C93" s="132">
        <v>0</v>
      </c>
      <c r="D93" s="132" t="s">
        <v>248</v>
      </c>
      <c r="E93" s="133">
        <v>0</v>
      </c>
      <c r="F93" s="30">
        <f t="shared" si="12"/>
        <v>0</v>
      </c>
      <c r="G93" s="30">
        <f>+F93*$D$5</f>
        <v>0</v>
      </c>
      <c r="H93" s="25"/>
      <c r="I93" s="25"/>
      <c r="J93" s="25"/>
      <c r="K93" s="25"/>
    </row>
    <row r="94" spans="1:11" x14ac:dyDescent="0.2">
      <c r="A94" s="25"/>
      <c r="B94" s="132" t="s">
        <v>277</v>
      </c>
      <c r="C94" s="132">
        <v>0</v>
      </c>
      <c r="D94" s="132" t="s">
        <v>248</v>
      </c>
      <c r="E94" s="133">
        <v>0</v>
      </c>
      <c r="F94" s="30">
        <f t="shared" si="12"/>
        <v>0</v>
      </c>
      <c r="G94" s="30">
        <f>+F94*$D$5</f>
        <v>0</v>
      </c>
      <c r="H94" s="25"/>
      <c r="I94" s="25"/>
      <c r="J94" s="25"/>
      <c r="K94" s="25"/>
    </row>
    <row r="95" spans="1:11" x14ac:dyDescent="0.2">
      <c r="A95" s="25" t="s">
        <v>45</v>
      </c>
      <c r="B95" s="25"/>
      <c r="C95" s="21"/>
      <c r="D95" s="21"/>
      <c r="E95" s="21"/>
      <c r="F95" s="25"/>
      <c r="G95" s="25"/>
      <c r="H95" s="25"/>
      <c r="I95" s="25"/>
      <c r="J95" s="25"/>
      <c r="K95" s="25"/>
    </row>
    <row r="96" spans="1:11" x14ac:dyDescent="0.2">
      <c r="A96" s="25"/>
      <c r="B96" s="132" t="s">
        <v>278</v>
      </c>
      <c r="C96" s="132">
        <v>0</v>
      </c>
      <c r="D96" s="132" t="s">
        <v>42</v>
      </c>
      <c r="E96" s="133">
        <v>0</v>
      </c>
      <c r="F96" s="30">
        <f t="shared" ref="F96:F104" si="13">C96*E96</f>
        <v>0</v>
      </c>
      <c r="G96" s="30">
        <f t="shared" ref="G96:G114" si="14">+F96*$D$5</f>
        <v>0</v>
      </c>
      <c r="H96" s="25"/>
      <c r="I96" s="25"/>
      <c r="J96" s="25"/>
      <c r="K96" s="25"/>
    </row>
    <row r="97" spans="1:11" x14ac:dyDescent="0.2">
      <c r="A97" s="25"/>
      <c r="B97" s="132" t="s">
        <v>279</v>
      </c>
      <c r="C97" s="132">
        <v>0</v>
      </c>
      <c r="D97" s="132" t="s">
        <v>280</v>
      </c>
      <c r="E97" s="133">
        <v>0</v>
      </c>
      <c r="F97" s="30">
        <f t="shared" si="13"/>
        <v>0</v>
      </c>
      <c r="G97" s="30">
        <f t="shared" si="14"/>
        <v>0</v>
      </c>
      <c r="H97" s="25"/>
      <c r="I97" s="25"/>
      <c r="J97" s="25"/>
      <c r="K97" s="25"/>
    </row>
    <row r="98" spans="1:11" x14ac:dyDescent="0.2">
      <c r="A98" s="25"/>
      <c r="B98" s="132" t="s">
        <v>281</v>
      </c>
      <c r="C98" s="132">
        <v>0</v>
      </c>
      <c r="D98" s="132" t="s">
        <v>42</v>
      </c>
      <c r="E98" s="133">
        <v>0</v>
      </c>
      <c r="F98" s="30">
        <f t="shared" si="13"/>
        <v>0</v>
      </c>
      <c r="G98" s="30">
        <f t="shared" si="14"/>
        <v>0</v>
      </c>
      <c r="H98" s="25"/>
      <c r="I98" s="25"/>
      <c r="J98" s="25"/>
      <c r="K98" s="25"/>
    </row>
    <row r="99" spans="1:11" x14ac:dyDescent="0.2">
      <c r="A99" s="25"/>
      <c r="B99" s="132" t="s">
        <v>282</v>
      </c>
      <c r="C99" s="132">
        <v>0</v>
      </c>
      <c r="D99" s="132" t="s">
        <v>42</v>
      </c>
      <c r="E99" s="133">
        <v>0</v>
      </c>
      <c r="F99" s="30">
        <f t="shared" si="13"/>
        <v>0</v>
      </c>
      <c r="G99" s="30">
        <f t="shared" si="14"/>
        <v>0</v>
      </c>
      <c r="H99" s="25"/>
      <c r="I99" s="25"/>
      <c r="J99" s="25"/>
      <c r="K99" s="25"/>
    </row>
    <row r="100" spans="1:11" x14ac:dyDescent="0.2">
      <c r="A100" s="25"/>
      <c r="B100" s="132" t="s">
        <v>221</v>
      </c>
      <c r="C100" s="132">
        <v>0</v>
      </c>
      <c r="D100" s="132" t="s">
        <v>42</v>
      </c>
      <c r="E100" s="133">
        <v>0</v>
      </c>
      <c r="F100" s="30">
        <f t="shared" si="13"/>
        <v>0</v>
      </c>
      <c r="G100" s="30">
        <f t="shared" si="14"/>
        <v>0</v>
      </c>
      <c r="H100" s="25"/>
      <c r="I100" s="25"/>
      <c r="J100" s="25"/>
      <c r="K100" s="25"/>
    </row>
    <row r="101" spans="1:11" x14ac:dyDescent="0.2">
      <c r="A101" s="25"/>
      <c r="B101" s="132" t="s">
        <v>283</v>
      </c>
      <c r="C101" s="132">
        <v>0</v>
      </c>
      <c r="D101" s="132" t="s">
        <v>284</v>
      </c>
      <c r="E101" s="133">
        <v>0</v>
      </c>
      <c r="F101" s="30">
        <f t="shared" si="13"/>
        <v>0</v>
      </c>
      <c r="G101" s="30">
        <f t="shared" si="14"/>
        <v>0</v>
      </c>
      <c r="H101" s="25"/>
      <c r="I101" s="25"/>
      <c r="J101" s="25"/>
      <c r="K101" s="25"/>
    </row>
    <row r="102" spans="1:11" x14ac:dyDescent="0.2">
      <c r="A102" s="25"/>
      <c r="B102" s="132" t="s">
        <v>151</v>
      </c>
      <c r="C102" s="132">
        <v>0</v>
      </c>
      <c r="D102" s="132" t="s">
        <v>285</v>
      </c>
      <c r="E102" s="133">
        <v>0</v>
      </c>
      <c r="F102" s="30">
        <f t="shared" si="13"/>
        <v>0</v>
      </c>
      <c r="G102" s="30">
        <f t="shared" si="14"/>
        <v>0</v>
      </c>
      <c r="H102" s="25"/>
      <c r="I102" s="25"/>
      <c r="J102" s="25"/>
      <c r="K102" s="25"/>
    </row>
    <row r="103" spans="1:11" x14ac:dyDescent="0.2">
      <c r="A103" s="25"/>
      <c r="B103" s="132" t="s">
        <v>286</v>
      </c>
      <c r="C103" s="132">
        <v>0</v>
      </c>
      <c r="D103" s="132" t="s">
        <v>42</v>
      </c>
      <c r="E103" s="133">
        <v>0</v>
      </c>
      <c r="F103" s="30">
        <f t="shared" si="13"/>
        <v>0</v>
      </c>
      <c r="G103" s="30">
        <f t="shared" si="14"/>
        <v>0</v>
      </c>
      <c r="H103" s="25"/>
      <c r="I103" s="25"/>
      <c r="J103" s="25"/>
      <c r="K103" s="25"/>
    </row>
    <row r="104" spans="1:11" x14ac:dyDescent="0.2">
      <c r="A104" s="25"/>
      <c r="B104" s="132" t="s">
        <v>287</v>
      </c>
      <c r="C104" s="132">
        <v>0</v>
      </c>
      <c r="D104" s="132" t="s">
        <v>42</v>
      </c>
      <c r="E104" s="133">
        <v>0</v>
      </c>
      <c r="F104" s="30">
        <f t="shared" si="13"/>
        <v>0</v>
      </c>
      <c r="G104" s="30">
        <f t="shared" si="14"/>
        <v>0</v>
      </c>
      <c r="H104" s="25"/>
      <c r="I104" s="25"/>
      <c r="J104" s="25"/>
      <c r="K104" s="25"/>
    </row>
    <row r="105" spans="1:11" x14ac:dyDescent="0.2">
      <c r="A105" s="25" t="s">
        <v>288</v>
      </c>
      <c r="B105" s="25"/>
      <c r="C105" s="21"/>
      <c r="D105" s="21"/>
      <c r="E105" s="21"/>
      <c r="F105" s="25"/>
      <c r="G105" s="25"/>
      <c r="H105" s="25"/>
      <c r="I105" s="25"/>
      <c r="J105" s="25"/>
      <c r="K105" s="25"/>
    </row>
    <row r="106" spans="1:11" x14ac:dyDescent="0.2">
      <c r="A106" s="25"/>
      <c r="B106" s="132" t="s">
        <v>289</v>
      </c>
      <c r="C106" s="132">
        <v>0</v>
      </c>
      <c r="D106" s="132" t="s">
        <v>42</v>
      </c>
      <c r="E106" s="133">
        <v>0</v>
      </c>
      <c r="F106" s="30">
        <f t="shared" ref="F106:F114" si="15">C106*E106</f>
        <v>0</v>
      </c>
      <c r="G106" s="30">
        <f t="shared" si="14"/>
        <v>0</v>
      </c>
      <c r="H106" s="25"/>
      <c r="I106" s="25"/>
      <c r="J106" s="25"/>
      <c r="K106" s="25"/>
    </row>
    <row r="107" spans="1:11" x14ac:dyDescent="0.2">
      <c r="A107" s="25"/>
      <c r="B107" s="132" t="s">
        <v>290</v>
      </c>
      <c r="C107" s="132">
        <v>0</v>
      </c>
      <c r="D107" s="132" t="s">
        <v>291</v>
      </c>
      <c r="E107" s="133">
        <v>0</v>
      </c>
      <c r="F107" s="30">
        <f t="shared" si="15"/>
        <v>0</v>
      </c>
      <c r="G107" s="30">
        <f t="shared" si="14"/>
        <v>0</v>
      </c>
      <c r="H107" s="25"/>
      <c r="I107" s="25"/>
      <c r="J107" s="25"/>
      <c r="K107" s="25"/>
    </row>
    <row r="108" spans="1:11" x14ac:dyDescent="0.2">
      <c r="A108" s="25"/>
      <c r="B108" s="132" t="s">
        <v>292</v>
      </c>
      <c r="C108" s="132">
        <v>0</v>
      </c>
      <c r="D108" s="132" t="s">
        <v>291</v>
      </c>
      <c r="E108" s="133">
        <v>0</v>
      </c>
      <c r="F108" s="30">
        <f t="shared" si="15"/>
        <v>0</v>
      </c>
      <c r="G108" s="30">
        <f t="shared" si="14"/>
        <v>0</v>
      </c>
      <c r="H108" s="25"/>
      <c r="I108" s="25"/>
      <c r="J108" s="25"/>
      <c r="K108" s="25"/>
    </row>
    <row r="109" spans="1:11" x14ac:dyDescent="0.2">
      <c r="A109" s="25"/>
      <c r="B109" s="132" t="s">
        <v>293</v>
      </c>
      <c r="C109" s="132">
        <v>0</v>
      </c>
      <c r="D109" s="132" t="s">
        <v>291</v>
      </c>
      <c r="E109" s="133">
        <v>0</v>
      </c>
      <c r="F109" s="30">
        <f t="shared" si="15"/>
        <v>0</v>
      </c>
      <c r="G109" s="30">
        <f t="shared" si="14"/>
        <v>0</v>
      </c>
      <c r="H109" s="25"/>
      <c r="I109" s="25"/>
      <c r="J109" s="25"/>
      <c r="K109" s="25"/>
    </row>
    <row r="110" spans="1:11" x14ac:dyDescent="0.2">
      <c r="A110" s="25"/>
      <c r="B110" s="132" t="s">
        <v>294</v>
      </c>
      <c r="C110" s="132">
        <v>0</v>
      </c>
      <c r="D110" s="132" t="s">
        <v>291</v>
      </c>
      <c r="E110" s="133">
        <v>0</v>
      </c>
      <c r="F110" s="30">
        <f t="shared" si="15"/>
        <v>0</v>
      </c>
      <c r="G110" s="30">
        <f t="shared" si="14"/>
        <v>0</v>
      </c>
      <c r="H110" s="25"/>
      <c r="I110" s="25"/>
      <c r="J110" s="25"/>
      <c r="K110" s="25"/>
    </row>
    <row r="111" spans="1:11" x14ac:dyDescent="0.2">
      <c r="A111" s="25"/>
      <c r="B111" s="132" t="s">
        <v>295</v>
      </c>
      <c r="C111" s="132">
        <v>0</v>
      </c>
      <c r="D111" s="132" t="s">
        <v>291</v>
      </c>
      <c r="E111" s="133">
        <v>0</v>
      </c>
      <c r="F111" s="30">
        <f t="shared" si="15"/>
        <v>0</v>
      </c>
      <c r="G111" s="30">
        <f t="shared" si="14"/>
        <v>0</v>
      </c>
      <c r="H111" s="25"/>
      <c r="I111" s="25"/>
      <c r="J111" s="25"/>
      <c r="K111" s="25"/>
    </row>
    <row r="112" spans="1:11" x14ac:dyDescent="0.2">
      <c r="A112" s="25"/>
      <c r="B112" s="132" t="s">
        <v>296</v>
      </c>
      <c r="C112" s="132">
        <v>0</v>
      </c>
      <c r="D112" s="132" t="s">
        <v>291</v>
      </c>
      <c r="E112" s="133">
        <v>0</v>
      </c>
      <c r="F112" s="30">
        <f t="shared" si="15"/>
        <v>0</v>
      </c>
      <c r="G112" s="30">
        <f t="shared" si="14"/>
        <v>0</v>
      </c>
      <c r="H112" s="25"/>
      <c r="I112" s="25"/>
      <c r="J112" s="25"/>
      <c r="K112" s="25"/>
    </row>
    <row r="113" spans="1:11" x14ac:dyDescent="0.2">
      <c r="A113" s="25"/>
      <c r="B113" s="132" t="s">
        <v>297</v>
      </c>
      <c r="C113" s="132">
        <v>0</v>
      </c>
      <c r="D113" s="132" t="s">
        <v>291</v>
      </c>
      <c r="E113" s="133">
        <v>0</v>
      </c>
      <c r="F113" s="30">
        <f t="shared" si="15"/>
        <v>0</v>
      </c>
      <c r="G113" s="30">
        <f t="shared" si="14"/>
        <v>0</v>
      </c>
      <c r="H113" s="25"/>
      <c r="I113" s="25"/>
      <c r="J113" s="25"/>
      <c r="K113" s="25"/>
    </row>
    <row r="114" spans="1:11" x14ac:dyDescent="0.2">
      <c r="A114" s="25"/>
      <c r="B114" s="132" t="s">
        <v>298</v>
      </c>
      <c r="C114" s="132">
        <v>0</v>
      </c>
      <c r="D114" s="132" t="s">
        <v>291</v>
      </c>
      <c r="E114" s="133">
        <v>0</v>
      </c>
      <c r="F114" s="30">
        <f t="shared" si="15"/>
        <v>0</v>
      </c>
      <c r="G114" s="30">
        <f t="shared" si="14"/>
        <v>0</v>
      </c>
      <c r="H114" s="25"/>
      <c r="I114" s="25"/>
      <c r="J114" s="25"/>
      <c r="K114" s="25"/>
    </row>
    <row r="115" spans="1:11" x14ac:dyDescent="0.2">
      <c r="A115" s="30"/>
      <c r="B115" s="30"/>
      <c r="C115" s="30"/>
      <c r="D115" s="30"/>
      <c r="E115" s="30"/>
      <c r="F115" s="30"/>
      <c r="G115" s="30"/>
      <c r="H115" s="25"/>
      <c r="I115" s="25"/>
      <c r="J115" s="25"/>
      <c r="K115" s="25"/>
    </row>
    <row r="116" spans="1:11" x14ac:dyDescent="0.2">
      <c r="B116" s="17" t="s">
        <v>64</v>
      </c>
      <c r="C116" s="129"/>
      <c r="D116" s="129"/>
      <c r="E116" s="137">
        <v>0</v>
      </c>
      <c r="F116" s="30">
        <f>+SUM(F23:F115)/2*E116</f>
        <v>0</v>
      </c>
      <c r="G116" s="30">
        <f>+F116*$D$6</f>
        <v>0</v>
      </c>
    </row>
    <row r="117" spans="1:11" x14ac:dyDescent="0.2">
      <c r="C117" s="22"/>
      <c r="D117" s="22"/>
      <c r="E117" s="22"/>
      <c r="F117" s="30"/>
      <c r="G117" s="30"/>
    </row>
    <row r="118" spans="1:11" x14ac:dyDescent="0.2">
      <c r="A118" s="25" t="s">
        <v>33</v>
      </c>
      <c r="C118" s="22"/>
      <c r="D118" s="22"/>
      <c r="E118" s="22"/>
      <c r="F118" s="30">
        <f>+SUM(F23:F116)</f>
        <v>0</v>
      </c>
      <c r="G118" s="30">
        <f>+SUM(G23:G116)</f>
        <v>0</v>
      </c>
    </row>
    <row r="119" spans="1:11" x14ac:dyDescent="0.2">
      <c r="A119" s="25"/>
      <c r="C119" s="22"/>
      <c r="D119" s="22"/>
      <c r="E119" s="22"/>
    </row>
    <row r="120" spans="1:11" x14ac:dyDescent="0.2">
      <c r="A120" s="25" t="s">
        <v>63</v>
      </c>
      <c r="C120" s="22"/>
      <c r="D120" s="22"/>
      <c r="E120" s="22"/>
      <c r="F120" s="30">
        <f>+F18-F118</f>
        <v>0</v>
      </c>
      <c r="G120" s="30">
        <f>+G18-G118</f>
        <v>0</v>
      </c>
    </row>
    <row r="121" spans="1:11" x14ac:dyDescent="0.2">
      <c r="A121" s="25"/>
      <c r="C121" s="22"/>
      <c r="D121" s="22"/>
      <c r="E121" s="22"/>
      <c r="F121" s="30"/>
      <c r="G121" s="30"/>
    </row>
    <row r="122" spans="1:11" x14ac:dyDescent="0.2">
      <c r="A122" s="25"/>
      <c r="B122" s="17" t="s">
        <v>35</v>
      </c>
      <c r="C122" s="22"/>
      <c r="D122" s="22"/>
      <c r="E122" s="28">
        <f>+IF(C9=0,0,F118-SUM(F10:F16)/C9)</f>
        <v>0</v>
      </c>
      <c r="F122" s="22" t="str">
        <f>+D9</f>
        <v>Cwt,lb,etc</v>
      </c>
      <c r="G122" s="30"/>
    </row>
    <row r="123" spans="1:11" x14ac:dyDescent="0.2">
      <c r="A123" s="25"/>
      <c r="C123" s="22"/>
      <c r="D123" s="22"/>
      <c r="E123" s="22"/>
      <c r="F123" s="30"/>
      <c r="G123" s="30"/>
    </row>
    <row r="124" spans="1:11" x14ac:dyDescent="0.2">
      <c r="A124" s="25"/>
      <c r="C124" s="22"/>
      <c r="D124" s="22"/>
      <c r="E124" s="22"/>
      <c r="G124" s="22" t="s">
        <v>19</v>
      </c>
    </row>
    <row r="125" spans="1:11" x14ac:dyDescent="0.2">
      <c r="A125" s="23" t="s">
        <v>36</v>
      </c>
      <c r="B125" s="23"/>
      <c r="C125" s="24" t="s">
        <v>2</v>
      </c>
      <c r="D125" s="24" t="s">
        <v>21</v>
      </c>
      <c r="E125" s="24" t="s">
        <v>22</v>
      </c>
      <c r="F125" s="24" t="s">
        <v>11</v>
      </c>
      <c r="G125" s="24" t="s">
        <v>11</v>
      </c>
    </row>
    <row r="126" spans="1:11" x14ac:dyDescent="0.2">
      <c r="B126" s="17" t="s">
        <v>299</v>
      </c>
      <c r="C126" s="132">
        <v>1</v>
      </c>
      <c r="D126" s="132" t="s">
        <v>42</v>
      </c>
      <c r="E126" s="133">
        <v>0</v>
      </c>
      <c r="F126" s="30">
        <f>C126*E126</f>
        <v>0</v>
      </c>
      <c r="G126" s="30">
        <f t="shared" ref="G126:G137" si="16">+F126*$D$6</f>
        <v>0</v>
      </c>
    </row>
    <row r="127" spans="1:11" x14ac:dyDescent="0.2">
      <c r="B127" s="17" t="s">
        <v>91</v>
      </c>
      <c r="C127" s="132">
        <v>1</v>
      </c>
      <c r="D127" s="132" t="s">
        <v>42</v>
      </c>
      <c r="E127" s="133">
        <v>0</v>
      </c>
      <c r="F127" s="30">
        <f t="shared" ref="F127:F137" si="17">C127*E127</f>
        <v>0</v>
      </c>
      <c r="G127" s="30">
        <f t="shared" si="16"/>
        <v>0</v>
      </c>
    </row>
    <row r="128" spans="1:11" x14ac:dyDescent="0.2">
      <c r="B128" s="17" t="s">
        <v>89</v>
      </c>
      <c r="C128" s="132">
        <v>0</v>
      </c>
      <c r="D128" s="132" t="s">
        <v>322</v>
      </c>
      <c r="E128" s="133">
        <v>0</v>
      </c>
      <c r="F128" s="30">
        <f t="shared" si="17"/>
        <v>0</v>
      </c>
      <c r="G128" s="30">
        <f t="shared" si="16"/>
        <v>0</v>
      </c>
    </row>
    <row r="129" spans="1:7" x14ac:dyDescent="0.2">
      <c r="B129" s="17" t="s">
        <v>87</v>
      </c>
      <c r="C129" s="132">
        <v>1</v>
      </c>
      <c r="D129" s="132" t="s">
        <v>42</v>
      </c>
      <c r="E129" s="133">
        <v>0</v>
      </c>
      <c r="F129" s="30">
        <f t="shared" si="17"/>
        <v>0</v>
      </c>
      <c r="G129" s="30">
        <f t="shared" si="16"/>
        <v>0</v>
      </c>
    </row>
    <row r="130" spans="1:7" x14ac:dyDescent="0.2">
      <c r="B130" s="17" t="s">
        <v>201</v>
      </c>
      <c r="C130" s="132">
        <v>1</v>
      </c>
      <c r="D130" s="132" t="s">
        <v>42</v>
      </c>
      <c r="E130" s="133">
        <v>0</v>
      </c>
      <c r="F130" s="30">
        <f t="shared" si="17"/>
        <v>0</v>
      </c>
      <c r="G130" s="30">
        <f t="shared" si="16"/>
        <v>0</v>
      </c>
    </row>
    <row r="131" spans="1:7" x14ac:dyDescent="0.2">
      <c r="B131" s="17" t="s">
        <v>202</v>
      </c>
      <c r="C131" s="132">
        <v>0</v>
      </c>
      <c r="D131" s="132" t="s">
        <v>42</v>
      </c>
      <c r="E131" s="133">
        <v>0</v>
      </c>
      <c r="F131" s="30">
        <f t="shared" si="17"/>
        <v>0</v>
      </c>
      <c r="G131" s="30">
        <f t="shared" si="16"/>
        <v>0</v>
      </c>
    </row>
    <row r="132" spans="1:7" x14ac:dyDescent="0.2">
      <c r="B132" s="17" t="s">
        <v>156</v>
      </c>
      <c r="C132" s="132">
        <v>1</v>
      </c>
      <c r="D132" s="132" t="s">
        <v>300</v>
      </c>
      <c r="E132" s="133">
        <v>0</v>
      </c>
      <c r="F132" s="30">
        <f t="shared" si="17"/>
        <v>0</v>
      </c>
      <c r="G132" s="30">
        <f t="shared" si="16"/>
        <v>0</v>
      </c>
    </row>
    <row r="133" spans="1:7" x14ac:dyDescent="0.2">
      <c r="B133" s="136" t="s">
        <v>65</v>
      </c>
      <c r="C133" s="132">
        <v>0</v>
      </c>
      <c r="D133" s="132" t="s">
        <v>300</v>
      </c>
      <c r="E133" s="133">
        <v>0</v>
      </c>
      <c r="F133" s="30">
        <f t="shared" si="17"/>
        <v>0</v>
      </c>
      <c r="G133" s="30">
        <f t="shared" si="16"/>
        <v>0</v>
      </c>
    </row>
    <row r="134" spans="1:7" x14ac:dyDescent="0.2">
      <c r="B134" s="136" t="s">
        <v>65</v>
      </c>
      <c r="C134" s="132">
        <v>0</v>
      </c>
      <c r="D134" s="132" t="s">
        <v>300</v>
      </c>
      <c r="E134" s="133">
        <v>0</v>
      </c>
      <c r="F134" s="30">
        <f t="shared" si="17"/>
        <v>0</v>
      </c>
      <c r="G134" s="30">
        <f t="shared" si="16"/>
        <v>0</v>
      </c>
    </row>
    <row r="135" spans="1:7" x14ac:dyDescent="0.2">
      <c r="B135" s="136" t="s">
        <v>65</v>
      </c>
      <c r="C135" s="132">
        <v>0</v>
      </c>
      <c r="D135" s="132" t="s">
        <v>300</v>
      </c>
      <c r="E135" s="133">
        <v>0</v>
      </c>
      <c r="F135" s="30">
        <f t="shared" si="17"/>
        <v>0</v>
      </c>
      <c r="G135" s="30">
        <f t="shared" si="16"/>
        <v>0</v>
      </c>
    </row>
    <row r="136" spans="1:7" x14ac:dyDescent="0.2">
      <c r="B136" s="136" t="s">
        <v>65</v>
      </c>
      <c r="C136" s="132">
        <v>0</v>
      </c>
      <c r="D136" s="132" t="s">
        <v>300</v>
      </c>
      <c r="E136" s="133">
        <v>0</v>
      </c>
      <c r="F136" s="30">
        <f t="shared" si="17"/>
        <v>0</v>
      </c>
      <c r="G136" s="30">
        <f t="shared" si="16"/>
        <v>0</v>
      </c>
    </row>
    <row r="137" spans="1:7" x14ac:dyDescent="0.2">
      <c r="B137" s="136" t="s">
        <v>65</v>
      </c>
      <c r="C137" s="132">
        <v>0</v>
      </c>
      <c r="D137" s="132" t="s">
        <v>300</v>
      </c>
      <c r="E137" s="133">
        <v>0</v>
      </c>
      <c r="F137" s="30">
        <f t="shared" si="17"/>
        <v>0</v>
      </c>
      <c r="G137" s="30">
        <f t="shared" si="16"/>
        <v>0</v>
      </c>
    </row>
    <row r="138" spans="1:7" x14ac:dyDescent="0.2">
      <c r="C138" s="22"/>
    </row>
    <row r="139" spans="1:7" x14ac:dyDescent="0.2">
      <c r="A139" s="25"/>
      <c r="D139" s="17" t="s">
        <v>37</v>
      </c>
      <c r="F139" s="30">
        <f>+SUM(F126:F137)</f>
        <v>0</v>
      </c>
      <c r="G139" s="30">
        <f>+SUM(G126:G137)</f>
        <v>0</v>
      </c>
    </row>
    <row r="140" spans="1:7" x14ac:dyDescent="0.2">
      <c r="A140" s="25"/>
    </row>
    <row r="141" spans="1:7" x14ac:dyDescent="0.2">
      <c r="A141" s="25"/>
      <c r="D141" s="17" t="s">
        <v>52</v>
      </c>
      <c r="F141" s="30">
        <f>+F118+F139</f>
        <v>0</v>
      </c>
      <c r="G141" s="30">
        <f>+G118+G139</f>
        <v>0</v>
      </c>
    </row>
    <row r="142" spans="1:7" x14ac:dyDescent="0.2">
      <c r="A142" s="25"/>
    </row>
    <row r="143" spans="1:7" x14ac:dyDescent="0.2">
      <c r="A143" s="25"/>
      <c r="D143" s="17" t="s">
        <v>53</v>
      </c>
      <c r="F143" s="30">
        <f>+F18-F141</f>
        <v>0</v>
      </c>
      <c r="G143" s="30">
        <f>+G18-G141</f>
        <v>0</v>
      </c>
    </row>
    <row r="144" spans="1:7" x14ac:dyDescent="0.2">
      <c r="A144" s="25"/>
      <c r="F144" s="30"/>
      <c r="G144" s="30"/>
    </row>
    <row r="145" spans="1:9" x14ac:dyDescent="0.2">
      <c r="A145" s="25"/>
      <c r="B145" s="17" t="s">
        <v>203</v>
      </c>
      <c r="C145" s="22"/>
      <c r="D145" s="22"/>
      <c r="E145" s="28">
        <f>+IF(C9=0,0,F141-SUM(F10:F16)/C9)</f>
        <v>0</v>
      </c>
      <c r="F145" s="22" t="str">
        <f>+D9</f>
        <v>Cwt,lb,etc</v>
      </c>
      <c r="G145" s="30"/>
    </row>
    <row r="147" spans="1:9" ht="15.75" x14ac:dyDescent="0.25">
      <c r="B147" s="281" t="s">
        <v>301</v>
      </c>
      <c r="C147" s="263"/>
      <c r="D147" s="263"/>
      <c r="E147" s="263"/>
      <c r="F147" s="263"/>
      <c r="G147" s="263"/>
      <c r="H147" s="178"/>
      <c r="I147" s="178"/>
    </row>
    <row r="148" spans="1:9" x14ac:dyDescent="0.2">
      <c r="B148" s="178"/>
      <c r="C148" s="178"/>
      <c r="D148" s="178"/>
      <c r="E148" s="178" t="s">
        <v>323</v>
      </c>
      <c r="F148" s="178"/>
      <c r="G148" s="178" t="s">
        <v>323</v>
      </c>
    </row>
    <row r="149" spans="1:9" x14ac:dyDescent="0.2">
      <c r="B149" s="178" t="s">
        <v>81</v>
      </c>
      <c r="C149" s="178" t="s">
        <v>81</v>
      </c>
      <c r="D149" s="178"/>
      <c r="E149" s="178" t="s">
        <v>157</v>
      </c>
      <c r="F149" s="178"/>
      <c r="G149" s="178" t="s">
        <v>11</v>
      </c>
    </row>
    <row r="150" spans="1:9" x14ac:dyDescent="0.2">
      <c r="B150" s="178" t="s">
        <v>30</v>
      </c>
      <c r="C150" s="178" t="str">
        <f>+D9</f>
        <v>Cwt,lb,etc</v>
      </c>
      <c r="D150" s="178"/>
      <c r="E150" s="178" t="s">
        <v>99</v>
      </c>
      <c r="F150" s="178"/>
      <c r="G150" s="178" t="s">
        <v>99</v>
      </c>
    </row>
    <row r="151" spans="1:9" x14ac:dyDescent="0.2">
      <c r="B151" s="179">
        <v>0.75</v>
      </c>
      <c r="C151" s="180">
        <f>+$C$153*B151</f>
        <v>0</v>
      </c>
      <c r="D151" s="181"/>
      <c r="E151" s="181">
        <f>+IF(C151=0,0,($F$118-SUM($F$10:$F$16))/C151)</f>
        <v>0</v>
      </c>
      <c r="F151" s="181"/>
      <c r="G151" s="181">
        <f>+IF(C151=0,0,($F$141-SUM($F$10:$F$16))/C151)</f>
        <v>0</v>
      </c>
    </row>
    <row r="152" spans="1:9" x14ac:dyDescent="0.2">
      <c r="B152" s="182">
        <v>0.9</v>
      </c>
      <c r="C152" s="183">
        <f>+$C$153*B152</f>
        <v>0</v>
      </c>
      <c r="D152" s="184"/>
      <c r="E152" s="184">
        <f>+IF(C152=0,0,($F$118-SUM($F$10:$F$16))/C152)</f>
        <v>0</v>
      </c>
      <c r="F152" s="184"/>
      <c r="G152" s="184">
        <f>+IF(C152=0,0,($F$141-SUM($F$10:$F$16))/C152)</f>
        <v>0</v>
      </c>
    </row>
    <row r="153" spans="1:9" x14ac:dyDescent="0.2">
      <c r="B153" s="179">
        <v>1</v>
      </c>
      <c r="C153" s="180">
        <f>+C9</f>
        <v>0</v>
      </c>
      <c r="D153" s="181"/>
      <c r="E153" s="181">
        <f>+IF(C153=0,0,($F$118-SUM($F$10:$F$16))/C153)</f>
        <v>0</v>
      </c>
      <c r="F153" s="181"/>
      <c r="G153" s="181">
        <f>+IF(C153=0,0,($F$141-SUM($F$10:$F$16))/C153)</f>
        <v>0</v>
      </c>
    </row>
    <row r="154" spans="1:9" x14ac:dyDescent="0.2">
      <c r="B154" s="182">
        <v>1.1000000000000001</v>
      </c>
      <c r="C154" s="183">
        <v>0</v>
      </c>
      <c r="D154" s="184"/>
      <c r="E154" s="184">
        <f>+IF(C154=0,0,($F$118-SUM($F$10:$F$16))/C154)</f>
        <v>0</v>
      </c>
      <c r="F154" s="184"/>
      <c r="G154" s="184">
        <f>+IF(C154=0,0,($F$141-SUM($F$10:$F$16))/C154)</f>
        <v>0</v>
      </c>
    </row>
    <row r="155" spans="1:9" x14ac:dyDescent="0.2">
      <c r="B155" s="179">
        <v>1.25</v>
      </c>
      <c r="C155" s="180">
        <v>0</v>
      </c>
      <c r="D155" s="181"/>
      <c r="E155" s="181">
        <f>+IF(C155=0,0,($F$118-SUM($F$10:$F$16))/C155)</f>
        <v>0</v>
      </c>
      <c r="F155" s="181"/>
      <c r="G155" s="181">
        <f>+IF(C155=0,0,($F$141-SUM($F$10:$F$16))/C155)</f>
        <v>0</v>
      </c>
    </row>
  </sheetData>
  <mergeCells count="3">
    <mergeCell ref="A1:G1"/>
    <mergeCell ref="A3:F3"/>
    <mergeCell ref="B147:G147"/>
  </mergeCells>
  <pageMargins left="0.7" right="0.7" top="0.75" bottom="0.75" header="0.3" footer="0.3"/>
  <pageSetup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241">
    <tabColor theme="3" tint="0.39997558519241921"/>
  </sheetPr>
  <dimension ref="A1:M48"/>
  <sheetViews>
    <sheetView zoomScaleNormal="90" workbookViewId="0">
      <pane xSplit="1" ySplit="4" topLeftCell="B37" activePane="bottomRight" state="frozen"/>
      <selection activeCell="B38" sqref="B38"/>
      <selection pane="topRight" activeCell="B38" sqref="B38"/>
      <selection pane="bottomLeft" activeCell="B38" sqref="B38"/>
      <selection pane="bottomRight" activeCell="A3" sqref="A3"/>
    </sheetView>
  </sheetViews>
  <sheetFormatPr defaultColWidth="8.5703125" defaultRowHeight="12.75" x14ac:dyDescent="0.2"/>
  <cols>
    <col min="1" max="1" width="76.140625" customWidth="1"/>
    <col min="2" max="2" width="18.42578125" customWidth="1"/>
    <col min="3" max="3" width="20.42578125" customWidth="1"/>
    <col min="4" max="4" width="5.42578125" customWidth="1"/>
    <col min="5" max="6" width="14.5703125" customWidth="1"/>
    <col min="7" max="7" width="5.5703125" customWidth="1"/>
    <col min="8" max="8" width="14.5703125" customWidth="1"/>
    <col min="9" max="9" width="7.5703125" customWidth="1"/>
    <col min="10" max="11" width="14.5703125" customWidth="1"/>
  </cols>
  <sheetData>
    <row r="1" spans="1:13" x14ac:dyDescent="0.2">
      <c r="A1" s="3" t="s">
        <v>162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</row>
    <row r="2" spans="1:1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4.75" customHeight="1" x14ac:dyDescent="0.2">
      <c r="B3" s="285" t="s">
        <v>6</v>
      </c>
      <c r="C3" s="235"/>
      <c r="D3" s="26"/>
      <c r="E3" s="285" t="s">
        <v>5</v>
      </c>
      <c r="F3" s="235"/>
      <c r="G3" s="26"/>
      <c r="H3" s="285" t="s">
        <v>324</v>
      </c>
      <c r="I3" s="235"/>
      <c r="J3" s="235"/>
      <c r="K3" s="235"/>
    </row>
    <row r="4" spans="1:13" ht="18.75" customHeight="1" x14ac:dyDescent="0.2">
      <c r="B4" s="13" t="s">
        <v>82</v>
      </c>
      <c r="C4" s="29" t="s">
        <v>169</v>
      </c>
      <c r="D4" s="1"/>
      <c r="E4" s="1" t="s">
        <v>82</v>
      </c>
      <c r="F4" s="6" t="s">
        <v>169</v>
      </c>
      <c r="G4" s="6"/>
      <c r="H4" s="1" t="s">
        <v>3</v>
      </c>
      <c r="I4" s="13" t="s">
        <v>21</v>
      </c>
      <c r="J4" s="1" t="s">
        <v>82</v>
      </c>
      <c r="K4" s="6" t="s">
        <v>169</v>
      </c>
    </row>
    <row r="5" spans="1:13" ht="18.75" customHeight="1" x14ac:dyDescent="0.2">
      <c r="A5" s="14" t="s">
        <v>143</v>
      </c>
      <c r="B5" s="1"/>
      <c r="C5" s="6"/>
      <c r="D5" s="1"/>
      <c r="E5" s="1"/>
      <c r="F5" s="6"/>
      <c r="G5" s="6"/>
      <c r="H5" s="1"/>
      <c r="I5" s="13"/>
      <c r="J5" s="1"/>
      <c r="K5" s="6"/>
    </row>
    <row r="6" spans="1:13" ht="18.75" customHeight="1" x14ac:dyDescent="0.2">
      <c r="A6" s="14"/>
      <c r="B6" s="1"/>
      <c r="C6" s="6"/>
      <c r="D6" s="1"/>
      <c r="E6" s="1"/>
      <c r="F6" s="6"/>
      <c r="G6" s="6"/>
      <c r="H6" s="1"/>
      <c r="I6" s="13"/>
      <c r="J6" s="1"/>
      <c r="K6" s="6"/>
    </row>
    <row r="7" spans="1:13" ht="18.75" customHeight="1" x14ac:dyDescent="0.2">
      <c r="A7" s="3" t="str">
        <f>+AlfalfaEstablish!A3</f>
        <v>Alfalfa Establishment, Center Pivot Irrigated</v>
      </c>
      <c r="B7" s="14">
        <f>+AlfalfaEstablish!TotRet</f>
        <v>-504.45520374883921</v>
      </c>
      <c r="C7" s="14">
        <f>+AlfalfaEstablish!VarRet</f>
        <v>-388.91818651406214</v>
      </c>
      <c r="D7" s="1"/>
      <c r="E7" s="2">
        <f>+AlfalfaEstablish!TotExp</f>
        <v>504.45520374883921</v>
      </c>
      <c r="F7" s="2">
        <f>+AlfalfaEstablish!VarExp</f>
        <v>388.91818651406214</v>
      </c>
      <c r="G7" s="2"/>
      <c r="H7" s="2">
        <f>+AlfalfaEstablish!Price</f>
        <v>0</v>
      </c>
      <c r="I7" s="2" t="str">
        <f>+AlfalfaEstablish!Unit</f>
        <v/>
      </c>
      <c r="J7" s="5">
        <f t="shared" ref="J7:K14" si="0">+IF($H7=0,0,E7/$H7)</f>
        <v>0</v>
      </c>
      <c r="K7" s="5">
        <f t="shared" si="0"/>
        <v>0</v>
      </c>
    </row>
    <row r="8" spans="1:13" ht="18.75" customHeight="1" x14ac:dyDescent="0.2">
      <c r="A8" s="3" t="str">
        <f>+AlfalfaHayPivot!A3</f>
        <v>Alfalfa, Full Season, Baled - 7.5 Ton Goal, Center Pivot Irrigated</v>
      </c>
      <c r="B8" s="14">
        <f>+AlfalfaHayPivot!TotRet</f>
        <v>769.95254283992062</v>
      </c>
      <c r="C8" s="14">
        <f>+AlfalfaHayPivot!VarRet</f>
        <v>1175.0258883043998</v>
      </c>
      <c r="D8" s="2"/>
      <c r="E8" s="2">
        <f>+AlfalfaHayPivot!TotExp</f>
        <v>1255.0474571600794</v>
      </c>
      <c r="F8" s="2">
        <f>+AlfalfaHayPivot!VarExp</f>
        <v>849.97411169560007</v>
      </c>
      <c r="G8" s="2"/>
      <c r="H8" s="2">
        <f>+AlfalfaHayPivot!Price</f>
        <v>270</v>
      </c>
      <c r="I8" s="2" t="str">
        <f>+AlfalfaHayPivot!Unit</f>
        <v>Ton</v>
      </c>
      <c r="J8" s="5">
        <f t="shared" si="0"/>
        <v>4.6483239154077012</v>
      </c>
      <c r="K8" s="5">
        <f t="shared" si="0"/>
        <v>3.1480522655392593</v>
      </c>
    </row>
    <row r="9" spans="1:13" ht="18.75" customHeight="1" x14ac:dyDescent="0.2">
      <c r="A9" s="3" t="str">
        <f>+AlfalfaHayFlood!A3</f>
        <v>Alfalfa, Full Season, Baled - 7.5 Ton Goal, Flood Irrigated</v>
      </c>
      <c r="B9" s="14">
        <f>+AlfalfaHayFlood!TotRet</f>
        <v>965.19598392935313</v>
      </c>
      <c r="C9" s="14">
        <f>+AlfalfaHayFlood!VarRet</f>
        <v>1327.4063919785503</v>
      </c>
      <c r="D9" s="1"/>
      <c r="E9" s="2">
        <f>+AlfalfaHayFlood!TotExp</f>
        <v>1059.8040160706469</v>
      </c>
      <c r="F9" s="2">
        <f>+AlfalfaHayFlood!VarExp</f>
        <v>697.59360802144977</v>
      </c>
      <c r="G9" s="2"/>
      <c r="H9" s="2">
        <f>+AlfalfaHayFlood!Price</f>
        <v>270</v>
      </c>
      <c r="I9" s="2" t="str">
        <f>+AlfalfaHayFlood!Unit</f>
        <v>Ton</v>
      </c>
      <c r="J9" s="5">
        <f t="shared" si="0"/>
        <v>3.9252000595209142</v>
      </c>
      <c r="K9" s="5">
        <f t="shared" si="0"/>
        <v>2.5836800297090732</v>
      </c>
    </row>
    <row r="10" spans="1:13" ht="18.75" customHeight="1" x14ac:dyDescent="0.2">
      <c r="A10" s="3" t="str">
        <f>+AlfalfaPivotDell!A3</f>
        <v>Alfalfa, Full Season, Baled - 7.5 Ton Goal, Center Pivot Irrigated, Dell City</v>
      </c>
      <c r="B10" s="14">
        <f>+AlfalfaPivotDell!TotRet</f>
        <v>966.37950920411527</v>
      </c>
      <c r="C10" s="14">
        <f>+AlfalfaPivotDell!VarRet</f>
        <v>1388.9261989013996</v>
      </c>
      <c r="D10" s="1"/>
      <c r="E10" s="2">
        <f>+AlfalfaPivotDell!TotExp</f>
        <v>1058.6204907958847</v>
      </c>
      <c r="F10" s="2">
        <f>+AlfalfaPivotDell!VarExp</f>
        <v>636.07380109860037</v>
      </c>
      <c r="G10" s="2"/>
      <c r="H10" s="2">
        <f>+AlfalfaPivotDell!Price</f>
        <v>270</v>
      </c>
      <c r="I10" s="2" t="str">
        <f>+AlfalfaPivotDell!Unit</f>
        <v>Ton</v>
      </c>
      <c r="J10" s="5">
        <f t="shared" si="0"/>
        <v>3.9208166325773508</v>
      </c>
      <c r="K10" s="5">
        <f t="shared" si="0"/>
        <v>2.3558288929577791</v>
      </c>
    </row>
    <row r="11" spans="1:13" ht="18.75" customHeight="1" x14ac:dyDescent="0.2">
      <c r="A11" s="3" t="str">
        <f>+AlfalfaFloodDell!A3</f>
        <v>Alfalfa, Full Season, Baled - 7.5 Ton Goal, Flood Irrigated, Dell City</v>
      </c>
      <c r="B11" s="14">
        <f>+AlfalfaFloodDell!TotRet</f>
        <v>1038.9177262890305</v>
      </c>
      <c r="C11" s="14">
        <f>+AlfalfaFloodDell!VarRet</f>
        <v>1421.0625955404134</v>
      </c>
      <c r="D11" s="1"/>
      <c r="E11" s="2">
        <f>+AlfalfaFloodDell!TotExp</f>
        <v>986.0822737109695</v>
      </c>
      <c r="F11" s="2">
        <f>+AlfalfaFloodDell!VarExp</f>
        <v>603.93740445958667</v>
      </c>
      <c r="G11" s="2"/>
      <c r="H11" s="2">
        <f>+AlfalfaFloodDell!Price</f>
        <v>270</v>
      </c>
      <c r="I11" s="2" t="str">
        <f>+AlfalfaFloodDell!Unit</f>
        <v>Ton</v>
      </c>
      <c r="J11" s="5">
        <f t="shared" si="0"/>
        <v>3.652156569299887</v>
      </c>
      <c r="K11" s="5">
        <f t="shared" si="0"/>
        <v>2.2368052017021727</v>
      </c>
    </row>
    <row r="12" spans="1:13" ht="18.75" customHeight="1" x14ac:dyDescent="0.2">
      <c r="A12" s="3" t="str">
        <f>+AlfalfaElPaso!A3</f>
        <v>Alfalfa, Full Season, Baled - 7.5 Ton Goal, Flood Irrigated, El Paso Irrigation District</v>
      </c>
      <c r="B12" s="14">
        <f>+AlfalfaElPaso!TotRet</f>
        <v>1150.5136468533133</v>
      </c>
      <c r="C12" s="14">
        <f>+AlfalfaElPaso!VarRet</f>
        <v>1473.0082079079748</v>
      </c>
      <c r="D12" s="1"/>
      <c r="E12" s="2">
        <f>+AlfalfaElPaso!TotExp</f>
        <v>874.48635314668672</v>
      </c>
      <c r="F12" s="2">
        <f>+AlfalfaElPaso!VarExp</f>
        <v>551.99179209202521</v>
      </c>
      <c r="G12" s="2"/>
      <c r="H12" s="2">
        <f>+AlfalfaElPaso!Price</f>
        <v>270</v>
      </c>
      <c r="I12" s="2" t="str">
        <f>+AlfalfaElPaso!Unit</f>
        <v>Ton</v>
      </c>
      <c r="J12" s="5">
        <f t="shared" si="0"/>
        <v>3.2388383449877285</v>
      </c>
      <c r="K12" s="5">
        <f t="shared" si="0"/>
        <v>2.0444140447852783</v>
      </c>
    </row>
    <row r="13" spans="1:13" ht="18.75" customHeight="1" x14ac:dyDescent="0.2">
      <c r="A13" s="3" t="str">
        <f>+SorghumHayDryland!A3</f>
        <v>Sorghum-Sudangrass for Hay, Dryland, 3 Ton Yield</v>
      </c>
      <c r="B13" s="14">
        <f>+SorghumHayDryland!TotRet</f>
        <v>413.81391135832678</v>
      </c>
      <c r="C13" s="14">
        <f>+SorghumHayDryland!VarRet</f>
        <v>485.90559867286157</v>
      </c>
      <c r="D13" s="1"/>
      <c r="E13" s="2">
        <f>+SorghumHayDryland!TotExp</f>
        <v>229.68608864167322</v>
      </c>
      <c r="F13" s="2">
        <f>+SorghumHayDryland!VarExp</f>
        <v>157.59440132713843</v>
      </c>
      <c r="G13" s="2"/>
      <c r="H13" s="2">
        <f>+SorghumHayDryland!Price</f>
        <v>214.5</v>
      </c>
      <c r="I13" s="2" t="str">
        <f>+SorghumHayDryland!Unit</f>
        <v>Ton</v>
      </c>
      <c r="J13" s="5">
        <f t="shared" si="0"/>
        <v>1.0707976160450967</v>
      </c>
      <c r="K13" s="5">
        <f t="shared" si="0"/>
        <v>0.73470583369295306</v>
      </c>
    </row>
    <row r="14" spans="1:13" ht="18.75" customHeight="1" x14ac:dyDescent="0.2">
      <c r="A14" s="3" t="str">
        <f>+SorghumHayIrrigated!A3</f>
        <v>Sorghum-Sudangrass for Hay, Center Pivot Irrigated, 5 Ton Yield</v>
      </c>
      <c r="B14" s="14">
        <f>+SorghumHayIrrigated!TotRet</f>
        <v>669.31574139940437</v>
      </c>
      <c r="C14" s="14">
        <f>+SorghumHayIrrigated!VarRet</f>
        <v>834.87089143763205</v>
      </c>
      <c r="D14" s="1"/>
      <c r="E14" s="2">
        <f>+SorghumHayIrrigated!TotExp</f>
        <v>403.18425860059563</v>
      </c>
      <c r="F14" s="2">
        <f>+SorghumHayIrrigated!VarExp</f>
        <v>237.62910856236795</v>
      </c>
      <c r="G14" s="2"/>
      <c r="H14" s="2">
        <f>+SorghumHayIrrigated!Price</f>
        <v>214.5</v>
      </c>
      <c r="I14" s="2" t="str">
        <f>+SorghumHayIrrigated!Unit</f>
        <v>Ton</v>
      </c>
      <c r="J14" s="5">
        <f t="shared" si="0"/>
        <v>1.87964689324287</v>
      </c>
      <c r="K14" s="5">
        <f t="shared" si="0"/>
        <v>1.1078280119457713</v>
      </c>
    </row>
    <row r="15" spans="1:13" ht="18.75" customHeight="1" x14ac:dyDescent="0.2">
      <c r="A15" s="3" t="str">
        <f>+SwitchgrassEstablish!A3</f>
        <v>Alamo Switchgrass Establishment, Pivot Irrigated</v>
      </c>
      <c r="B15" s="14">
        <f>+SwitchgrassEstablish!TotRet</f>
        <v>-320.86596652413505</v>
      </c>
      <c r="C15" s="14">
        <f>+SwitchgrassEstablish!VarRet</f>
        <v>-188.74724352623707</v>
      </c>
      <c r="D15" s="1"/>
      <c r="E15" s="2">
        <f>+SwitchgrassEstablish!TotExp</f>
        <v>320.86596652413505</v>
      </c>
      <c r="F15" s="2">
        <f>+SwitchgrassEstablish!VarExp</f>
        <v>188.74724352623707</v>
      </c>
      <c r="G15" s="2"/>
      <c r="H15" s="2">
        <f>+SwitchgrassEstablish!Price</f>
        <v>0</v>
      </c>
      <c r="I15" s="2" t="str">
        <f>+SwitchgrassEstablish!Unit</f>
        <v/>
      </c>
      <c r="J15" s="5">
        <f t="shared" ref="J15:K15" si="1">+IF($H15=0,0,E15/$H15)</f>
        <v>0</v>
      </c>
      <c r="K15" s="5">
        <f t="shared" si="1"/>
        <v>0</v>
      </c>
    </row>
    <row r="16" spans="1:13" ht="18.75" customHeight="1" x14ac:dyDescent="0.2">
      <c r="A16" s="3" t="str">
        <f>+SwitchgrassGraze!A3</f>
        <v>Alamo Switchgrass, Full Season, Pivot Irrigated, Grazed</v>
      </c>
      <c r="B16" s="116">
        <f>+SwitchgrassGraze!TotRet</f>
        <v>-159.0247974823281</v>
      </c>
      <c r="C16" s="116">
        <f>+SwitchgrassGraze!VarRet</f>
        <v>20.076019769266026</v>
      </c>
      <c r="D16" s="1"/>
      <c r="E16" s="117">
        <f>+SwitchgrassGraze!TotExp</f>
        <v>256.67479748232807</v>
      </c>
      <c r="F16" s="117">
        <f>+SwitchgrassGraze!VarExp</f>
        <v>77.573980230733966</v>
      </c>
      <c r="G16" s="117"/>
      <c r="H16" s="117">
        <f>+SwitchgrassGraze!Price</f>
        <v>15.5</v>
      </c>
      <c r="I16" s="117" t="str">
        <f>+SwitchgrassGraze!Unit</f>
        <v>AUM</v>
      </c>
      <c r="J16" s="118">
        <f>+IF($H16=0,0,E16/$H16)</f>
        <v>16.559664353698587</v>
      </c>
      <c r="K16" s="118">
        <f>+IF($H16=0,0,F16/$H16)</f>
        <v>5.0047729181118692</v>
      </c>
    </row>
    <row r="17" spans="1:11" ht="18.75" customHeight="1" x14ac:dyDescent="0.2">
      <c r="A17" s="3" t="str">
        <f>+SwitchgrassHay!A3</f>
        <v>Alamo Switchgrass, Full Season, Pivot Irrigated, Baled</v>
      </c>
      <c r="B17" s="14">
        <f>+SwitchgrassHay!TotRet</f>
        <v>29.780771119247902</v>
      </c>
      <c r="C17" s="14">
        <f>+SwitchgrassHay!VarRet</f>
        <v>256.77213657770733</v>
      </c>
      <c r="D17" s="1"/>
      <c r="E17" s="2">
        <f>+SwitchgrassHay!TotExp</f>
        <v>429.86922888075208</v>
      </c>
      <c r="F17" s="2">
        <f>+SwitchgrassHay!VarExp</f>
        <v>202.87786342229265</v>
      </c>
      <c r="G17" s="2"/>
      <c r="H17" s="2">
        <f>+SwitchgrassHay!Price</f>
        <v>145</v>
      </c>
      <c r="I17" s="2" t="str">
        <f>+SwitchgrassHay!Unit</f>
        <v>Ton</v>
      </c>
      <c r="J17" s="5">
        <f>+IF($H17=0,0,E17/$H17)</f>
        <v>2.9646153715913934</v>
      </c>
      <c r="K17" s="5">
        <f>+IF($H17=0,0,F17/$H17)</f>
        <v>1.399157678774432</v>
      </c>
    </row>
    <row r="18" spans="1:11" ht="18.75" customHeight="1" x14ac:dyDescent="0.2">
      <c r="B18" s="1"/>
      <c r="C18" s="1"/>
      <c r="D18" s="1"/>
      <c r="E18" s="1"/>
      <c r="F18" s="6"/>
      <c r="G18" s="6"/>
      <c r="H18" s="1"/>
      <c r="I18" s="13"/>
      <c r="J18" s="1"/>
      <c r="K18" s="6"/>
    </row>
    <row r="19" spans="1:11" ht="18.75" customHeight="1" x14ac:dyDescent="0.2">
      <c r="A19" s="14" t="s">
        <v>496</v>
      </c>
      <c r="B19" s="14"/>
      <c r="C19" s="14"/>
      <c r="D19" s="1"/>
      <c r="E19" s="1"/>
      <c r="F19" s="6"/>
      <c r="G19" s="6"/>
      <c r="H19" s="1"/>
      <c r="I19" s="1"/>
      <c r="J19" s="1"/>
      <c r="K19" s="6"/>
    </row>
    <row r="20" spans="1:11" ht="18.75" customHeight="1" x14ac:dyDescent="0.2">
      <c r="A20" s="14"/>
      <c r="B20" s="14"/>
      <c r="C20" s="14"/>
      <c r="D20" s="1"/>
      <c r="E20" s="1"/>
      <c r="F20" s="6"/>
      <c r="G20" s="6"/>
      <c r="H20" s="1"/>
      <c r="I20" s="1"/>
      <c r="J20" s="1"/>
      <c r="K20" s="6"/>
    </row>
    <row r="21" spans="1:11" ht="18.75" customHeight="1" x14ac:dyDescent="0.2">
      <c r="A21" s="3" t="str">
        <f>+TPCottonFurrow!A3</f>
        <v>Trans Pecos Cotton, Furrow Irrigated, 40 Inch Rows</v>
      </c>
      <c r="B21" s="14">
        <f>+TPCottonFurrow!TotRet</f>
        <v>520.09166305583858</v>
      </c>
      <c r="C21" s="14">
        <f>+TPCottonFurrow!VarRet</f>
        <v>758.74188728946308</v>
      </c>
      <c r="D21" s="1"/>
      <c r="E21" s="2">
        <f>+TPCottonFurrow!TotExp</f>
        <v>873.39133694416137</v>
      </c>
      <c r="F21" s="2">
        <f>+TPCottonFurrow!VarExp</f>
        <v>634.74111271053687</v>
      </c>
      <c r="G21" s="2"/>
      <c r="H21" s="2">
        <f>+TPCottonFurrow!Price</f>
        <v>0.8</v>
      </c>
      <c r="I21" s="2" t="str">
        <f>+TPCottonFurrow!Unit</f>
        <v>Pound</v>
      </c>
      <c r="J21" s="5">
        <f>+IF($H21=0,0,E21/$H21)</f>
        <v>1091.7391711802015</v>
      </c>
      <c r="K21" s="5">
        <f>+IF($H21=0,0,F21/$H21)</f>
        <v>793.426390888171</v>
      </c>
    </row>
    <row r="22" spans="1:11" ht="18.75" customHeight="1" x14ac:dyDescent="0.2">
      <c r="A22" s="3" t="str">
        <f>+TPCottonPivot!A3</f>
        <v>Trans Pecos Cotton, Center Pivot Irrigated, 40 Inch Rows</v>
      </c>
      <c r="B22" s="14">
        <f>+TPCottonPivot!TotRet</f>
        <v>414.90976634202184</v>
      </c>
      <c r="C22" s="14">
        <f>+TPCottonPivot!VarRet</f>
        <v>663.7064415864977</v>
      </c>
      <c r="D22" s="1"/>
      <c r="E22" s="2">
        <f>+TPCottonPivot!TotExp</f>
        <v>1163.0902336579782</v>
      </c>
      <c r="F22" s="2">
        <f>+TPCottonPivot!VarExp</f>
        <v>914.2935584135023</v>
      </c>
      <c r="G22" s="2"/>
      <c r="H22" s="2">
        <f>+TPCottonPivot!Price</f>
        <v>0.8</v>
      </c>
      <c r="I22" s="2" t="str">
        <f>+TPCottonPivot!Unit</f>
        <v>Pound</v>
      </c>
      <c r="J22" s="5">
        <f>+IF($H22=0,0,E22/$H22)</f>
        <v>1453.8627920724725</v>
      </c>
      <c r="K22" s="5">
        <f>+IF($H22=0,0,F22/$H22)</f>
        <v>1142.8669480168778</v>
      </c>
    </row>
    <row r="23" spans="1:11" ht="18.75" customHeight="1" x14ac:dyDescent="0.2">
      <c r="A23" s="3" t="str">
        <f>+SLCottonDrip!A3</f>
        <v>St. Lawrence Reduced Tillage Cotton, Drip Irrigated, 40 Inch Rows</v>
      </c>
      <c r="B23" s="14">
        <f>+SLCottonDrip!TotRet</f>
        <v>222.16047653153964</v>
      </c>
      <c r="C23" s="14">
        <f>+SLCottonDrip!VarRet</f>
        <v>544.53168337472891</v>
      </c>
      <c r="D23" s="1"/>
      <c r="E23" s="2">
        <f>+SLCottonDrip!TotExp</f>
        <v>1301.8395234684604</v>
      </c>
      <c r="F23" s="2">
        <f>+SLCottonDrip!VarExp</f>
        <v>979.46831662527109</v>
      </c>
      <c r="G23" s="2"/>
      <c r="H23" s="2">
        <f>+SLCottonDrip!Price</f>
        <v>0.8</v>
      </c>
      <c r="I23" s="2" t="str">
        <f>+SLCottonDrip!Unit</f>
        <v>Pound</v>
      </c>
      <c r="J23" s="5">
        <f t="shared" ref="J23:J28" si="2">+IF($H23=0,0,E23/$H23)</f>
        <v>1627.2994043355754</v>
      </c>
      <c r="K23" s="5">
        <f t="shared" ref="K23:K28" si="3">+IF($H23=0,0,F23/$H23)</f>
        <v>1224.3353957815889</v>
      </c>
    </row>
    <row r="24" spans="1:11" ht="18.75" customHeight="1" x14ac:dyDescent="0.2">
      <c r="A24" s="3" t="str">
        <f>+SLXFCottonDrip!A3</f>
        <v>St. Lawrence Auxin Technology Cotton, Drip Irrigated, 40 Inch Rows</v>
      </c>
      <c r="B24" s="14">
        <f>+SLXFCottonDrip!TotRet</f>
        <v>146.71880447217109</v>
      </c>
      <c r="C24" s="14">
        <f>+SLXFCottonDrip!VarRet</f>
        <v>469.09001131536024</v>
      </c>
      <c r="D24" s="1"/>
      <c r="E24" s="2">
        <f>+SLXFCottonDrip!TotExp</f>
        <v>1377.2811955278289</v>
      </c>
      <c r="F24" s="2">
        <f>+SLXFCottonDrip!VarExp</f>
        <v>1054.9099886846398</v>
      </c>
      <c r="G24" s="2"/>
      <c r="H24" s="2">
        <f>+SLXFCottonDrip!Price</f>
        <v>0.8</v>
      </c>
      <c r="I24" s="2" t="str">
        <f>+SLXFCottonDrip!Unit</f>
        <v>Pound</v>
      </c>
      <c r="J24" s="5">
        <f t="shared" si="2"/>
        <v>1721.601494409786</v>
      </c>
      <c r="K24" s="5">
        <f t="shared" si="3"/>
        <v>1318.6374858557997</v>
      </c>
    </row>
    <row r="25" spans="1:11" ht="18.75" customHeight="1" x14ac:dyDescent="0.2">
      <c r="A25" s="3" t="str">
        <f>+SLCottonDrylandGM!A3</f>
        <v>St. Lawrence Dryland Cotton, BIIFlex, 40 Inch Rows</v>
      </c>
      <c r="B25" s="14">
        <f>+SLCottonDrylandGM!TotRet</f>
        <v>-66.276137467845956</v>
      </c>
      <c r="C25" s="14">
        <f>+SLCottonDrylandGM!VarRet</f>
        <v>37.798657315197772</v>
      </c>
      <c r="D25" s="1"/>
      <c r="E25" s="2">
        <f>+SLCottonDrylandGM!TotExp</f>
        <v>415.26113746784597</v>
      </c>
      <c r="F25" s="2">
        <f>+SLCottonDrylandGM!VarExp</f>
        <v>311.18634268480224</v>
      </c>
      <c r="G25" s="2"/>
      <c r="H25" s="2">
        <f>+SLCottonDrylandGM!Price</f>
        <v>0.8</v>
      </c>
      <c r="I25" s="2" t="str">
        <f>+SLCottonDrylandGM!Unit</f>
        <v>Pound</v>
      </c>
      <c r="J25" s="5">
        <f t="shared" si="2"/>
        <v>519.07642183480743</v>
      </c>
      <c r="K25" s="5">
        <f t="shared" si="3"/>
        <v>388.98292835600279</v>
      </c>
    </row>
    <row r="26" spans="1:11" ht="18.75" customHeight="1" x14ac:dyDescent="0.2">
      <c r="A26" s="3" t="str">
        <f>+SLXFCottonDryland!A3</f>
        <v>St. Lawrence Dryland Auxin Technology Cotton, 40 Inch Rows</v>
      </c>
      <c r="B26" s="14">
        <f>+SLXFCottonDryland!TotRet</f>
        <v>-88.157242030085399</v>
      </c>
      <c r="C26" s="14">
        <f>+SLXFCottonDryland!VarRet</f>
        <v>15.917552752958329</v>
      </c>
      <c r="D26" s="1"/>
      <c r="E26" s="2">
        <f>+SLXFCottonDryland!TotExp</f>
        <v>437.14224203008541</v>
      </c>
      <c r="F26" s="2">
        <f>+SLXFCottonDryland!VarExp</f>
        <v>333.06744724704168</v>
      </c>
      <c r="G26" s="2"/>
      <c r="H26" s="2">
        <f>+SLXFCottonDryland!Price</f>
        <v>0.8</v>
      </c>
      <c r="I26" s="2" t="str">
        <f>+SLXFCottonDryland!Unit</f>
        <v>Pound</v>
      </c>
      <c r="J26" s="5">
        <f>+IF($H26=0,0,E26/$H26)</f>
        <v>546.42780253760668</v>
      </c>
      <c r="K26" s="5">
        <f>+IF($H26=0,0,F26/$H26)</f>
        <v>416.33430905880209</v>
      </c>
    </row>
    <row r="27" spans="1:11" ht="18.75" customHeight="1" x14ac:dyDescent="0.2">
      <c r="A27" s="3" t="str">
        <f>+ElPasoCotton!A3</f>
        <v>El Paso County Cotton, Canal Delivered Furrow Irrigated, 40 Inch Rows</v>
      </c>
      <c r="B27" s="14">
        <f>+ElPasoCotton!TotRet</f>
        <v>538.29015767861574</v>
      </c>
      <c r="C27" s="14">
        <f>+ElPasoCotton!VarRet</f>
        <v>699.43578299693809</v>
      </c>
      <c r="D27" s="1"/>
      <c r="E27" s="2">
        <f>+ElPasoCotton!TotExp</f>
        <v>808.97984232138424</v>
      </c>
      <c r="F27" s="2">
        <f>+ElPasoCotton!VarExp</f>
        <v>647.83421700306189</v>
      </c>
      <c r="G27" s="2"/>
      <c r="H27" s="2">
        <f>+ElPasoCotton!Price</f>
        <v>0.8</v>
      </c>
      <c r="I27" s="2" t="str">
        <f>+ElPasoCotton!Unit</f>
        <v>Pound</v>
      </c>
      <c r="J27" s="5">
        <f>+IF($H27=0,0,E27/$H27)</f>
        <v>1011.2248029017303</v>
      </c>
      <c r="K27" s="5">
        <f>+IF($H27=0,0,F27/$H27)</f>
        <v>809.79277125382737</v>
      </c>
    </row>
    <row r="28" spans="1:11" ht="18.75" customHeight="1" x14ac:dyDescent="0.2">
      <c r="A28" s="3" t="str">
        <f>+SLGSDrip!A3</f>
        <v>St. Lawrence Early Planted Grain Sorghum, Drip Irrigated, 40 Inch Rows</v>
      </c>
      <c r="B28" s="14">
        <f>+SLGSDrip!TotRet</f>
        <v>-278.21076609193278</v>
      </c>
      <c r="C28" s="14">
        <f>+SLGSDrip!VarRet</f>
        <v>14.70476836660356</v>
      </c>
      <c r="D28" s="1"/>
      <c r="E28" s="2">
        <f>+SLGSDrip!TotExp</f>
        <v>703.27876609193277</v>
      </c>
      <c r="F28" s="2">
        <f>+SLGSDrip!VarExp</f>
        <v>410.36323163339642</v>
      </c>
      <c r="G28" s="2"/>
      <c r="H28" s="2">
        <f>+SLGSDrip!Price</f>
        <v>8.93</v>
      </c>
      <c r="I28" s="2" t="str">
        <f>+SLGSDrip!Unit</f>
        <v>CWT</v>
      </c>
      <c r="J28" s="5">
        <f t="shared" si="2"/>
        <v>78.754621062926404</v>
      </c>
      <c r="K28" s="5">
        <f t="shared" si="3"/>
        <v>45.953329410234765</v>
      </c>
    </row>
    <row r="29" spans="1:11" ht="18.75" customHeight="1" x14ac:dyDescent="0.2">
      <c r="A29" s="3" t="str">
        <f>+WheatDryland!A3</f>
        <v>Wheat, Dryland</v>
      </c>
      <c r="B29" s="14">
        <f>+WheatDryland!TotRet</f>
        <v>-114.98192998443096</v>
      </c>
      <c r="C29" s="14">
        <f>+WheatDryland!VarRet</f>
        <v>-25.063124727860554</v>
      </c>
      <c r="D29" s="1"/>
      <c r="E29" s="2">
        <f>+WheatDryland!TotExp</f>
        <v>255.78192998443097</v>
      </c>
      <c r="F29" s="2">
        <f>+WheatDryland!VarExp</f>
        <v>165.86312472786057</v>
      </c>
      <c r="G29" s="2"/>
      <c r="H29" s="2">
        <f>+WheatDryland!Price</f>
        <v>6.4</v>
      </c>
      <c r="I29" s="2" t="str">
        <f>+WheatDryland!Unit</f>
        <v>Bushel</v>
      </c>
      <c r="J29" s="5">
        <f>+IF($H29=0,0,E29/$H29)</f>
        <v>39.965926560067338</v>
      </c>
      <c r="K29" s="5">
        <f>+IF($H29=0,0,F29/$H29)</f>
        <v>25.916113238728212</v>
      </c>
    </row>
    <row r="30" spans="1:11" ht="18.75" customHeight="1" x14ac:dyDescent="0.2">
      <c r="A30" s="3" t="str">
        <f>+WheatIrrigated!A3</f>
        <v>Wheat, Center Pivot Irrigated, Trans Pecos</v>
      </c>
      <c r="B30" s="14">
        <f>+WheatIrrigated!TotRet</f>
        <v>-196.73114528999724</v>
      </c>
      <c r="C30" s="14">
        <f>+WheatIrrigated!VarRet</f>
        <v>-4.3171548202025178</v>
      </c>
      <c r="D30" s="1"/>
      <c r="E30" s="2">
        <f>+WheatIrrigated!TotExp</f>
        <v>516.73114528999724</v>
      </c>
      <c r="F30" s="2">
        <f>+WheatIrrigated!VarExp</f>
        <v>324.31715482020252</v>
      </c>
      <c r="G30" s="2"/>
      <c r="H30" s="2">
        <f>+WheatIrrigated!Price</f>
        <v>6.4</v>
      </c>
      <c r="I30" s="2" t="str">
        <f>+WheatIrrigated!Unit</f>
        <v>Bushel</v>
      </c>
      <c r="J30" s="5">
        <f>+IF($H30=0,0,E30/$H30)</f>
        <v>80.739241451562066</v>
      </c>
      <c r="K30" s="5">
        <f>+IF($H30=0,0,F30/$H30)</f>
        <v>50.67455544065664</v>
      </c>
    </row>
    <row r="31" spans="1:11" ht="18.75" customHeight="1" x14ac:dyDescent="0.2">
      <c r="A31" s="3"/>
      <c r="B31" s="14"/>
      <c r="C31" s="14"/>
      <c r="D31" s="1"/>
      <c r="E31" s="2"/>
      <c r="F31" s="2"/>
      <c r="G31" s="2"/>
      <c r="H31" s="2"/>
      <c r="I31" s="2"/>
      <c r="J31" s="5"/>
      <c r="K31" s="5"/>
    </row>
    <row r="32" spans="1:11" ht="18.75" customHeight="1" x14ac:dyDescent="0.2">
      <c r="A32" s="14" t="s">
        <v>497</v>
      </c>
      <c r="B32" s="14"/>
      <c r="C32" s="14"/>
      <c r="D32" s="1"/>
      <c r="E32" s="2"/>
      <c r="F32" s="2"/>
      <c r="G32" s="2"/>
      <c r="H32" s="2"/>
      <c r="I32" s="2"/>
      <c r="J32" s="5"/>
      <c r="K32" s="5"/>
    </row>
    <row r="33" spans="1:11" ht="18.75" customHeight="1" x14ac:dyDescent="0.2">
      <c r="A33" s="3"/>
      <c r="B33" s="14"/>
      <c r="C33" s="14"/>
      <c r="D33" s="2"/>
      <c r="E33" s="2"/>
      <c r="F33" s="2"/>
      <c r="G33" s="2"/>
      <c r="H33" s="2"/>
      <c r="I33" s="2"/>
      <c r="J33" s="5"/>
      <c r="K33" s="5"/>
    </row>
    <row r="34" spans="1:11" ht="18.75" customHeight="1" x14ac:dyDescent="0.2">
      <c r="A34" s="3" t="str">
        <f>+RedChile!A3</f>
        <v>Red Chile Peppers, Dell City, Center Pivot Irrigated</v>
      </c>
      <c r="B34" s="14">
        <f>+RedChile!TotRet</f>
        <v>2449.2767640276998</v>
      </c>
      <c r="C34" s="14">
        <f>+RedChile!VarRet</f>
        <v>2769.6010605749279</v>
      </c>
      <c r="D34" s="1"/>
      <c r="E34" s="2">
        <f>+RedChile!TotExp</f>
        <v>1350.7232359723</v>
      </c>
      <c r="F34" s="2">
        <f>+RedChile!VarExp</f>
        <v>1030.3989394250721</v>
      </c>
      <c r="G34" s="2"/>
      <c r="H34" s="2">
        <f>+RedChile!Price</f>
        <v>0.95</v>
      </c>
      <c r="I34" s="2" t="str">
        <f>+RedChile!Unit</f>
        <v>Pound</v>
      </c>
      <c r="J34" s="5">
        <f t="shared" ref="J34:K36" si="4">+IF($H34=0,0,E34/$H34)</f>
        <v>1421.8139326024211</v>
      </c>
      <c r="K34" s="5">
        <f t="shared" si="4"/>
        <v>1084.6304625527075</v>
      </c>
    </row>
    <row r="35" spans="1:11" ht="18.75" customHeight="1" x14ac:dyDescent="0.2">
      <c r="A35" s="3" t="str">
        <f>+Onions!A3</f>
        <v>Spring Onions, Furrow Irrigated</v>
      </c>
      <c r="B35" s="14">
        <f>+Onions!TotRet</f>
        <v>1298.0659996079803</v>
      </c>
      <c r="C35" s="14">
        <f>+Onions!VarRet</f>
        <v>1513.7882637035009</v>
      </c>
      <c r="D35" s="1"/>
      <c r="E35" s="2">
        <f>+Onions!TotExp</f>
        <v>3901.9340003920197</v>
      </c>
      <c r="F35" s="2">
        <f>+Onions!VarExp</f>
        <v>3686.2117362964991</v>
      </c>
      <c r="G35" s="2"/>
      <c r="H35" s="2">
        <f>+Onions!Price</f>
        <v>8</v>
      </c>
      <c r="I35" s="2" t="str">
        <f>+Onions!Unit</f>
        <v>Bag</v>
      </c>
      <c r="J35" s="5">
        <f t="shared" si="4"/>
        <v>487.74175004900246</v>
      </c>
      <c r="K35" s="5">
        <f t="shared" si="4"/>
        <v>460.77646703706239</v>
      </c>
    </row>
    <row r="36" spans="1:11" ht="18.75" customHeight="1" x14ac:dyDescent="0.2">
      <c r="A36" s="3" t="str">
        <f>+Pecans!A3</f>
        <v>Trans Pecos Flood Irrigated Pecans, Years 10-20</v>
      </c>
      <c r="B36" s="14">
        <f>+Pecans!TotRet</f>
        <v>774.99248701088936</v>
      </c>
      <c r="C36" s="14">
        <f>+Pecans!VarRet</f>
        <v>1494.7141427793342</v>
      </c>
      <c r="D36" s="1"/>
      <c r="E36" s="2">
        <f>+Pecans!TotExp</f>
        <v>1953.0075129891106</v>
      </c>
      <c r="F36" s="2">
        <f>+Pecans!VarExp</f>
        <v>1233.2858572206658</v>
      </c>
      <c r="G36" s="2"/>
      <c r="H36" s="2">
        <f>+Pecans!Price</f>
        <v>2</v>
      </c>
      <c r="I36" s="2" t="str">
        <f>+Pecans!Unit</f>
        <v>Pound</v>
      </c>
      <c r="J36" s="5">
        <f t="shared" si="4"/>
        <v>976.50375649455532</v>
      </c>
      <c r="K36" s="5">
        <f t="shared" si="4"/>
        <v>616.64292861033289</v>
      </c>
    </row>
    <row r="37" spans="1:11" ht="18.75" customHeight="1" x14ac:dyDescent="0.2">
      <c r="A37" s="3"/>
      <c r="B37" s="14"/>
      <c r="C37" s="14"/>
      <c r="D37" s="1"/>
      <c r="E37" s="2"/>
      <c r="F37" s="2"/>
      <c r="G37" s="2"/>
      <c r="H37" s="2"/>
      <c r="I37" s="2"/>
      <c r="J37" s="5"/>
      <c r="K37" s="5"/>
    </row>
    <row r="38" spans="1:11" ht="18.75" customHeight="1" x14ac:dyDescent="0.2">
      <c r="A38" s="14" t="s">
        <v>144</v>
      </c>
      <c r="B38" s="14"/>
      <c r="C38" s="14"/>
      <c r="D38" s="1"/>
      <c r="E38" s="2"/>
      <c r="F38" s="2"/>
      <c r="G38" s="2"/>
      <c r="H38" s="2"/>
      <c r="I38" s="2"/>
      <c r="J38" s="5"/>
      <c r="K38" s="5"/>
    </row>
    <row r="39" spans="1:11" ht="18.75" customHeight="1" x14ac:dyDescent="0.2">
      <c r="A39" s="14"/>
      <c r="B39" s="14"/>
      <c r="C39" s="14"/>
      <c r="D39" s="1"/>
      <c r="E39" s="2"/>
      <c r="F39" s="2"/>
      <c r="G39" s="2"/>
      <c r="H39" s="2"/>
      <c r="I39" s="2"/>
      <c r="J39" s="5"/>
      <c r="K39" s="5"/>
    </row>
    <row r="40" spans="1:11" ht="16.5" customHeight="1" x14ac:dyDescent="0.2">
      <c r="A40" s="15" t="str">
        <f>+CowCalfNative!A3</f>
        <v>Cow-Calf Enterprise</v>
      </c>
      <c r="B40" s="14">
        <f>+CowCalfNative!TotRet</f>
        <v>572.80917374612909</v>
      </c>
      <c r="C40" s="14">
        <f>+CowCalfNative!VarRet</f>
        <v>1115.0703975556528</v>
      </c>
      <c r="E40" s="8">
        <f>+CowCalfNative!TotExp</f>
        <v>776.91582625387082</v>
      </c>
      <c r="F40" s="8">
        <f>+CowCalfNative!VarExp</f>
        <v>234.65460244434706</v>
      </c>
      <c r="G40" s="8"/>
      <c r="H40" s="8">
        <f>+CowCalfNative!Price</f>
        <v>295</v>
      </c>
      <c r="I40" s="8" t="str">
        <f>+CowCalfNative!Unit</f>
        <v>CWT</v>
      </c>
      <c r="J40" s="5">
        <f t="shared" ref="J40:K40" si="5">+IF($H40=0,0,E40/$H40)</f>
        <v>2.6336129703521043</v>
      </c>
      <c r="K40" s="5">
        <f t="shared" si="5"/>
        <v>0.7954393303198205</v>
      </c>
    </row>
    <row r="41" spans="1:11" ht="16.5" customHeight="1" x14ac:dyDescent="0.2">
      <c r="A41" s="15" t="str">
        <f>+StockersSummer!A3</f>
        <v>Stocker Steers - Summer Growth, 0.6 AU per Head</v>
      </c>
      <c r="B41" s="14">
        <f>+StockersSummer!TotRet</f>
        <v>99.814532807795331</v>
      </c>
      <c r="C41" s="14">
        <f>+StockersSummer!VarRet</f>
        <v>152.42027304589055</v>
      </c>
      <c r="E41" s="8">
        <f>+StockersSummer!TotExp</f>
        <v>1690.9354671922047</v>
      </c>
      <c r="F41" s="8">
        <f>+StockersSummer!VarExp</f>
        <v>1638.3297269541094</v>
      </c>
      <c r="G41" s="8"/>
      <c r="H41" s="8">
        <f>+StockersSummer!Price</f>
        <v>290</v>
      </c>
      <c r="I41" s="8" t="str">
        <f>+StockersSummer!Unit</f>
        <v>CWT</v>
      </c>
      <c r="J41" s="5">
        <f>+IF($H41=0,0,E41/$H41)</f>
        <v>5.8308119558351885</v>
      </c>
      <c r="K41" s="5">
        <f>+IF($H41=0,0,F41/$H41)</f>
        <v>5.649412851565895</v>
      </c>
    </row>
    <row r="42" spans="1:11" ht="16.5" customHeight="1" x14ac:dyDescent="0.2">
      <c r="A42" s="15" t="str">
        <f>+StockerWinter!A3</f>
        <v>Stocker Steers - Winter Growth, 0.45 AU per Head</v>
      </c>
      <c r="B42" s="14">
        <f>+StockerWinter!TotRet</f>
        <v>17.547711410534703</v>
      </c>
      <c r="C42" s="14">
        <f>+StockerWinter!VarRet</f>
        <v>70.153451648629925</v>
      </c>
      <c r="E42" s="8">
        <f>+StockerWinter!TotExp</f>
        <v>1606.9522885894651</v>
      </c>
      <c r="F42" s="8">
        <f>+StockerWinter!VarExp</f>
        <v>1554.3465483513698</v>
      </c>
      <c r="G42" s="8"/>
      <c r="H42" s="8">
        <f>+StockerWinter!Price</f>
        <v>285</v>
      </c>
      <c r="I42" s="8" t="str">
        <f>+StockerWinter!Unit</f>
        <v>CWT</v>
      </c>
      <c r="J42" s="5">
        <f>+IF($H42=0,0,E42/$H42)</f>
        <v>5.6384290827700525</v>
      </c>
      <c r="K42" s="5">
        <f>+IF($H42=0,0,F42/$H42)</f>
        <v>5.4538475380749816</v>
      </c>
    </row>
    <row r="43" spans="1:11" ht="16.5" customHeight="1" x14ac:dyDescent="0.2">
      <c r="A43" s="15" t="str">
        <f>MeatGoats!A3</f>
        <v>Trans Pecos Meat Goats, 6 Head per AU</v>
      </c>
      <c r="B43" s="14">
        <f>MeatGoats!TotRet</f>
        <v>531.00626830408612</v>
      </c>
      <c r="C43" s="14">
        <f>MeatGoats!VarRet</f>
        <v>1003.2932063993242</v>
      </c>
      <c r="E43" s="8">
        <f>MeatGoats!TotExp</f>
        <v>717.32973169591389</v>
      </c>
      <c r="F43" s="8">
        <f>MeatGoats!VarExp</f>
        <v>245.04279360067579</v>
      </c>
      <c r="G43" s="8"/>
      <c r="H43" s="8">
        <f>MeatGoats!Price</f>
        <v>290</v>
      </c>
      <c r="I43" s="8" t="str">
        <f>MeatGoats!Unit</f>
        <v>CWT</v>
      </c>
      <c r="J43" s="5">
        <f>IF(H43=0,0,E43/H43)</f>
        <v>2.4735507989514272</v>
      </c>
      <c r="K43" s="5">
        <f>IF(H43=0,0,F43/H43)</f>
        <v>0.84497515034715787</v>
      </c>
    </row>
    <row r="44" spans="1:11" ht="16.5" customHeight="1" x14ac:dyDescent="0.2">
      <c r="A44" s="15" t="str">
        <f>Angoras!A3</f>
        <v>Trans Pecos Angora Goats, 7 Head per AU</v>
      </c>
      <c r="B44" s="14">
        <f>Angoras!TotRet</f>
        <v>375.61564259458714</v>
      </c>
      <c r="C44" s="14">
        <f>Angoras!VarRet</f>
        <v>860.84258068982513</v>
      </c>
      <c r="E44" s="8">
        <f>Angoras!TotExp</f>
        <v>752.82009269953028</v>
      </c>
      <c r="F44" s="8">
        <f>Angoras!VarExp</f>
        <v>267.59315460429224</v>
      </c>
      <c r="G44" s="8"/>
      <c r="H44" s="8">
        <f>Angoras!Price</f>
        <v>314.99999999999994</v>
      </c>
      <c r="I44" s="8" t="str">
        <f>Angoras!Unit</f>
        <v>CWT</v>
      </c>
      <c r="J44" s="5">
        <f>IF(H44=0,0,E44/H44)</f>
        <v>2.3899050561889856</v>
      </c>
      <c r="K44" s="5">
        <f>IF(H44=0,0,F44/H44)</f>
        <v>0.84950207810886436</v>
      </c>
    </row>
    <row r="45" spans="1:11" ht="16.5" customHeight="1" x14ac:dyDescent="0.2">
      <c r="A45" s="15" t="str">
        <f>SheepWool!A3</f>
        <v>Trans Pecos Wool Sheep, 5 Head per AU</v>
      </c>
      <c r="B45" s="14">
        <f>SheepWool!TotRet</f>
        <v>265.31304973685326</v>
      </c>
      <c r="C45" s="14">
        <f>SheepWool!VarRet</f>
        <v>759.98158783209135</v>
      </c>
      <c r="E45" s="8">
        <f>SheepWool!TotExp</f>
        <v>774.19935026314681</v>
      </c>
      <c r="F45" s="8">
        <f>SheepWool!VarExp</f>
        <v>279.53081216790872</v>
      </c>
      <c r="G45" s="8"/>
      <c r="H45" s="8">
        <f>SheepWool!Price</f>
        <v>290.00000000000006</v>
      </c>
      <c r="I45" s="8" t="str">
        <f>SheepWool!Unit</f>
        <v>CWT</v>
      </c>
      <c r="J45" s="5">
        <f>IF(H45=0,0,E45/H45)</f>
        <v>2.6696529319418851</v>
      </c>
      <c r="K45" s="5">
        <f>IF(H45=0,0,F45/H45)</f>
        <v>0.96389935230313328</v>
      </c>
    </row>
    <row r="46" spans="1:11" ht="16.5" customHeight="1" x14ac:dyDescent="0.2">
      <c r="A46" s="15" t="str">
        <f>SheepHair!A3</f>
        <v>Trans Pecos Hair Sheep, 5 Head per AU</v>
      </c>
      <c r="B46" s="14">
        <f>SheepHair!TotRet</f>
        <v>189.34276785411362</v>
      </c>
      <c r="C46" s="14">
        <f>SheepHair!VarRet</f>
        <v>684.01130594935171</v>
      </c>
      <c r="E46" s="8">
        <f>SheepHair!TotExp</f>
        <v>762.16963214588645</v>
      </c>
      <c r="F46" s="8">
        <f>SheepHair!VarExp</f>
        <v>267.50109405064842</v>
      </c>
      <c r="G46" s="8"/>
      <c r="H46" s="8">
        <f>SheepHair!Price</f>
        <v>290.00000000000006</v>
      </c>
      <c r="I46" s="8" t="str">
        <f>SheepHair!Unit</f>
        <v>CWT</v>
      </c>
      <c r="J46" s="5">
        <f>IF(H46=0,0,E46/H46)</f>
        <v>2.6281711453306422</v>
      </c>
      <c r="K46" s="5">
        <f>IF(H46=0,0,F46/H46)</f>
        <v>0.92241756569189093</v>
      </c>
    </row>
    <row r="47" spans="1:11" ht="16.5" customHeight="1" x14ac:dyDescent="0.2">
      <c r="A47" s="15"/>
      <c r="B47" s="14"/>
      <c r="C47" s="14"/>
      <c r="E47" s="8"/>
      <c r="F47" s="8"/>
      <c r="G47" s="8"/>
      <c r="H47" s="8"/>
      <c r="I47" s="8"/>
      <c r="J47" s="5"/>
      <c r="K47" s="5"/>
    </row>
    <row r="48" spans="1:11" ht="18.75" customHeight="1" x14ac:dyDescent="0.2">
      <c r="A48" s="3"/>
      <c r="B48" s="14"/>
      <c r="C48" s="14"/>
      <c r="E48" s="8"/>
      <c r="F48" s="8"/>
      <c r="G48" s="8"/>
      <c r="H48" s="2"/>
      <c r="I48" s="2"/>
      <c r="J48" s="5"/>
      <c r="K48" s="5"/>
    </row>
  </sheetData>
  <sheetProtection sheet="1" objects="1" scenarios="1"/>
  <mergeCells count="3">
    <mergeCell ref="H3:K3"/>
    <mergeCell ref="E3:F3"/>
    <mergeCell ref="B3:C3"/>
  </mergeCells>
  <phoneticPr fontId="0" type="noConversion"/>
  <conditionalFormatting sqref="B19:B20 B31:B33 B34:C35 B37:C48 B7:C17 B21:C30">
    <cfRule type="cellIs" dxfId="87" priority="49" stopIfTrue="1" operator="lessThan">
      <formula>$B$1</formula>
    </cfRule>
    <cfRule type="cellIs" dxfId="86" priority="50" stopIfTrue="1" operator="greaterThanOrEqual">
      <formula>$B$1</formula>
    </cfRule>
  </conditionalFormatting>
  <conditionalFormatting sqref="A20">
    <cfRule type="cellIs" dxfId="85" priority="43" stopIfTrue="1" operator="lessThan">
      <formula>$B$1</formula>
    </cfRule>
    <cfRule type="cellIs" dxfId="84" priority="44" stopIfTrue="1" operator="greaterThanOrEqual">
      <formula>$B$1</formula>
    </cfRule>
  </conditionalFormatting>
  <conditionalFormatting sqref="A32">
    <cfRule type="cellIs" dxfId="83" priority="25" stopIfTrue="1" operator="lessThan">
      <formula>$B$1</formula>
    </cfRule>
    <cfRule type="cellIs" dxfId="82" priority="26" stopIfTrue="1" operator="greaterThanOrEqual">
      <formula>$B$1</formula>
    </cfRule>
  </conditionalFormatting>
  <conditionalFormatting sqref="A6">
    <cfRule type="cellIs" dxfId="81" priority="23" stopIfTrue="1" operator="lessThan">
      <formula>$B$1</formula>
    </cfRule>
    <cfRule type="cellIs" dxfId="80" priority="24" stopIfTrue="1" operator="greaterThanOrEqual">
      <formula>$B$1</formula>
    </cfRule>
  </conditionalFormatting>
  <conditionalFormatting sqref="B36:C36">
    <cfRule type="cellIs" dxfId="79" priority="21" stopIfTrue="1" operator="lessThan">
      <formula>$B$1</formula>
    </cfRule>
    <cfRule type="cellIs" dxfId="78" priority="22" stopIfTrue="1" operator="greaterThanOrEqual">
      <formula>$B$1</formula>
    </cfRule>
  </conditionalFormatting>
  <conditionalFormatting sqref="A5">
    <cfRule type="cellIs" dxfId="77" priority="11" stopIfTrue="1" operator="lessThan">
      <formula>$B$1</formula>
    </cfRule>
    <cfRule type="cellIs" dxfId="76" priority="12" stopIfTrue="1" operator="greaterThanOrEqual">
      <formula>$B$1</formula>
    </cfRule>
  </conditionalFormatting>
  <conditionalFormatting sqref="A38:A39">
    <cfRule type="cellIs" dxfId="75" priority="7" stopIfTrue="1" operator="lessThan">
      <formula>$B$1</formula>
    </cfRule>
    <cfRule type="cellIs" dxfId="74" priority="8" stopIfTrue="1" operator="greaterThanOrEqual">
      <formula>$B$1</formula>
    </cfRule>
  </conditionalFormatting>
  <conditionalFormatting sqref="A19">
    <cfRule type="cellIs" dxfId="73" priority="9" stopIfTrue="1" operator="lessThan">
      <formula>$B$1</formula>
    </cfRule>
    <cfRule type="cellIs" dxfId="72" priority="10" stopIfTrue="1" operator="greaterThanOrEqual">
      <formula>$B$1</formula>
    </cfRule>
  </conditionalFormatting>
  <conditionalFormatting sqref="C19:C20 C31:C33">
    <cfRule type="cellIs" dxfId="71" priority="5" stopIfTrue="1" operator="lessThan">
      <formula>$B$1</formula>
    </cfRule>
    <cfRule type="cellIs" dxfId="70" priority="6" stopIfTrue="1" operator="greaterThanOrEqual">
      <formula>$B$1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4" max="28" man="1"/>
    <brk id="7" max="28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242">
    <tabColor theme="3" tint="0.39997558519241921"/>
  </sheetPr>
  <dimension ref="A1:AB49"/>
  <sheetViews>
    <sheetView zoomScaleNormal="90" workbookViewId="0">
      <pane xSplit="1" ySplit="4" topLeftCell="B31" activePane="bottomRight" state="frozen"/>
      <selection activeCell="B38" sqref="B38"/>
      <selection pane="topRight" activeCell="B38" sqref="B38"/>
      <selection pane="bottomLeft" activeCell="B38" sqref="B38"/>
      <selection pane="bottomRight" activeCell="A3" sqref="A3"/>
    </sheetView>
  </sheetViews>
  <sheetFormatPr defaultColWidth="8.5703125" defaultRowHeight="12.75" x14ac:dyDescent="0.2"/>
  <cols>
    <col min="1" max="1" width="76.140625" customWidth="1"/>
    <col min="2" max="3" width="18.42578125" customWidth="1"/>
    <col min="4" max="4" width="20.42578125" customWidth="1"/>
    <col min="5" max="5" width="5.42578125" customWidth="1"/>
    <col min="6" max="8" width="14.5703125" customWidth="1"/>
    <col min="9" max="9" width="5.5703125" customWidth="1"/>
    <col min="10" max="10" width="14.5703125" customWidth="1"/>
    <col min="11" max="11" width="7.5703125" customWidth="1"/>
    <col min="12" max="14" width="14.5703125" customWidth="1"/>
    <col min="16" max="17" width="18.42578125" customWidth="1"/>
    <col min="18" max="18" width="20.42578125" customWidth="1"/>
    <col min="19" max="19" width="5.42578125" customWidth="1"/>
    <col min="20" max="22" width="14.5703125" customWidth="1"/>
    <col min="23" max="23" width="5.5703125" customWidth="1"/>
    <col min="24" max="24" width="14.5703125" customWidth="1"/>
    <col min="25" max="25" width="7.5703125" customWidth="1"/>
    <col min="26" max="28" width="14.5703125" customWidth="1"/>
  </cols>
  <sheetData>
    <row r="1" spans="1:28" x14ac:dyDescent="0.2">
      <c r="A1" s="3" t="s">
        <v>163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</row>
    <row r="2" spans="1:28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4.75" customHeight="1" x14ac:dyDescent="0.2">
      <c r="A3" s="12" t="s">
        <v>164</v>
      </c>
      <c r="B3" s="285" t="s">
        <v>6</v>
      </c>
      <c r="C3" s="285"/>
      <c r="D3" s="235"/>
      <c r="E3" s="26"/>
      <c r="F3" s="285" t="s">
        <v>5</v>
      </c>
      <c r="G3" s="285"/>
      <c r="H3" s="235"/>
      <c r="I3" s="26"/>
      <c r="J3" s="285" t="s">
        <v>324</v>
      </c>
      <c r="K3" s="235"/>
      <c r="L3" s="235"/>
      <c r="M3" s="235"/>
      <c r="N3" s="235"/>
      <c r="P3" s="285" t="s">
        <v>165</v>
      </c>
      <c r="Q3" s="285"/>
      <c r="R3" s="235"/>
      <c r="S3" s="26"/>
      <c r="T3" s="285" t="s">
        <v>166</v>
      </c>
      <c r="U3" s="285"/>
      <c r="V3" s="235"/>
      <c r="W3" s="26"/>
      <c r="X3" s="285" t="s">
        <v>325</v>
      </c>
      <c r="Y3" s="235"/>
      <c r="Z3" s="235"/>
      <c r="AA3" s="235"/>
      <c r="AB3" s="235"/>
    </row>
    <row r="4" spans="1:28" ht="18.75" customHeight="1" x14ac:dyDescent="0.2">
      <c r="B4" s="1" t="s">
        <v>11</v>
      </c>
      <c r="C4" s="1" t="s">
        <v>8</v>
      </c>
      <c r="D4" s="29" t="s">
        <v>9</v>
      </c>
      <c r="E4" s="1"/>
      <c r="F4" s="1" t="s">
        <v>11</v>
      </c>
      <c r="G4" s="1" t="s">
        <v>8</v>
      </c>
      <c r="H4" s="6" t="s">
        <v>9</v>
      </c>
      <c r="I4" s="6"/>
      <c r="J4" s="1" t="s">
        <v>3</v>
      </c>
      <c r="K4" s="13" t="s">
        <v>21</v>
      </c>
      <c r="L4" s="1" t="s">
        <v>11</v>
      </c>
      <c r="M4" s="1" t="s">
        <v>8</v>
      </c>
      <c r="N4" s="6" t="s">
        <v>9</v>
      </c>
      <c r="P4" s="1" t="s">
        <v>11</v>
      </c>
      <c r="Q4" s="1" t="s">
        <v>8</v>
      </c>
      <c r="R4" s="29" t="s">
        <v>9</v>
      </c>
      <c r="S4" s="1"/>
      <c r="T4" s="1" t="s">
        <v>11</v>
      </c>
      <c r="U4" s="1" t="s">
        <v>8</v>
      </c>
      <c r="V4" s="6" t="s">
        <v>9</v>
      </c>
      <c r="W4" s="6"/>
      <c r="X4" s="1" t="s">
        <v>3</v>
      </c>
      <c r="Y4" s="13" t="s">
        <v>21</v>
      </c>
      <c r="Z4" s="1" t="s">
        <v>11</v>
      </c>
      <c r="AA4" s="1" t="s">
        <v>8</v>
      </c>
      <c r="AB4" s="6" t="s">
        <v>9</v>
      </c>
    </row>
    <row r="5" spans="1:28" ht="18.75" customHeight="1" x14ac:dyDescent="0.2">
      <c r="A5" s="14" t="s">
        <v>143</v>
      </c>
      <c r="B5" s="1"/>
      <c r="C5" s="1"/>
      <c r="D5" s="6"/>
      <c r="E5" s="1"/>
      <c r="F5" s="1"/>
      <c r="G5" s="1"/>
      <c r="H5" s="6"/>
      <c r="I5" s="6"/>
      <c r="J5" s="1"/>
      <c r="K5" s="13"/>
      <c r="L5" s="1"/>
      <c r="M5" s="1"/>
      <c r="N5" s="6"/>
      <c r="P5" s="1"/>
      <c r="Q5" s="1"/>
      <c r="R5" s="6"/>
      <c r="S5" s="1"/>
      <c r="T5" s="1"/>
      <c r="U5" s="1"/>
      <c r="V5" s="6"/>
      <c r="W5" s="6"/>
      <c r="X5" s="1"/>
      <c r="Y5" s="13"/>
      <c r="Z5" s="1"/>
      <c r="AA5" s="1"/>
      <c r="AB5" s="6"/>
    </row>
    <row r="6" spans="1:28" ht="18.75" customHeight="1" x14ac:dyDescent="0.2">
      <c r="A6" s="14"/>
      <c r="B6" s="1"/>
      <c r="C6" s="1"/>
      <c r="D6" s="6"/>
      <c r="E6" s="1"/>
      <c r="F6" s="1"/>
      <c r="G6" s="1"/>
      <c r="H6" s="6"/>
      <c r="I6" s="6"/>
      <c r="J6" s="1"/>
      <c r="K6" s="13"/>
      <c r="L6" s="1"/>
      <c r="M6" s="1"/>
      <c r="N6" s="6"/>
      <c r="P6" s="1"/>
      <c r="Q6" s="1"/>
      <c r="R6" s="6"/>
      <c r="S6" s="1"/>
      <c r="T6" s="1"/>
      <c r="U6" s="1"/>
      <c r="V6" s="6"/>
      <c r="W6" s="6"/>
      <c r="X6" s="1"/>
      <c r="Y6" s="13"/>
      <c r="Z6" s="1"/>
      <c r="AA6" s="1"/>
      <c r="AB6" s="6"/>
    </row>
    <row r="7" spans="1:28" ht="18.75" customHeight="1" x14ac:dyDescent="0.2">
      <c r="A7" s="3" t="str">
        <f>+AlfalfaEstablish!A3</f>
        <v>Alfalfa Establishment, Center Pivot Irrigated</v>
      </c>
      <c r="B7" s="14">
        <f>+AlfalfaEstablish!TotRet</f>
        <v>-504.45520374883921</v>
      </c>
      <c r="C7" s="14">
        <f>+AlfalfaEstablish!TTotRet</f>
        <v>-504.45520374883921</v>
      </c>
      <c r="D7" s="14">
        <f>+AlfalfaEstablish!LTotRet</f>
        <v>0</v>
      </c>
      <c r="E7" s="1"/>
      <c r="F7" s="2">
        <f>+AlfalfaEstablish!TotExp</f>
        <v>504.45520374883921</v>
      </c>
      <c r="G7" s="2">
        <f>+AlfalfaEstablish!TTotExp</f>
        <v>504.45520374883921</v>
      </c>
      <c r="H7" s="2">
        <f>+AlfalfaEstablish!LTotExp</f>
        <v>0</v>
      </c>
      <c r="I7" s="2"/>
      <c r="J7" s="2">
        <f>+AlfalfaEstablish!Price</f>
        <v>0</v>
      </c>
      <c r="K7" s="2" t="str">
        <f>+AlfalfaEstablish!Unit</f>
        <v/>
      </c>
      <c r="L7" s="5">
        <f t="shared" ref="L7:N7" si="0">+IF($J7=0,0,F7/$J7)</f>
        <v>0</v>
      </c>
      <c r="M7" s="5">
        <f t="shared" si="0"/>
        <v>0</v>
      </c>
      <c r="N7" s="5">
        <f t="shared" si="0"/>
        <v>0</v>
      </c>
      <c r="P7" s="14">
        <f>+AlfalfaEstablish!VarRet</f>
        <v>-388.91818651406214</v>
      </c>
      <c r="Q7" s="14">
        <f>+AlfalfaEstablish!TVarRet</f>
        <v>-388.91818651406214</v>
      </c>
      <c r="R7" s="14">
        <f>+AlfalfaEstablish!LVarRet</f>
        <v>0</v>
      </c>
      <c r="S7" s="1"/>
      <c r="T7" s="2">
        <f>+AlfalfaEstablish!VarExp</f>
        <v>388.91818651406214</v>
      </c>
      <c r="U7" s="2">
        <f>+AlfalfaEstablish!TVarExp</f>
        <v>388.91818651406214</v>
      </c>
      <c r="V7" s="2">
        <f>+AlfalfaEstablish!LVarExp</f>
        <v>0</v>
      </c>
      <c r="W7" s="2"/>
      <c r="X7" s="2">
        <f>+AlfalfaEstablish!Price</f>
        <v>0</v>
      </c>
      <c r="Y7" s="2" t="str">
        <f>+AlfalfaEstablish!Unit</f>
        <v/>
      </c>
      <c r="Z7" s="5">
        <f t="shared" ref="Z7:AB7" si="1">+IF($J7=0,0,T7/$J7)</f>
        <v>0</v>
      </c>
      <c r="AA7" s="5">
        <f t="shared" si="1"/>
        <v>0</v>
      </c>
      <c r="AB7" s="5">
        <f t="shared" si="1"/>
        <v>0</v>
      </c>
    </row>
    <row r="8" spans="1:28" ht="18.75" customHeight="1" x14ac:dyDescent="0.2">
      <c r="A8" s="3" t="str">
        <f>+AlfalfaHayPivot!A3</f>
        <v>Alfalfa, Full Season, Baled - 7.5 Ton Goal, Center Pivot Irrigated</v>
      </c>
      <c r="B8" s="14">
        <f>+AlfalfaHayPivot!TotRet</f>
        <v>769.95254283992062</v>
      </c>
      <c r="C8" s="14">
        <f>+AlfalfaHayPivot!TTotRet</f>
        <v>769.95254283992062</v>
      </c>
      <c r="D8" s="14">
        <f>+AlfalfaHayPivot!LTotRet</f>
        <v>0</v>
      </c>
      <c r="E8" s="2"/>
      <c r="F8" s="2">
        <f>+AlfalfaHayPivot!TotExp</f>
        <v>1255.0474571600794</v>
      </c>
      <c r="G8" s="2">
        <f>+AlfalfaHayPivot!TTotExp</f>
        <v>1255.0474571600794</v>
      </c>
      <c r="H8" s="2">
        <f>+AlfalfaHayPivot!LTotExp</f>
        <v>0</v>
      </c>
      <c r="I8" s="2"/>
      <c r="J8" s="2">
        <f>+AlfalfaHayPivot!Price</f>
        <v>270</v>
      </c>
      <c r="K8" s="2" t="str">
        <f>+AlfalfaHayPivot!Unit</f>
        <v>Ton</v>
      </c>
      <c r="L8" s="5">
        <f t="shared" ref="L8:N14" si="2">+IF($J8=0,0,F8/$J8)</f>
        <v>4.6483239154077012</v>
      </c>
      <c r="M8" s="5">
        <f t="shared" si="2"/>
        <v>4.6483239154077012</v>
      </c>
      <c r="N8" s="5">
        <f t="shared" si="2"/>
        <v>0</v>
      </c>
      <c r="P8" s="14">
        <f>+AlfalfaHayPivot!VarRet</f>
        <v>1175.0258883043998</v>
      </c>
      <c r="Q8" s="14">
        <f>+AlfalfaHayPivot!TVarRet</f>
        <v>1175.0258883043998</v>
      </c>
      <c r="R8" s="14">
        <f>+AlfalfaHayPivot!LVarRet</f>
        <v>0</v>
      </c>
      <c r="S8" s="2"/>
      <c r="T8" s="2">
        <f>+AlfalfaHayPivot!VarExp</f>
        <v>849.97411169560007</v>
      </c>
      <c r="U8" s="2">
        <f>+AlfalfaHayPivot!TVarExp</f>
        <v>849.97411169560007</v>
      </c>
      <c r="V8" s="2">
        <f>+AlfalfaHayPivot!LVarExp</f>
        <v>0</v>
      </c>
      <c r="W8" s="2"/>
      <c r="X8" s="2">
        <f>+AlfalfaHayPivot!Price</f>
        <v>270</v>
      </c>
      <c r="Y8" s="2" t="str">
        <f>+AlfalfaHayPivot!Unit</f>
        <v>Ton</v>
      </c>
      <c r="Z8" s="5">
        <f t="shared" ref="Z8:AB14" si="3">+IF($J8=0,0,T8/$J8)</f>
        <v>3.1480522655392593</v>
      </c>
      <c r="AA8" s="5">
        <f t="shared" si="3"/>
        <v>3.1480522655392593</v>
      </c>
      <c r="AB8" s="5">
        <f t="shared" si="3"/>
        <v>0</v>
      </c>
    </row>
    <row r="9" spans="1:28" ht="18.75" customHeight="1" x14ac:dyDescent="0.2">
      <c r="A9" s="3" t="str">
        <f>+AlfalfaHayFlood!A3</f>
        <v>Alfalfa, Full Season, Baled - 7.5 Ton Goal, Flood Irrigated</v>
      </c>
      <c r="B9" s="14">
        <f>+AlfalfaHayFlood!TotRet</f>
        <v>965.19598392935313</v>
      </c>
      <c r="C9" s="14">
        <f>+AlfalfaHayFlood!TTotRet</f>
        <v>965.19598392935313</v>
      </c>
      <c r="D9" s="14">
        <f>+AlfalfaHayFlood!LTotRet</f>
        <v>0</v>
      </c>
      <c r="E9" s="1"/>
      <c r="F9" s="2">
        <f>+AlfalfaHayFlood!TotExp</f>
        <v>1059.8040160706469</v>
      </c>
      <c r="G9" s="2">
        <f>+AlfalfaHayFlood!TTotExp</f>
        <v>1059.8040160706469</v>
      </c>
      <c r="H9" s="2">
        <f>+AlfalfaHayFlood!LTotExp</f>
        <v>0</v>
      </c>
      <c r="I9" s="2"/>
      <c r="J9" s="2">
        <f>+AlfalfaHayFlood!Price</f>
        <v>270</v>
      </c>
      <c r="K9" s="2" t="str">
        <f>+AlfalfaHayFlood!Unit</f>
        <v>Ton</v>
      </c>
      <c r="L9" s="5">
        <f t="shared" si="2"/>
        <v>3.9252000595209142</v>
      </c>
      <c r="M9" s="5">
        <f t="shared" si="2"/>
        <v>3.9252000595209142</v>
      </c>
      <c r="N9" s="5">
        <f t="shared" si="2"/>
        <v>0</v>
      </c>
      <c r="P9" s="14">
        <f>+AlfalfaHayFlood!VarRet</f>
        <v>1327.4063919785503</v>
      </c>
      <c r="Q9" s="14">
        <f>+AlfalfaHayFlood!TVarRet</f>
        <v>1327.4063919785503</v>
      </c>
      <c r="R9" s="14">
        <f>+AlfalfaHayFlood!LVarRet</f>
        <v>0</v>
      </c>
      <c r="S9" s="1"/>
      <c r="T9" s="2">
        <f>+AlfalfaHayFlood!VarExp</f>
        <v>697.59360802144977</v>
      </c>
      <c r="U9" s="2">
        <f>+AlfalfaHayFlood!TVarExp</f>
        <v>697.59360802144977</v>
      </c>
      <c r="V9" s="2">
        <f>+AlfalfaHayFlood!LVarExp</f>
        <v>0</v>
      </c>
      <c r="W9" s="2"/>
      <c r="X9" s="2">
        <f>+AlfalfaHayFlood!Price</f>
        <v>270</v>
      </c>
      <c r="Y9" s="2" t="str">
        <f>+AlfalfaHayFlood!Unit</f>
        <v>Ton</v>
      </c>
      <c r="Z9" s="5">
        <f t="shared" si="3"/>
        <v>2.5836800297090732</v>
      </c>
      <c r="AA9" s="5">
        <f t="shared" si="3"/>
        <v>2.5836800297090732</v>
      </c>
      <c r="AB9" s="5">
        <f t="shared" si="3"/>
        <v>0</v>
      </c>
    </row>
    <row r="10" spans="1:28" ht="18.75" customHeight="1" x14ac:dyDescent="0.2">
      <c r="A10" s="3" t="str">
        <f>+AlfalfaPivotDell!A3</f>
        <v>Alfalfa, Full Season, Baled - 7.5 Ton Goal, Center Pivot Irrigated, Dell City</v>
      </c>
      <c r="B10" s="14">
        <f>+AlfalfaPivotDell!TotRet</f>
        <v>966.37950920411527</v>
      </c>
      <c r="C10" s="14">
        <f>+AlfalfaPivotDell!TTotRet</f>
        <v>966.37950920411527</v>
      </c>
      <c r="D10" s="14">
        <f>+AlfalfaPivotDell!LTotRet</f>
        <v>0</v>
      </c>
      <c r="E10" s="1"/>
      <c r="F10" s="2">
        <f>+AlfalfaPivotDell!TotExp</f>
        <v>1058.6204907958847</v>
      </c>
      <c r="G10" s="2">
        <f>+AlfalfaPivotDell!TTotExp</f>
        <v>1058.6204907958847</v>
      </c>
      <c r="H10" s="2">
        <f>+AlfalfaPivotDell!LTotExp</f>
        <v>0</v>
      </c>
      <c r="I10" s="2"/>
      <c r="J10" s="2">
        <f>+AlfalfaPivotDell!Price</f>
        <v>270</v>
      </c>
      <c r="K10" s="2" t="str">
        <f>+AlfalfaPivotDell!Unit</f>
        <v>Ton</v>
      </c>
      <c r="L10" s="5">
        <f t="shared" si="2"/>
        <v>3.9208166325773508</v>
      </c>
      <c r="M10" s="5">
        <f t="shared" si="2"/>
        <v>3.9208166325773508</v>
      </c>
      <c r="N10" s="5">
        <f t="shared" si="2"/>
        <v>0</v>
      </c>
      <c r="P10" s="14">
        <f>+AlfalfaPivotDell!VarRet</f>
        <v>1388.9261989013996</v>
      </c>
      <c r="Q10" s="14">
        <f>+AlfalfaPivotDell!TVarRet</f>
        <v>1388.9261989013996</v>
      </c>
      <c r="R10" s="14">
        <f>+AlfalfaPivotDell!LVarRet</f>
        <v>0</v>
      </c>
      <c r="S10" s="1"/>
      <c r="T10" s="2">
        <f>+AlfalfaPivotDell!VarExp</f>
        <v>636.07380109860037</v>
      </c>
      <c r="U10" s="2">
        <f>+AlfalfaPivotDell!TVarExp</f>
        <v>636.07380109860037</v>
      </c>
      <c r="V10" s="2">
        <f>+AlfalfaPivotDell!LVarExp</f>
        <v>0</v>
      </c>
      <c r="W10" s="2"/>
      <c r="X10" s="2">
        <f>+AlfalfaPivotDell!Price</f>
        <v>270</v>
      </c>
      <c r="Y10" s="2" t="str">
        <f>+AlfalfaPivotDell!Unit</f>
        <v>Ton</v>
      </c>
      <c r="Z10" s="5">
        <f t="shared" si="3"/>
        <v>2.3558288929577791</v>
      </c>
      <c r="AA10" s="5">
        <f t="shared" si="3"/>
        <v>2.3558288929577791</v>
      </c>
      <c r="AB10" s="5">
        <f t="shared" si="3"/>
        <v>0</v>
      </c>
    </row>
    <row r="11" spans="1:28" ht="18.75" customHeight="1" x14ac:dyDescent="0.2">
      <c r="A11" s="3" t="str">
        <f>+AlfalfaFloodDell!A3</f>
        <v>Alfalfa, Full Season, Baled - 7.5 Ton Goal, Flood Irrigated, Dell City</v>
      </c>
      <c r="B11" s="14">
        <f>+AlfalfaFloodDell!TotRet</f>
        <v>1038.9177262890305</v>
      </c>
      <c r="C11" s="14">
        <f>+AlfalfaFloodDell!TTotRet</f>
        <v>1038.9177262890305</v>
      </c>
      <c r="D11" s="14">
        <f>+AlfalfaFloodDell!LTotRet</f>
        <v>0</v>
      </c>
      <c r="E11" s="1"/>
      <c r="F11" s="2">
        <f>+AlfalfaFloodDell!TotExp</f>
        <v>986.0822737109695</v>
      </c>
      <c r="G11" s="2">
        <f>+AlfalfaFloodDell!TTotExp</f>
        <v>986.0822737109695</v>
      </c>
      <c r="H11" s="2">
        <f>+AlfalfaFloodDell!LTotExp</f>
        <v>0</v>
      </c>
      <c r="I11" s="2"/>
      <c r="J11" s="2">
        <f>+AlfalfaFloodDell!Price</f>
        <v>270</v>
      </c>
      <c r="K11" s="2" t="str">
        <f>+AlfalfaFloodDell!Unit</f>
        <v>Ton</v>
      </c>
      <c r="L11" s="5">
        <f t="shared" si="2"/>
        <v>3.652156569299887</v>
      </c>
      <c r="M11" s="5">
        <f t="shared" si="2"/>
        <v>3.652156569299887</v>
      </c>
      <c r="N11" s="5">
        <f t="shared" si="2"/>
        <v>0</v>
      </c>
      <c r="P11" s="14">
        <f>+AlfalfaFloodDell!VarRet</f>
        <v>1421.0625955404134</v>
      </c>
      <c r="Q11" s="14">
        <f>+AlfalfaFloodDell!TVarRet</f>
        <v>1421.0625955404134</v>
      </c>
      <c r="R11" s="14">
        <f>+AlfalfaFloodDell!LVarRet</f>
        <v>0</v>
      </c>
      <c r="S11" s="1"/>
      <c r="T11" s="2">
        <f>+AlfalfaFloodDell!VarExp</f>
        <v>603.93740445958667</v>
      </c>
      <c r="U11" s="2">
        <f>+AlfalfaFloodDell!TVarExp</f>
        <v>603.93740445958667</v>
      </c>
      <c r="V11" s="2">
        <f>+AlfalfaFloodDell!LVarExp</f>
        <v>0</v>
      </c>
      <c r="W11" s="2"/>
      <c r="X11" s="2">
        <f>+AlfalfaFloodDell!Price</f>
        <v>270</v>
      </c>
      <c r="Y11" s="2" t="str">
        <f>+AlfalfaFloodDell!Unit</f>
        <v>Ton</v>
      </c>
      <c r="Z11" s="5">
        <f t="shared" si="3"/>
        <v>2.2368052017021727</v>
      </c>
      <c r="AA11" s="5">
        <f t="shared" si="3"/>
        <v>2.2368052017021727</v>
      </c>
      <c r="AB11" s="5">
        <f t="shared" si="3"/>
        <v>0</v>
      </c>
    </row>
    <row r="12" spans="1:28" ht="18.75" customHeight="1" x14ac:dyDescent="0.2">
      <c r="A12" s="3" t="str">
        <f>+AlfalfaElPaso!A3</f>
        <v>Alfalfa, Full Season, Baled - 7.5 Ton Goal, Flood Irrigated, El Paso Irrigation District</v>
      </c>
      <c r="B12" s="14">
        <f>+AlfalfaElPaso!TotRet</f>
        <v>1150.5136468533133</v>
      </c>
      <c r="C12" s="14">
        <f>+AlfalfaElPaso!TTotRet</f>
        <v>1150.5136468533133</v>
      </c>
      <c r="D12" s="14">
        <f>+AlfalfaElPaso!LTotRet</f>
        <v>0</v>
      </c>
      <c r="E12" s="1"/>
      <c r="F12" s="2">
        <f>+AlfalfaElPaso!TotExp</f>
        <v>874.48635314668672</v>
      </c>
      <c r="G12" s="2">
        <f>+AlfalfaElPaso!TTotExp</f>
        <v>874.48635314668672</v>
      </c>
      <c r="H12" s="2">
        <f>+AlfalfaElPaso!LTotExp</f>
        <v>0</v>
      </c>
      <c r="I12" s="2"/>
      <c r="J12" s="2">
        <f>+AlfalfaElPaso!Price</f>
        <v>270</v>
      </c>
      <c r="K12" s="2" t="str">
        <f>+AlfalfaElPaso!Unit</f>
        <v>Ton</v>
      </c>
      <c r="L12" s="5">
        <f t="shared" si="2"/>
        <v>3.2388383449877285</v>
      </c>
      <c r="M12" s="5">
        <f t="shared" si="2"/>
        <v>3.2388383449877285</v>
      </c>
      <c r="N12" s="5">
        <f t="shared" si="2"/>
        <v>0</v>
      </c>
      <c r="P12" s="14">
        <f>+AlfalfaElPaso!VarRet</f>
        <v>1473.0082079079748</v>
      </c>
      <c r="Q12" s="14">
        <f>+AlfalfaElPaso!TVarRet</f>
        <v>1473.0082079079748</v>
      </c>
      <c r="R12" s="14">
        <f>+AlfalfaElPaso!LVarRet</f>
        <v>0</v>
      </c>
      <c r="S12" s="1"/>
      <c r="T12" s="2">
        <f>+AlfalfaElPaso!VarExp</f>
        <v>551.99179209202521</v>
      </c>
      <c r="U12" s="2">
        <f>+AlfalfaElPaso!TVarExp</f>
        <v>551.99179209202521</v>
      </c>
      <c r="V12" s="2">
        <f>+AlfalfaElPaso!LVarExp</f>
        <v>0</v>
      </c>
      <c r="W12" s="2"/>
      <c r="X12" s="2">
        <f>+AlfalfaElPaso!Price</f>
        <v>270</v>
      </c>
      <c r="Y12" s="2" t="str">
        <f>+AlfalfaElPaso!Unit</f>
        <v>Ton</v>
      </c>
      <c r="Z12" s="5">
        <f t="shared" si="3"/>
        <v>2.0444140447852783</v>
      </c>
      <c r="AA12" s="5">
        <f t="shared" si="3"/>
        <v>2.0444140447852783</v>
      </c>
      <c r="AB12" s="5">
        <f t="shared" si="3"/>
        <v>0</v>
      </c>
    </row>
    <row r="13" spans="1:28" ht="18.75" customHeight="1" x14ac:dyDescent="0.2">
      <c r="A13" s="3" t="str">
        <f>+SorghumHayDryland!A3</f>
        <v>Sorghum-Sudangrass for Hay, Dryland, 3 Ton Yield</v>
      </c>
      <c r="B13" s="14">
        <f>+SorghumHayDryland!TotRet</f>
        <v>413.81391135832678</v>
      </c>
      <c r="C13" s="14">
        <f>+SorghumHayDryland!TTotRet</f>
        <v>413.81391135832678</v>
      </c>
      <c r="D13" s="14">
        <f>+SorghumHayDryland!LTotRet</f>
        <v>0</v>
      </c>
      <c r="E13" s="1"/>
      <c r="F13" s="2">
        <f>+SorghumHayDryland!TotExp</f>
        <v>229.68608864167322</v>
      </c>
      <c r="G13" s="2">
        <f>+SorghumHayDryland!TTotExp</f>
        <v>229.68608864167322</v>
      </c>
      <c r="H13" s="2">
        <f>+SorghumHayDryland!LTotExp</f>
        <v>0</v>
      </c>
      <c r="I13" s="2"/>
      <c r="J13" s="2">
        <f>+SorghumHayDryland!Price</f>
        <v>214.5</v>
      </c>
      <c r="K13" s="2" t="str">
        <f>+SorghumHayDryland!Unit</f>
        <v>Ton</v>
      </c>
      <c r="L13" s="5">
        <f t="shared" si="2"/>
        <v>1.0707976160450967</v>
      </c>
      <c r="M13" s="5">
        <f t="shared" si="2"/>
        <v>1.0707976160450967</v>
      </c>
      <c r="N13" s="5">
        <f t="shared" si="2"/>
        <v>0</v>
      </c>
      <c r="P13" s="14">
        <f>+SorghumHayDryland!VarRet</f>
        <v>485.90559867286157</v>
      </c>
      <c r="Q13" s="14">
        <f>+SorghumHayDryland!TVarRet</f>
        <v>485.90559867286157</v>
      </c>
      <c r="R13" s="14">
        <f>+SorghumHayDryland!LVarRet</f>
        <v>0</v>
      </c>
      <c r="S13" s="1"/>
      <c r="T13" s="2">
        <f>+SorghumHayDryland!VarExp</f>
        <v>157.59440132713843</v>
      </c>
      <c r="U13" s="2">
        <f>+SorghumHayDryland!TVarExp</f>
        <v>157.59440132713843</v>
      </c>
      <c r="V13" s="2">
        <f>+SorghumHayDryland!LVarExp</f>
        <v>0</v>
      </c>
      <c r="W13" s="2"/>
      <c r="X13" s="2">
        <f>+SorghumHayDryland!Price</f>
        <v>214.5</v>
      </c>
      <c r="Y13" s="2" t="str">
        <f>+SorghumHayDryland!Unit</f>
        <v>Ton</v>
      </c>
      <c r="Z13" s="5">
        <f t="shared" si="3"/>
        <v>0.73470583369295306</v>
      </c>
      <c r="AA13" s="5">
        <f t="shared" si="3"/>
        <v>0.73470583369295306</v>
      </c>
      <c r="AB13" s="5">
        <f t="shared" si="3"/>
        <v>0</v>
      </c>
    </row>
    <row r="14" spans="1:28" ht="18.75" customHeight="1" x14ac:dyDescent="0.2">
      <c r="A14" s="3" t="str">
        <f>+SorghumHayIrrigated!A3</f>
        <v>Sorghum-Sudangrass for Hay, Center Pivot Irrigated, 5 Ton Yield</v>
      </c>
      <c r="B14" s="14">
        <f>+SorghumHayIrrigated!TotRet</f>
        <v>669.31574139940437</v>
      </c>
      <c r="C14" s="14">
        <f>+SorghumHayIrrigated!TTotRet</f>
        <v>669.31574139940437</v>
      </c>
      <c r="D14" s="14">
        <f>+SorghumHayIrrigated!LTotRet</f>
        <v>0</v>
      </c>
      <c r="E14" s="1"/>
      <c r="F14" s="2">
        <f>+SorghumHayIrrigated!TotExp</f>
        <v>403.18425860059563</v>
      </c>
      <c r="G14" s="2">
        <f>+SorghumHayIrrigated!TTotExp</f>
        <v>403.18425860059563</v>
      </c>
      <c r="H14" s="2">
        <f>+SorghumHayIrrigated!LTotExp</f>
        <v>0</v>
      </c>
      <c r="I14" s="2"/>
      <c r="J14" s="2">
        <f>+SorghumHayIrrigated!Price</f>
        <v>214.5</v>
      </c>
      <c r="K14" s="2" t="str">
        <f>+SorghumHayIrrigated!Unit</f>
        <v>Ton</v>
      </c>
      <c r="L14" s="5">
        <f t="shared" si="2"/>
        <v>1.87964689324287</v>
      </c>
      <c r="M14" s="5">
        <f t="shared" si="2"/>
        <v>1.87964689324287</v>
      </c>
      <c r="N14" s="5">
        <f t="shared" si="2"/>
        <v>0</v>
      </c>
      <c r="P14" s="14">
        <f>+SorghumHayIrrigated!VarRet</f>
        <v>834.87089143763205</v>
      </c>
      <c r="Q14" s="14">
        <f>+SorghumHayIrrigated!TVarRet</f>
        <v>834.87089143763205</v>
      </c>
      <c r="R14" s="14">
        <f>+SorghumHayIrrigated!LVarRet</f>
        <v>0</v>
      </c>
      <c r="S14" s="1"/>
      <c r="T14" s="2">
        <f>+SorghumHayIrrigated!VarExp</f>
        <v>237.62910856236795</v>
      </c>
      <c r="U14" s="2">
        <f>+SorghumHayIrrigated!TVarExp</f>
        <v>237.62910856236795</v>
      </c>
      <c r="V14" s="2">
        <f>+SorghumHayIrrigated!LVarExp</f>
        <v>0</v>
      </c>
      <c r="W14" s="2"/>
      <c r="X14" s="2">
        <f>+SorghumHayIrrigated!Price</f>
        <v>214.5</v>
      </c>
      <c r="Y14" s="2" t="str">
        <f>+SorghumHayIrrigated!Unit</f>
        <v>Ton</v>
      </c>
      <c r="Z14" s="5">
        <f t="shared" si="3"/>
        <v>1.1078280119457713</v>
      </c>
      <c r="AA14" s="5">
        <f t="shared" si="3"/>
        <v>1.1078280119457713</v>
      </c>
      <c r="AB14" s="5">
        <f t="shared" si="3"/>
        <v>0</v>
      </c>
    </row>
    <row r="15" spans="1:28" ht="18.75" customHeight="1" x14ac:dyDescent="0.2">
      <c r="A15" s="3" t="str">
        <f>+SwitchgrassEstablish!A3</f>
        <v>Alamo Switchgrass Establishment, Pivot Irrigated</v>
      </c>
      <c r="B15" s="14">
        <f>+SwitchgrassEstablish!TotRet</f>
        <v>-320.86596652413505</v>
      </c>
      <c r="C15" s="14">
        <f>+SwitchgrassEstablish!TTotRet</f>
        <v>-320.86596652413505</v>
      </c>
      <c r="D15" s="14">
        <f>+SwitchgrassEstablish!LTotRet</f>
        <v>0</v>
      </c>
      <c r="E15" s="1"/>
      <c r="F15" s="2">
        <f>+SwitchgrassEstablish!TotExp</f>
        <v>320.86596652413505</v>
      </c>
      <c r="G15" s="2">
        <f>+SwitchgrassEstablish!TTotExp</f>
        <v>320.86596652413505</v>
      </c>
      <c r="H15" s="2">
        <f>+SwitchgrassEstablish!LTotExp</f>
        <v>0</v>
      </c>
      <c r="I15" s="2"/>
      <c r="J15" s="2">
        <f>+SwitchgrassEstablish!Price</f>
        <v>0</v>
      </c>
      <c r="K15" s="2" t="str">
        <f>+SwitchgrassEstablish!Unit</f>
        <v/>
      </c>
      <c r="L15" s="5">
        <f t="shared" ref="L15:N15" si="4">+IF($J15=0,0,F15/$J15)</f>
        <v>0</v>
      </c>
      <c r="M15" s="5">
        <f t="shared" si="4"/>
        <v>0</v>
      </c>
      <c r="N15" s="5">
        <f t="shared" si="4"/>
        <v>0</v>
      </c>
      <c r="P15" s="14">
        <f>+SwitchgrassEstablish!VarRet</f>
        <v>-188.74724352623707</v>
      </c>
      <c r="Q15" s="14">
        <f>+SwitchgrassEstablish!TVarRet</f>
        <v>-188.74724352623707</v>
      </c>
      <c r="R15" s="14">
        <f>+SwitchgrassEstablish!LVarRet</f>
        <v>0</v>
      </c>
      <c r="S15" s="1"/>
      <c r="T15" s="2">
        <f>+SwitchgrassEstablish!VarExp</f>
        <v>188.74724352623707</v>
      </c>
      <c r="U15" s="2">
        <f>+SwitchgrassEstablish!TVarExp</f>
        <v>188.74724352623707</v>
      </c>
      <c r="V15" s="2">
        <f>+SwitchgrassEstablish!LVarExp</f>
        <v>0</v>
      </c>
      <c r="W15" s="2"/>
      <c r="X15" s="2">
        <f>+SwitchgrassEstablish!Price</f>
        <v>0</v>
      </c>
      <c r="Y15" s="2" t="str">
        <f>+SwitchgrassEstablish!Unit</f>
        <v/>
      </c>
      <c r="Z15" s="5">
        <f t="shared" ref="Z15:AB15" si="5">+IF($J15=0,0,T15/$J15)</f>
        <v>0</v>
      </c>
      <c r="AA15" s="5">
        <f t="shared" si="5"/>
        <v>0</v>
      </c>
      <c r="AB15" s="5">
        <f t="shared" si="5"/>
        <v>0</v>
      </c>
    </row>
    <row r="16" spans="1:28" ht="18.75" customHeight="1" x14ac:dyDescent="0.2">
      <c r="A16" s="3" t="str">
        <f>+SwitchgrassGraze!A3</f>
        <v>Alamo Switchgrass, Full Season, Pivot Irrigated, Grazed</v>
      </c>
      <c r="B16" s="116">
        <f>+SwitchgrassGraze!TotRet</f>
        <v>-159.0247974823281</v>
      </c>
      <c r="C16" s="116">
        <f>+SwitchgrassGraze!TTotRet</f>
        <v>-159.0247974823281</v>
      </c>
      <c r="D16" s="116">
        <f>+SwitchgrassGraze!LTotRet</f>
        <v>0</v>
      </c>
      <c r="E16" s="1"/>
      <c r="F16" s="117">
        <f>+SwitchgrassGraze!TotExp</f>
        <v>256.67479748232807</v>
      </c>
      <c r="G16" s="117">
        <f>+SwitchgrassGraze!TTotExp</f>
        <v>256.67479748232807</v>
      </c>
      <c r="H16" s="117">
        <f>+SwitchgrassGraze!LTotExp</f>
        <v>0</v>
      </c>
      <c r="I16" s="117"/>
      <c r="J16" s="117">
        <f>+SwitchgrassGraze!Price</f>
        <v>15.5</v>
      </c>
      <c r="K16" s="117" t="str">
        <f>+SwitchgrassGraze!Unit</f>
        <v>AUM</v>
      </c>
      <c r="L16" s="118">
        <f t="shared" ref="L16:N17" si="6">+IF($J16=0,0,F16/$J16)</f>
        <v>16.559664353698587</v>
      </c>
      <c r="M16" s="118">
        <f t="shared" si="6"/>
        <v>16.559664353698587</v>
      </c>
      <c r="N16" s="118">
        <f t="shared" si="6"/>
        <v>0</v>
      </c>
      <c r="P16" s="116">
        <f>+SwitchgrassGraze!VarRet</f>
        <v>20.076019769266026</v>
      </c>
      <c r="Q16" s="116">
        <f>+SwitchgrassGraze!TVarRet</f>
        <v>20.076019769266026</v>
      </c>
      <c r="R16" s="116">
        <f>+SwitchgrassGraze!LVarRet</f>
        <v>0</v>
      </c>
      <c r="S16" s="1"/>
      <c r="T16" s="117">
        <f>+SwitchgrassGraze!VarExp</f>
        <v>77.573980230733966</v>
      </c>
      <c r="U16" s="117">
        <f>+SwitchgrassGraze!TVarExp</f>
        <v>77.573980230733966</v>
      </c>
      <c r="V16" s="117">
        <f>+SwitchgrassGraze!LVarExp</f>
        <v>0</v>
      </c>
      <c r="W16" s="117"/>
      <c r="X16" s="117">
        <f>+SwitchgrassGraze!Price</f>
        <v>15.5</v>
      </c>
      <c r="Y16" s="117" t="str">
        <f>+SwitchgrassGraze!Unit</f>
        <v>AUM</v>
      </c>
      <c r="Z16" s="118">
        <f t="shared" ref="Z16:AB17" si="7">+IF($J16=0,0,T16/$J16)</f>
        <v>5.0047729181118692</v>
      </c>
      <c r="AA16" s="118">
        <f t="shared" si="7"/>
        <v>5.0047729181118692</v>
      </c>
      <c r="AB16" s="118">
        <f t="shared" si="7"/>
        <v>0</v>
      </c>
    </row>
    <row r="17" spans="1:28" ht="18.75" customHeight="1" x14ac:dyDescent="0.2">
      <c r="A17" s="3" t="str">
        <f>+SwitchgrassHay!A3</f>
        <v>Alamo Switchgrass, Full Season, Pivot Irrigated, Baled</v>
      </c>
      <c r="B17" s="14">
        <f>+SwitchgrassHay!TotRet</f>
        <v>29.780771119247902</v>
      </c>
      <c r="C17" s="14">
        <f>+SwitchgrassHay!TTotRet</f>
        <v>29.780771119247902</v>
      </c>
      <c r="D17" s="14">
        <f>+SwitchgrassHay!LTotRet</f>
        <v>0</v>
      </c>
      <c r="E17" s="1"/>
      <c r="F17" s="2">
        <f>+SwitchgrassHay!TotExp</f>
        <v>429.86922888075208</v>
      </c>
      <c r="G17" s="2">
        <f>+SwitchgrassHay!TTotExp</f>
        <v>429.86922888075208</v>
      </c>
      <c r="H17" s="2">
        <f>+SwitchgrassHay!LTotExp</f>
        <v>0</v>
      </c>
      <c r="I17" s="2"/>
      <c r="J17" s="2">
        <f>+SwitchgrassHay!Price</f>
        <v>145</v>
      </c>
      <c r="K17" s="2" t="str">
        <f>+SwitchgrassHay!Unit</f>
        <v>Ton</v>
      </c>
      <c r="L17" s="5">
        <f t="shared" si="6"/>
        <v>2.9646153715913934</v>
      </c>
      <c r="M17" s="5">
        <f t="shared" si="6"/>
        <v>2.9646153715913934</v>
      </c>
      <c r="N17" s="5">
        <f t="shared" si="6"/>
        <v>0</v>
      </c>
      <c r="P17" s="14">
        <f>+SwitchgrassHay!VarRet</f>
        <v>256.77213657770733</v>
      </c>
      <c r="Q17" s="14">
        <f>+SwitchgrassHay!TVarRet</f>
        <v>256.77213657770733</v>
      </c>
      <c r="R17" s="14">
        <f>+SwitchgrassHay!LVarRet</f>
        <v>0</v>
      </c>
      <c r="S17" s="1"/>
      <c r="T17" s="2">
        <f>+SwitchgrassHay!VarExp</f>
        <v>202.87786342229265</v>
      </c>
      <c r="U17" s="2">
        <f>+SwitchgrassHay!TVarExp</f>
        <v>202.87786342229265</v>
      </c>
      <c r="V17" s="2">
        <f>+SwitchgrassHay!LVarExp</f>
        <v>0</v>
      </c>
      <c r="W17" s="2"/>
      <c r="X17" s="2">
        <f>+SwitchgrassHay!Price</f>
        <v>145</v>
      </c>
      <c r="Y17" s="2" t="str">
        <f>+SwitchgrassHay!Unit</f>
        <v>Ton</v>
      </c>
      <c r="Z17" s="5">
        <f t="shared" si="7"/>
        <v>1.399157678774432</v>
      </c>
      <c r="AA17" s="5">
        <f t="shared" si="7"/>
        <v>1.399157678774432</v>
      </c>
      <c r="AB17" s="5">
        <f t="shared" si="7"/>
        <v>0</v>
      </c>
    </row>
    <row r="18" spans="1:28" ht="18.75" customHeight="1" x14ac:dyDescent="0.2">
      <c r="B18" s="1"/>
      <c r="C18" s="1"/>
      <c r="D18" s="1"/>
      <c r="E18" s="1"/>
      <c r="F18" s="1"/>
      <c r="G18" s="1"/>
      <c r="H18" s="1"/>
      <c r="I18" s="6"/>
      <c r="J18" s="1"/>
      <c r="K18" s="13"/>
      <c r="L18" s="1"/>
      <c r="M18" s="1"/>
      <c r="N18" s="6"/>
      <c r="P18" s="1"/>
      <c r="Q18" s="1"/>
      <c r="R18" s="1"/>
      <c r="S18" s="1"/>
      <c r="T18" s="1"/>
      <c r="U18" s="1"/>
      <c r="V18" s="1"/>
      <c r="W18" s="6"/>
      <c r="X18" s="1"/>
      <c r="Y18" s="13"/>
      <c r="Z18" s="1"/>
      <c r="AA18" s="1"/>
      <c r="AB18" s="6"/>
    </row>
    <row r="19" spans="1:28" ht="18.75" customHeight="1" x14ac:dyDescent="0.2">
      <c r="A19" s="14" t="s">
        <v>496</v>
      </c>
      <c r="B19" s="14"/>
      <c r="C19" s="14"/>
      <c r="D19" s="14"/>
      <c r="E19" s="1"/>
      <c r="F19" s="1"/>
      <c r="G19" s="1"/>
      <c r="H19" s="1"/>
      <c r="I19" s="6"/>
      <c r="J19" s="1"/>
      <c r="K19" s="1"/>
      <c r="L19" s="1"/>
      <c r="M19" s="1"/>
      <c r="N19" s="6"/>
      <c r="P19" s="14"/>
      <c r="Q19" s="14"/>
      <c r="R19" s="14"/>
      <c r="S19" s="1"/>
      <c r="T19" s="1"/>
      <c r="U19" s="1"/>
      <c r="V19" s="1"/>
      <c r="W19" s="6"/>
      <c r="X19" s="1"/>
      <c r="Y19" s="1"/>
      <c r="Z19" s="1"/>
      <c r="AA19" s="1"/>
      <c r="AB19" s="6"/>
    </row>
    <row r="20" spans="1:28" ht="18.75" customHeight="1" x14ac:dyDescent="0.2">
      <c r="A20" s="14"/>
      <c r="B20" s="14"/>
      <c r="C20" s="14"/>
      <c r="D20" s="14"/>
      <c r="E20" s="1"/>
      <c r="F20" s="1"/>
      <c r="G20" s="1"/>
      <c r="H20" s="1"/>
      <c r="I20" s="6"/>
      <c r="J20" s="1"/>
      <c r="K20" s="1"/>
      <c r="L20" s="1"/>
      <c r="M20" s="1"/>
      <c r="N20" s="6"/>
      <c r="P20" s="14"/>
      <c r="Q20" s="14"/>
      <c r="R20" s="14"/>
      <c r="S20" s="1"/>
      <c r="T20" s="1"/>
      <c r="U20" s="1"/>
      <c r="V20" s="1"/>
      <c r="W20" s="6"/>
      <c r="X20" s="1"/>
      <c r="Y20" s="1"/>
      <c r="Z20" s="1"/>
      <c r="AA20" s="1"/>
      <c r="AB20" s="6"/>
    </row>
    <row r="21" spans="1:28" ht="18.75" customHeight="1" x14ac:dyDescent="0.2">
      <c r="A21" s="3" t="str">
        <f>+TPCottonFurrow!A3</f>
        <v>Trans Pecos Cotton, Furrow Irrigated, 40 Inch Rows</v>
      </c>
      <c r="B21" s="14">
        <f>+TPCottonFurrow!TotRet</f>
        <v>520.09166305583858</v>
      </c>
      <c r="C21" s="14">
        <f>+TPCottonFurrow!TTotRet</f>
        <v>520.09166305583858</v>
      </c>
      <c r="D21" s="14">
        <f>+TPCottonFurrow!LTotRet</f>
        <v>0</v>
      </c>
      <c r="E21" s="1"/>
      <c r="F21" s="2">
        <f>+TPCottonFurrow!TotExp</f>
        <v>873.39133694416137</v>
      </c>
      <c r="G21" s="2">
        <f>+TPCottonFurrow!TTotExp</f>
        <v>873.39133694416137</v>
      </c>
      <c r="H21" s="2">
        <f>+TPCottonFurrow!LTotExp</f>
        <v>0</v>
      </c>
      <c r="I21" s="2"/>
      <c r="J21" s="2">
        <f>+TPCottonFurrow!Price</f>
        <v>0.8</v>
      </c>
      <c r="K21" s="2" t="str">
        <f>+TPCottonFurrow!Unit</f>
        <v>Pound</v>
      </c>
      <c r="L21" s="5">
        <f t="shared" ref="L21:N22" si="8">+IF($J21=0,0,F21/$J21)</f>
        <v>1091.7391711802015</v>
      </c>
      <c r="M21" s="5">
        <f t="shared" si="8"/>
        <v>1091.7391711802015</v>
      </c>
      <c r="N21" s="5">
        <f t="shared" si="8"/>
        <v>0</v>
      </c>
      <c r="P21" s="14">
        <f>+TPCottonFurrow!VarRet</f>
        <v>758.74188728946308</v>
      </c>
      <c r="Q21" s="14">
        <f>+TPCottonFurrow!TVarRet</f>
        <v>758.74188728946308</v>
      </c>
      <c r="R21" s="14">
        <f>+TPCottonFurrow!LVarRet</f>
        <v>0</v>
      </c>
      <c r="S21" s="1"/>
      <c r="T21" s="2">
        <f>+TPCottonFurrow!VarExp</f>
        <v>634.74111271053687</v>
      </c>
      <c r="U21" s="2">
        <f>+TPCottonFurrow!TVarExp</f>
        <v>634.74111271053687</v>
      </c>
      <c r="V21" s="2">
        <f>+TPCottonFurrow!LVarExp</f>
        <v>0</v>
      </c>
      <c r="W21" s="2"/>
      <c r="X21" s="2">
        <f>+TPCottonFurrow!Price</f>
        <v>0.8</v>
      </c>
      <c r="Y21" s="2" t="str">
        <f>+TPCottonFurrow!Unit</f>
        <v>Pound</v>
      </c>
      <c r="Z21" s="5">
        <f t="shared" ref="Z21:AB22" si="9">+IF($J21=0,0,T21/$J21)</f>
        <v>793.426390888171</v>
      </c>
      <c r="AA21" s="5">
        <f t="shared" si="9"/>
        <v>793.426390888171</v>
      </c>
      <c r="AB21" s="5">
        <f t="shared" si="9"/>
        <v>0</v>
      </c>
    </row>
    <row r="22" spans="1:28" ht="18.75" customHeight="1" x14ac:dyDescent="0.2">
      <c r="A22" s="3" t="str">
        <f>+TPCottonPivot!A3</f>
        <v>Trans Pecos Cotton, Center Pivot Irrigated, 40 Inch Rows</v>
      </c>
      <c r="B22" s="14">
        <f>+TPCottonPivot!TotRet</f>
        <v>414.90976634202184</v>
      </c>
      <c r="C22" s="14">
        <f>+TPCottonPivot!TTotRet</f>
        <v>414.90976634202184</v>
      </c>
      <c r="D22" s="14">
        <f>+TPCottonPivot!LTotRet</f>
        <v>0</v>
      </c>
      <c r="E22" s="1"/>
      <c r="F22" s="2">
        <f>+TPCottonPivot!TotExp</f>
        <v>1163.0902336579782</v>
      </c>
      <c r="G22" s="2">
        <f>+TPCottonPivot!TTotExp</f>
        <v>1163.0902336579782</v>
      </c>
      <c r="H22" s="2">
        <f>+TPCottonPivot!LTotExp</f>
        <v>0</v>
      </c>
      <c r="I22" s="2"/>
      <c r="J22" s="2">
        <f>+TPCottonPivot!Price</f>
        <v>0.8</v>
      </c>
      <c r="K22" s="2" t="str">
        <f>+TPCottonPivot!Unit</f>
        <v>Pound</v>
      </c>
      <c r="L22" s="5">
        <f t="shared" si="8"/>
        <v>1453.8627920724725</v>
      </c>
      <c r="M22" s="5">
        <f t="shared" si="8"/>
        <v>1453.8627920724725</v>
      </c>
      <c r="N22" s="5">
        <f t="shared" si="8"/>
        <v>0</v>
      </c>
      <c r="P22" s="14">
        <f>+TPCottonPivot!VarRet</f>
        <v>663.7064415864977</v>
      </c>
      <c r="Q22" s="14">
        <f>+TPCottonPivot!TVarRet</f>
        <v>663.7064415864977</v>
      </c>
      <c r="R22" s="14">
        <f>+TPCottonPivot!LVarRet</f>
        <v>0</v>
      </c>
      <c r="S22" s="1"/>
      <c r="T22" s="2">
        <f>+TPCottonPivot!VarExp</f>
        <v>914.2935584135023</v>
      </c>
      <c r="U22" s="2">
        <f>+TPCottonPivot!TVarExp</f>
        <v>914.2935584135023</v>
      </c>
      <c r="V22" s="2">
        <f>+TPCottonPivot!LVarExp</f>
        <v>0</v>
      </c>
      <c r="W22" s="2"/>
      <c r="X22" s="2">
        <f>+TPCottonPivot!Price</f>
        <v>0.8</v>
      </c>
      <c r="Y22" s="2" t="str">
        <f>+TPCottonPivot!Unit</f>
        <v>Pound</v>
      </c>
      <c r="Z22" s="5">
        <f t="shared" si="9"/>
        <v>1142.8669480168778</v>
      </c>
      <c r="AA22" s="5">
        <f t="shared" si="9"/>
        <v>1142.8669480168778</v>
      </c>
      <c r="AB22" s="5">
        <f t="shared" si="9"/>
        <v>0</v>
      </c>
    </row>
    <row r="23" spans="1:28" ht="18.75" customHeight="1" x14ac:dyDescent="0.2">
      <c r="A23" s="3" t="str">
        <f>+SLCottonDrip!A3</f>
        <v>St. Lawrence Reduced Tillage Cotton, Drip Irrigated, 40 Inch Rows</v>
      </c>
      <c r="B23" s="14">
        <f>+SLCottonDrip!TotRet</f>
        <v>222.16047653153964</v>
      </c>
      <c r="C23" s="14">
        <f>+SLCottonDrip!TTotRet</f>
        <v>222.16047653153964</v>
      </c>
      <c r="D23" s="14">
        <f>+SLCottonDrip!LTotRet</f>
        <v>0</v>
      </c>
      <c r="E23" s="1"/>
      <c r="F23" s="2">
        <f>+SLCottonDrip!TotExp</f>
        <v>1301.8395234684604</v>
      </c>
      <c r="G23" s="2">
        <f>+SLCottonDrip!TTotExp</f>
        <v>1301.8395234684604</v>
      </c>
      <c r="H23" s="2">
        <f>+SLCottonDrip!LTotExp</f>
        <v>0</v>
      </c>
      <c r="I23" s="2"/>
      <c r="J23" s="2">
        <f>+SLCottonDrip!Price</f>
        <v>0.8</v>
      </c>
      <c r="K23" s="2" t="str">
        <f>+SLCottonDrip!Unit</f>
        <v>Pound</v>
      </c>
      <c r="L23" s="5">
        <f t="shared" ref="L23:L27" si="10">+IF($J23=0,0,F23/$J23)</f>
        <v>1627.2994043355754</v>
      </c>
      <c r="M23" s="5">
        <f t="shared" ref="M23:M27" si="11">+IF($J23=0,0,G23/$J23)</f>
        <v>1627.2994043355754</v>
      </c>
      <c r="N23" s="5">
        <f t="shared" ref="N23:N27" si="12">+IF($J23=0,0,H23/$J23)</f>
        <v>0</v>
      </c>
      <c r="P23" s="14">
        <f>+SLCottonDrip!VarRet</f>
        <v>544.53168337472891</v>
      </c>
      <c r="Q23" s="14">
        <f>+SLCottonDrip!TVarRet</f>
        <v>544.53168337472891</v>
      </c>
      <c r="R23" s="14">
        <f>+SLCottonDrip!LVarRet</f>
        <v>0</v>
      </c>
      <c r="S23" s="1"/>
      <c r="T23" s="2">
        <f>+SLCottonDrip!VarExp</f>
        <v>979.46831662527109</v>
      </c>
      <c r="U23" s="2">
        <f>+SLCottonDrip!TVarExp</f>
        <v>979.46831662527109</v>
      </c>
      <c r="V23" s="2">
        <f>+SLCottonDrip!LVarExp</f>
        <v>0</v>
      </c>
      <c r="W23" s="2"/>
      <c r="X23" s="2">
        <f>+SLCottonDrip!Price</f>
        <v>0.8</v>
      </c>
      <c r="Y23" s="2" t="str">
        <f>+SLCottonDrip!Unit</f>
        <v>Pound</v>
      </c>
      <c r="Z23" s="5">
        <f t="shared" ref="Z23:Z27" si="13">+IF($J23=0,0,T23/$J23)</f>
        <v>1224.3353957815889</v>
      </c>
      <c r="AA23" s="5">
        <f t="shared" ref="AA23:AA27" si="14">+IF($J23=0,0,U23/$J23)</f>
        <v>1224.3353957815889</v>
      </c>
      <c r="AB23" s="5">
        <f t="shared" ref="AB23:AB27" si="15">+IF($J23=0,0,V23/$J23)</f>
        <v>0</v>
      </c>
    </row>
    <row r="24" spans="1:28" ht="18.75" customHeight="1" x14ac:dyDescent="0.2">
      <c r="A24" s="3" t="str">
        <f>+SLXFCottonDrip!A3</f>
        <v>St. Lawrence Auxin Technology Cotton, Drip Irrigated, 40 Inch Rows</v>
      </c>
      <c r="B24" s="14">
        <f>+SLXFCottonDrip!TotRet</f>
        <v>146.71880447217109</v>
      </c>
      <c r="C24" s="14">
        <f>+SLXFCottonDrip!TTotRet</f>
        <v>146.71880447217109</v>
      </c>
      <c r="D24" s="14">
        <f>+SLXFCottonDrip!LTotRet</f>
        <v>0</v>
      </c>
      <c r="E24" s="1"/>
      <c r="F24" s="2">
        <f>+SLXFCottonDrip!TotExp</f>
        <v>1377.2811955278289</v>
      </c>
      <c r="G24" s="2">
        <f>+SLXFCottonDrip!TTotExp</f>
        <v>1377.2811955278289</v>
      </c>
      <c r="H24" s="2">
        <f>+SLXFCottonDrip!LTotExp</f>
        <v>0</v>
      </c>
      <c r="I24" s="2"/>
      <c r="J24" s="2">
        <f>+SLXFCottonDrip!Price</f>
        <v>0.8</v>
      </c>
      <c r="K24" s="2" t="str">
        <f>+SLXFCottonDrip!Unit</f>
        <v>Pound</v>
      </c>
      <c r="L24" s="5">
        <f t="shared" si="10"/>
        <v>1721.601494409786</v>
      </c>
      <c r="M24" s="5">
        <f t="shared" si="11"/>
        <v>1721.601494409786</v>
      </c>
      <c r="N24" s="5">
        <f t="shared" si="12"/>
        <v>0</v>
      </c>
      <c r="P24" s="14">
        <f>+SLXFCottonDrip!VarRet</f>
        <v>469.09001131536024</v>
      </c>
      <c r="Q24" s="14">
        <f>+SLXFCottonDrip!TVarRet</f>
        <v>469.09001131536024</v>
      </c>
      <c r="R24" s="14">
        <f>+SLXFCottonDrip!LVarRet</f>
        <v>0</v>
      </c>
      <c r="S24" s="1"/>
      <c r="T24" s="2">
        <f>+SLXFCottonDrip!VarExp</f>
        <v>1054.9099886846398</v>
      </c>
      <c r="U24" s="2">
        <f>+SLXFCottonDrip!TVarExp</f>
        <v>1054.9099886846398</v>
      </c>
      <c r="V24" s="2">
        <f>+SLXFCottonDrip!LVarExp</f>
        <v>0</v>
      </c>
      <c r="W24" s="2"/>
      <c r="X24" s="2">
        <f>+SLXFCottonDrip!Price</f>
        <v>0.8</v>
      </c>
      <c r="Y24" s="2" t="str">
        <f>+SLXFCottonDrip!Unit</f>
        <v>Pound</v>
      </c>
      <c r="Z24" s="5">
        <f t="shared" si="13"/>
        <v>1318.6374858557997</v>
      </c>
      <c r="AA24" s="5">
        <f t="shared" si="14"/>
        <v>1318.6374858557997</v>
      </c>
      <c r="AB24" s="5">
        <f t="shared" si="15"/>
        <v>0</v>
      </c>
    </row>
    <row r="25" spans="1:28" ht="18.75" customHeight="1" x14ac:dyDescent="0.2">
      <c r="A25" s="3" t="str">
        <f>+SLCottonDrylandGM!A3</f>
        <v>St. Lawrence Dryland Cotton, BIIFlex, 40 Inch Rows</v>
      </c>
      <c r="B25" s="14">
        <f>+SLCottonDrylandGM!TotRet</f>
        <v>-66.276137467845956</v>
      </c>
      <c r="C25" s="14">
        <f>+SLCottonDrylandGM!TTotRet</f>
        <v>-66.276137467845956</v>
      </c>
      <c r="D25" s="14">
        <f>+SLCottonDrylandGM!LTotRet</f>
        <v>0</v>
      </c>
      <c r="E25" s="1"/>
      <c r="F25" s="2">
        <f>+SLCottonDrylandGM!TotExp</f>
        <v>415.26113746784597</v>
      </c>
      <c r="G25" s="2">
        <f>+SLCottonDrylandGM!TTotExp</f>
        <v>415.26113746784597</v>
      </c>
      <c r="H25" s="2">
        <f>+SLCottonDrylandGM!LTotExp</f>
        <v>0</v>
      </c>
      <c r="I25" s="2"/>
      <c r="J25" s="2">
        <f>+SLCottonDrylandGM!Price</f>
        <v>0.8</v>
      </c>
      <c r="K25" s="2" t="str">
        <f>+SLCottonDrylandGM!Unit</f>
        <v>Pound</v>
      </c>
      <c r="L25" s="5">
        <f t="shared" si="10"/>
        <v>519.07642183480743</v>
      </c>
      <c r="M25" s="5">
        <f t="shared" si="11"/>
        <v>519.07642183480743</v>
      </c>
      <c r="N25" s="5">
        <f t="shared" si="12"/>
        <v>0</v>
      </c>
      <c r="P25" s="14">
        <f>+SLCottonDrylandGM!VarRet</f>
        <v>37.798657315197772</v>
      </c>
      <c r="Q25" s="14">
        <f>+SLCottonDrylandGM!TVarRet</f>
        <v>37.798657315197772</v>
      </c>
      <c r="R25" s="14">
        <f>+SLCottonDrylandGM!LVarRet</f>
        <v>0</v>
      </c>
      <c r="S25" s="1"/>
      <c r="T25" s="2">
        <f>+SLCottonDrylandGM!VarExp</f>
        <v>311.18634268480224</v>
      </c>
      <c r="U25" s="2">
        <f>+SLCottonDrylandGM!TVarExp</f>
        <v>311.18634268480224</v>
      </c>
      <c r="V25" s="2">
        <f>+SLCottonDrylandGM!LVarExp</f>
        <v>0</v>
      </c>
      <c r="W25" s="2"/>
      <c r="X25" s="2">
        <f>+SLCottonDrylandGM!Price</f>
        <v>0.8</v>
      </c>
      <c r="Y25" s="2" t="str">
        <f>+SLCottonDrylandGM!Unit</f>
        <v>Pound</v>
      </c>
      <c r="Z25" s="5">
        <f t="shared" si="13"/>
        <v>388.98292835600279</v>
      </c>
      <c r="AA25" s="5">
        <f t="shared" si="14"/>
        <v>388.98292835600279</v>
      </c>
      <c r="AB25" s="5">
        <f t="shared" si="15"/>
        <v>0</v>
      </c>
    </row>
    <row r="26" spans="1:28" ht="18.75" customHeight="1" x14ac:dyDescent="0.2">
      <c r="A26" s="3" t="str">
        <f>+SLXFCottonDryland!A3</f>
        <v>St. Lawrence Dryland Auxin Technology Cotton, 40 Inch Rows</v>
      </c>
      <c r="B26" s="14">
        <f>+SLXFCottonDryland!TotRet</f>
        <v>-88.157242030085399</v>
      </c>
      <c r="C26" s="14">
        <f>+SLXFCottonDryland!TTotRet</f>
        <v>-88.157242030085399</v>
      </c>
      <c r="D26" s="14">
        <f>+SLXFCottonDryland!LTotRet</f>
        <v>0</v>
      </c>
      <c r="E26" s="1"/>
      <c r="F26" s="2">
        <f>+SLXFCottonDryland!TotExp</f>
        <v>437.14224203008541</v>
      </c>
      <c r="G26" s="2">
        <f>+SLXFCottonDryland!TTotExp</f>
        <v>437.14224203008541</v>
      </c>
      <c r="H26" s="2">
        <f>+SLXFCottonDryland!LTotExp</f>
        <v>0</v>
      </c>
      <c r="I26" s="2"/>
      <c r="J26" s="2">
        <f>+SLXFCottonDryland!Price</f>
        <v>0.8</v>
      </c>
      <c r="K26" s="2" t="str">
        <f>+SLXFCottonDryland!Unit</f>
        <v>Pound</v>
      </c>
      <c r="L26" s="5">
        <f>+IF($J26=0,0,F26/$J26)</f>
        <v>546.42780253760668</v>
      </c>
      <c r="M26" s="5">
        <f>+IF($J26=0,0,G26/$J26)</f>
        <v>546.42780253760668</v>
      </c>
      <c r="N26" s="5">
        <f>+IF($J26=0,0,H26/$J26)</f>
        <v>0</v>
      </c>
      <c r="P26" s="14">
        <f>+SLXFCottonDryland!VarRet</f>
        <v>15.917552752958329</v>
      </c>
      <c r="Q26" s="14">
        <f>+SLXFCottonDryland!TVarRet</f>
        <v>15.917552752958329</v>
      </c>
      <c r="R26" s="14">
        <f>+SLXFCottonDryland!LVarRet</f>
        <v>0</v>
      </c>
      <c r="S26" s="1"/>
      <c r="T26" s="2">
        <f>+SLXFCottonDryland!VarExp</f>
        <v>333.06744724704168</v>
      </c>
      <c r="U26" s="2">
        <f>+SLXFCottonDryland!TVarExp</f>
        <v>333.06744724704168</v>
      </c>
      <c r="V26" s="2">
        <f>+SLXFCottonDryland!LVarExp</f>
        <v>0</v>
      </c>
      <c r="W26" s="2"/>
      <c r="X26" s="2">
        <f>+SLXFCottonDryland!Price</f>
        <v>0.8</v>
      </c>
      <c r="Y26" s="2" t="str">
        <f>+SLXFCottonDryland!Unit</f>
        <v>Pound</v>
      </c>
      <c r="Z26" s="5">
        <f>+IF($J26=0,0,T26/$J26)</f>
        <v>416.33430905880209</v>
      </c>
      <c r="AA26" s="5">
        <f>+IF($J26=0,0,U26/$J26)</f>
        <v>416.33430905880209</v>
      </c>
      <c r="AB26" s="5">
        <f>+IF($J26=0,0,V26/$J26)</f>
        <v>0</v>
      </c>
    </row>
    <row r="27" spans="1:28" ht="18.75" customHeight="1" x14ac:dyDescent="0.2">
      <c r="A27" s="3" t="str">
        <f>+ElPasoCotton!A3</f>
        <v>El Paso County Cotton, Canal Delivered Furrow Irrigated, 40 Inch Rows</v>
      </c>
      <c r="B27" s="14">
        <f>+ElPasoCotton!TotRet</f>
        <v>538.29015767861574</v>
      </c>
      <c r="C27" s="14">
        <f>+ElPasoCotton!TTotRet</f>
        <v>538.29015767861574</v>
      </c>
      <c r="D27" s="14">
        <f>+ElPasoCotton!LTotRet</f>
        <v>0</v>
      </c>
      <c r="E27" s="1"/>
      <c r="F27" s="2">
        <f>+ElPasoCotton!TotExp</f>
        <v>808.97984232138424</v>
      </c>
      <c r="G27" s="2">
        <f>+ElPasoCotton!TTotExp</f>
        <v>808.97984232138424</v>
      </c>
      <c r="H27" s="2">
        <f>+ElPasoCotton!LTotExp</f>
        <v>0</v>
      </c>
      <c r="I27" s="2"/>
      <c r="J27" s="2">
        <f>+ElPasoCotton!Price</f>
        <v>0.8</v>
      </c>
      <c r="K27" s="2" t="str">
        <f>+ElPasoCotton!Unit</f>
        <v>Pound</v>
      </c>
      <c r="L27" s="5">
        <f t="shared" si="10"/>
        <v>1011.2248029017303</v>
      </c>
      <c r="M27" s="5">
        <f t="shared" si="11"/>
        <v>1011.2248029017303</v>
      </c>
      <c r="N27" s="5">
        <f t="shared" si="12"/>
        <v>0</v>
      </c>
      <c r="P27" s="14">
        <f>+ElPasoCotton!VarRet</f>
        <v>699.43578299693809</v>
      </c>
      <c r="Q27" s="14">
        <f>+ElPasoCotton!TVarRet</f>
        <v>699.43578299693809</v>
      </c>
      <c r="R27" s="14">
        <f>+ElPasoCotton!LVarRet</f>
        <v>0</v>
      </c>
      <c r="S27" s="1"/>
      <c r="T27" s="2">
        <f>+ElPasoCotton!VarExp</f>
        <v>647.83421700306189</v>
      </c>
      <c r="U27" s="2">
        <f>+ElPasoCotton!TVarExp</f>
        <v>647.83421700306189</v>
      </c>
      <c r="V27" s="2">
        <f>+ElPasoCotton!LVarExp</f>
        <v>0</v>
      </c>
      <c r="W27" s="2"/>
      <c r="X27" s="2">
        <f>+ElPasoCotton!Price</f>
        <v>0.8</v>
      </c>
      <c r="Y27" s="2" t="str">
        <f>+ElPasoCotton!Unit</f>
        <v>Pound</v>
      </c>
      <c r="Z27" s="5">
        <f t="shared" si="13"/>
        <v>809.79277125382737</v>
      </c>
      <c r="AA27" s="5">
        <f t="shared" si="14"/>
        <v>809.79277125382737</v>
      </c>
      <c r="AB27" s="5">
        <f t="shared" si="15"/>
        <v>0</v>
      </c>
    </row>
    <row r="28" spans="1:28" ht="18.75" customHeight="1" x14ac:dyDescent="0.2">
      <c r="A28" s="3" t="str">
        <f>+SLGSDrip!A3</f>
        <v>St. Lawrence Early Planted Grain Sorghum, Drip Irrigated, 40 Inch Rows</v>
      </c>
      <c r="B28" s="14">
        <f>+SLGSDrip!TotRet</f>
        <v>-278.21076609193278</v>
      </c>
      <c r="C28" s="14">
        <f>+SLGSDrip!TTotRet</f>
        <v>-278.21076609193278</v>
      </c>
      <c r="D28" s="14">
        <f>+SLGSDrip!LTotRet</f>
        <v>0</v>
      </c>
      <c r="E28" s="1"/>
      <c r="F28" s="2">
        <f>+SLGSDrip!TotExp</f>
        <v>703.27876609193277</v>
      </c>
      <c r="G28" s="2">
        <f>+SLGSDrip!TTotExp</f>
        <v>703.27876609193277</v>
      </c>
      <c r="H28" s="2">
        <f>+SLGSDrip!LTotExp</f>
        <v>0</v>
      </c>
      <c r="I28" s="2"/>
      <c r="J28" s="2">
        <f>+SLGSDrip!Price</f>
        <v>8.93</v>
      </c>
      <c r="K28" s="2" t="str">
        <f>+SLGSDrip!Unit</f>
        <v>CWT</v>
      </c>
      <c r="L28" s="5">
        <f t="shared" ref="L28:N30" si="16">+IF($J28=0,0,F28/$J28)</f>
        <v>78.754621062926404</v>
      </c>
      <c r="M28" s="5">
        <f t="shared" si="16"/>
        <v>78.754621062926404</v>
      </c>
      <c r="N28" s="5">
        <f t="shared" si="16"/>
        <v>0</v>
      </c>
      <c r="P28" s="14">
        <f>+SLGSDrip!VarRet</f>
        <v>14.70476836660356</v>
      </c>
      <c r="Q28" s="14">
        <f>+SLGSDrip!TVarRet</f>
        <v>14.70476836660356</v>
      </c>
      <c r="R28" s="14">
        <f>+SLGSDrip!LVarRet</f>
        <v>0</v>
      </c>
      <c r="S28" s="1"/>
      <c r="T28" s="2">
        <f>+SLGSDrip!VarExp</f>
        <v>410.36323163339642</v>
      </c>
      <c r="U28" s="2">
        <f>+SLGSDrip!TVarExp</f>
        <v>410.36323163339642</v>
      </c>
      <c r="V28" s="2">
        <f>+SLGSDrip!LVarExp</f>
        <v>0</v>
      </c>
      <c r="W28" s="2"/>
      <c r="X28" s="2">
        <f>+SLGSDrip!Price</f>
        <v>8.93</v>
      </c>
      <c r="Y28" s="2" t="str">
        <f>+SLGSDrip!Unit</f>
        <v>CWT</v>
      </c>
      <c r="Z28" s="5">
        <f t="shared" ref="Z28:AB30" si="17">+IF($J28=0,0,T28/$J28)</f>
        <v>45.953329410234765</v>
      </c>
      <c r="AA28" s="5">
        <f t="shared" si="17"/>
        <v>45.953329410234765</v>
      </c>
      <c r="AB28" s="5">
        <f t="shared" si="17"/>
        <v>0</v>
      </c>
    </row>
    <row r="29" spans="1:28" ht="18.75" customHeight="1" x14ac:dyDescent="0.2">
      <c r="A29" s="3" t="str">
        <f>+WheatDryland!A3</f>
        <v>Wheat, Dryland</v>
      </c>
      <c r="B29" s="14">
        <f>+WheatDryland!TotRet</f>
        <v>-114.98192998443096</v>
      </c>
      <c r="C29" s="14">
        <f>+WheatDryland!TTotRet</f>
        <v>-114.98192998443096</v>
      </c>
      <c r="D29" s="14">
        <f>+WheatDryland!LTotRet</f>
        <v>0</v>
      </c>
      <c r="E29" s="1"/>
      <c r="F29" s="2">
        <f>+WheatDryland!TotExp</f>
        <v>255.78192998443097</v>
      </c>
      <c r="G29" s="2">
        <f>+WheatDryland!TTotExp</f>
        <v>255.78192998443097</v>
      </c>
      <c r="H29" s="2">
        <f>+WheatDryland!LTotExp</f>
        <v>0</v>
      </c>
      <c r="I29" s="2"/>
      <c r="J29" s="2">
        <f>+WheatDryland!Price</f>
        <v>6.4</v>
      </c>
      <c r="K29" s="2" t="str">
        <f>+WheatDryland!Unit</f>
        <v>Bushel</v>
      </c>
      <c r="L29" s="5">
        <f t="shared" si="16"/>
        <v>39.965926560067338</v>
      </c>
      <c r="M29" s="5">
        <f t="shared" si="16"/>
        <v>39.965926560067338</v>
      </c>
      <c r="N29" s="5">
        <f t="shared" si="16"/>
        <v>0</v>
      </c>
      <c r="P29" s="14">
        <f>+WheatDryland!VarRet</f>
        <v>-25.063124727860554</v>
      </c>
      <c r="Q29" s="14">
        <f>+WheatDryland!TVarRet</f>
        <v>-25.063124727860554</v>
      </c>
      <c r="R29" s="14">
        <f>+WheatDryland!LVarRet</f>
        <v>0</v>
      </c>
      <c r="S29" s="1"/>
      <c r="T29" s="2">
        <f>+WheatDryland!VarExp</f>
        <v>165.86312472786057</v>
      </c>
      <c r="U29" s="2">
        <f>+WheatDryland!TVarExp</f>
        <v>165.86312472786057</v>
      </c>
      <c r="V29" s="2">
        <f>+WheatDryland!LVarExp</f>
        <v>0</v>
      </c>
      <c r="W29" s="2"/>
      <c r="X29" s="2">
        <f>+WheatDryland!Price</f>
        <v>6.4</v>
      </c>
      <c r="Y29" s="2" t="str">
        <f>+WheatDryland!Unit</f>
        <v>Bushel</v>
      </c>
      <c r="Z29" s="5">
        <f t="shared" si="17"/>
        <v>25.916113238728212</v>
      </c>
      <c r="AA29" s="5">
        <f t="shared" si="17"/>
        <v>25.916113238728212</v>
      </c>
      <c r="AB29" s="5">
        <f t="shared" si="17"/>
        <v>0</v>
      </c>
    </row>
    <row r="30" spans="1:28" ht="18.75" customHeight="1" x14ac:dyDescent="0.2">
      <c r="A30" s="3" t="str">
        <f>+WheatIrrigated!A3</f>
        <v>Wheat, Center Pivot Irrigated, Trans Pecos</v>
      </c>
      <c r="B30" s="14">
        <f>+WheatIrrigated!TotRet</f>
        <v>-196.73114528999724</v>
      </c>
      <c r="C30" s="14">
        <f>+WheatIrrigated!TTotRet</f>
        <v>-196.73114528999724</v>
      </c>
      <c r="D30" s="14">
        <f>+WheatIrrigated!LTotRet</f>
        <v>0</v>
      </c>
      <c r="E30" s="1"/>
      <c r="F30" s="2">
        <f>+WheatIrrigated!TotExp</f>
        <v>516.73114528999724</v>
      </c>
      <c r="G30" s="2">
        <f>+WheatIrrigated!TTotExp</f>
        <v>516.73114528999724</v>
      </c>
      <c r="H30" s="2">
        <f>+WheatIrrigated!LTotExp</f>
        <v>0</v>
      </c>
      <c r="I30" s="2"/>
      <c r="J30" s="2">
        <f>+WheatIrrigated!Price</f>
        <v>6.4</v>
      </c>
      <c r="K30" s="2" t="str">
        <f>+WheatIrrigated!Unit</f>
        <v>Bushel</v>
      </c>
      <c r="L30" s="5">
        <f t="shared" si="16"/>
        <v>80.739241451562066</v>
      </c>
      <c r="M30" s="5">
        <f t="shared" si="16"/>
        <v>80.739241451562066</v>
      </c>
      <c r="N30" s="5">
        <f t="shared" si="16"/>
        <v>0</v>
      </c>
      <c r="P30" s="14">
        <f>+WheatIrrigated!VarRet</f>
        <v>-4.3171548202025178</v>
      </c>
      <c r="Q30" s="14">
        <f>+WheatIrrigated!TVarRet</f>
        <v>-4.3171548202025178</v>
      </c>
      <c r="R30" s="14">
        <f>+WheatIrrigated!LVarRet</f>
        <v>0</v>
      </c>
      <c r="S30" s="1"/>
      <c r="T30" s="2">
        <f>+WheatIrrigated!VarExp</f>
        <v>324.31715482020252</v>
      </c>
      <c r="U30" s="2">
        <f>+WheatIrrigated!TVarExp</f>
        <v>324.31715482020252</v>
      </c>
      <c r="V30" s="2">
        <f>+WheatIrrigated!LVarExp</f>
        <v>0</v>
      </c>
      <c r="W30" s="2"/>
      <c r="X30" s="2">
        <f>+WheatIrrigated!Price</f>
        <v>6.4</v>
      </c>
      <c r="Y30" s="2" t="str">
        <f>+WheatIrrigated!Unit</f>
        <v>Bushel</v>
      </c>
      <c r="Z30" s="5">
        <f t="shared" si="17"/>
        <v>50.67455544065664</v>
      </c>
      <c r="AA30" s="5">
        <f t="shared" si="17"/>
        <v>50.67455544065664</v>
      </c>
      <c r="AB30" s="5">
        <f t="shared" si="17"/>
        <v>0</v>
      </c>
    </row>
    <row r="31" spans="1:28" ht="18.75" customHeight="1" x14ac:dyDescent="0.2">
      <c r="A31" s="3"/>
      <c r="B31" s="14"/>
      <c r="C31" s="14"/>
      <c r="D31" s="14"/>
      <c r="E31" s="1"/>
      <c r="F31" s="2"/>
      <c r="G31" s="2"/>
      <c r="H31" s="2"/>
      <c r="I31" s="2"/>
      <c r="J31" s="2"/>
      <c r="K31" s="2"/>
      <c r="L31" s="5"/>
      <c r="M31" s="5"/>
      <c r="N31" s="5"/>
      <c r="P31" s="14"/>
      <c r="Q31" s="14"/>
      <c r="R31" s="14"/>
      <c r="S31" s="1"/>
      <c r="T31" s="2"/>
      <c r="U31" s="2"/>
      <c r="V31" s="2"/>
      <c r="W31" s="2"/>
      <c r="X31" s="2"/>
      <c r="Y31" s="2"/>
      <c r="Z31" s="5"/>
      <c r="AA31" s="5"/>
      <c r="AB31" s="5"/>
    </row>
    <row r="32" spans="1:28" ht="18.75" customHeight="1" x14ac:dyDescent="0.2">
      <c r="A32" s="14" t="s">
        <v>497</v>
      </c>
      <c r="B32" s="14"/>
      <c r="C32" s="14"/>
      <c r="D32" s="14"/>
      <c r="E32" s="1"/>
      <c r="F32" s="2"/>
      <c r="G32" s="2"/>
      <c r="H32" s="2"/>
      <c r="I32" s="2"/>
      <c r="J32" s="2"/>
      <c r="K32" s="2"/>
      <c r="L32" s="5"/>
      <c r="M32" s="5"/>
      <c r="N32" s="5"/>
      <c r="P32" s="14"/>
      <c r="Q32" s="14"/>
      <c r="R32" s="14"/>
      <c r="S32" s="1"/>
      <c r="T32" s="2"/>
      <c r="U32" s="2"/>
      <c r="V32" s="2"/>
      <c r="W32" s="2"/>
      <c r="X32" s="2"/>
      <c r="Y32" s="2"/>
      <c r="Z32" s="5"/>
      <c r="AA32" s="5"/>
      <c r="AB32" s="5"/>
    </row>
    <row r="33" spans="1:28" ht="18.75" customHeight="1" x14ac:dyDescent="0.2">
      <c r="A33" s="3"/>
      <c r="B33" s="14"/>
      <c r="C33" s="14"/>
      <c r="D33" s="14"/>
      <c r="E33" s="2"/>
      <c r="F33" s="2"/>
      <c r="G33" s="2"/>
      <c r="H33" s="2"/>
      <c r="I33" s="2"/>
      <c r="J33" s="2"/>
      <c r="K33" s="2"/>
      <c r="L33" s="5"/>
      <c r="M33" s="5"/>
      <c r="N33" s="5"/>
      <c r="P33" s="14"/>
      <c r="Q33" s="14"/>
      <c r="R33" s="14"/>
      <c r="S33" s="2"/>
      <c r="T33" s="2"/>
      <c r="U33" s="2"/>
      <c r="V33" s="2"/>
      <c r="W33" s="2"/>
      <c r="X33" s="2"/>
      <c r="Y33" s="2"/>
      <c r="Z33" s="5"/>
      <c r="AA33" s="5"/>
      <c r="AB33" s="5"/>
    </row>
    <row r="34" spans="1:28" ht="18.75" customHeight="1" x14ac:dyDescent="0.2">
      <c r="A34" s="3" t="str">
        <f>+RedChile!A3</f>
        <v>Red Chile Peppers, Dell City, Center Pivot Irrigated</v>
      </c>
      <c r="B34" s="14">
        <f>+RedChile!TotRet</f>
        <v>2449.2767640276998</v>
      </c>
      <c r="C34" s="14">
        <f>+RedChile!TTotRet</f>
        <v>2449.2767640276998</v>
      </c>
      <c r="D34" s="14">
        <f>+RedChile!LTotRet</f>
        <v>0</v>
      </c>
      <c r="E34" s="1"/>
      <c r="F34" s="2">
        <f>+RedChile!TotExp</f>
        <v>1350.7232359723</v>
      </c>
      <c r="G34" s="2">
        <f>+RedChile!TTotExp</f>
        <v>1350.7232359723</v>
      </c>
      <c r="H34" s="2">
        <f>+RedChile!LTotExp</f>
        <v>0</v>
      </c>
      <c r="I34" s="2"/>
      <c r="J34" s="2">
        <f>+RedChile!Price</f>
        <v>0.95</v>
      </c>
      <c r="K34" s="2" t="str">
        <f>+RedChile!Unit</f>
        <v>Pound</v>
      </c>
      <c r="L34" s="5">
        <f t="shared" ref="L34:N36" si="18">+IF($J34=0,0,F34/$J34)</f>
        <v>1421.8139326024211</v>
      </c>
      <c r="M34" s="5">
        <f t="shared" si="18"/>
        <v>1421.8139326024211</v>
      </c>
      <c r="N34" s="5">
        <f t="shared" si="18"/>
        <v>0</v>
      </c>
      <c r="P34" s="14">
        <f>+RedChile!VarRet</f>
        <v>2769.6010605749279</v>
      </c>
      <c r="Q34" s="14">
        <f>+RedChile!TVarRet</f>
        <v>2769.6010605749279</v>
      </c>
      <c r="R34" s="14">
        <f>+RedChile!LVarRet</f>
        <v>0</v>
      </c>
      <c r="S34" s="1"/>
      <c r="T34" s="2">
        <f>+RedChile!VarExp</f>
        <v>1030.3989394250721</v>
      </c>
      <c r="U34" s="2">
        <f>+RedChile!TVarExp</f>
        <v>1030.3989394250721</v>
      </c>
      <c r="V34" s="2">
        <f>+RedChile!LVarExp</f>
        <v>0</v>
      </c>
      <c r="W34" s="2"/>
      <c r="X34" s="2">
        <f>+RedChile!Price</f>
        <v>0.95</v>
      </c>
      <c r="Y34" s="2" t="str">
        <f>+RedChile!Unit</f>
        <v>Pound</v>
      </c>
      <c r="Z34" s="5">
        <f t="shared" ref="Z34:AB36" si="19">+IF($J34=0,0,T34/$J34)</f>
        <v>1084.6304625527075</v>
      </c>
      <c r="AA34" s="5">
        <f t="shared" si="19"/>
        <v>1084.6304625527075</v>
      </c>
      <c r="AB34" s="5">
        <f t="shared" si="19"/>
        <v>0</v>
      </c>
    </row>
    <row r="35" spans="1:28" ht="18.75" customHeight="1" x14ac:dyDescent="0.2">
      <c r="A35" s="3" t="str">
        <f>+Onions!A3</f>
        <v>Spring Onions, Furrow Irrigated</v>
      </c>
      <c r="B35" s="14">
        <f>+Onions!TotRet</f>
        <v>1298.0659996079803</v>
      </c>
      <c r="C35" s="14">
        <f>+Onions!TTotRet</f>
        <v>1298.0659996079803</v>
      </c>
      <c r="D35" s="14">
        <f>+Onions!LTotRet</f>
        <v>0</v>
      </c>
      <c r="E35" s="1"/>
      <c r="F35" s="2">
        <f>+Onions!TotExp</f>
        <v>3901.9340003920197</v>
      </c>
      <c r="G35" s="2">
        <f>+Onions!TTotExp</f>
        <v>3901.9340003920197</v>
      </c>
      <c r="H35" s="2">
        <f>+Onions!LTotExp</f>
        <v>0</v>
      </c>
      <c r="I35" s="2"/>
      <c r="J35" s="2">
        <f>+Onions!Price</f>
        <v>8</v>
      </c>
      <c r="K35" s="2" t="str">
        <f>+Onions!Unit</f>
        <v>Bag</v>
      </c>
      <c r="L35" s="5">
        <f t="shared" si="18"/>
        <v>487.74175004900246</v>
      </c>
      <c r="M35" s="5">
        <f t="shared" si="18"/>
        <v>487.74175004900246</v>
      </c>
      <c r="N35" s="5">
        <f t="shared" si="18"/>
        <v>0</v>
      </c>
      <c r="P35" s="14">
        <f>+Onions!VarRet</f>
        <v>1513.7882637035009</v>
      </c>
      <c r="Q35" s="14">
        <f>+Onions!TVarRet</f>
        <v>1513.7882637035009</v>
      </c>
      <c r="R35" s="14">
        <f>+Onions!LVarRet</f>
        <v>0</v>
      </c>
      <c r="S35" s="1"/>
      <c r="T35" s="2">
        <f>+Onions!VarExp</f>
        <v>3686.2117362964991</v>
      </c>
      <c r="U35" s="2">
        <f>+Onions!TVarExp</f>
        <v>3686.2117362964991</v>
      </c>
      <c r="V35" s="2">
        <f>+Onions!LVarExp</f>
        <v>0</v>
      </c>
      <c r="W35" s="2"/>
      <c r="X35" s="2">
        <f>+Onions!Price</f>
        <v>8</v>
      </c>
      <c r="Y35" s="2" t="str">
        <f>+Onions!Unit</f>
        <v>Bag</v>
      </c>
      <c r="Z35" s="5">
        <f t="shared" si="19"/>
        <v>460.77646703706239</v>
      </c>
      <c r="AA35" s="5">
        <f t="shared" si="19"/>
        <v>460.77646703706239</v>
      </c>
      <c r="AB35" s="5">
        <f t="shared" si="19"/>
        <v>0</v>
      </c>
    </row>
    <row r="36" spans="1:28" ht="18.75" customHeight="1" x14ac:dyDescent="0.2">
      <c r="A36" s="3" t="str">
        <f>+Pecans!A3</f>
        <v>Trans Pecos Flood Irrigated Pecans, Years 10-20</v>
      </c>
      <c r="B36" s="14">
        <f>+Pecans!TotRet</f>
        <v>774.99248701088936</v>
      </c>
      <c r="C36" s="14">
        <f>+Pecans!TTotRet</f>
        <v>774.99248701088936</v>
      </c>
      <c r="D36" s="14">
        <f>+Pecans!LTotRet</f>
        <v>0</v>
      </c>
      <c r="E36" s="1"/>
      <c r="F36" s="2">
        <f>+Pecans!TotExp</f>
        <v>1953.0075129891106</v>
      </c>
      <c r="G36" s="2">
        <f>+Pecans!TTotExp</f>
        <v>1953.0075129891106</v>
      </c>
      <c r="H36" s="2">
        <f>+Pecans!LTotExp</f>
        <v>0</v>
      </c>
      <c r="I36" s="2"/>
      <c r="J36" s="2">
        <f>+Pecans!Price</f>
        <v>2</v>
      </c>
      <c r="K36" s="2" t="str">
        <f>+Pecans!Unit</f>
        <v>Pound</v>
      </c>
      <c r="L36" s="5">
        <f t="shared" si="18"/>
        <v>976.50375649455532</v>
      </c>
      <c r="M36" s="5">
        <f t="shared" si="18"/>
        <v>976.50375649455532</v>
      </c>
      <c r="N36" s="5">
        <f t="shared" si="18"/>
        <v>0</v>
      </c>
      <c r="P36" s="14">
        <f>+Pecans!VarRet</f>
        <v>1494.7141427793342</v>
      </c>
      <c r="Q36" s="14">
        <f>+Pecans!TVarRet</f>
        <v>1494.7141427793342</v>
      </c>
      <c r="R36" s="14">
        <f>+Pecans!LVarRet</f>
        <v>0</v>
      </c>
      <c r="S36" s="1"/>
      <c r="T36" s="2">
        <f>+Pecans!VarExp</f>
        <v>1233.2858572206658</v>
      </c>
      <c r="U36" s="2">
        <f>+Pecans!TVarExp</f>
        <v>1233.2858572206658</v>
      </c>
      <c r="V36" s="2">
        <f>+Pecans!LVarExp</f>
        <v>0</v>
      </c>
      <c r="W36" s="2"/>
      <c r="X36" s="2">
        <f>+Pecans!Price</f>
        <v>2</v>
      </c>
      <c r="Y36" s="2" t="str">
        <f>+Pecans!Unit</f>
        <v>Pound</v>
      </c>
      <c r="Z36" s="5">
        <f t="shared" si="19"/>
        <v>616.64292861033289</v>
      </c>
      <c r="AA36" s="5">
        <f t="shared" si="19"/>
        <v>616.64292861033289</v>
      </c>
      <c r="AB36" s="5">
        <f t="shared" si="19"/>
        <v>0</v>
      </c>
    </row>
    <row r="37" spans="1:28" ht="18.75" customHeight="1" x14ac:dyDescent="0.2">
      <c r="A37" s="3"/>
      <c r="B37" s="14"/>
      <c r="C37" s="14"/>
      <c r="D37" s="14"/>
      <c r="E37" s="1"/>
      <c r="F37" s="2"/>
      <c r="G37" s="2"/>
      <c r="H37" s="2"/>
      <c r="I37" s="2"/>
      <c r="J37" s="2"/>
      <c r="K37" s="2"/>
      <c r="L37" s="5"/>
      <c r="M37" s="5"/>
      <c r="N37" s="5"/>
      <c r="P37" s="14"/>
      <c r="Q37" s="14"/>
      <c r="R37" s="14"/>
      <c r="S37" s="1"/>
      <c r="T37" s="2"/>
      <c r="U37" s="2"/>
      <c r="V37" s="2"/>
      <c r="W37" s="2"/>
      <c r="X37" s="2"/>
      <c r="Y37" s="2"/>
      <c r="Z37" s="5"/>
      <c r="AA37" s="5"/>
      <c r="AB37" s="5"/>
    </row>
    <row r="38" spans="1:28" ht="18.75" customHeight="1" x14ac:dyDescent="0.2">
      <c r="A38" s="14" t="s">
        <v>144</v>
      </c>
      <c r="B38" s="14"/>
      <c r="C38" s="14"/>
      <c r="D38" s="14"/>
      <c r="E38" s="1"/>
      <c r="F38" s="2"/>
      <c r="G38" s="2"/>
      <c r="H38" s="2"/>
      <c r="I38" s="2"/>
      <c r="J38" s="2"/>
      <c r="K38" s="2"/>
      <c r="L38" s="5"/>
      <c r="M38" s="5"/>
      <c r="N38" s="5"/>
      <c r="P38" s="14"/>
      <c r="Q38" s="14"/>
      <c r="R38" s="14"/>
      <c r="S38" s="1"/>
      <c r="T38" s="2"/>
      <c r="U38" s="2"/>
      <c r="V38" s="2"/>
      <c r="W38" s="2"/>
      <c r="X38" s="2"/>
      <c r="Y38" s="2"/>
      <c r="Z38" s="5"/>
      <c r="AA38" s="5"/>
      <c r="AB38" s="5"/>
    </row>
    <row r="39" spans="1:28" ht="18.75" customHeight="1" x14ac:dyDescent="0.2">
      <c r="A39" s="14"/>
      <c r="B39" s="14"/>
      <c r="C39" s="14"/>
      <c r="D39" s="14"/>
      <c r="E39" s="1"/>
      <c r="F39" s="2"/>
      <c r="G39" s="2"/>
      <c r="H39" s="2"/>
      <c r="I39" s="2"/>
      <c r="J39" s="2"/>
      <c r="K39" s="2"/>
      <c r="L39" s="5"/>
      <c r="M39" s="5"/>
      <c r="N39" s="5"/>
      <c r="P39" s="14"/>
      <c r="Q39" s="14"/>
      <c r="R39" s="14"/>
      <c r="S39" s="1"/>
      <c r="T39" s="2"/>
      <c r="U39" s="2"/>
      <c r="V39" s="2"/>
      <c r="W39" s="2"/>
      <c r="X39" s="2"/>
      <c r="Y39" s="2"/>
      <c r="Z39" s="5"/>
      <c r="AA39" s="5"/>
      <c r="AB39" s="5"/>
    </row>
    <row r="40" spans="1:28" ht="16.5" customHeight="1" x14ac:dyDescent="0.2">
      <c r="A40" s="15" t="str">
        <f>+CowCalfNative!A3</f>
        <v>Cow-Calf Enterprise</v>
      </c>
      <c r="B40" s="14">
        <f>+CowCalfNative!TotRet</f>
        <v>572.80917374612909</v>
      </c>
      <c r="C40" s="14"/>
      <c r="D40" s="14"/>
      <c r="F40" s="8">
        <f>+CowCalfNative!TotExp</f>
        <v>776.91582625387082</v>
      </c>
      <c r="G40" s="8"/>
      <c r="H40" s="8"/>
      <c r="I40" s="8"/>
      <c r="J40" s="8">
        <f>+CowCalfNative!Price</f>
        <v>295</v>
      </c>
      <c r="K40" s="8" t="str">
        <f>+CowCalfNative!Unit</f>
        <v>CWT</v>
      </c>
      <c r="L40" s="5">
        <f>+IF($J40=0,0,F40/$J40)</f>
        <v>2.6336129703521043</v>
      </c>
      <c r="M40" s="5"/>
      <c r="N40" s="5"/>
      <c r="P40" s="14">
        <f>+CowCalfNative!VarRet</f>
        <v>1115.0703975556528</v>
      </c>
      <c r="Q40" s="14"/>
      <c r="R40" s="14"/>
      <c r="T40" s="8">
        <f>+CowCalfNative!VarExp</f>
        <v>234.65460244434706</v>
      </c>
      <c r="U40" s="8"/>
      <c r="V40" s="8"/>
      <c r="W40" s="8"/>
      <c r="X40" s="8">
        <f>+CowCalfNative!Price</f>
        <v>295</v>
      </c>
      <c r="Y40" s="8" t="str">
        <f>+CowCalfNative!Unit</f>
        <v>CWT</v>
      </c>
      <c r="Z40" s="5">
        <f>+IF($J40=0,0,T40/$J40)</f>
        <v>0.7954393303198205</v>
      </c>
      <c r="AA40" s="5"/>
      <c r="AB40" s="5"/>
    </row>
    <row r="41" spans="1:28" ht="16.5" customHeight="1" x14ac:dyDescent="0.2">
      <c r="A41" s="15" t="str">
        <f>+StockersSummer!A3</f>
        <v>Stocker Steers - Summer Growth, 0.6 AU per Head</v>
      </c>
      <c r="B41" s="14">
        <f>+StockersSummer!TotRet</f>
        <v>99.814532807795331</v>
      </c>
      <c r="C41" s="14"/>
      <c r="D41" s="14"/>
      <c r="F41" s="8">
        <f>+StockersSummer!TotExp</f>
        <v>1690.9354671922047</v>
      </c>
      <c r="G41" s="8"/>
      <c r="H41" s="8"/>
      <c r="I41" s="8"/>
      <c r="J41" s="8">
        <f>+StockersSummer!Price</f>
        <v>290</v>
      </c>
      <c r="K41" s="8" t="str">
        <f>+StockersSummer!Unit</f>
        <v>CWT</v>
      </c>
      <c r="L41" s="5">
        <f>+IF($J41=0,0,F41/$J41)</f>
        <v>5.8308119558351885</v>
      </c>
      <c r="M41" s="5"/>
      <c r="N41" s="5"/>
      <c r="P41" s="14">
        <f>+StockersSummer!VarRet</f>
        <v>152.42027304589055</v>
      </c>
      <c r="Q41" s="14"/>
      <c r="R41" s="14"/>
      <c r="T41" s="8">
        <f>+StockersSummer!VarExp</f>
        <v>1638.3297269541094</v>
      </c>
      <c r="U41" s="8"/>
      <c r="V41" s="8"/>
      <c r="W41" s="8"/>
      <c r="X41" s="8">
        <f>+StockersSummer!Price</f>
        <v>290</v>
      </c>
      <c r="Y41" s="8" t="str">
        <f>+StockersSummer!Unit</f>
        <v>CWT</v>
      </c>
      <c r="Z41" s="5">
        <f>+IF($J41=0,0,T41/$J41)</f>
        <v>5.649412851565895</v>
      </c>
      <c r="AA41" s="5"/>
      <c r="AB41" s="5"/>
    </row>
    <row r="42" spans="1:28" ht="16.5" customHeight="1" x14ac:dyDescent="0.2">
      <c r="A42" s="15" t="str">
        <f>+StockerWinter!A3</f>
        <v>Stocker Steers - Winter Growth, 0.45 AU per Head</v>
      </c>
      <c r="B42" s="14">
        <f>+StockerWinter!TotRet</f>
        <v>17.547711410534703</v>
      </c>
      <c r="C42" s="14"/>
      <c r="D42" s="14"/>
      <c r="F42" s="8">
        <f>+StockerWinter!TotExp</f>
        <v>1606.9522885894651</v>
      </c>
      <c r="G42" s="8"/>
      <c r="H42" s="8"/>
      <c r="I42" s="8"/>
      <c r="J42" s="8">
        <f>+StockerWinter!Price</f>
        <v>285</v>
      </c>
      <c r="K42" s="8" t="str">
        <f>+StockerWinter!Unit</f>
        <v>CWT</v>
      </c>
      <c r="L42" s="5">
        <f>+IF($J42=0,0,F42/$J42)</f>
        <v>5.6384290827700525</v>
      </c>
      <c r="M42" s="5"/>
      <c r="N42" s="5"/>
      <c r="P42" s="14">
        <f>+StockerWinter!VarRet</f>
        <v>70.153451648629925</v>
      </c>
      <c r="Q42" s="14"/>
      <c r="R42" s="14"/>
      <c r="T42" s="8">
        <f>+StockerWinter!VarExp</f>
        <v>1554.3465483513698</v>
      </c>
      <c r="U42" s="8"/>
      <c r="V42" s="8"/>
      <c r="W42" s="8"/>
      <c r="X42" s="8">
        <f>+StockerWinter!Price</f>
        <v>285</v>
      </c>
      <c r="Y42" s="8" t="str">
        <f>+StockerWinter!Unit</f>
        <v>CWT</v>
      </c>
      <c r="Z42" s="5">
        <f>+IF($J42=0,0,T42/$J42)</f>
        <v>5.4538475380749816</v>
      </c>
      <c r="AA42" s="5"/>
      <c r="AB42" s="5"/>
    </row>
    <row r="43" spans="1:28" ht="16.5" customHeight="1" x14ac:dyDescent="0.2">
      <c r="A43" s="15" t="str">
        <f>MeatGoats!A3</f>
        <v>Trans Pecos Meat Goats, 6 Head per AU</v>
      </c>
      <c r="B43" s="14">
        <f>MeatGoats!TotRet</f>
        <v>531.00626830408612</v>
      </c>
      <c r="C43" s="14"/>
      <c r="D43" s="14"/>
      <c r="F43" s="8">
        <f>MeatGoats!TotExp</f>
        <v>717.32973169591389</v>
      </c>
      <c r="G43" s="8"/>
      <c r="H43" s="8"/>
      <c r="I43" s="8"/>
      <c r="J43" s="8">
        <f>MeatGoats!Price</f>
        <v>290</v>
      </c>
      <c r="K43" s="8" t="str">
        <f>MeatGoats!Unit</f>
        <v>CWT</v>
      </c>
      <c r="L43" s="5">
        <f>IF(J43=0,0,F43/J43)</f>
        <v>2.4735507989514272</v>
      </c>
      <c r="M43" s="5"/>
      <c r="N43" s="5"/>
      <c r="P43" s="14">
        <f>MeatGoats!VarRet</f>
        <v>1003.2932063993242</v>
      </c>
      <c r="Q43" s="14"/>
      <c r="R43" s="14"/>
      <c r="T43" s="8">
        <f>MeatGoats!VarExp</f>
        <v>245.04279360067579</v>
      </c>
      <c r="U43" s="8"/>
      <c r="V43" s="8"/>
      <c r="W43" s="8"/>
      <c r="X43" s="8">
        <f>MeatGoats!Price</f>
        <v>290</v>
      </c>
      <c r="Y43" s="8" t="str">
        <f>MeatGoats!Unit</f>
        <v>CWT</v>
      </c>
      <c r="Z43" s="5">
        <f>IF(J43=0,0,T43/J43)</f>
        <v>0.84497515034715787</v>
      </c>
      <c r="AA43" s="5"/>
      <c r="AB43" s="5"/>
    </row>
    <row r="44" spans="1:28" ht="16.5" customHeight="1" x14ac:dyDescent="0.2">
      <c r="A44" s="15" t="str">
        <f>Angoras!A3</f>
        <v>Trans Pecos Angora Goats, 7 Head per AU</v>
      </c>
      <c r="B44" s="14">
        <f>Angoras!TotRet</f>
        <v>375.61564259458714</v>
      </c>
      <c r="C44" s="14"/>
      <c r="D44" s="14"/>
      <c r="F44" s="8">
        <f>Angoras!TotExp</f>
        <v>752.82009269953028</v>
      </c>
      <c r="G44" s="8"/>
      <c r="H44" s="8"/>
      <c r="I44" s="8"/>
      <c r="J44" s="8">
        <f>Angoras!Price</f>
        <v>314.99999999999994</v>
      </c>
      <c r="K44" s="8" t="str">
        <f>Angoras!Unit</f>
        <v>CWT</v>
      </c>
      <c r="L44" s="5">
        <f>IF(J44=0,0,F44/J44)</f>
        <v>2.3899050561889856</v>
      </c>
      <c r="M44" s="5"/>
      <c r="N44" s="5"/>
      <c r="P44" s="14">
        <f>Angoras!VarRet</f>
        <v>860.84258068982513</v>
      </c>
      <c r="Q44" s="14"/>
      <c r="R44" s="14"/>
      <c r="T44" s="8">
        <f>Angoras!VarExp</f>
        <v>267.59315460429224</v>
      </c>
      <c r="U44" s="8"/>
      <c r="V44" s="8"/>
      <c r="W44" s="8"/>
      <c r="X44" s="8">
        <f>Angoras!Price</f>
        <v>314.99999999999994</v>
      </c>
      <c r="Y44" s="8" t="str">
        <f>Angoras!Unit</f>
        <v>CWT</v>
      </c>
      <c r="Z44" s="5">
        <f>IF(J44=0,0,T44/J44)</f>
        <v>0.84950207810886436</v>
      </c>
      <c r="AA44" s="5"/>
      <c r="AB44" s="5"/>
    </row>
    <row r="45" spans="1:28" ht="16.5" customHeight="1" x14ac:dyDescent="0.2">
      <c r="A45" s="15" t="str">
        <f>SheepWool!A3</f>
        <v>Trans Pecos Wool Sheep, 5 Head per AU</v>
      </c>
      <c r="B45" s="14">
        <f>SheepWool!TotRet</f>
        <v>265.31304973685326</v>
      </c>
      <c r="C45" s="14"/>
      <c r="D45" s="14"/>
      <c r="F45" s="8">
        <f>SheepWool!TotExp</f>
        <v>774.19935026314681</v>
      </c>
      <c r="G45" s="8"/>
      <c r="H45" s="8"/>
      <c r="I45" s="8"/>
      <c r="J45" s="8">
        <f>SheepWool!Price</f>
        <v>290.00000000000006</v>
      </c>
      <c r="K45" s="8" t="str">
        <f>SheepWool!Unit</f>
        <v>CWT</v>
      </c>
      <c r="L45" s="5">
        <f>IF(J45=0,0,F45/J45)</f>
        <v>2.6696529319418851</v>
      </c>
      <c r="M45" s="5"/>
      <c r="N45" s="5"/>
      <c r="P45" s="14">
        <f>SheepWool!VarRet</f>
        <v>759.98158783209135</v>
      </c>
      <c r="Q45" s="14"/>
      <c r="R45" s="14"/>
      <c r="T45" s="8">
        <f>SheepWool!VarExp</f>
        <v>279.53081216790872</v>
      </c>
      <c r="U45" s="8"/>
      <c r="V45" s="8"/>
      <c r="W45" s="8"/>
      <c r="X45" s="8">
        <f>SheepWool!Price</f>
        <v>290.00000000000006</v>
      </c>
      <c r="Y45" s="8" t="str">
        <f>SheepWool!Unit</f>
        <v>CWT</v>
      </c>
      <c r="Z45" s="5">
        <f>IF(J45=0,0,T45/J45)</f>
        <v>0.96389935230313328</v>
      </c>
      <c r="AA45" s="5"/>
      <c r="AB45" s="5"/>
    </row>
    <row r="46" spans="1:28" ht="16.5" customHeight="1" x14ac:dyDescent="0.2">
      <c r="A46" s="15" t="str">
        <f>SheepHair!A3</f>
        <v>Trans Pecos Hair Sheep, 5 Head per AU</v>
      </c>
      <c r="B46" s="14">
        <f>SheepHair!TotRet</f>
        <v>189.34276785411362</v>
      </c>
      <c r="C46" s="14"/>
      <c r="D46" s="14"/>
      <c r="F46" s="8">
        <f>SheepHair!TotExp</f>
        <v>762.16963214588645</v>
      </c>
      <c r="G46" s="8"/>
      <c r="H46" s="8"/>
      <c r="I46" s="8"/>
      <c r="J46" s="8">
        <f>SheepHair!Price</f>
        <v>290.00000000000006</v>
      </c>
      <c r="K46" s="8" t="str">
        <f>SheepHair!Unit</f>
        <v>CWT</v>
      </c>
      <c r="L46" s="5">
        <f>IF(J46=0,0,F46/J46)</f>
        <v>2.6281711453306422</v>
      </c>
      <c r="M46" s="5"/>
      <c r="N46" s="5"/>
      <c r="P46" s="14">
        <f>SheepHair!VarRet</f>
        <v>684.01130594935171</v>
      </c>
      <c r="Q46" s="14"/>
      <c r="R46" s="14"/>
      <c r="T46" s="8">
        <f>SheepHair!VarExp</f>
        <v>267.50109405064842</v>
      </c>
      <c r="U46" s="8"/>
      <c r="V46" s="8"/>
      <c r="W46" s="8"/>
      <c r="X46" s="8">
        <f>SheepHair!Price</f>
        <v>290.00000000000006</v>
      </c>
      <c r="Y46" s="8" t="str">
        <f>SheepHair!Unit</f>
        <v>CWT</v>
      </c>
      <c r="Z46" s="5">
        <f>IF(J46=0,0,T46/J46)</f>
        <v>0.92241756569189093</v>
      </c>
      <c r="AA46" s="5"/>
      <c r="AB46" s="5"/>
    </row>
    <row r="47" spans="1:28" ht="16.5" customHeight="1" x14ac:dyDescent="0.2">
      <c r="A47" s="15"/>
      <c r="B47" s="14"/>
      <c r="C47" s="14"/>
      <c r="D47" s="14"/>
      <c r="F47" s="8"/>
      <c r="G47" s="8"/>
      <c r="H47" s="8"/>
      <c r="I47" s="8"/>
      <c r="J47" s="8"/>
      <c r="K47" s="8"/>
      <c r="L47" s="5"/>
      <c r="M47" s="5"/>
      <c r="N47" s="5"/>
      <c r="P47" s="14"/>
      <c r="Q47" s="14"/>
      <c r="R47" s="14"/>
      <c r="T47" s="8"/>
      <c r="U47" s="8"/>
      <c r="V47" s="8"/>
      <c r="W47" s="8"/>
      <c r="X47" s="8"/>
      <c r="Y47" s="8"/>
      <c r="Z47" s="5"/>
      <c r="AA47" s="5"/>
      <c r="AB47" s="5"/>
    </row>
    <row r="48" spans="1:28" ht="16.5" customHeight="1" x14ac:dyDescent="0.2">
      <c r="A48" s="15"/>
      <c r="B48" s="14"/>
      <c r="C48" s="14"/>
      <c r="D48" s="14"/>
      <c r="F48" s="8"/>
      <c r="G48" s="8"/>
      <c r="H48" s="8"/>
      <c r="I48" s="8"/>
      <c r="J48" s="8"/>
      <c r="K48" s="8"/>
      <c r="L48" s="5"/>
      <c r="M48" s="5"/>
      <c r="N48" s="5"/>
      <c r="P48" s="14"/>
      <c r="Q48" s="14"/>
      <c r="R48" s="14"/>
      <c r="T48" s="8"/>
      <c r="U48" s="8"/>
      <c r="V48" s="8"/>
      <c r="W48" s="8"/>
      <c r="X48" s="8"/>
      <c r="Y48" s="8"/>
      <c r="Z48" s="5"/>
      <c r="AA48" s="5"/>
      <c r="AB48" s="5"/>
    </row>
    <row r="49" spans="1:28" ht="18.75" customHeight="1" x14ac:dyDescent="0.2">
      <c r="A49" s="3"/>
      <c r="B49" s="14"/>
      <c r="C49" s="14"/>
      <c r="D49" s="14"/>
      <c r="F49" s="8"/>
      <c r="G49" s="8"/>
      <c r="H49" s="8"/>
      <c r="I49" s="8"/>
      <c r="J49" s="2"/>
      <c r="K49" s="2"/>
      <c r="L49" s="5"/>
      <c r="M49" s="5"/>
      <c r="N49" s="5"/>
      <c r="P49" s="14"/>
      <c r="Q49" s="14"/>
      <c r="R49" s="14"/>
      <c r="T49" s="8"/>
      <c r="U49" s="8"/>
      <c r="V49" s="8"/>
      <c r="W49" s="8"/>
      <c r="X49" s="2"/>
      <c r="Y49" s="2"/>
      <c r="Z49" s="5"/>
      <c r="AA49" s="5"/>
      <c r="AB49" s="5"/>
    </row>
  </sheetData>
  <sheetProtection sheet="1" objects="1" scenarios="1"/>
  <mergeCells count="6">
    <mergeCell ref="X3:AB3"/>
    <mergeCell ref="B3:D3"/>
    <mergeCell ref="F3:H3"/>
    <mergeCell ref="J3:N3"/>
    <mergeCell ref="P3:R3"/>
    <mergeCell ref="T3:V3"/>
  </mergeCells>
  <conditionalFormatting sqref="B7:D17 B19:D49 P8:R17 P21:R48">
    <cfRule type="cellIs" dxfId="69" priority="29" stopIfTrue="1" operator="lessThan">
      <formula>$B$1</formula>
    </cfRule>
    <cfRule type="cellIs" dxfId="68" priority="30" stopIfTrue="1" operator="greaterThanOrEqual">
      <formula>$B$1</formula>
    </cfRule>
  </conditionalFormatting>
  <conditionalFormatting sqref="A20">
    <cfRule type="cellIs" dxfId="67" priority="27" stopIfTrue="1" operator="lessThan">
      <formula>$B$1</formula>
    </cfRule>
    <cfRule type="cellIs" dxfId="66" priority="28" stopIfTrue="1" operator="greaterThanOrEqual">
      <formula>$B$1</formula>
    </cfRule>
  </conditionalFormatting>
  <conditionalFormatting sqref="A32">
    <cfRule type="cellIs" dxfId="65" priority="23" stopIfTrue="1" operator="lessThan">
      <formula>$B$1</formula>
    </cfRule>
    <cfRule type="cellIs" dxfId="64" priority="24" stopIfTrue="1" operator="greaterThanOrEqual">
      <formula>$B$1</formula>
    </cfRule>
  </conditionalFormatting>
  <conditionalFormatting sqref="A6">
    <cfRule type="cellIs" dxfId="63" priority="21" stopIfTrue="1" operator="lessThan">
      <formula>$B$1</formula>
    </cfRule>
    <cfRule type="cellIs" dxfId="62" priority="22" stopIfTrue="1" operator="greaterThanOrEqual">
      <formula>$B$1</formula>
    </cfRule>
  </conditionalFormatting>
  <conditionalFormatting sqref="A5">
    <cfRule type="cellIs" dxfId="61" priority="15" stopIfTrue="1" operator="lessThan">
      <formula>$B$1</formula>
    </cfRule>
    <cfRule type="cellIs" dxfId="60" priority="16" stopIfTrue="1" operator="greaterThanOrEqual">
      <formula>$B$1</formula>
    </cfRule>
  </conditionalFormatting>
  <conditionalFormatting sqref="A38:A39">
    <cfRule type="cellIs" dxfId="59" priority="11" stopIfTrue="1" operator="lessThan">
      <formula>$B$1</formula>
    </cfRule>
    <cfRule type="cellIs" dxfId="58" priority="12" stopIfTrue="1" operator="greaterThanOrEqual">
      <formula>$B$1</formula>
    </cfRule>
  </conditionalFormatting>
  <conditionalFormatting sqref="A19">
    <cfRule type="cellIs" dxfId="57" priority="13" stopIfTrue="1" operator="lessThan">
      <formula>$B$1</formula>
    </cfRule>
    <cfRule type="cellIs" dxfId="56" priority="14" stopIfTrue="1" operator="greaterThanOrEqual">
      <formula>$B$1</formula>
    </cfRule>
  </conditionalFormatting>
  <conditionalFormatting sqref="P49:R49 P19:R20 P7:R7">
    <cfRule type="cellIs" dxfId="55" priority="7" stopIfTrue="1" operator="lessThan">
      <formula>$B$1</formula>
    </cfRule>
    <cfRule type="cellIs" dxfId="54" priority="8" stopIfTrue="1" operator="greaterThanOrEqual">
      <formula>$B$1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5" max="28" man="1"/>
    <brk id="9" max="28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243">
    <tabColor theme="3" tint="0.39997558519241921"/>
  </sheetPr>
  <dimension ref="A1:N51"/>
  <sheetViews>
    <sheetView zoomScaleNormal="90" workbookViewId="0">
      <pane xSplit="1" ySplit="4" topLeftCell="B33" activePane="bottomRight" state="frozen"/>
      <selection activeCell="B38" sqref="B38"/>
      <selection pane="topRight" activeCell="B38" sqref="B38"/>
      <selection pane="bottomLeft" activeCell="B38" sqref="B38"/>
      <selection pane="bottomRight" activeCell="A3" sqref="A3"/>
    </sheetView>
  </sheetViews>
  <sheetFormatPr defaultColWidth="8.5703125" defaultRowHeight="12.75" x14ac:dyDescent="0.2"/>
  <cols>
    <col min="1" max="1" width="76.140625" customWidth="1"/>
    <col min="2" max="2" width="12.140625" customWidth="1"/>
    <col min="3" max="3" width="18.42578125" customWidth="1"/>
    <col min="4" max="4" width="20.42578125" customWidth="1"/>
    <col min="5" max="5" width="5.42578125" customWidth="1"/>
    <col min="6" max="7" width="14.5703125" customWidth="1"/>
    <col min="8" max="8" width="5.5703125" customWidth="1"/>
    <col min="9" max="9" width="14.5703125" customWidth="1"/>
    <col min="10" max="10" width="7.5703125" customWidth="1"/>
    <col min="11" max="12" width="14.5703125" customWidth="1"/>
  </cols>
  <sheetData>
    <row r="1" spans="1:14" x14ac:dyDescent="0.2">
      <c r="A1" s="3" t="s">
        <v>167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4.75" customHeight="1" x14ac:dyDescent="0.2">
      <c r="B3" s="26" t="s">
        <v>176</v>
      </c>
      <c r="C3" s="285" t="s">
        <v>6</v>
      </c>
      <c r="D3" s="235"/>
      <c r="E3" s="26"/>
      <c r="F3" s="285" t="s">
        <v>5</v>
      </c>
      <c r="G3" s="235"/>
      <c r="H3" s="26"/>
      <c r="I3" s="285" t="s">
        <v>324</v>
      </c>
      <c r="J3" s="235"/>
      <c r="K3" s="235"/>
      <c r="L3" s="235"/>
    </row>
    <row r="4" spans="1:14" ht="31.35" customHeight="1" x14ac:dyDescent="0.2">
      <c r="B4" s="128" t="s">
        <v>177</v>
      </c>
      <c r="C4" s="13" t="s">
        <v>82</v>
      </c>
      <c r="D4" s="29" t="s">
        <v>169</v>
      </c>
      <c r="E4" s="1"/>
      <c r="F4" s="1" t="s">
        <v>82</v>
      </c>
      <c r="G4" s="6" t="s">
        <v>169</v>
      </c>
      <c r="H4" s="6"/>
      <c r="I4" s="1" t="s">
        <v>3</v>
      </c>
      <c r="J4" s="13" t="s">
        <v>21</v>
      </c>
      <c r="K4" s="1" t="s">
        <v>82</v>
      </c>
      <c r="L4" s="6" t="s">
        <v>169</v>
      </c>
    </row>
    <row r="5" spans="1:14" ht="18.75" customHeight="1" x14ac:dyDescent="0.2">
      <c r="A5" s="14" t="s">
        <v>143</v>
      </c>
      <c r="B5" s="14"/>
      <c r="C5" s="1"/>
      <c r="D5" s="6"/>
      <c r="E5" s="1"/>
      <c r="F5" s="1"/>
      <c r="G5" s="6"/>
      <c r="H5" s="6"/>
      <c r="I5" s="1"/>
      <c r="J5" s="13"/>
      <c r="K5" s="1"/>
      <c r="L5" s="6"/>
    </row>
    <row r="6" spans="1:14" ht="18.75" customHeight="1" x14ac:dyDescent="0.2">
      <c r="A6" s="14"/>
      <c r="B6" s="14"/>
      <c r="C6" s="1"/>
      <c r="D6" s="6"/>
      <c r="E6" s="1"/>
      <c r="F6" s="1"/>
      <c r="G6" s="6"/>
      <c r="H6" s="6"/>
      <c r="I6" s="1"/>
      <c r="J6" s="13"/>
      <c r="K6" s="1"/>
      <c r="L6" s="6"/>
    </row>
    <row r="7" spans="1:14" ht="18.75" customHeight="1" x14ac:dyDescent="0.2">
      <c r="A7" s="3" t="str">
        <f>+AlfalfaEstablish!A3</f>
        <v>Alfalfa Establishment, Center Pivot Irrigated</v>
      </c>
      <c r="B7" s="3">
        <f>+AlfalfaEstablish!E7</f>
        <v>0</v>
      </c>
      <c r="C7" s="14">
        <f>+AlfalfaEstablish!YTotRet</f>
        <v>0</v>
      </c>
      <c r="D7" s="14">
        <f>+AlfalfaEstablish!YVarRet</f>
        <v>0</v>
      </c>
      <c r="E7" s="1"/>
      <c r="F7" s="2">
        <f>+AlfalfaEstablish!YTotExp</f>
        <v>0</v>
      </c>
      <c r="G7" s="2">
        <f>+AlfalfaEstablish!YVarExp</f>
        <v>0</v>
      </c>
      <c r="H7" s="2"/>
      <c r="I7" s="2">
        <f>+AlfalfaEstablish!YPrice</f>
        <v>0</v>
      </c>
      <c r="J7" s="2" t="str">
        <f>+AlfalfaEstablish!Unit</f>
        <v/>
      </c>
      <c r="K7" s="5">
        <f t="shared" ref="K7:L14" si="0">+IF($I7=0,0,F7/$I7)</f>
        <v>0</v>
      </c>
      <c r="L7" s="5">
        <f t="shared" si="0"/>
        <v>0</v>
      </c>
    </row>
    <row r="8" spans="1:14" ht="18.75" customHeight="1" x14ac:dyDescent="0.2">
      <c r="A8" s="3" t="str">
        <f>+AlfalfaHayPivot!A3</f>
        <v>Alfalfa, Full Season, Baled - 7.5 Ton Goal, Center Pivot Irrigated</v>
      </c>
      <c r="B8" s="3">
        <f>+AlfalfaHayPivot!E7</f>
        <v>0</v>
      </c>
      <c r="C8" s="14">
        <f>+AlfalfaHayPivot!YTotRet</f>
        <v>0</v>
      </c>
      <c r="D8" s="14">
        <f>+AlfalfaHayPivot!YVarRet</f>
        <v>0</v>
      </c>
      <c r="E8" s="2"/>
      <c r="F8" s="2">
        <f>+AlfalfaHayPivot!YTotExp</f>
        <v>0</v>
      </c>
      <c r="G8" s="2">
        <f>+AlfalfaHayPivot!YVarExp</f>
        <v>0</v>
      </c>
      <c r="H8" s="2"/>
      <c r="I8" s="2">
        <f>+AlfalfaHayPivot!YPrice</f>
        <v>0</v>
      </c>
      <c r="J8" s="2" t="str">
        <f>+AlfalfaHayPivot!Unit</f>
        <v>Ton</v>
      </c>
      <c r="K8" s="5">
        <f t="shared" si="0"/>
        <v>0</v>
      </c>
      <c r="L8" s="5">
        <f t="shared" si="0"/>
        <v>0</v>
      </c>
    </row>
    <row r="9" spans="1:14" ht="18.75" customHeight="1" x14ac:dyDescent="0.2">
      <c r="A9" s="3" t="str">
        <f>+AlfalfaHayFlood!A3</f>
        <v>Alfalfa, Full Season, Baled - 7.5 Ton Goal, Flood Irrigated</v>
      </c>
      <c r="B9" s="3">
        <f>+AlfalfaHayFlood!E7</f>
        <v>0</v>
      </c>
      <c r="C9" s="14">
        <f>+AlfalfaHayFlood!YTotRet</f>
        <v>0</v>
      </c>
      <c r="D9" s="14">
        <f>+AlfalfaHayFlood!YVarRet</f>
        <v>0</v>
      </c>
      <c r="E9" s="1"/>
      <c r="F9" s="2">
        <f>+AlfalfaHayFlood!YTotExp</f>
        <v>0</v>
      </c>
      <c r="G9" s="2">
        <f>+AlfalfaHayFlood!YVarExp</f>
        <v>0</v>
      </c>
      <c r="H9" s="2"/>
      <c r="I9" s="2">
        <f>+AlfalfaHayFlood!YPrice</f>
        <v>0</v>
      </c>
      <c r="J9" s="2" t="str">
        <f>+AlfalfaHayFlood!Unit</f>
        <v>Ton</v>
      </c>
      <c r="K9" s="5">
        <f t="shared" si="0"/>
        <v>0</v>
      </c>
      <c r="L9" s="5">
        <f t="shared" si="0"/>
        <v>0</v>
      </c>
    </row>
    <row r="10" spans="1:14" ht="18.75" customHeight="1" x14ac:dyDescent="0.2">
      <c r="A10" s="3" t="str">
        <f>+AlfalfaPivotDell!A3</f>
        <v>Alfalfa, Full Season, Baled - 7.5 Ton Goal, Center Pivot Irrigated, Dell City</v>
      </c>
      <c r="B10" s="3">
        <f>+AlfalfaPivotDell!E7</f>
        <v>0</v>
      </c>
      <c r="C10" s="14">
        <f>+AlfalfaPivotDell!YTotRet</f>
        <v>0</v>
      </c>
      <c r="D10" s="14">
        <f>+AlfalfaPivotDell!YVarRet</f>
        <v>0</v>
      </c>
      <c r="E10" s="1"/>
      <c r="F10" s="2">
        <f>+AlfalfaPivotDell!YTotExp</f>
        <v>0</v>
      </c>
      <c r="G10" s="2">
        <f>+AlfalfaPivotDell!YVarExp</f>
        <v>0</v>
      </c>
      <c r="H10" s="2"/>
      <c r="I10" s="2">
        <f>+AlfalfaPivotDell!YPrice</f>
        <v>0</v>
      </c>
      <c r="J10" s="2" t="str">
        <f>+AlfalfaPivotDell!Unit</f>
        <v>Ton</v>
      </c>
      <c r="K10" s="5">
        <f t="shared" si="0"/>
        <v>0</v>
      </c>
      <c r="L10" s="5">
        <f t="shared" si="0"/>
        <v>0</v>
      </c>
    </row>
    <row r="11" spans="1:14" ht="18.75" customHeight="1" x14ac:dyDescent="0.2">
      <c r="A11" s="3" t="str">
        <f>+AlfalfaFloodDell!A3</f>
        <v>Alfalfa, Full Season, Baled - 7.5 Ton Goal, Flood Irrigated, Dell City</v>
      </c>
      <c r="B11" s="3">
        <f>+AlfalfaFloodDell!E7</f>
        <v>0</v>
      </c>
      <c r="C11" s="14">
        <f>+AlfalfaFloodDell!YTotRet</f>
        <v>0</v>
      </c>
      <c r="D11" s="14">
        <f>+AlfalfaFloodDell!YVarRet</f>
        <v>0</v>
      </c>
      <c r="E11" s="1"/>
      <c r="F11" s="2">
        <f>+AlfalfaFloodDell!YTotExp</f>
        <v>0</v>
      </c>
      <c r="G11" s="2">
        <f>+AlfalfaFloodDell!YVarExp</f>
        <v>0</v>
      </c>
      <c r="H11" s="2"/>
      <c r="I11" s="2">
        <f>+AlfalfaFloodDell!YPrice</f>
        <v>0</v>
      </c>
      <c r="J11" s="2" t="str">
        <f>+AlfalfaFloodDell!Unit</f>
        <v>Ton</v>
      </c>
      <c r="K11" s="5">
        <f t="shared" si="0"/>
        <v>0</v>
      </c>
      <c r="L11" s="5">
        <f t="shared" si="0"/>
        <v>0</v>
      </c>
    </row>
    <row r="12" spans="1:14" ht="18.75" customHeight="1" x14ac:dyDescent="0.2">
      <c r="A12" s="3" t="str">
        <f>+AlfalfaElPaso!A3</f>
        <v>Alfalfa, Full Season, Baled - 7.5 Ton Goal, Flood Irrigated, El Paso Irrigation District</v>
      </c>
      <c r="B12" s="3">
        <f>+AlfalfaElPaso!E7</f>
        <v>0</v>
      </c>
      <c r="C12" s="14">
        <f>+AlfalfaElPaso!YTotRet</f>
        <v>0</v>
      </c>
      <c r="D12" s="14">
        <f>+AlfalfaElPaso!YVarRet</f>
        <v>0</v>
      </c>
      <c r="E12" s="1"/>
      <c r="F12" s="2">
        <f>+AlfalfaElPaso!YTotExp</f>
        <v>0</v>
      </c>
      <c r="G12" s="2">
        <f>+AlfalfaElPaso!YVarExp</f>
        <v>0</v>
      </c>
      <c r="H12" s="2"/>
      <c r="I12" s="2">
        <f>+AlfalfaElPaso!YPrice</f>
        <v>0</v>
      </c>
      <c r="J12" s="2" t="str">
        <f>+AlfalfaElPaso!Unit</f>
        <v>Ton</v>
      </c>
      <c r="K12" s="5">
        <f t="shared" si="0"/>
        <v>0</v>
      </c>
      <c r="L12" s="5">
        <f t="shared" si="0"/>
        <v>0</v>
      </c>
    </row>
    <row r="13" spans="1:14" ht="18.75" customHeight="1" x14ac:dyDescent="0.2">
      <c r="A13" s="3" t="str">
        <f>+SorghumHayIrrigated!A3</f>
        <v>Sorghum-Sudangrass for Hay, Center Pivot Irrigated, 5 Ton Yield</v>
      </c>
      <c r="B13" s="3">
        <f>+SorghumHayIrrigated!E7</f>
        <v>0</v>
      </c>
      <c r="C13" s="14">
        <f>+SorghumHayIrrigated!YTotRet</f>
        <v>0</v>
      </c>
      <c r="D13" s="14">
        <f>+SorghumHayIrrigated!YVarRet</f>
        <v>0</v>
      </c>
      <c r="E13" s="1"/>
      <c r="F13" s="2">
        <f>+SorghumHayIrrigated!YTotExp</f>
        <v>0</v>
      </c>
      <c r="G13" s="2">
        <f>+SorghumHayIrrigated!YVarExp</f>
        <v>0</v>
      </c>
      <c r="H13" s="2"/>
      <c r="I13" s="2">
        <f>+SorghumHayIrrigated!YPrice</f>
        <v>0</v>
      </c>
      <c r="J13" s="2" t="str">
        <f>+SorghumHayIrrigated!Unit</f>
        <v>Ton</v>
      </c>
      <c r="K13" s="5">
        <f t="shared" si="0"/>
        <v>0</v>
      </c>
      <c r="L13" s="5">
        <f t="shared" si="0"/>
        <v>0</v>
      </c>
    </row>
    <row r="14" spans="1:14" ht="18.75" customHeight="1" x14ac:dyDescent="0.2">
      <c r="A14" s="3" t="str">
        <f>+SorghumHayDryland!A3</f>
        <v>Sorghum-Sudangrass for Hay, Dryland, 3 Ton Yield</v>
      </c>
      <c r="B14" s="3">
        <f>+SorghumHayDryland!E7</f>
        <v>0</v>
      </c>
      <c r="C14" s="14">
        <f>+SorghumHayDryland!YTotRet</f>
        <v>0</v>
      </c>
      <c r="D14" s="14">
        <f>+SorghumHayDryland!YVarRet</f>
        <v>0</v>
      </c>
      <c r="E14" s="1"/>
      <c r="F14" s="2">
        <f>+SorghumHayDryland!YTotExp</f>
        <v>0</v>
      </c>
      <c r="G14" s="2">
        <f>+SorghumHayDryland!YVarExp</f>
        <v>0</v>
      </c>
      <c r="H14" s="2"/>
      <c r="I14" s="2">
        <f>+SorghumHayDryland!YPrice</f>
        <v>0</v>
      </c>
      <c r="J14" s="2" t="str">
        <f>+SorghumHayDryland!Unit</f>
        <v>Ton</v>
      </c>
      <c r="K14" s="5">
        <f t="shared" si="0"/>
        <v>0</v>
      </c>
      <c r="L14" s="5">
        <f t="shared" si="0"/>
        <v>0</v>
      </c>
    </row>
    <row r="15" spans="1:14" ht="18.75" customHeight="1" x14ac:dyDescent="0.2">
      <c r="A15" s="3" t="str">
        <f>+SwitchgrassEstablish!A3</f>
        <v>Alamo Switchgrass Establishment, Pivot Irrigated</v>
      </c>
      <c r="B15" s="3">
        <f>+SwitchgrassEstablish!E7</f>
        <v>0</v>
      </c>
      <c r="C15" s="14">
        <f>+SwitchgrassEstablish!YTotRet</f>
        <v>0</v>
      </c>
      <c r="D15" s="14">
        <f>+SwitchgrassEstablish!YVarRet</f>
        <v>0</v>
      </c>
      <c r="E15" s="1"/>
      <c r="F15" s="2">
        <f>+SwitchgrassEstablish!YTotExp</f>
        <v>0</v>
      </c>
      <c r="G15" s="2">
        <f>+SwitchgrassEstablish!YVarExp</f>
        <v>0</v>
      </c>
      <c r="H15" s="2"/>
      <c r="I15" s="2">
        <f>+SwitchgrassEstablish!YPrice</f>
        <v>0</v>
      </c>
      <c r="J15" s="2" t="str">
        <f>+SwitchgrassEstablish!Unit</f>
        <v/>
      </c>
      <c r="K15" s="5">
        <f t="shared" ref="K15:L15" si="1">+IF($I15=0,0,F15/$I15)</f>
        <v>0</v>
      </c>
      <c r="L15" s="5">
        <f t="shared" si="1"/>
        <v>0</v>
      </c>
    </row>
    <row r="16" spans="1:14" ht="18.75" customHeight="1" x14ac:dyDescent="0.2">
      <c r="A16" s="3" t="str">
        <f>+SwitchgrassGraze!A3</f>
        <v>Alamo Switchgrass, Full Season, Pivot Irrigated, Grazed</v>
      </c>
      <c r="B16" s="3">
        <f>+SwitchgrassGraze!E7</f>
        <v>0</v>
      </c>
      <c r="C16" s="116">
        <f>+SwitchgrassGraze!YTotRet</f>
        <v>0</v>
      </c>
      <c r="D16" s="116">
        <f>+SwitchgrassGraze!YVarRet</f>
        <v>0</v>
      </c>
      <c r="E16" s="1"/>
      <c r="F16" s="117">
        <f>+SwitchgrassGraze!YTotExp</f>
        <v>0</v>
      </c>
      <c r="G16" s="117">
        <f>+SwitchgrassGraze!YVarExp</f>
        <v>0</v>
      </c>
      <c r="H16" s="117"/>
      <c r="I16" s="117">
        <f>+SwitchgrassGraze!YPrice</f>
        <v>0</v>
      </c>
      <c r="J16" s="117" t="str">
        <f>+SwitchgrassGraze!Unit</f>
        <v>AUM</v>
      </c>
      <c r="K16" s="118">
        <f>+IF($I16=0,0,F16/$I16)</f>
        <v>0</v>
      </c>
      <c r="L16" s="118">
        <f>+IF($I16=0,0,G16/$I16)</f>
        <v>0</v>
      </c>
    </row>
    <row r="17" spans="1:12" ht="18.75" customHeight="1" x14ac:dyDescent="0.2">
      <c r="A17" s="3" t="str">
        <f>+SwitchgrassHay!A3</f>
        <v>Alamo Switchgrass, Full Season, Pivot Irrigated, Baled</v>
      </c>
      <c r="B17" s="3">
        <f>+SwitchgrassHay!E7</f>
        <v>0</v>
      </c>
      <c r="C17" s="14">
        <f>+SwitchgrassHay!YTotRet</f>
        <v>0</v>
      </c>
      <c r="D17" s="14">
        <f>+SwitchgrassHay!YVarRet</f>
        <v>0</v>
      </c>
      <c r="E17" s="1"/>
      <c r="F17" s="2">
        <f>+SwitchgrassHay!YTotExp</f>
        <v>0</v>
      </c>
      <c r="G17" s="2">
        <f>+SwitchgrassHay!YVarExp</f>
        <v>0</v>
      </c>
      <c r="H17" s="2"/>
      <c r="I17" s="2">
        <f>+SwitchgrassHay!YPrice</f>
        <v>0</v>
      </c>
      <c r="J17" s="2" t="str">
        <f>+SwitchgrassHay!Unit</f>
        <v>Ton</v>
      </c>
      <c r="K17" s="5">
        <f>+IF($I17=0,0,F17/$I17)</f>
        <v>0</v>
      </c>
      <c r="L17" s="5">
        <f>+IF($I17=0,0,G17/$I17)</f>
        <v>0</v>
      </c>
    </row>
    <row r="18" spans="1:12" ht="18.75" customHeight="1" x14ac:dyDescent="0.2">
      <c r="C18" s="1"/>
      <c r="D18" s="1"/>
      <c r="E18" s="1"/>
      <c r="F18" s="1"/>
      <c r="G18" s="6"/>
      <c r="H18" s="6"/>
      <c r="I18" s="1"/>
      <c r="J18" s="13"/>
      <c r="K18" s="1"/>
      <c r="L18" s="6"/>
    </row>
    <row r="19" spans="1:12" ht="18.75" customHeight="1" x14ac:dyDescent="0.2">
      <c r="A19" s="14" t="s">
        <v>496</v>
      </c>
      <c r="B19" s="14"/>
      <c r="C19" s="14"/>
      <c r="D19" s="14"/>
      <c r="E19" s="1"/>
      <c r="F19" s="1"/>
      <c r="G19" s="6"/>
      <c r="H19" s="6"/>
      <c r="I19" s="1"/>
      <c r="J19" s="1"/>
      <c r="K19" s="1"/>
      <c r="L19" s="6"/>
    </row>
    <row r="20" spans="1:12" ht="18.75" customHeight="1" x14ac:dyDescent="0.2">
      <c r="A20" s="14"/>
      <c r="B20" s="14"/>
      <c r="C20" s="14"/>
      <c r="D20" s="14"/>
      <c r="E20" s="1"/>
      <c r="F20" s="1"/>
      <c r="G20" s="6"/>
      <c r="H20" s="6"/>
      <c r="I20" s="1"/>
      <c r="J20" s="1"/>
      <c r="K20" s="1"/>
      <c r="L20" s="6"/>
    </row>
    <row r="21" spans="1:12" ht="18.75" customHeight="1" x14ac:dyDescent="0.2">
      <c r="A21" s="3" t="str">
        <f>+TPCottonFurrow!A3</f>
        <v>Trans Pecos Cotton, Furrow Irrigated, 40 Inch Rows</v>
      </c>
      <c r="B21" s="3">
        <f>+TPCottonFurrow!E7</f>
        <v>0</v>
      </c>
      <c r="C21" s="14">
        <f>+TPCottonFurrow!YTotRet</f>
        <v>0</v>
      </c>
      <c r="D21" s="14">
        <f>+TPCottonFurrow!YVarRet</f>
        <v>0</v>
      </c>
      <c r="E21" s="1"/>
      <c r="F21" s="2">
        <f>+TPCottonFurrow!YTotExp</f>
        <v>0</v>
      </c>
      <c r="G21" s="2">
        <f>+TPCottonFurrow!YVarExp</f>
        <v>0</v>
      </c>
      <c r="H21" s="2"/>
      <c r="I21" s="2">
        <f>+TPCottonFurrow!YPrice</f>
        <v>0</v>
      </c>
      <c r="J21" s="2" t="str">
        <f>+TPCottonFurrow!Unit</f>
        <v>Pound</v>
      </c>
      <c r="K21" s="5">
        <f>+IF($I21=0,0,F21/$I21)</f>
        <v>0</v>
      </c>
      <c r="L21" s="5">
        <f>+IF($I21=0,0,G21/$I21)</f>
        <v>0</v>
      </c>
    </row>
    <row r="22" spans="1:12" ht="18.75" customHeight="1" x14ac:dyDescent="0.2">
      <c r="A22" s="3" t="str">
        <f>+TPCottonPivot!A3</f>
        <v>Trans Pecos Cotton, Center Pivot Irrigated, 40 Inch Rows</v>
      </c>
      <c r="B22" s="3">
        <f>+TPCottonPivot!E7</f>
        <v>0</v>
      </c>
      <c r="C22" s="14">
        <f>+TPCottonPivot!YTotRet</f>
        <v>0</v>
      </c>
      <c r="D22" s="14">
        <f>+TPCottonPivot!YVarRet</f>
        <v>0</v>
      </c>
      <c r="E22" s="1"/>
      <c r="F22" s="2">
        <f>+TPCottonPivot!YTotExp</f>
        <v>0</v>
      </c>
      <c r="G22" s="2">
        <f>+TPCottonPivot!YVarExp</f>
        <v>0</v>
      </c>
      <c r="H22" s="2"/>
      <c r="I22" s="2">
        <f>+TPCottonPivot!YPrice</f>
        <v>0</v>
      </c>
      <c r="J22" s="2" t="str">
        <f>+TPCottonPivot!Unit</f>
        <v>Pound</v>
      </c>
      <c r="K22" s="5">
        <f>+IF($I22=0,0,F22/$I22)</f>
        <v>0</v>
      </c>
      <c r="L22" s="5">
        <f>+IF($I22=0,0,G22/$I22)</f>
        <v>0</v>
      </c>
    </row>
    <row r="23" spans="1:12" ht="18.75" customHeight="1" x14ac:dyDescent="0.2">
      <c r="A23" s="3" t="str">
        <f>+SLCottonDrip!A3</f>
        <v>St. Lawrence Reduced Tillage Cotton, Drip Irrigated, 40 Inch Rows</v>
      </c>
      <c r="B23" s="3">
        <f>+SLCottonDrip!E7</f>
        <v>0</v>
      </c>
      <c r="C23" s="14">
        <f>+SLCottonDrip!YTotRet</f>
        <v>0</v>
      </c>
      <c r="D23" s="14">
        <f>+SLCottonDrip!YVarRet</f>
        <v>0</v>
      </c>
      <c r="E23" s="1"/>
      <c r="F23" s="2">
        <f>+SLCottonDrip!YTotExp</f>
        <v>0</v>
      </c>
      <c r="G23" s="2">
        <f>+SLCottonDrip!YVarExp</f>
        <v>0</v>
      </c>
      <c r="H23" s="2"/>
      <c r="I23" s="2">
        <f>+SLCottonDrip!YPrice</f>
        <v>0</v>
      </c>
      <c r="J23" s="2" t="str">
        <f>+SLCottonDrip!Unit</f>
        <v>Pound</v>
      </c>
      <c r="K23" s="5">
        <f t="shared" ref="K23:K28" si="2">+IF($I23=0,0,F23/$I23)</f>
        <v>0</v>
      </c>
      <c r="L23" s="5">
        <f t="shared" ref="L23:L28" si="3">+IF($I23=0,0,G23/$I23)</f>
        <v>0</v>
      </c>
    </row>
    <row r="24" spans="1:12" ht="18.75" customHeight="1" x14ac:dyDescent="0.2">
      <c r="A24" s="3" t="str">
        <f>+SLXFCottonDrip!A3</f>
        <v>St. Lawrence Auxin Technology Cotton, Drip Irrigated, 40 Inch Rows</v>
      </c>
      <c r="B24" s="3">
        <f>+SLXFCottonDrip!E7</f>
        <v>0</v>
      </c>
      <c r="C24" s="14">
        <f>+SLXFCottonDrip!YTotRet</f>
        <v>0</v>
      </c>
      <c r="D24" s="14">
        <f>+SLXFCottonDrip!YVarRet</f>
        <v>0</v>
      </c>
      <c r="E24" s="1"/>
      <c r="F24" s="2">
        <f>+SLXFCottonDrip!YTotExp</f>
        <v>0</v>
      </c>
      <c r="G24" s="2">
        <f>+SLXFCottonDrip!YVarExp</f>
        <v>0</v>
      </c>
      <c r="H24" s="2"/>
      <c r="I24" s="2">
        <f>+SLXFCottonDrip!YPrice</f>
        <v>0</v>
      </c>
      <c r="J24" s="2" t="str">
        <f>+SLXFCottonDrip!Unit</f>
        <v>Pound</v>
      </c>
      <c r="K24" s="5">
        <f t="shared" si="2"/>
        <v>0</v>
      </c>
      <c r="L24" s="5">
        <f t="shared" si="3"/>
        <v>0</v>
      </c>
    </row>
    <row r="25" spans="1:12" ht="18.75" customHeight="1" x14ac:dyDescent="0.2">
      <c r="A25" s="3" t="str">
        <f>+SLCottonDrylandGM!A3</f>
        <v>St. Lawrence Dryland Cotton, BIIFlex, 40 Inch Rows</v>
      </c>
      <c r="B25" s="3">
        <f>+SLCottonDrylandGM!E7</f>
        <v>0</v>
      </c>
      <c r="C25" s="14">
        <f>+SLCottonDrylandGM!YTotRet</f>
        <v>0</v>
      </c>
      <c r="D25" s="14">
        <f>+SLCottonDrylandGM!YVarRet</f>
        <v>0</v>
      </c>
      <c r="E25" s="1"/>
      <c r="F25" s="2">
        <f>+SLCottonDrylandGM!YTotExp</f>
        <v>0</v>
      </c>
      <c r="G25" s="2">
        <f>+SLCottonDrylandGM!YVarExp</f>
        <v>0</v>
      </c>
      <c r="H25" s="2"/>
      <c r="I25" s="2">
        <f>+SLCottonDrylandGM!YPrice</f>
        <v>0</v>
      </c>
      <c r="J25" s="2" t="str">
        <f>+SLCottonDrylandGM!Unit</f>
        <v>Pound</v>
      </c>
      <c r="K25" s="5">
        <f t="shared" si="2"/>
        <v>0</v>
      </c>
      <c r="L25" s="5">
        <f t="shared" si="3"/>
        <v>0</v>
      </c>
    </row>
    <row r="26" spans="1:12" ht="18.75" customHeight="1" x14ac:dyDescent="0.2">
      <c r="A26" s="3" t="str">
        <f>+SLXFCottonDryland!A3</f>
        <v>St. Lawrence Dryland Auxin Technology Cotton, 40 Inch Rows</v>
      </c>
      <c r="B26" s="3">
        <f>+SLXFCottonDryland!E7</f>
        <v>0</v>
      </c>
      <c r="C26" s="14">
        <f>+SLXFCottonDryland!YTotRet</f>
        <v>0</v>
      </c>
      <c r="D26" s="14">
        <f>+SLXFCottonDryland!YVarRet</f>
        <v>0</v>
      </c>
      <c r="E26" s="1"/>
      <c r="F26" s="2">
        <f>+SLXFCottonDryland!YTotExp</f>
        <v>0</v>
      </c>
      <c r="G26" s="2">
        <f>+SLXFCottonDryland!YVarExp</f>
        <v>0</v>
      </c>
      <c r="H26" s="2"/>
      <c r="I26" s="2">
        <f>+SLXFCottonDryland!YPrice</f>
        <v>0</v>
      </c>
      <c r="J26" s="2" t="str">
        <f>+SLXFCottonDryland!Unit</f>
        <v>Pound</v>
      </c>
      <c r="K26" s="5">
        <f>+IF($I26=0,0,F26/$I26)</f>
        <v>0</v>
      </c>
      <c r="L26" s="5">
        <f>+IF($I26=0,0,G26/$I26)</f>
        <v>0</v>
      </c>
    </row>
    <row r="27" spans="1:12" ht="18.75" customHeight="1" x14ac:dyDescent="0.2">
      <c r="A27" s="3" t="str">
        <f>+ElPasoCotton!A3</f>
        <v>El Paso County Cotton, Canal Delivered Furrow Irrigated, 40 Inch Rows</v>
      </c>
      <c r="B27" s="3">
        <f>+ElPasoCotton!E7</f>
        <v>0</v>
      </c>
      <c r="C27" s="14">
        <f>+ElPasoCotton!YTotRet</f>
        <v>0</v>
      </c>
      <c r="D27" s="14">
        <f>+ElPasoCotton!YVarRet</f>
        <v>0</v>
      </c>
      <c r="E27" s="1"/>
      <c r="F27" s="2">
        <f>+ElPasoCotton!YTotExp</f>
        <v>0</v>
      </c>
      <c r="G27" s="2">
        <f>+ElPasoCotton!YVarExp</f>
        <v>0</v>
      </c>
      <c r="H27" s="2"/>
      <c r="I27" s="2">
        <f>+ElPasoCotton!YPrice</f>
        <v>0</v>
      </c>
      <c r="J27" s="2" t="str">
        <f>+ElPasoCotton!Unit</f>
        <v>Pound</v>
      </c>
      <c r="K27" s="5">
        <f>+IF($I27=0,0,F27/$I27)</f>
        <v>0</v>
      </c>
      <c r="L27" s="5">
        <f>+IF($I27=0,0,G27/$I27)</f>
        <v>0</v>
      </c>
    </row>
    <row r="28" spans="1:12" ht="18.75" customHeight="1" x14ac:dyDescent="0.2">
      <c r="A28" s="3" t="str">
        <f>+SLGSDrip!A3</f>
        <v>St. Lawrence Early Planted Grain Sorghum, Drip Irrigated, 40 Inch Rows</v>
      </c>
      <c r="B28" s="3">
        <f>+SLGSDrip!E7</f>
        <v>0</v>
      </c>
      <c r="C28" s="14">
        <f>+SLGSDrip!YTotRet</f>
        <v>0</v>
      </c>
      <c r="D28" s="14">
        <f>+SLGSDrip!YVarRet</f>
        <v>0</v>
      </c>
      <c r="E28" s="1"/>
      <c r="F28" s="2">
        <f>+SLGSDrip!YTotExp</f>
        <v>0</v>
      </c>
      <c r="G28" s="2">
        <f>+SLGSDrip!YVarExp</f>
        <v>0</v>
      </c>
      <c r="H28" s="2"/>
      <c r="I28" s="2">
        <f>+SLGSDrip!YPrice</f>
        <v>0</v>
      </c>
      <c r="J28" s="2" t="str">
        <f>+SLGSDrip!Unit</f>
        <v>CWT</v>
      </c>
      <c r="K28" s="5">
        <f t="shared" si="2"/>
        <v>0</v>
      </c>
      <c r="L28" s="5">
        <f t="shared" si="3"/>
        <v>0</v>
      </c>
    </row>
    <row r="29" spans="1:12" ht="18.75" customHeight="1" x14ac:dyDescent="0.2">
      <c r="A29" s="3" t="str">
        <f>+WheatDryland!A3</f>
        <v>Wheat, Dryland</v>
      </c>
      <c r="B29" s="3">
        <f>+WheatDryland!E7</f>
        <v>0</v>
      </c>
      <c r="C29" s="14">
        <f>+WheatDryland!YTotRet</f>
        <v>0</v>
      </c>
      <c r="D29" s="14">
        <f>+WheatDryland!YVarRet</f>
        <v>0</v>
      </c>
      <c r="E29" s="1"/>
      <c r="F29" s="2">
        <f>+WheatDryland!YTotExp</f>
        <v>0</v>
      </c>
      <c r="G29" s="2">
        <f>+WheatDryland!YVarExp</f>
        <v>0</v>
      </c>
      <c r="H29" s="2"/>
      <c r="I29" s="2">
        <f>+WheatDryland!YPrice</f>
        <v>0</v>
      </c>
      <c r="J29" s="2" t="str">
        <f>+WheatDryland!Unit</f>
        <v>Bushel</v>
      </c>
      <c r="K29" s="5">
        <f>+IF($I29=0,0,F29/$I29)</f>
        <v>0</v>
      </c>
      <c r="L29" s="5">
        <f>+IF($I29=0,0,G29/$I29)</f>
        <v>0</v>
      </c>
    </row>
    <row r="30" spans="1:12" ht="18.75" customHeight="1" x14ac:dyDescent="0.2">
      <c r="A30" s="3" t="str">
        <f>+WheatIrrigated!A3</f>
        <v>Wheat, Center Pivot Irrigated, Trans Pecos</v>
      </c>
      <c r="B30" s="3">
        <f>+WheatIrrigated!E7</f>
        <v>0</v>
      </c>
      <c r="C30" s="14">
        <f>+WheatIrrigated!YTotRet</f>
        <v>0</v>
      </c>
      <c r="D30" s="14">
        <f>+WheatIrrigated!YVarRet</f>
        <v>0</v>
      </c>
      <c r="E30" s="1"/>
      <c r="F30" s="2">
        <f>+WheatIrrigated!YTotExp</f>
        <v>0</v>
      </c>
      <c r="G30" s="2">
        <f>+WheatIrrigated!YVarExp</f>
        <v>0</v>
      </c>
      <c r="H30" s="2"/>
      <c r="I30" s="2">
        <f>+WheatIrrigated!YPrice</f>
        <v>0</v>
      </c>
      <c r="J30" s="2" t="str">
        <f>+WheatIrrigated!Unit</f>
        <v>Bushel</v>
      </c>
      <c r="K30" s="5">
        <f>+IF($I30=0,0,F30/$I30)</f>
        <v>0</v>
      </c>
      <c r="L30" s="5">
        <f>+IF($I30=0,0,G30/$I30)</f>
        <v>0</v>
      </c>
    </row>
    <row r="31" spans="1:12" ht="18.75" customHeight="1" x14ac:dyDescent="0.2">
      <c r="A31" s="3"/>
      <c r="B31" s="3"/>
      <c r="C31" s="14"/>
      <c r="D31" s="14"/>
      <c r="E31" s="1"/>
      <c r="F31" s="2"/>
      <c r="G31" s="2"/>
      <c r="H31" s="2"/>
      <c r="I31" s="2"/>
      <c r="J31" s="2"/>
      <c r="K31" s="5"/>
      <c r="L31" s="5"/>
    </row>
    <row r="32" spans="1:12" ht="18.75" customHeight="1" x14ac:dyDescent="0.2">
      <c r="A32" s="14" t="s">
        <v>497</v>
      </c>
      <c r="B32" s="14"/>
      <c r="C32" s="14"/>
      <c r="D32" s="14"/>
      <c r="E32" s="1"/>
      <c r="F32" s="2"/>
      <c r="G32" s="2"/>
      <c r="H32" s="2"/>
      <c r="I32" s="2"/>
      <c r="J32" s="2"/>
      <c r="K32" s="5"/>
      <c r="L32" s="5"/>
    </row>
    <row r="33" spans="1:12" ht="18.75" customHeight="1" x14ac:dyDescent="0.2">
      <c r="A33" s="3"/>
      <c r="B33" s="3"/>
      <c r="C33" s="14"/>
      <c r="D33" s="14"/>
      <c r="E33" s="2"/>
      <c r="F33" s="2"/>
      <c r="G33" s="2"/>
      <c r="H33" s="2"/>
      <c r="I33" s="2"/>
      <c r="J33" s="2"/>
      <c r="K33" s="5"/>
      <c r="L33" s="5"/>
    </row>
    <row r="34" spans="1:12" ht="18.75" customHeight="1" x14ac:dyDescent="0.2">
      <c r="A34" s="3" t="str">
        <f>+RedChile!A3</f>
        <v>Red Chile Peppers, Dell City, Center Pivot Irrigated</v>
      </c>
      <c r="B34" s="3">
        <f>+RedChile!E7</f>
        <v>0</v>
      </c>
      <c r="C34" s="14">
        <f>+RedChile!YTotRet</f>
        <v>0</v>
      </c>
      <c r="D34" s="14">
        <f>+RedChile!YVarRet</f>
        <v>0</v>
      </c>
      <c r="E34" s="1"/>
      <c r="F34" s="2">
        <f>+RedChile!YTotExp</f>
        <v>0</v>
      </c>
      <c r="G34" s="2">
        <f>+RedChile!YVarExp</f>
        <v>0</v>
      </c>
      <c r="H34" s="2"/>
      <c r="I34" s="2">
        <f>+RedChile!YPrice</f>
        <v>0</v>
      </c>
      <c r="J34" s="2" t="str">
        <f>+RedChile!Unit</f>
        <v>Pound</v>
      </c>
      <c r="K34" s="5">
        <f t="shared" ref="K34:L36" si="4">+IF($I34=0,0,F34/$I34)</f>
        <v>0</v>
      </c>
      <c r="L34" s="5">
        <f t="shared" si="4"/>
        <v>0</v>
      </c>
    </row>
    <row r="35" spans="1:12" ht="18.75" customHeight="1" x14ac:dyDescent="0.2">
      <c r="A35" s="3" t="str">
        <f>+Onions!A3</f>
        <v>Spring Onions, Furrow Irrigated</v>
      </c>
      <c r="B35" s="3">
        <f>+Onions!E7</f>
        <v>0</v>
      </c>
      <c r="C35" s="14">
        <f>+Onions!YTotRet</f>
        <v>0</v>
      </c>
      <c r="D35" s="14">
        <f>+Onions!YVarRet</f>
        <v>0</v>
      </c>
      <c r="E35" s="1"/>
      <c r="F35" s="2">
        <f>+Onions!YTotExp</f>
        <v>0</v>
      </c>
      <c r="G35" s="2">
        <f>+Onions!YVarExp</f>
        <v>0</v>
      </c>
      <c r="H35" s="2"/>
      <c r="I35" s="2">
        <f>+Onions!YPrice</f>
        <v>0</v>
      </c>
      <c r="J35" s="2" t="str">
        <f>+Onions!Unit</f>
        <v>Bag</v>
      </c>
      <c r="K35" s="5">
        <f t="shared" si="4"/>
        <v>0</v>
      </c>
      <c r="L35" s="5">
        <f t="shared" si="4"/>
        <v>0</v>
      </c>
    </row>
    <row r="36" spans="1:12" ht="18.75" customHeight="1" x14ac:dyDescent="0.2">
      <c r="A36" s="3" t="str">
        <f>+Pecans!A3</f>
        <v>Trans Pecos Flood Irrigated Pecans, Years 10-20</v>
      </c>
      <c r="B36" s="3">
        <f>+Pecans!E7</f>
        <v>0</v>
      </c>
      <c r="C36" s="14">
        <f>+Pecans!YTotRet</f>
        <v>0</v>
      </c>
      <c r="D36" s="14">
        <f>+Pecans!YVarRet</f>
        <v>0</v>
      </c>
      <c r="E36" s="1"/>
      <c r="F36" s="2">
        <f>+Pecans!YTotExp</f>
        <v>0</v>
      </c>
      <c r="G36" s="2">
        <f>+Pecans!YVarExp</f>
        <v>0</v>
      </c>
      <c r="H36" s="2"/>
      <c r="I36" s="2">
        <f>+Pecans!YPrice</f>
        <v>0</v>
      </c>
      <c r="J36" s="2" t="str">
        <f>+Pecans!Unit</f>
        <v>Pound</v>
      </c>
      <c r="K36" s="5">
        <f t="shared" si="4"/>
        <v>0</v>
      </c>
      <c r="L36" s="5">
        <f t="shared" si="4"/>
        <v>0</v>
      </c>
    </row>
    <row r="37" spans="1:12" ht="18.75" customHeight="1" x14ac:dyDescent="0.2">
      <c r="A37" s="3"/>
      <c r="B37" s="3"/>
      <c r="C37" s="14"/>
      <c r="D37" s="14"/>
      <c r="E37" s="1"/>
      <c r="F37" s="2"/>
      <c r="G37" s="2"/>
      <c r="H37" s="2"/>
      <c r="I37" s="2"/>
      <c r="J37" s="2"/>
      <c r="K37" s="5"/>
      <c r="L37" s="5"/>
    </row>
    <row r="38" spans="1:12" ht="18.75" customHeight="1" x14ac:dyDescent="0.2">
      <c r="A38" s="14" t="s">
        <v>144</v>
      </c>
      <c r="B38" s="14"/>
      <c r="C38" s="14"/>
      <c r="D38" s="14"/>
      <c r="E38" s="1"/>
      <c r="F38" s="2"/>
      <c r="G38" s="2"/>
      <c r="H38" s="2"/>
      <c r="I38" s="2"/>
      <c r="J38" s="2"/>
      <c r="K38" s="5"/>
      <c r="L38" s="5"/>
    </row>
    <row r="39" spans="1:12" ht="18.75" customHeight="1" x14ac:dyDescent="0.2">
      <c r="A39" s="14"/>
      <c r="B39" s="14"/>
      <c r="C39" s="14"/>
      <c r="D39" s="14"/>
      <c r="E39" s="1"/>
      <c r="F39" s="2"/>
      <c r="G39" s="2"/>
      <c r="H39" s="2"/>
      <c r="I39" s="2"/>
      <c r="J39" s="2"/>
      <c r="K39" s="5"/>
      <c r="L39" s="5"/>
    </row>
    <row r="40" spans="1:12" ht="16.5" customHeight="1" x14ac:dyDescent="0.2">
      <c r="A40" s="15" t="str">
        <f>+CowCalfNative!A3</f>
        <v>Cow-Calf Enterprise</v>
      </c>
      <c r="B40" s="3">
        <f>+CowCalfNative!E7</f>
        <v>0</v>
      </c>
      <c r="C40" s="14">
        <f>+CowCalfNative!YTotRet</f>
        <v>0</v>
      </c>
      <c r="D40" s="14">
        <f>+CowCalfNative!YVarRet</f>
        <v>0</v>
      </c>
      <c r="F40" s="8">
        <f>+CowCalfNative!YTotExp</f>
        <v>0</v>
      </c>
      <c r="G40" s="8">
        <f>+CowCalfNative!YVarExp</f>
        <v>0</v>
      </c>
      <c r="H40" s="8"/>
      <c r="I40" s="8" t="e">
        <f>+CowCalfNative!YPrice</f>
        <v>#NAME?</v>
      </c>
      <c r="J40" s="8" t="str">
        <f>+CowCalfNative!Unit</f>
        <v>CWT</v>
      </c>
      <c r="K40" s="5" t="e">
        <f t="shared" ref="K40:L40" si="5">+IF($I40=0,0,F40/$I40)</f>
        <v>#NAME?</v>
      </c>
      <c r="L40" s="5" t="e">
        <f t="shared" si="5"/>
        <v>#NAME?</v>
      </c>
    </row>
    <row r="41" spans="1:12" ht="16.5" customHeight="1" x14ac:dyDescent="0.2">
      <c r="A41" s="15" t="str">
        <f>+StockersSummer!A3</f>
        <v>Stocker Steers - Summer Growth, 0.6 AU per Head</v>
      </c>
      <c r="B41" s="3">
        <f>+StockersSummer!E7</f>
        <v>0</v>
      </c>
      <c r="C41" s="14">
        <f>+StockersSummer!YTotRet</f>
        <v>0</v>
      </c>
      <c r="D41" s="14">
        <f>+StockersSummer!YVarRet</f>
        <v>0</v>
      </c>
      <c r="F41" s="8">
        <f>+StockersSummer!YTotExp</f>
        <v>0</v>
      </c>
      <c r="G41" s="8">
        <f>+StockersSummer!YVarExp</f>
        <v>0</v>
      </c>
      <c r="H41" s="8"/>
      <c r="I41" s="8">
        <f>+StockersSummer!YPrice</f>
        <v>0</v>
      </c>
      <c r="J41" s="8" t="str">
        <f>+StockersSummer!Unit</f>
        <v>CWT</v>
      </c>
      <c r="K41" s="5">
        <f>+IF($I41=0,0,F41/$I41)</f>
        <v>0</v>
      </c>
      <c r="L41" s="5">
        <f>+IF($I41=0,0,G41/$I41)</f>
        <v>0</v>
      </c>
    </row>
    <row r="42" spans="1:12" ht="16.5" customHeight="1" x14ac:dyDescent="0.2">
      <c r="A42" s="15" t="str">
        <f>+StockerWinter!A3</f>
        <v>Stocker Steers - Winter Growth, 0.45 AU per Head</v>
      </c>
      <c r="B42" s="3">
        <f>+StockerWinter!E7</f>
        <v>0</v>
      </c>
      <c r="C42" s="14">
        <f>+StockerWinter!YTotRet</f>
        <v>0</v>
      </c>
      <c r="D42" s="14">
        <f>+StockerWinter!YVarRet</f>
        <v>0</v>
      </c>
      <c r="F42" s="8">
        <f>+StockerWinter!YTotExp</f>
        <v>0</v>
      </c>
      <c r="G42" s="8">
        <f>+StockerWinter!YVarExp</f>
        <v>0</v>
      </c>
      <c r="H42" s="8"/>
      <c r="I42" s="8">
        <f>+StockerWinter!YPrice</f>
        <v>0</v>
      </c>
      <c r="J42" s="8" t="str">
        <f>+StockerWinter!Unit</f>
        <v>CWT</v>
      </c>
      <c r="K42" s="5">
        <f>+IF($I42=0,0,F42/$I42)</f>
        <v>0</v>
      </c>
      <c r="L42" s="5">
        <f>+IF($I42=0,0,G42/$I42)</f>
        <v>0</v>
      </c>
    </row>
    <row r="43" spans="1:12" ht="16.5" customHeight="1" x14ac:dyDescent="0.2">
      <c r="A43" s="15" t="str">
        <f>MeatGoats!A3</f>
        <v>Trans Pecos Meat Goats, 6 Head per AU</v>
      </c>
      <c r="B43" s="3">
        <f>MeatGoats!E7</f>
        <v>0</v>
      </c>
      <c r="C43" s="14">
        <f>MeatGoats!YTotRet</f>
        <v>0</v>
      </c>
      <c r="D43" s="14">
        <f>MeatGoats!YVarRet</f>
        <v>0</v>
      </c>
      <c r="F43" s="8">
        <f>MeatGoats!YTotExp</f>
        <v>0</v>
      </c>
      <c r="G43" s="8">
        <f>MeatGoats!YVarExp</f>
        <v>0</v>
      </c>
      <c r="H43" s="8"/>
      <c r="I43" s="8" t="e">
        <f>MeatGoats!YPrice</f>
        <v>#NAME?</v>
      </c>
      <c r="J43" s="8" t="str">
        <f>MeatGoats!Unit</f>
        <v>CWT</v>
      </c>
      <c r="K43" s="5" t="e">
        <f>IF(I43=0,0,F43/I43)</f>
        <v>#NAME?</v>
      </c>
      <c r="L43" s="5" t="e">
        <f>IF(I43=0,0,G43/I43)</f>
        <v>#NAME?</v>
      </c>
    </row>
    <row r="44" spans="1:12" ht="16.5" customHeight="1" x14ac:dyDescent="0.2">
      <c r="A44" s="15" t="str">
        <f>Angoras!A3</f>
        <v>Trans Pecos Angora Goats, 7 Head per AU</v>
      </c>
      <c r="B44" s="3">
        <f>Angoras!E7</f>
        <v>0</v>
      </c>
      <c r="C44" s="14">
        <f>Angoras!YTotRet</f>
        <v>0</v>
      </c>
      <c r="D44" s="14">
        <f>Angoras!YVarRet</f>
        <v>0</v>
      </c>
      <c r="F44" s="8">
        <f>Angoras!YTotExp</f>
        <v>0</v>
      </c>
      <c r="G44" s="8">
        <f>Angoras!YVarExp</f>
        <v>0</v>
      </c>
      <c r="H44" s="8"/>
      <c r="I44" s="8" t="e">
        <f>Angoras!YPrice</f>
        <v>#NAME?</v>
      </c>
      <c r="J44" s="8" t="str">
        <f>Angoras!Unit</f>
        <v>CWT</v>
      </c>
      <c r="K44" s="5" t="e">
        <f>IF(I44=0,0,F44/I44)</f>
        <v>#NAME?</v>
      </c>
      <c r="L44" s="5" t="e">
        <f>IF(I44=0,0,G44/I44)</f>
        <v>#NAME?</v>
      </c>
    </row>
    <row r="45" spans="1:12" ht="16.5" customHeight="1" x14ac:dyDescent="0.2">
      <c r="A45" s="15" t="str">
        <f>SheepWool!A3</f>
        <v>Trans Pecos Wool Sheep, 5 Head per AU</v>
      </c>
      <c r="B45" s="3">
        <f>SheepWool!E7</f>
        <v>0</v>
      </c>
      <c r="C45" s="14">
        <f>SheepWool!YTotRet</f>
        <v>0</v>
      </c>
      <c r="D45" s="14">
        <f>SheepWool!YVarRet</f>
        <v>0</v>
      </c>
      <c r="F45" s="8">
        <f>SheepWool!YTotExp</f>
        <v>0</v>
      </c>
      <c r="G45" s="8">
        <f>SheepWool!YVarExp</f>
        <v>0</v>
      </c>
      <c r="H45" s="8"/>
      <c r="I45" s="8" t="e">
        <f>SheepWool!YPrice</f>
        <v>#NAME?</v>
      </c>
      <c r="J45" s="8" t="str">
        <f>SheepWool!Unit</f>
        <v>CWT</v>
      </c>
      <c r="K45" s="5" t="e">
        <f>IF(I45=0,0,F45/I45)</f>
        <v>#NAME?</v>
      </c>
      <c r="L45" s="5" t="e">
        <f>IF(I45=0,0,G45/I45)</f>
        <v>#NAME?</v>
      </c>
    </row>
    <row r="46" spans="1:12" ht="16.5" customHeight="1" x14ac:dyDescent="0.2">
      <c r="A46" s="15" t="str">
        <f>SheepHair!A3</f>
        <v>Trans Pecos Hair Sheep, 5 Head per AU</v>
      </c>
      <c r="B46" s="3">
        <f>SheepHair!E7</f>
        <v>0</v>
      </c>
      <c r="C46" s="14">
        <f>SheepHair!YTotRet</f>
        <v>0</v>
      </c>
      <c r="D46" s="14">
        <f>SheepHair!YVarRet</f>
        <v>0</v>
      </c>
      <c r="F46" s="8">
        <f>SheepHair!YTotExp</f>
        <v>0</v>
      </c>
      <c r="G46" s="8">
        <f>SheepHair!YVarExp</f>
        <v>0</v>
      </c>
      <c r="H46" s="8"/>
      <c r="I46" s="8" t="e">
        <f>SheepHair!YPrice</f>
        <v>#NAME?</v>
      </c>
      <c r="J46" s="8" t="str">
        <f>SheepHair!Unit</f>
        <v>CWT</v>
      </c>
      <c r="K46" s="5" t="e">
        <f>IF(I46=0,0,F46/I46)</f>
        <v>#NAME?</v>
      </c>
      <c r="L46" s="5" t="e">
        <f>IF(I46=0,0,G46/I46)</f>
        <v>#NAME?</v>
      </c>
    </row>
    <row r="47" spans="1:12" ht="16.5" customHeight="1" x14ac:dyDescent="0.2">
      <c r="A47" s="15"/>
      <c r="B47" s="15"/>
      <c r="C47" s="14"/>
      <c r="D47" s="14"/>
      <c r="F47" s="8"/>
      <c r="G47" s="8"/>
      <c r="H47" s="8"/>
      <c r="I47" s="8"/>
      <c r="J47" s="8"/>
      <c r="K47" s="5"/>
      <c r="L47" s="5"/>
    </row>
    <row r="48" spans="1:12" ht="18.75" customHeight="1" x14ac:dyDescent="0.2">
      <c r="A48" s="14" t="s">
        <v>307</v>
      </c>
      <c r="B48" s="14"/>
      <c r="C48" s="14"/>
      <c r="D48" s="14"/>
      <c r="E48" s="1"/>
      <c r="F48" s="2"/>
      <c r="G48" s="2"/>
      <c r="H48" s="2"/>
      <c r="I48" s="2"/>
      <c r="J48" s="2"/>
      <c r="K48" s="5"/>
      <c r="L48" s="5"/>
    </row>
    <row r="49" spans="1:12" ht="18.75" customHeight="1" x14ac:dyDescent="0.2">
      <c r="A49" s="14"/>
      <c r="B49" s="14"/>
      <c r="C49" s="14"/>
      <c r="D49" s="14"/>
      <c r="E49" s="1"/>
      <c r="F49" s="2"/>
      <c r="G49" s="2"/>
      <c r="H49" s="2"/>
      <c r="I49" s="2"/>
      <c r="J49" s="2"/>
      <c r="K49" s="5"/>
      <c r="L49" s="5"/>
    </row>
    <row r="50" spans="1:12" ht="16.5" customHeight="1" x14ac:dyDescent="0.2">
      <c r="A50" s="15" t="str">
        <f>+'Livestock Budget'!A3</f>
        <v>Livestock Budget</v>
      </c>
      <c r="B50" s="3">
        <f>+'Livestock Budget'!D5</f>
        <v>0</v>
      </c>
      <c r="C50" s="14">
        <f>+'Livestock Budget'!YTotRet</f>
        <v>0</v>
      </c>
      <c r="D50" s="14">
        <f>+'Livestock Budget'!YVarRet</f>
        <v>0</v>
      </c>
      <c r="F50" s="8">
        <f>+'Livestock Budget'!YTotExp</f>
        <v>0</v>
      </c>
      <c r="G50" s="8">
        <f>+'Livestock Budget'!YVarExp</f>
        <v>0</v>
      </c>
      <c r="H50" s="8"/>
      <c r="I50" s="8">
        <f>+'Livestock Budget'!YPrice</f>
        <v>0</v>
      </c>
      <c r="J50" s="8" t="str">
        <f>+'Livestock Budget'!Unit</f>
        <v>CWT</v>
      </c>
      <c r="K50" s="5">
        <f>+IF($I50=0,0,F50/$I50)</f>
        <v>0</v>
      </c>
      <c r="L50" s="5">
        <f>+IF($I50=0,0,G50/$I50)</f>
        <v>0</v>
      </c>
    </row>
    <row r="51" spans="1:12" ht="16.5" customHeight="1" x14ac:dyDescent="0.2">
      <c r="A51" s="15" t="str">
        <f>+'Crop Budget'!A3</f>
        <v>Crop Enterprise</v>
      </c>
      <c r="B51" s="185">
        <f>+'Crop Budget'!D5</f>
        <v>0</v>
      </c>
      <c r="C51" s="14">
        <f>+'Crop Budget'!YTotRet</f>
        <v>0</v>
      </c>
      <c r="D51" s="14">
        <f>+'Crop Budget'!YVarRet</f>
        <v>0</v>
      </c>
      <c r="F51" s="8">
        <f>+'Crop Budget'!YTotExp</f>
        <v>0</v>
      </c>
      <c r="G51" s="8">
        <f>+'Crop Budget'!YVarExp</f>
        <v>0</v>
      </c>
      <c r="H51" s="8"/>
      <c r="I51" s="8">
        <f>+'Crop Budget'!YPrice</f>
        <v>0</v>
      </c>
      <c r="J51" s="8" t="str">
        <f>+'Crop Budget'!Unit</f>
        <v>Cwt,lb,etc</v>
      </c>
      <c r="K51" s="5">
        <f>+IF($I51=0,0,F51/$I51)</f>
        <v>0</v>
      </c>
      <c r="L51" s="5">
        <f>+IF($I51=0,0,G51/$I51)</f>
        <v>0</v>
      </c>
    </row>
  </sheetData>
  <sheetProtection sheet="1" objects="1" scenarios="1"/>
  <mergeCells count="3">
    <mergeCell ref="C3:D3"/>
    <mergeCell ref="F3:G3"/>
    <mergeCell ref="I3:L3"/>
  </mergeCells>
  <conditionalFormatting sqref="C19:C20 C7:D17 C21:D47">
    <cfRule type="cellIs" dxfId="53" priority="27" stopIfTrue="1" operator="lessThan">
      <formula>$C$1</formula>
    </cfRule>
    <cfRule type="cellIs" dxfId="52" priority="28" stopIfTrue="1" operator="greaterThanOrEqual">
      <formula>$C$1</formula>
    </cfRule>
  </conditionalFormatting>
  <conditionalFormatting sqref="A20:B20">
    <cfRule type="cellIs" dxfId="51" priority="25" stopIfTrue="1" operator="lessThan">
      <formula>$C$1</formula>
    </cfRule>
    <cfRule type="cellIs" dxfId="50" priority="26" stopIfTrue="1" operator="greaterThanOrEqual">
      <formula>$C$1</formula>
    </cfRule>
  </conditionalFormatting>
  <conditionalFormatting sqref="A32:B32">
    <cfRule type="cellIs" dxfId="49" priority="21" stopIfTrue="1" operator="lessThan">
      <formula>$C$1</formula>
    </cfRule>
    <cfRule type="cellIs" dxfId="48" priority="22" stopIfTrue="1" operator="greaterThanOrEqual">
      <formula>$C$1</formula>
    </cfRule>
  </conditionalFormatting>
  <conditionalFormatting sqref="A6:B6">
    <cfRule type="cellIs" dxfId="47" priority="19" stopIfTrue="1" operator="lessThan">
      <formula>$C$1</formula>
    </cfRule>
    <cfRule type="cellIs" dxfId="46" priority="20" stopIfTrue="1" operator="greaterThanOrEqual">
      <formula>$C$1</formula>
    </cfRule>
  </conditionalFormatting>
  <conditionalFormatting sqref="A5:B5">
    <cfRule type="cellIs" dxfId="45" priority="13" stopIfTrue="1" operator="lessThan">
      <formula>$C$1</formula>
    </cfRule>
    <cfRule type="cellIs" dxfId="44" priority="14" stopIfTrue="1" operator="greaterThanOrEqual">
      <formula>$C$1</formula>
    </cfRule>
  </conditionalFormatting>
  <conditionalFormatting sqref="A38:B39">
    <cfRule type="cellIs" dxfId="43" priority="9" stopIfTrue="1" operator="lessThan">
      <formula>$C$1</formula>
    </cfRule>
    <cfRule type="cellIs" dxfId="42" priority="10" stopIfTrue="1" operator="greaterThanOrEqual">
      <formula>$C$1</formula>
    </cfRule>
  </conditionalFormatting>
  <conditionalFormatting sqref="A19:B19">
    <cfRule type="cellIs" dxfId="41" priority="11" stopIfTrue="1" operator="lessThan">
      <formula>$C$1</formula>
    </cfRule>
    <cfRule type="cellIs" dxfId="40" priority="12" stopIfTrue="1" operator="greaterThanOrEqual">
      <formula>$C$1</formula>
    </cfRule>
  </conditionalFormatting>
  <conditionalFormatting sqref="D19:D20">
    <cfRule type="cellIs" dxfId="39" priority="7" stopIfTrue="1" operator="lessThan">
      <formula>$C$1</formula>
    </cfRule>
    <cfRule type="cellIs" dxfId="38" priority="8" stopIfTrue="1" operator="greaterThanOrEqual">
      <formula>$C$1</formula>
    </cfRule>
  </conditionalFormatting>
  <conditionalFormatting sqref="C48:D50">
    <cfRule type="cellIs" dxfId="37" priority="5" stopIfTrue="1" operator="lessThan">
      <formula>$C$1</formula>
    </cfRule>
    <cfRule type="cellIs" dxfId="36" priority="6" stopIfTrue="1" operator="greaterThanOrEqual">
      <formula>$C$1</formula>
    </cfRule>
  </conditionalFormatting>
  <conditionalFormatting sqref="A48:B49">
    <cfRule type="cellIs" dxfId="35" priority="3" stopIfTrue="1" operator="lessThan">
      <formula>$C$1</formula>
    </cfRule>
    <cfRule type="cellIs" dxfId="34" priority="4" stopIfTrue="1" operator="greaterThanOrEqual">
      <formula>$C$1</formula>
    </cfRule>
  </conditionalFormatting>
  <conditionalFormatting sqref="C51:D51">
    <cfRule type="cellIs" dxfId="33" priority="1" stopIfTrue="1" operator="lessThan">
      <formula>$C$1</formula>
    </cfRule>
    <cfRule type="cellIs" dxfId="32" priority="2" stopIfTrue="1" operator="greaterThanOrEqual">
      <formula>$C$1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5" max="28" man="1"/>
    <brk id="8" max="28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244">
    <tabColor theme="3" tint="0.39997558519241921"/>
  </sheetPr>
  <dimension ref="A1:AC66"/>
  <sheetViews>
    <sheetView zoomScaleNormal="90" workbookViewId="0">
      <pane xSplit="1" ySplit="4" topLeftCell="B5" activePane="bottomRight" state="frozen"/>
      <selection activeCell="B38" sqref="B38"/>
      <selection pane="topRight" activeCell="B38" sqref="B38"/>
      <selection pane="bottomLeft" activeCell="B38" sqref="B38"/>
      <selection pane="bottomRight" activeCell="A4" sqref="A4"/>
    </sheetView>
  </sheetViews>
  <sheetFormatPr defaultColWidth="8.5703125" defaultRowHeight="12.75" x14ac:dyDescent="0.2"/>
  <cols>
    <col min="1" max="1" width="76.140625" customWidth="1"/>
    <col min="2" max="2" width="11.5703125" customWidth="1"/>
    <col min="3" max="4" width="18.42578125" customWidth="1"/>
    <col min="5" max="5" width="20.42578125" customWidth="1"/>
    <col min="6" max="6" width="5.42578125" customWidth="1"/>
    <col min="7" max="9" width="14.5703125" customWidth="1"/>
    <col min="10" max="10" width="5.5703125" customWidth="1"/>
    <col min="11" max="11" width="14.5703125" customWidth="1"/>
    <col min="12" max="12" width="7.5703125" customWidth="1"/>
    <col min="13" max="15" width="14.5703125" customWidth="1"/>
    <col min="17" max="18" width="18.42578125" customWidth="1"/>
    <col min="19" max="19" width="20.42578125" customWidth="1"/>
    <col min="20" max="20" width="5.42578125" customWidth="1"/>
    <col min="21" max="23" width="14.5703125" customWidth="1"/>
    <col min="24" max="24" width="5.5703125" customWidth="1"/>
    <col min="25" max="25" width="14.5703125" customWidth="1"/>
    <col min="26" max="26" width="7.5703125" customWidth="1"/>
    <col min="27" max="29" width="14.5703125" customWidth="1"/>
  </cols>
  <sheetData>
    <row r="1" spans="1:29" x14ac:dyDescent="0.2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</row>
    <row r="2" spans="1:2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24.75" customHeight="1" x14ac:dyDescent="0.2">
      <c r="A3" s="12" t="s">
        <v>164</v>
      </c>
      <c r="B3" s="26" t="s">
        <v>176</v>
      </c>
      <c r="C3" s="285" t="s">
        <v>6</v>
      </c>
      <c r="D3" s="285"/>
      <c r="E3" s="235"/>
      <c r="F3" s="26"/>
      <c r="G3" s="285" t="s">
        <v>5</v>
      </c>
      <c r="H3" s="285"/>
      <c r="I3" s="235"/>
      <c r="J3" s="26"/>
      <c r="K3" s="285" t="s">
        <v>324</v>
      </c>
      <c r="L3" s="235"/>
      <c r="M3" s="235"/>
      <c r="N3" s="235"/>
      <c r="O3" s="235"/>
      <c r="Q3" s="285" t="s">
        <v>165</v>
      </c>
      <c r="R3" s="285"/>
      <c r="S3" s="235"/>
      <c r="T3" s="26"/>
      <c r="U3" s="285" t="s">
        <v>166</v>
      </c>
      <c r="V3" s="285"/>
      <c r="W3" s="235"/>
      <c r="X3" s="26"/>
      <c r="Y3" s="285" t="s">
        <v>325</v>
      </c>
      <c r="Z3" s="235"/>
      <c r="AA3" s="235"/>
      <c r="AB3" s="235"/>
      <c r="AC3" s="235"/>
    </row>
    <row r="4" spans="1:29" ht="31.35" customHeight="1" x14ac:dyDescent="0.2">
      <c r="B4" s="128" t="s">
        <v>177</v>
      </c>
      <c r="C4" s="1" t="s">
        <v>11</v>
      </c>
      <c r="D4" s="1" t="s">
        <v>8</v>
      </c>
      <c r="E4" s="29" t="s">
        <v>9</v>
      </c>
      <c r="F4" s="1"/>
      <c r="G4" s="1" t="s">
        <v>11</v>
      </c>
      <c r="H4" s="1" t="s">
        <v>8</v>
      </c>
      <c r="I4" s="6" t="s">
        <v>9</v>
      </c>
      <c r="J4" s="6"/>
      <c r="K4" s="1" t="s">
        <v>3</v>
      </c>
      <c r="L4" s="13" t="s">
        <v>21</v>
      </c>
      <c r="M4" s="1" t="s">
        <v>11</v>
      </c>
      <c r="N4" s="1" t="s">
        <v>8</v>
      </c>
      <c r="O4" s="6" t="s">
        <v>9</v>
      </c>
      <c r="Q4" s="1" t="s">
        <v>11</v>
      </c>
      <c r="R4" s="1" t="s">
        <v>8</v>
      </c>
      <c r="S4" s="29" t="s">
        <v>9</v>
      </c>
      <c r="T4" s="1"/>
      <c r="U4" s="1" t="s">
        <v>11</v>
      </c>
      <c r="V4" s="1" t="s">
        <v>8</v>
      </c>
      <c r="W4" s="6" t="s">
        <v>9</v>
      </c>
      <c r="X4" s="6"/>
      <c r="Y4" s="1" t="s">
        <v>3</v>
      </c>
      <c r="Z4" s="13" t="s">
        <v>21</v>
      </c>
      <c r="AA4" s="1" t="s">
        <v>11</v>
      </c>
      <c r="AB4" s="1" t="s">
        <v>8</v>
      </c>
      <c r="AC4" s="6" t="s">
        <v>9</v>
      </c>
    </row>
    <row r="5" spans="1:29" ht="18.75" customHeight="1" x14ac:dyDescent="0.2">
      <c r="A5" s="14" t="s">
        <v>143</v>
      </c>
      <c r="B5" s="14"/>
      <c r="C5" s="1"/>
      <c r="D5" s="1"/>
      <c r="E5" s="6"/>
      <c r="F5" s="1"/>
      <c r="G5" s="1"/>
      <c r="H5" s="1"/>
      <c r="I5" s="6"/>
      <c r="J5" s="6"/>
      <c r="K5" s="1"/>
      <c r="L5" s="13"/>
      <c r="M5" s="1"/>
      <c r="N5" s="1"/>
      <c r="O5" s="6"/>
      <c r="Q5" s="1"/>
      <c r="R5" s="1"/>
      <c r="S5" s="6"/>
      <c r="T5" s="1"/>
      <c r="U5" s="1"/>
      <c r="V5" s="1"/>
      <c r="W5" s="6"/>
      <c r="X5" s="6"/>
      <c r="Y5" s="1"/>
      <c r="Z5" s="13"/>
      <c r="AA5" s="1"/>
      <c r="AB5" s="1"/>
      <c r="AC5" s="6"/>
    </row>
    <row r="6" spans="1:29" ht="18.75" customHeight="1" x14ac:dyDescent="0.2">
      <c r="A6" s="14"/>
      <c r="B6" s="14"/>
      <c r="C6" s="1"/>
      <c r="D6" s="1"/>
      <c r="E6" s="6"/>
      <c r="F6" s="1"/>
      <c r="G6" s="1"/>
      <c r="H6" s="1"/>
      <c r="I6" s="6"/>
      <c r="J6" s="6"/>
      <c r="K6" s="1"/>
      <c r="L6" s="13"/>
      <c r="M6" s="1"/>
      <c r="N6" s="1"/>
      <c r="O6" s="6"/>
      <c r="Q6" s="1"/>
      <c r="R6" s="1"/>
      <c r="S6" s="6"/>
      <c r="T6" s="1"/>
      <c r="U6" s="1"/>
      <c r="V6" s="1"/>
      <c r="W6" s="6"/>
      <c r="X6" s="6"/>
      <c r="Y6" s="1"/>
      <c r="Z6" s="13"/>
      <c r="AA6" s="1"/>
      <c r="AB6" s="1"/>
      <c r="AC6" s="6"/>
    </row>
    <row r="7" spans="1:29" ht="18.75" customHeight="1" x14ac:dyDescent="0.2">
      <c r="A7" s="3" t="str">
        <f>+AlfalfaEstablish!A3</f>
        <v>Alfalfa Establishment, Center Pivot Irrigated</v>
      </c>
      <c r="B7" s="3">
        <f>+AlfalfaEstablish!E7</f>
        <v>0</v>
      </c>
      <c r="C7" s="14">
        <f>+AlfalfaEstablish!YTotRet</f>
        <v>0</v>
      </c>
      <c r="D7" s="14">
        <f>+AlfalfaEstablish!YTTotRet</f>
        <v>0</v>
      </c>
      <c r="E7" s="14">
        <f>+AlfalfaEstablish!YLTotRet</f>
        <v>0</v>
      </c>
      <c r="F7" s="1"/>
      <c r="G7" s="2">
        <f>+AlfalfaEstablish!YTotExp</f>
        <v>0</v>
      </c>
      <c r="H7" s="2">
        <f>+AlfalfaEstablish!YTTotExp</f>
        <v>0</v>
      </c>
      <c r="I7" s="2">
        <f>+AlfalfaEstablish!YLTotExp</f>
        <v>0</v>
      </c>
      <c r="J7" s="2"/>
      <c r="K7" s="2">
        <f>+AlfalfaEstablish!YPrice</f>
        <v>0</v>
      </c>
      <c r="L7" s="2" t="str">
        <f>+AlfalfaEstablish!Unit</f>
        <v/>
      </c>
      <c r="M7" s="5">
        <f t="shared" ref="M7:O14" si="0">+IF($K7=0,0,G7/$K7)</f>
        <v>0</v>
      </c>
      <c r="N7" s="5">
        <f t="shared" si="0"/>
        <v>0</v>
      </c>
      <c r="O7" s="5">
        <f t="shared" si="0"/>
        <v>0</v>
      </c>
      <c r="Q7" s="14">
        <f>+AlfalfaEstablish!YVarRet</f>
        <v>0</v>
      </c>
      <c r="R7" s="14">
        <f>+AlfalfaEstablish!YTVarRet</f>
        <v>0</v>
      </c>
      <c r="S7" s="14">
        <f>+AlfalfaEstablish!YLVarRet</f>
        <v>0</v>
      </c>
      <c r="T7" s="1"/>
      <c r="U7" s="2">
        <f>+AlfalfaEstablish!YVarExp</f>
        <v>0</v>
      </c>
      <c r="V7" s="2">
        <f>+AlfalfaEstablish!YTVarExp</f>
        <v>0</v>
      </c>
      <c r="W7" s="2">
        <f>+AlfalfaEstablish!YLVarExp</f>
        <v>0</v>
      </c>
      <c r="X7" s="2"/>
      <c r="Y7" s="2">
        <f>+AlfalfaEstablish!YPrice</f>
        <v>0</v>
      </c>
      <c r="Z7" s="2" t="str">
        <f>+AlfalfaEstablish!Unit</f>
        <v/>
      </c>
      <c r="AA7" s="5">
        <f t="shared" ref="AA7:AC7" si="1">+IF($K7=0,0,U7/$K7)</f>
        <v>0</v>
      </c>
      <c r="AB7" s="5">
        <f t="shared" si="1"/>
        <v>0</v>
      </c>
      <c r="AC7" s="5">
        <f t="shared" si="1"/>
        <v>0</v>
      </c>
    </row>
    <row r="8" spans="1:29" ht="18.75" customHeight="1" x14ac:dyDescent="0.2">
      <c r="A8" s="3" t="str">
        <f>+AlfalfaHayPivot!A3</f>
        <v>Alfalfa, Full Season, Baled - 7.5 Ton Goal, Center Pivot Irrigated</v>
      </c>
      <c r="B8" s="3">
        <f>+AlfalfaHayPivot!E7</f>
        <v>0</v>
      </c>
      <c r="C8" s="14">
        <f>+AlfalfaHayPivot!YTotRet</f>
        <v>0</v>
      </c>
      <c r="D8" s="14">
        <f>+AlfalfaHayPivot!YTTotRet</f>
        <v>0</v>
      </c>
      <c r="E8" s="14">
        <f>+AlfalfaHayPivot!YLTotRet</f>
        <v>0</v>
      </c>
      <c r="F8" s="2"/>
      <c r="G8" s="2">
        <f>+AlfalfaHayPivot!YTotExp</f>
        <v>0</v>
      </c>
      <c r="H8" s="2">
        <f>+AlfalfaHayPivot!YTTotExp</f>
        <v>0</v>
      </c>
      <c r="I8" s="2">
        <f>+AlfalfaHayPivot!YLTotExp</f>
        <v>0</v>
      </c>
      <c r="J8" s="2"/>
      <c r="K8" s="2">
        <f>+AlfalfaHayPivot!YPrice</f>
        <v>0</v>
      </c>
      <c r="L8" s="2" t="str">
        <f>+AlfalfaHayPivot!Unit</f>
        <v>Ton</v>
      </c>
      <c r="M8" s="5">
        <f t="shared" si="0"/>
        <v>0</v>
      </c>
      <c r="N8" s="5">
        <f t="shared" si="0"/>
        <v>0</v>
      </c>
      <c r="O8" s="5">
        <f t="shared" si="0"/>
        <v>0</v>
      </c>
      <c r="Q8" s="14">
        <f>+AlfalfaHayPivot!YVarRet</f>
        <v>0</v>
      </c>
      <c r="R8" s="14">
        <f>+AlfalfaHayPivot!YTVarRet</f>
        <v>0</v>
      </c>
      <c r="S8" s="14">
        <f>+AlfalfaHayPivot!YLVarRet</f>
        <v>0</v>
      </c>
      <c r="T8" s="2"/>
      <c r="U8" s="2">
        <f>+AlfalfaHayPivot!YVarExp</f>
        <v>0</v>
      </c>
      <c r="V8" s="2">
        <f>+AlfalfaHayPivot!YTVarExp</f>
        <v>0</v>
      </c>
      <c r="W8" s="2">
        <f>+AlfalfaHayPivot!YLVarExp</f>
        <v>0</v>
      </c>
      <c r="X8" s="2"/>
      <c r="Y8" s="2">
        <f>+AlfalfaHayPivot!YPrice</f>
        <v>0</v>
      </c>
      <c r="Z8" s="2" t="str">
        <f>+AlfalfaHayPivot!Unit</f>
        <v>Ton</v>
      </c>
      <c r="AA8" s="5">
        <f t="shared" ref="AA8:AC14" si="2">+IF($K8=0,0,U8/$K8)</f>
        <v>0</v>
      </c>
      <c r="AB8" s="5">
        <f t="shared" si="2"/>
        <v>0</v>
      </c>
      <c r="AC8" s="5">
        <f t="shared" si="2"/>
        <v>0</v>
      </c>
    </row>
    <row r="9" spans="1:29" ht="18.75" customHeight="1" x14ac:dyDescent="0.2">
      <c r="A9" s="3" t="str">
        <f>+AlfalfaHayFlood!A3</f>
        <v>Alfalfa, Full Season, Baled - 7.5 Ton Goal, Flood Irrigated</v>
      </c>
      <c r="B9" s="3">
        <f>+AlfalfaHayFlood!E7</f>
        <v>0</v>
      </c>
      <c r="C9" s="14">
        <f>+AlfalfaHayFlood!YTotRet</f>
        <v>0</v>
      </c>
      <c r="D9" s="14">
        <f>+AlfalfaHayFlood!YTTotRet</f>
        <v>0</v>
      </c>
      <c r="E9" s="14">
        <f>+AlfalfaHayFlood!YLTotRet</f>
        <v>0</v>
      </c>
      <c r="F9" s="1"/>
      <c r="G9" s="2">
        <f>+AlfalfaHayFlood!YTotExp</f>
        <v>0</v>
      </c>
      <c r="H9" s="2">
        <f>+AlfalfaHayFlood!YTTotExp</f>
        <v>0</v>
      </c>
      <c r="I9" s="2">
        <f>+AlfalfaHayFlood!YLTotExp</f>
        <v>0</v>
      </c>
      <c r="J9" s="2"/>
      <c r="K9" s="2">
        <f>+AlfalfaHayFlood!YPrice</f>
        <v>0</v>
      </c>
      <c r="L9" s="2" t="str">
        <f>+AlfalfaHayFlood!Unit</f>
        <v>Ton</v>
      </c>
      <c r="M9" s="5">
        <f t="shared" si="0"/>
        <v>0</v>
      </c>
      <c r="N9" s="5">
        <f t="shared" si="0"/>
        <v>0</v>
      </c>
      <c r="O9" s="5">
        <f t="shared" si="0"/>
        <v>0</v>
      </c>
      <c r="Q9" s="14">
        <f>+AlfalfaHayFlood!YVarRet</f>
        <v>0</v>
      </c>
      <c r="R9" s="14">
        <f>+AlfalfaHayFlood!YTVarRet</f>
        <v>0</v>
      </c>
      <c r="S9" s="14">
        <f>+AlfalfaHayFlood!YLVarRet</f>
        <v>0</v>
      </c>
      <c r="T9" s="1"/>
      <c r="U9" s="2">
        <f>+AlfalfaHayFlood!YVarExp</f>
        <v>0</v>
      </c>
      <c r="V9" s="2">
        <f>+AlfalfaHayFlood!YTVarExp</f>
        <v>0</v>
      </c>
      <c r="W9" s="2">
        <f>+AlfalfaHayFlood!YLVarExp</f>
        <v>0</v>
      </c>
      <c r="X9" s="2"/>
      <c r="Y9" s="2">
        <f>+AlfalfaHayFlood!YPrice</f>
        <v>0</v>
      </c>
      <c r="Z9" s="2" t="str">
        <f>+AlfalfaHayFlood!Unit</f>
        <v>Ton</v>
      </c>
      <c r="AA9" s="5">
        <f t="shared" si="2"/>
        <v>0</v>
      </c>
      <c r="AB9" s="5">
        <f t="shared" si="2"/>
        <v>0</v>
      </c>
      <c r="AC9" s="5">
        <f t="shared" si="2"/>
        <v>0</v>
      </c>
    </row>
    <row r="10" spans="1:29" ht="18.75" customHeight="1" x14ac:dyDescent="0.2">
      <c r="A10" s="3" t="str">
        <f>+AlfalfaPivotDell!A3</f>
        <v>Alfalfa, Full Season, Baled - 7.5 Ton Goal, Center Pivot Irrigated, Dell City</v>
      </c>
      <c r="B10" s="3">
        <f>+AlfalfaPivotDell!E7</f>
        <v>0</v>
      </c>
      <c r="C10" s="14">
        <f>+AlfalfaPivotDell!YTotRet</f>
        <v>0</v>
      </c>
      <c r="D10" s="14">
        <f>+AlfalfaPivotDell!YTTotRet</f>
        <v>0</v>
      </c>
      <c r="E10" s="14">
        <f>+AlfalfaPivotDell!YLTotRet</f>
        <v>0</v>
      </c>
      <c r="F10" s="1"/>
      <c r="G10" s="2">
        <f>+AlfalfaPivotDell!YTotExp</f>
        <v>0</v>
      </c>
      <c r="H10" s="2">
        <f>+AlfalfaPivotDell!YTTotExp</f>
        <v>0</v>
      </c>
      <c r="I10" s="2">
        <f>+AlfalfaPivotDell!YLTotExp</f>
        <v>0</v>
      </c>
      <c r="J10" s="2"/>
      <c r="K10" s="2">
        <f>+AlfalfaPivotDell!YPrice</f>
        <v>0</v>
      </c>
      <c r="L10" s="2" t="str">
        <f>+AlfalfaPivotDell!Unit</f>
        <v>Ton</v>
      </c>
      <c r="M10" s="5">
        <f t="shared" si="0"/>
        <v>0</v>
      </c>
      <c r="N10" s="5">
        <f t="shared" si="0"/>
        <v>0</v>
      </c>
      <c r="O10" s="5">
        <f t="shared" si="0"/>
        <v>0</v>
      </c>
      <c r="Q10" s="14">
        <f>+AlfalfaPivotDell!YVarRet</f>
        <v>0</v>
      </c>
      <c r="R10" s="14">
        <f>+AlfalfaPivotDell!YTVarRet</f>
        <v>0</v>
      </c>
      <c r="S10" s="14">
        <f>+AlfalfaPivotDell!YLVarRet</f>
        <v>0</v>
      </c>
      <c r="T10" s="1"/>
      <c r="U10" s="2">
        <f>+AlfalfaPivotDell!YVarExp</f>
        <v>0</v>
      </c>
      <c r="V10" s="2">
        <f>+AlfalfaPivotDell!YTVarExp</f>
        <v>0</v>
      </c>
      <c r="W10" s="2">
        <f>+AlfalfaPivotDell!YLVarExp</f>
        <v>0</v>
      </c>
      <c r="X10" s="2"/>
      <c r="Y10" s="2">
        <f>+AlfalfaPivotDell!YPrice</f>
        <v>0</v>
      </c>
      <c r="Z10" s="2" t="str">
        <f>+AlfalfaPivotDell!Unit</f>
        <v>Ton</v>
      </c>
      <c r="AA10" s="5">
        <f t="shared" si="2"/>
        <v>0</v>
      </c>
      <c r="AB10" s="5">
        <f t="shared" si="2"/>
        <v>0</v>
      </c>
      <c r="AC10" s="5">
        <f t="shared" si="2"/>
        <v>0</v>
      </c>
    </row>
    <row r="11" spans="1:29" ht="18.75" customHeight="1" x14ac:dyDescent="0.2">
      <c r="A11" s="3" t="str">
        <f>+AlfalfaFloodDell!A3</f>
        <v>Alfalfa, Full Season, Baled - 7.5 Ton Goal, Flood Irrigated, Dell City</v>
      </c>
      <c r="B11" s="3">
        <f>+AlfalfaFloodDell!E7</f>
        <v>0</v>
      </c>
      <c r="C11" s="14">
        <f>+AlfalfaFloodDell!YTotRet</f>
        <v>0</v>
      </c>
      <c r="D11" s="14">
        <f>+AlfalfaFloodDell!YTTotRet</f>
        <v>0</v>
      </c>
      <c r="E11" s="14">
        <f>+AlfalfaFloodDell!YLTotRet</f>
        <v>0</v>
      </c>
      <c r="F11" s="1"/>
      <c r="G11" s="2">
        <f>+AlfalfaFloodDell!YTotExp</f>
        <v>0</v>
      </c>
      <c r="H11" s="2">
        <f>+AlfalfaFloodDell!YTTotExp</f>
        <v>0</v>
      </c>
      <c r="I11" s="2">
        <f>+AlfalfaFloodDell!YLTotExp</f>
        <v>0</v>
      </c>
      <c r="J11" s="2"/>
      <c r="K11" s="2">
        <f>+AlfalfaFloodDell!YPrice</f>
        <v>0</v>
      </c>
      <c r="L11" s="2" t="str">
        <f>+AlfalfaFloodDell!Unit</f>
        <v>Ton</v>
      </c>
      <c r="M11" s="5">
        <f t="shared" si="0"/>
        <v>0</v>
      </c>
      <c r="N11" s="5">
        <f t="shared" si="0"/>
        <v>0</v>
      </c>
      <c r="O11" s="5">
        <f t="shared" si="0"/>
        <v>0</v>
      </c>
      <c r="Q11" s="14">
        <f>+AlfalfaFloodDell!YVarRet</f>
        <v>0</v>
      </c>
      <c r="R11" s="14">
        <f>+AlfalfaFloodDell!YTVarRet</f>
        <v>0</v>
      </c>
      <c r="S11" s="14">
        <f>+AlfalfaFloodDell!YLVarRet</f>
        <v>0</v>
      </c>
      <c r="T11" s="1"/>
      <c r="U11" s="2">
        <f>+AlfalfaFloodDell!YVarExp</f>
        <v>0</v>
      </c>
      <c r="V11" s="2">
        <f>+AlfalfaFloodDell!YTVarExp</f>
        <v>0</v>
      </c>
      <c r="W11" s="2">
        <f>+AlfalfaFloodDell!YLVarExp</f>
        <v>0</v>
      </c>
      <c r="X11" s="2"/>
      <c r="Y11" s="2">
        <f>+AlfalfaFloodDell!YPrice</f>
        <v>0</v>
      </c>
      <c r="Z11" s="2" t="str">
        <f>+AlfalfaFloodDell!Unit</f>
        <v>Ton</v>
      </c>
      <c r="AA11" s="5">
        <f t="shared" si="2"/>
        <v>0</v>
      </c>
      <c r="AB11" s="5">
        <f t="shared" si="2"/>
        <v>0</v>
      </c>
      <c r="AC11" s="5">
        <f t="shared" si="2"/>
        <v>0</v>
      </c>
    </row>
    <row r="12" spans="1:29" ht="18.75" customHeight="1" x14ac:dyDescent="0.2">
      <c r="A12" s="3" t="str">
        <f>+AlfalfaElPaso!A3</f>
        <v>Alfalfa, Full Season, Baled - 7.5 Ton Goal, Flood Irrigated, El Paso Irrigation District</v>
      </c>
      <c r="B12" s="3">
        <f>+AlfalfaElPaso!E7</f>
        <v>0</v>
      </c>
      <c r="C12" s="14">
        <f>+AlfalfaElPaso!YTotRet</f>
        <v>0</v>
      </c>
      <c r="D12" s="14">
        <f>+AlfalfaElPaso!YTTotRet</f>
        <v>0</v>
      </c>
      <c r="E12" s="14">
        <f>+AlfalfaElPaso!YLTotRet</f>
        <v>0</v>
      </c>
      <c r="F12" s="1"/>
      <c r="G12" s="2">
        <f>+AlfalfaElPaso!YTotExp</f>
        <v>0</v>
      </c>
      <c r="H12" s="2">
        <f>+AlfalfaElPaso!YTTotExp</f>
        <v>0</v>
      </c>
      <c r="I12" s="2">
        <f>+AlfalfaElPaso!YLTotExp</f>
        <v>0</v>
      </c>
      <c r="J12" s="2"/>
      <c r="K12" s="2">
        <f>+AlfalfaElPaso!YPrice</f>
        <v>0</v>
      </c>
      <c r="L12" s="2" t="str">
        <f>+AlfalfaElPaso!Unit</f>
        <v>Ton</v>
      </c>
      <c r="M12" s="5">
        <f t="shared" si="0"/>
        <v>0</v>
      </c>
      <c r="N12" s="5">
        <f t="shared" si="0"/>
        <v>0</v>
      </c>
      <c r="O12" s="5">
        <f t="shared" si="0"/>
        <v>0</v>
      </c>
      <c r="Q12" s="14">
        <f>+AlfalfaElPaso!YVarRet</f>
        <v>0</v>
      </c>
      <c r="R12" s="14">
        <f>+AlfalfaElPaso!YTVarRet</f>
        <v>0</v>
      </c>
      <c r="S12" s="14">
        <f>+AlfalfaElPaso!YLVarRet</f>
        <v>0</v>
      </c>
      <c r="T12" s="1"/>
      <c r="U12" s="2">
        <f>+AlfalfaElPaso!YVarExp</f>
        <v>0</v>
      </c>
      <c r="V12" s="2">
        <f>+AlfalfaElPaso!YTVarExp</f>
        <v>0</v>
      </c>
      <c r="W12" s="2">
        <f>+AlfalfaElPaso!YLVarExp</f>
        <v>0</v>
      </c>
      <c r="X12" s="2"/>
      <c r="Y12" s="2">
        <f>+AlfalfaElPaso!YPrice</f>
        <v>0</v>
      </c>
      <c r="Z12" s="2" t="str">
        <f>+AlfalfaElPaso!Unit</f>
        <v>Ton</v>
      </c>
      <c r="AA12" s="5">
        <f t="shared" si="2"/>
        <v>0</v>
      </c>
      <c r="AB12" s="5">
        <f t="shared" si="2"/>
        <v>0</v>
      </c>
      <c r="AC12" s="5">
        <f t="shared" si="2"/>
        <v>0</v>
      </c>
    </row>
    <row r="13" spans="1:29" ht="18.75" customHeight="1" x14ac:dyDescent="0.2">
      <c r="A13" s="3" t="str">
        <f>+SorghumHayIrrigated!A3</f>
        <v>Sorghum-Sudangrass for Hay, Center Pivot Irrigated, 5 Ton Yield</v>
      </c>
      <c r="B13" s="3">
        <f>+SorghumHayIrrigated!E7</f>
        <v>0</v>
      </c>
      <c r="C13" s="14">
        <f>+SorghumHayIrrigated!YTotRet</f>
        <v>0</v>
      </c>
      <c r="D13" s="14">
        <f>+SorghumHayIrrigated!YTTotRet</f>
        <v>0</v>
      </c>
      <c r="E13" s="14">
        <f>+SorghumHayIrrigated!YLTotRet</f>
        <v>0</v>
      </c>
      <c r="F13" s="1"/>
      <c r="G13" s="2">
        <f>+SorghumHayIrrigated!YTotExp</f>
        <v>0</v>
      </c>
      <c r="H13" s="2">
        <f>+SorghumHayIrrigated!YTTotExp</f>
        <v>0</v>
      </c>
      <c r="I13" s="2">
        <f>+SorghumHayIrrigated!YLTotExp</f>
        <v>0</v>
      </c>
      <c r="J13" s="2"/>
      <c r="K13" s="2">
        <f>+SorghumHayIrrigated!YPrice</f>
        <v>0</v>
      </c>
      <c r="L13" s="2" t="str">
        <f>+SorghumHayIrrigated!Unit</f>
        <v>Ton</v>
      </c>
      <c r="M13" s="5">
        <f t="shared" si="0"/>
        <v>0</v>
      </c>
      <c r="N13" s="5">
        <f t="shared" si="0"/>
        <v>0</v>
      </c>
      <c r="O13" s="5">
        <f t="shared" si="0"/>
        <v>0</v>
      </c>
      <c r="Q13" s="14">
        <f>+SorghumHayIrrigated!YVarRet</f>
        <v>0</v>
      </c>
      <c r="R13" s="14">
        <f>+SorghumHayIrrigated!YTVarRet</f>
        <v>0</v>
      </c>
      <c r="S13" s="14">
        <f>+SorghumHayIrrigated!YLVarRet</f>
        <v>0</v>
      </c>
      <c r="T13" s="1"/>
      <c r="U13" s="2">
        <f>+SorghumHayIrrigated!YVarExp</f>
        <v>0</v>
      </c>
      <c r="V13" s="2">
        <f>+SorghumHayIrrigated!YTVarExp</f>
        <v>0</v>
      </c>
      <c r="W13" s="2">
        <f>+SorghumHayIrrigated!YLVarExp</f>
        <v>0</v>
      </c>
      <c r="X13" s="2"/>
      <c r="Y13" s="2">
        <f>+SorghumHayIrrigated!YPrice</f>
        <v>0</v>
      </c>
      <c r="Z13" s="2" t="str">
        <f>+SorghumHayIrrigated!Unit</f>
        <v>Ton</v>
      </c>
      <c r="AA13" s="5">
        <f t="shared" si="2"/>
        <v>0</v>
      </c>
      <c r="AB13" s="5">
        <f t="shared" si="2"/>
        <v>0</v>
      </c>
      <c r="AC13" s="5">
        <f t="shared" si="2"/>
        <v>0</v>
      </c>
    </row>
    <row r="14" spans="1:29" ht="18.75" customHeight="1" x14ac:dyDescent="0.2">
      <c r="A14" s="3" t="str">
        <f>+SorghumHayDryland!A3</f>
        <v>Sorghum-Sudangrass for Hay, Dryland, 3 Ton Yield</v>
      </c>
      <c r="B14" s="3">
        <f>+SorghumHayDryland!E7</f>
        <v>0</v>
      </c>
      <c r="C14" s="14">
        <f>+SorghumHayDryland!YTotRet</f>
        <v>0</v>
      </c>
      <c r="D14" s="14">
        <f>+SorghumHayDryland!YTTotRet</f>
        <v>0</v>
      </c>
      <c r="E14" s="14">
        <f>+SorghumHayDryland!YLTotRet</f>
        <v>0</v>
      </c>
      <c r="F14" s="1"/>
      <c r="G14" s="2">
        <f>+SorghumHayDryland!YTotExp</f>
        <v>0</v>
      </c>
      <c r="H14" s="2">
        <f>+SorghumHayDryland!YTTotExp</f>
        <v>0</v>
      </c>
      <c r="I14" s="2">
        <f>+SorghumHayDryland!YLTotExp</f>
        <v>0</v>
      </c>
      <c r="J14" s="2"/>
      <c r="K14" s="2">
        <f>+SorghumHayDryland!YPrice</f>
        <v>0</v>
      </c>
      <c r="L14" s="2" t="str">
        <f>+SorghumHayDryland!Unit</f>
        <v>Ton</v>
      </c>
      <c r="M14" s="5">
        <f t="shared" si="0"/>
        <v>0</v>
      </c>
      <c r="N14" s="5">
        <f t="shared" si="0"/>
        <v>0</v>
      </c>
      <c r="O14" s="5">
        <f t="shared" si="0"/>
        <v>0</v>
      </c>
      <c r="Q14" s="14">
        <f>+SorghumHayDryland!YVarRet</f>
        <v>0</v>
      </c>
      <c r="R14" s="14">
        <f>+SorghumHayDryland!YTVarRet</f>
        <v>0</v>
      </c>
      <c r="S14" s="14">
        <f>+SorghumHayDryland!YLVarRet</f>
        <v>0</v>
      </c>
      <c r="T14" s="1"/>
      <c r="U14" s="2">
        <f>+SorghumHayDryland!YVarExp</f>
        <v>0</v>
      </c>
      <c r="V14" s="2">
        <f>+SorghumHayDryland!YTVarExp</f>
        <v>0</v>
      </c>
      <c r="W14" s="2">
        <f>+SorghumHayDryland!YLVarExp</f>
        <v>0</v>
      </c>
      <c r="X14" s="2"/>
      <c r="Y14" s="2">
        <f>+SorghumHayDryland!YPrice</f>
        <v>0</v>
      </c>
      <c r="Z14" s="2" t="str">
        <f>+SorghumHayDryland!Unit</f>
        <v>Ton</v>
      </c>
      <c r="AA14" s="5">
        <f t="shared" si="2"/>
        <v>0</v>
      </c>
      <c r="AB14" s="5">
        <f t="shared" si="2"/>
        <v>0</v>
      </c>
      <c r="AC14" s="5">
        <f t="shared" si="2"/>
        <v>0</v>
      </c>
    </row>
    <row r="15" spans="1:29" ht="18.75" customHeight="1" x14ac:dyDescent="0.2">
      <c r="A15" s="3" t="str">
        <f>+SwitchgrassEstablish!A3</f>
        <v>Alamo Switchgrass Establishment, Pivot Irrigated</v>
      </c>
      <c r="B15" s="3">
        <f>+SwitchgrassEstablish!E7</f>
        <v>0</v>
      </c>
      <c r="C15" s="14">
        <f>+SwitchgrassEstablish!YTotRet</f>
        <v>0</v>
      </c>
      <c r="D15" s="14">
        <f>+SwitchgrassEstablish!YTTotRet</f>
        <v>0</v>
      </c>
      <c r="E15" s="14">
        <f>+SwitchgrassEstablish!YLTotRet</f>
        <v>0</v>
      </c>
      <c r="F15" s="1"/>
      <c r="G15" s="2">
        <f>+SwitchgrassEstablish!YTotExp</f>
        <v>0</v>
      </c>
      <c r="H15" s="2">
        <f>+SwitchgrassEstablish!YTTotExp</f>
        <v>0</v>
      </c>
      <c r="I15" s="2">
        <f>+SwitchgrassEstablish!YLTotExp</f>
        <v>0</v>
      </c>
      <c r="J15" s="2"/>
      <c r="K15" s="2">
        <f>+SwitchgrassEstablish!YPrice</f>
        <v>0</v>
      </c>
      <c r="L15" s="2" t="str">
        <f>+SwitchgrassEstablish!Unit</f>
        <v/>
      </c>
      <c r="M15" s="5">
        <f t="shared" ref="M15" si="3">+IF($K15=0,0,G15/$K15)</f>
        <v>0</v>
      </c>
      <c r="N15" s="5">
        <f t="shared" ref="N15" si="4">+IF($K15=0,0,H15/$K15)</f>
        <v>0</v>
      </c>
      <c r="O15" s="5">
        <f t="shared" ref="O15" si="5">+IF($K15=0,0,I15/$K15)</f>
        <v>0</v>
      </c>
      <c r="Q15" s="14">
        <f>+SwitchgrassEstablish!YVarRet</f>
        <v>0</v>
      </c>
      <c r="R15" s="14">
        <f>+SwitchgrassEstablish!YTVarRet</f>
        <v>0</v>
      </c>
      <c r="S15" s="14">
        <f>+SwitchgrassEstablish!YLVarRet</f>
        <v>0</v>
      </c>
      <c r="T15" s="1"/>
      <c r="U15" s="2">
        <f>+SwitchgrassEstablish!YVarExp</f>
        <v>0</v>
      </c>
      <c r="V15" s="2">
        <f>+SwitchgrassEstablish!YTVarExp</f>
        <v>0</v>
      </c>
      <c r="W15" s="2">
        <f>+SwitchgrassEstablish!YLVarExp</f>
        <v>0</v>
      </c>
      <c r="X15" s="2"/>
      <c r="Y15" s="2">
        <f>+SwitchgrassEstablish!YPrice</f>
        <v>0</v>
      </c>
      <c r="Z15" s="2" t="str">
        <f>+SwitchgrassEstablish!Unit</f>
        <v/>
      </c>
      <c r="AA15" s="5">
        <f t="shared" ref="AA15" si="6">+IF($K15=0,0,U15/$K15)</f>
        <v>0</v>
      </c>
      <c r="AB15" s="5">
        <f t="shared" ref="AB15" si="7">+IF($K15=0,0,V15/$K15)</f>
        <v>0</v>
      </c>
      <c r="AC15" s="5">
        <f t="shared" ref="AC15" si="8">+IF($K15=0,0,W15/$K15)</f>
        <v>0</v>
      </c>
    </row>
    <row r="16" spans="1:29" ht="18.75" customHeight="1" x14ac:dyDescent="0.2">
      <c r="A16" s="3" t="str">
        <f>+SwitchgrassGraze!A3</f>
        <v>Alamo Switchgrass, Full Season, Pivot Irrigated, Grazed</v>
      </c>
      <c r="B16" s="3">
        <f>+SwitchgrassGraze!E7</f>
        <v>0</v>
      </c>
      <c r="C16" s="116">
        <f>+SwitchgrassGraze!YTotRet</f>
        <v>0</v>
      </c>
      <c r="D16" s="116">
        <f>+SwitchgrassGraze!YTTotRet</f>
        <v>0</v>
      </c>
      <c r="E16" s="116">
        <f>+SwitchgrassGraze!YLTotRet</f>
        <v>0</v>
      </c>
      <c r="F16" s="1"/>
      <c r="G16" s="117">
        <f>+SwitchgrassGraze!YTotExp</f>
        <v>0</v>
      </c>
      <c r="H16" s="117">
        <f>+SwitchgrassGraze!YTTotExp</f>
        <v>0</v>
      </c>
      <c r="I16" s="117">
        <f>+SwitchgrassGraze!YLTotExp</f>
        <v>0</v>
      </c>
      <c r="J16" s="117"/>
      <c r="K16" s="117">
        <f>+SwitchgrassGraze!YPrice</f>
        <v>0</v>
      </c>
      <c r="L16" s="117" t="str">
        <f>+SwitchgrassGraze!Unit</f>
        <v>AUM</v>
      </c>
      <c r="M16" s="5">
        <f t="shared" ref="M16:O17" si="9">+IF($K16=0,0,G16/$K16)</f>
        <v>0</v>
      </c>
      <c r="N16" s="5">
        <f t="shared" si="9"/>
        <v>0</v>
      </c>
      <c r="O16" s="5">
        <f t="shared" si="9"/>
        <v>0</v>
      </c>
      <c r="Q16" s="116">
        <f>+SwitchgrassGraze!YVarRet</f>
        <v>0</v>
      </c>
      <c r="R16" s="116">
        <f>+SwitchgrassGraze!YTVarRet</f>
        <v>0</v>
      </c>
      <c r="S16" s="116">
        <f>+SwitchgrassGraze!YLVarRet</f>
        <v>0</v>
      </c>
      <c r="T16" s="1"/>
      <c r="U16" s="117">
        <f>+SwitchgrassGraze!YVarExp</f>
        <v>0</v>
      </c>
      <c r="V16" s="117">
        <f>+SwitchgrassGraze!YTVarExp</f>
        <v>0</v>
      </c>
      <c r="W16" s="117">
        <f>+SwitchgrassGraze!YLVarExp</f>
        <v>0</v>
      </c>
      <c r="X16" s="117"/>
      <c r="Y16" s="117">
        <f>+SwitchgrassGraze!YPrice</f>
        <v>0</v>
      </c>
      <c r="Z16" s="117" t="str">
        <f>+SwitchgrassGraze!Unit</f>
        <v>AUM</v>
      </c>
      <c r="AA16" s="5">
        <f t="shared" ref="AA16:AC17" si="10">+IF($K16=0,0,U16/$K16)</f>
        <v>0</v>
      </c>
      <c r="AB16" s="5">
        <f t="shared" si="10"/>
        <v>0</v>
      </c>
      <c r="AC16" s="5">
        <f t="shared" si="10"/>
        <v>0</v>
      </c>
    </row>
    <row r="17" spans="1:29" ht="18.75" customHeight="1" x14ac:dyDescent="0.2">
      <c r="A17" s="3" t="str">
        <f>+SwitchgrassHay!A3</f>
        <v>Alamo Switchgrass, Full Season, Pivot Irrigated, Baled</v>
      </c>
      <c r="B17" s="3">
        <f>+SwitchgrassHay!E7</f>
        <v>0</v>
      </c>
      <c r="C17" s="14">
        <f>+SwitchgrassHay!YTotRet</f>
        <v>0</v>
      </c>
      <c r="D17" s="14">
        <f>+SwitchgrassHay!YTTotRet</f>
        <v>0</v>
      </c>
      <c r="E17" s="14">
        <f>+SwitchgrassHay!YLTotRet</f>
        <v>0</v>
      </c>
      <c r="F17" s="1"/>
      <c r="G17" s="2">
        <f>+SwitchgrassHay!YTotExp</f>
        <v>0</v>
      </c>
      <c r="H17" s="2">
        <f>+SwitchgrassHay!YTTotExp</f>
        <v>0</v>
      </c>
      <c r="I17" s="2">
        <f>+SwitchgrassHay!YLTotExp</f>
        <v>0</v>
      </c>
      <c r="J17" s="2"/>
      <c r="K17" s="2">
        <f>+SwitchgrassHay!YPrice</f>
        <v>0</v>
      </c>
      <c r="L17" s="2" t="str">
        <f>+SwitchgrassHay!Unit</f>
        <v>Ton</v>
      </c>
      <c r="M17" s="5">
        <f t="shared" si="9"/>
        <v>0</v>
      </c>
      <c r="N17" s="5">
        <f t="shared" si="9"/>
        <v>0</v>
      </c>
      <c r="O17" s="5">
        <f t="shared" si="9"/>
        <v>0</v>
      </c>
      <c r="Q17" s="14">
        <f>+SwitchgrassHay!YVarRet</f>
        <v>0</v>
      </c>
      <c r="R17" s="14">
        <f>+SwitchgrassHay!YTVarRet</f>
        <v>0</v>
      </c>
      <c r="S17" s="14">
        <f>+SwitchgrassHay!YLVarRet</f>
        <v>0</v>
      </c>
      <c r="T17" s="1"/>
      <c r="U17" s="2">
        <f>+SwitchgrassHay!YVarExp</f>
        <v>0</v>
      </c>
      <c r="V17" s="2">
        <f>+SwitchgrassHay!YTVarExp</f>
        <v>0</v>
      </c>
      <c r="W17" s="2">
        <f>+SwitchgrassHay!YLVarExp</f>
        <v>0</v>
      </c>
      <c r="X17" s="2"/>
      <c r="Y17" s="2">
        <f>+SwitchgrassHay!YPrice</f>
        <v>0</v>
      </c>
      <c r="Z17" s="2" t="str">
        <f>+SwitchgrassHay!Unit</f>
        <v>Ton</v>
      </c>
      <c r="AA17" s="5">
        <f t="shared" si="10"/>
        <v>0</v>
      </c>
      <c r="AB17" s="5">
        <f t="shared" si="10"/>
        <v>0</v>
      </c>
      <c r="AC17" s="5">
        <f t="shared" si="10"/>
        <v>0</v>
      </c>
    </row>
    <row r="18" spans="1:29" ht="18.75" customHeight="1" x14ac:dyDescent="0.2">
      <c r="A18" s="3"/>
      <c r="B18" s="3"/>
      <c r="C18" s="14"/>
      <c r="D18" s="14"/>
      <c r="E18" s="14"/>
      <c r="F18" s="1"/>
      <c r="G18" s="2"/>
      <c r="H18" s="2"/>
      <c r="I18" s="2"/>
      <c r="J18" s="2"/>
      <c r="K18" s="2"/>
      <c r="L18" s="2"/>
      <c r="M18" s="5"/>
      <c r="N18" s="5"/>
      <c r="O18" s="5"/>
      <c r="Q18" s="14"/>
      <c r="R18" s="14"/>
      <c r="S18" s="14"/>
      <c r="T18" s="1"/>
      <c r="U18" s="2"/>
      <c r="V18" s="2"/>
      <c r="W18" s="2"/>
      <c r="X18" s="2"/>
      <c r="Y18" s="2"/>
      <c r="Z18" s="2"/>
      <c r="AA18" s="5"/>
      <c r="AB18" s="5"/>
      <c r="AC18" s="5"/>
    </row>
    <row r="19" spans="1:29" ht="18.75" customHeight="1" x14ac:dyDescent="0.2">
      <c r="A19" s="14" t="s">
        <v>496</v>
      </c>
      <c r="B19" s="3"/>
      <c r="C19" s="14"/>
      <c r="D19" s="14"/>
      <c r="E19" s="14"/>
      <c r="F19" s="1"/>
      <c r="G19" s="2"/>
      <c r="H19" s="2"/>
      <c r="I19" s="2"/>
      <c r="J19" s="2"/>
      <c r="K19" s="2"/>
      <c r="L19" s="2"/>
      <c r="M19" s="5"/>
      <c r="N19" s="5"/>
      <c r="O19" s="5"/>
      <c r="Q19" s="14"/>
      <c r="R19" s="14"/>
      <c r="S19" s="14"/>
      <c r="T19" s="1"/>
      <c r="U19" s="2"/>
      <c r="V19" s="2"/>
      <c r="W19" s="2"/>
      <c r="X19" s="2"/>
      <c r="Y19" s="2"/>
      <c r="Z19" s="2"/>
      <c r="AA19" s="5"/>
      <c r="AB19" s="5"/>
      <c r="AC19" s="5"/>
    </row>
    <row r="20" spans="1:29" ht="18.75" customHeight="1" x14ac:dyDescent="0.2">
      <c r="A20" s="14"/>
      <c r="B20" s="3"/>
      <c r="C20" s="14"/>
      <c r="D20" s="14"/>
      <c r="E20" s="14"/>
      <c r="F20" s="1"/>
      <c r="G20" s="2"/>
      <c r="H20" s="2"/>
      <c r="I20" s="2"/>
      <c r="J20" s="2"/>
      <c r="K20" s="2"/>
      <c r="L20" s="2"/>
      <c r="M20" s="5"/>
      <c r="N20" s="5"/>
      <c r="O20" s="5"/>
      <c r="Q20" s="14"/>
      <c r="R20" s="14"/>
      <c r="S20" s="14"/>
      <c r="T20" s="1"/>
      <c r="U20" s="2"/>
      <c r="V20" s="2"/>
      <c r="W20" s="2"/>
      <c r="X20" s="2"/>
      <c r="Y20" s="2"/>
      <c r="Z20" s="2"/>
      <c r="AA20" s="5"/>
      <c r="AB20" s="5"/>
      <c r="AC20" s="5"/>
    </row>
    <row r="21" spans="1:29" ht="18.75" customHeight="1" x14ac:dyDescent="0.2">
      <c r="A21" s="3" t="str">
        <f>+TPCottonFurrow!A3</f>
        <v>Trans Pecos Cotton, Furrow Irrigated, 40 Inch Rows</v>
      </c>
      <c r="B21" s="3">
        <f>+TPCottonFurrow!E7</f>
        <v>0</v>
      </c>
      <c r="C21" s="14">
        <f>+TPCottonFurrow!YTotRet</f>
        <v>0</v>
      </c>
      <c r="D21" s="14">
        <f>+TPCottonFurrow!YTTotRet</f>
        <v>0</v>
      </c>
      <c r="E21" s="14">
        <f>+TPCottonFurrow!YLTotRet</f>
        <v>0</v>
      </c>
      <c r="F21" s="1"/>
      <c r="G21" s="2">
        <f>+TPCottonFurrow!YTotExp</f>
        <v>0</v>
      </c>
      <c r="H21" s="2">
        <f>+TPCottonFurrow!YTTotExp</f>
        <v>0</v>
      </c>
      <c r="I21" s="2">
        <f>+TPCottonFurrow!YLTotExp</f>
        <v>0</v>
      </c>
      <c r="J21" s="2"/>
      <c r="K21" s="2">
        <f>+TPCottonFurrow!YPrice</f>
        <v>0</v>
      </c>
      <c r="L21" s="2" t="str">
        <f>+TPCottonFurrow!Unit</f>
        <v>Pound</v>
      </c>
      <c r="M21" s="5">
        <f t="shared" ref="M21:O22" si="11">+IF($K21=0,0,G21/$K21)</f>
        <v>0</v>
      </c>
      <c r="N21" s="5">
        <f t="shared" si="11"/>
        <v>0</v>
      </c>
      <c r="O21" s="5">
        <f t="shared" si="11"/>
        <v>0</v>
      </c>
      <c r="Q21" s="14">
        <f>+TPCottonFurrow!YVarRet</f>
        <v>0</v>
      </c>
      <c r="R21" s="14">
        <f>+TPCottonFurrow!YTVarRet</f>
        <v>0</v>
      </c>
      <c r="S21" s="14">
        <f>+TPCottonFurrow!YLVarRet</f>
        <v>0</v>
      </c>
      <c r="T21" s="1"/>
      <c r="U21" s="2">
        <f>+TPCottonFurrow!YVarExp</f>
        <v>0</v>
      </c>
      <c r="V21" s="2">
        <f>+TPCottonFurrow!YTVarExp</f>
        <v>0</v>
      </c>
      <c r="W21" s="2">
        <f>+TPCottonFurrow!YLVarExp</f>
        <v>0</v>
      </c>
      <c r="X21" s="2"/>
      <c r="Y21" s="2">
        <f>+TPCottonFurrow!YPrice</f>
        <v>0</v>
      </c>
      <c r="Z21" s="2" t="str">
        <f>+TPCottonFurrow!Unit</f>
        <v>Pound</v>
      </c>
      <c r="AA21" s="5">
        <f t="shared" ref="AA21:AC22" si="12">+IF($K21=0,0,U21/$K21)</f>
        <v>0</v>
      </c>
      <c r="AB21" s="5">
        <f t="shared" si="12"/>
        <v>0</v>
      </c>
      <c r="AC21" s="5">
        <f t="shared" si="12"/>
        <v>0</v>
      </c>
    </row>
    <row r="22" spans="1:29" ht="18.75" customHeight="1" x14ac:dyDescent="0.2">
      <c r="A22" s="3" t="str">
        <f>+TPCottonPivot!A3</f>
        <v>Trans Pecos Cotton, Center Pivot Irrigated, 40 Inch Rows</v>
      </c>
      <c r="B22" s="3">
        <f>+TPCottonPivot!E7</f>
        <v>0</v>
      </c>
      <c r="C22" s="14">
        <f>+TPCottonPivot!YTotRet</f>
        <v>0</v>
      </c>
      <c r="D22" s="14">
        <f>+TPCottonPivot!YTTotRet</f>
        <v>0</v>
      </c>
      <c r="E22" s="14">
        <f>+TPCottonPivot!YLTotRet</f>
        <v>0</v>
      </c>
      <c r="F22" s="1"/>
      <c r="G22" s="2">
        <f>+TPCottonPivot!YTotExp</f>
        <v>0</v>
      </c>
      <c r="H22" s="2">
        <f>+TPCottonPivot!YTTotExp</f>
        <v>0</v>
      </c>
      <c r="I22" s="2">
        <f>+TPCottonPivot!YLTotExp</f>
        <v>0</v>
      </c>
      <c r="J22" s="2"/>
      <c r="K22" s="2">
        <f>+TPCottonPivot!YPrice</f>
        <v>0</v>
      </c>
      <c r="L22" s="2" t="str">
        <f>+TPCottonPivot!Unit</f>
        <v>Pound</v>
      </c>
      <c r="M22" s="5">
        <f t="shared" si="11"/>
        <v>0</v>
      </c>
      <c r="N22" s="5">
        <f t="shared" si="11"/>
        <v>0</v>
      </c>
      <c r="O22" s="5">
        <f t="shared" si="11"/>
        <v>0</v>
      </c>
      <c r="Q22" s="14">
        <f>+TPCottonPivot!YVarRet</f>
        <v>0</v>
      </c>
      <c r="R22" s="14">
        <f>+TPCottonPivot!YTVarRet</f>
        <v>0</v>
      </c>
      <c r="S22" s="14">
        <f>+TPCottonPivot!YLVarRet</f>
        <v>0</v>
      </c>
      <c r="T22" s="1"/>
      <c r="U22" s="2">
        <f>+TPCottonPivot!YVarExp</f>
        <v>0</v>
      </c>
      <c r="V22" s="2">
        <f>+TPCottonPivot!YTVarExp</f>
        <v>0</v>
      </c>
      <c r="W22" s="2">
        <f>+TPCottonPivot!YLVarExp</f>
        <v>0</v>
      </c>
      <c r="X22" s="2"/>
      <c r="Y22" s="2">
        <f>+TPCottonPivot!YPrice</f>
        <v>0</v>
      </c>
      <c r="Z22" s="2" t="str">
        <f>+TPCottonPivot!Unit</f>
        <v>Pound</v>
      </c>
      <c r="AA22" s="5">
        <f t="shared" si="12"/>
        <v>0</v>
      </c>
      <c r="AB22" s="5">
        <f t="shared" si="12"/>
        <v>0</v>
      </c>
      <c r="AC22" s="5">
        <f t="shared" si="12"/>
        <v>0</v>
      </c>
    </row>
    <row r="23" spans="1:29" ht="18.75" customHeight="1" x14ac:dyDescent="0.2">
      <c r="A23" s="3" t="str">
        <f>+SLCottonDrip!A3</f>
        <v>St. Lawrence Reduced Tillage Cotton, Drip Irrigated, 40 Inch Rows</v>
      </c>
      <c r="B23" s="3">
        <f>+SLCottonDrip!E7</f>
        <v>0</v>
      </c>
      <c r="C23" s="14">
        <f>+SLCottonDrip!YTotRet</f>
        <v>0</v>
      </c>
      <c r="D23" s="14">
        <f>+SLCottonDrip!YTTotRet</f>
        <v>0</v>
      </c>
      <c r="E23" s="14">
        <f>+SLCottonDrip!YLTotRet</f>
        <v>0</v>
      </c>
      <c r="F23" s="1"/>
      <c r="G23" s="2">
        <f>+SLCottonDrip!YTotExp</f>
        <v>0</v>
      </c>
      <c r="H23" s="2">
        <f>+SLCottonDrip!YTTotExp</f>
        <v>0</v>
      </c>
      <c r="I23" s="2">
        <f>+SLCottonDrip!YLTotExp</f>
        <v>0</v>
      </c>
      <c r="J23" s="2"/>
      <c r="K23" s="2">
        <f>+SLCottonDrip!YPrice</f>
        <v>0</v>
      </c>
      <c r="L23" s="2" t="str">
        <f>+SLCottonDrip!Unit</f>
        <v>Pound</v>
      </c>
      <c r="M23" s="5">
        <f t="shared" ref="M23:M28" si="13">+IF($K23=0,0,G23/$K23)</f>
        <v>0</v>
      </c>
      <c r="N23" s="5">
        <f t="shared" ref="N23:N28" si="14">+IF($K23=0,0,H23/$K23)</f>
        <v>0</v>
      </c>
      <c r="O23" s="5">
        <f t="shared" ref="O23:O28" si="15">+IF($K23=0,0,I23/$K23)</f>
        <v>0</v>
      </c>
      <c r="Q23" s="14">
        <f>+SLCottonDrip!YVarRet</f>
        <v>0</v>
      </c>
      <c r="R23" s="14">
        <f>+SLCottonDrip!YTVarRet</f>
        <v>0</v>
      </c>
      <c r="S23" s="14">
        <f>+SLCottonDrip!YLVarRet</f>
        <v>0</v>
      </c>
      <c r="T23" s="1"/>
      <c r="U23" s="2">
        <f>+SLCottonDrip!YVarExp</f>
        <v>0</v>
      </c>
      <c r="V23" s="2">
        <f>+SLCottonDrip!YTVarExp</f>
        <v>0</v>
      </c>
      <c r="W23" s="2">
        <f>+SLCottonDrip!YLVarExp</f>
        <v>0</v>
      </c>
      <c r="X23" s="2"/>
      <c r="Y23" s="2">
        <f>+SLCottonDrip!YPrice</f>
        <v>0</v>
      </c>
      <c r="Z23" s="2" t="str">
        <f>+SLCottonDrip!Unit</f>
        <v>Pound</v>
      </c>
      <c r="AA23" s="5">
        <f t="shared" ref="AA23:AA28" si="16">+IF($K23=0,0,U23/$K23)</f>
        <v>0</v>
      </c>
      <c r="AB23" s="5">
        <f t="shared" ref="AB23:AB28" si="17">+IF($K23=0,0,V23/$K23)</f>
        <v>0</v>
      </c>
      <c r="AC23" s="5">
        <f t="shared" ref="AC23:AC28" si="18">+IF($K23=0,0,W23/$K23)</f>
        <v>0</v>
      </c>
    </row>
    <row r="24" spans="1:29" ht="18.75" customHeight="1" x14ac:dyDescent="0.2">
      <c r="A24" s="3" t="str">
        <f>+SLXFCottonDrip!A3</f>
        <v>St. Lawrence Auxin Technology Cotton, Drip Irrigated, 40 Inch Rows</v>
      </c>
      <c r="B24" s="3">
        <f>+SLXFCottonDrip!E7</f>
        <v>0</v>
      </c>
      <c r="C24" s="14">
        <f>+SLXFCottonDrip!YTotRet</f>
        <v>0</v>
      </c>
      <c r="D24" s="14">
        <f>+SLXFCottonDrip!YTTotRet</f>
        <v>0</v>
      </c>
      <c r="E24" s="14">
        <f>+SLXFCottonDrip!YLTotRet</f>
        <v>0</v>
      </c>
      <c r="F24" s="1"/>
      <c r="G24" s="2">
        <f>+SLXFCottonDrip!YTotExp</f>
        <v>0</v>
      </c>
      <c r="H24" s="2">
        <f>+SLXFCottonDrip!YTTotExp</f>
        <v>0</v>
      </c>
      <c r="I24" s="2">
        <f>+SLXFCottonDrip!YLTotExp</f>
        <v>0</v>
      </c>
      <c r="J24" s="2"/>
      <c r="K24" s="2">
        <f>+SLXFCottonDrip!YPrice</f>
        <v>0</v>
      </c>
      <c r="L24" s="2" t="str">
        <f>+SLXFCottonDrip!Unit</f>
        <v>Pound</v>
      </c>
      <c r="M24" s="5">
        <f t="shared" si="13"/>
        <v>0</v>
      </c>
      <c r="N24" s="5">
        <f t="shared" si="14"/>
        <v>0</v>
      </c>
      <c r="O24" s="5">
        <f t="shared" si="15"/>
        <v>0</v>
      </c>
      <c r="Q24" s="14">
        <f>+SLXFCottonDrip!YVarRet</f>
        <v>0</v>
      </c>
      <c r="R24" s="14">
        <f>+SLXFCottonDrip!YTVarRet</f>
        <v>0</v>
      </c>
      <c r="S24" s="14">
        <f>+SLXFCottonDrip!YLVarRet</f>
        <v>0</v>
      </c>
      <c r="T24" s="1"/>
      <c r="U24" s="2">
        <f>+SLXFCottonDrip!YVarExp</f>
        <v>0</v>
      </c>
      <c r="V24" s="2">
        <f>+SLXFCottonDrip!YTVarExp</f>
        <v>0</v>
      </c>
      <c r="W24" s="2">
        <f>+SLXFCottonDrip!YLVarExp</f>
        <v>0</v>
      </c>
      <c r="X24" s="2"/>
      <c r="Y24" s="2">
        <f>+SLXFCottonDrip!YPrice</f>
        <v>0</v>
      </c>
      <c r="Z24" s="2" t="str">
        <f>+SLXFCottonDrip!Unit</f>
        <v>Pound</v>
      </c>
      <c r="AA24" s="5">
        <f t="shared" si="16"/>
        <v>0</v>
      </c>
      <c r="AB24" s="5">
        <f t="shared" si="17"/>
        <v>0</v>
      </c>
      <c r="AC24" s="5">
        <f t="shared" si="18"/>
        <v>0</v>
      </c>
    </row>
    <row r="25" spans="1:29" ht="18.75" customHeight="1" x14ac:dyDescent="0.2">
      <c r="A25" s="3" t="str">
        <f>+SLCottonDrylandGM!A3</f>
        <v>St. Lawrence Dryland Cotton, BIIFlex, 40 Inch Rows</v>
      </c>
      <c r="B25" s="3">
        <f>+SLCottonDrylandGM!E7</f>
        <v>0</v>
      </c>
      <c r="C25" s="14">
        <f>+SLCottonDrylandGM!YTotRet</f>
        <v>0</v>
      </c>
      <c r="D25" s="14">
        <f>+SLCottonDrylandGM!YTTotRet</f>
        <v>0</v>
      </c>
      <c r="E25" s="14">
        <f>+SLCottonDrylandGM!YLTotRet</f>
        <v>0</v>
      </c>
      <c r="F25" s="1"/>
      <c r="G25" s="2">
        <f>+SLCottonDrylandGM!YTotExp</f>
        <v>0</v>
      </c>
      <c r="H25" s="2">
        <f>+SLCottonDrylandGM!YTTotExp</f>
        <v>0</v>
      </c>
      <c r="I25" s="2">
        <f>+SLCottonDrylandGM!YLTotExp</f>
        <v>0</v>
      </c>
      <c r="J25" s="2"/>
      <c r="K25" s="2">
        <f>+SLCottonDrylandGM!YPrice</f>
        <v>0</v>
      </c>
      <c r="L25" s="2" t="str">
        <f>+SLCottonDrylandGM!Unit</f>
        <v>Pound</v>
      </c>
      <c r="M25" s="5">
        <f t="shared" si="13"/>
        <v>0</v>
      </c>
      <c r="N25" s="5">
        <f t="shared" si="14"/>
        <v>0</v>
      </c>
      <c r="O25" s="5">
        <f t="shared" si="15"/>
        <v>0</v>
      </c>
      <c r="Q25" s="14">
        <f>+SLCottonDrylandGM!YVarRet</f>
        <v>0</v>
      </c>
      <c r="R25" s="14">
        <f>+SLCottonDrylandGM!YTVarRet</f>
        <v>0</v>
      </c>
      <c r="S25" s="14">
        <f>+SLCottonDrylandGM!YLVarRet</f>
        <v>0</v>
      </c>
      <c r="T25" s="1"/>
      <c r="U25" s="2">
        <f>+SLCottonDrylandGM!YVarExp</f>
        <v>0</v>
      </c>
      <c r="V25" s="2">
        <f>+SLCottonDrylandGM!YTVarExp</f>
        <v>0</v>
      </c>
      <c r="W25" s="2">
        <f>+SLCottonDrylandGM!YLVarExp</f>
        <v>0</v>
      </c>
      <c r="X25" s="2"/>
      <c r="Y25" s="2">
        <f>+SLCottonDrylandGM!YPrice</f>
        <v>0</v>
      </c>
      <c r="Z25" s="2" t="str">
        <f>+SLCottonDrylandGM!Unit</f>
        <v>Pound</v>
      </c>
      <c r="AA25" s="5">
        <f t="shared" si="16"/>
        <v>0</v>
      </c>
      <c r="AB25" s="5">
        <f t="shared" si="17"/>
        <v>0</v>
      </c>
      <c r="AC25" s="5">
        <f t="shared" si="18"/>
        <v>0</v>
      </c>
    </row>
    <row r="26" spans="1:29" ht="18.75" customHeight="1" x14ac:dyDescent="0.2">
      <c r="A26" s="3" t="str">
        <f>+SLXFCottonDryland!A3</f>
        <v>St. Lawrence Dryland Auxin Technology Cotton, 40 Inch Rows</v>
      </c>
      <c r="B26" s="3">
        <f>+SLXFCottonDryland!E7</f>
        <v>0</v>
      </c>
      <c r="C26" s="14">
        <f>+SLXFCottonDryland!YTotRet</f>
        <v>0</v>
      </c>
      <c r="D26" s="14">
        <f>+SLXFCottonDryland!YTTotRet</f>
        <v>0</v>
      </c>
      <c r="E26" s="14">
        <f>+SLXFCottonDryland!YLTotRet</f>
        <v>0</v>
      </c>
      <c r="F26" s="1"/>
      <c r="G26" s="2">
        <f>+SLXFCottonDryland!YTotExp</f>
        <v>0</v>
      </c>
      <c r="H26" s="2">
        <f>+SLXFCottonDryland!YTTotExp</f>
        <v>0</v>
      </c>
      <c r="I26" s="2">
        <f>+SLXFCottonDryland!YLTotExp</f>
        <v>0</v>
      </c>
      <c r="J26" s="2"/>
      <c r="K26" s="2">
        <f>+SLXFCottonDryland!YPrice</f>
        <v>0</v>
      </c>
      <c r="L26" s="2" t="str">
        <f>+SLXFCottonDryland!Unit</f>
        <v>Pound</v>
      </c>
      <c r="M26" s="5">
        <f t="shared" ref="M26:O27" si="19">+IF($K26=0,0,G26/$K26)</f>
        <v>0</v>
      </c>
      <c r="N26" s="5">
        <f t="shared" si="19"/>
        <v>0</v>
      </c>
      <c r="O26" s="5">
        <f t="shared" si="19"/>
        <v>0</v>
      </c>
      <c r="Q26" s="14">
        <f>+SLXFCottonDryland!YVarRet</f>
        <v>0</v>
      </c>
      <c r="R26" s="14">
        <f>+SLXFCottonDryland!YTVarRet</f>
        <v>0</v>
      </c>
      <c r="S26" s="14">
        <f>+SLXFCottonDryland!YLVarRet</f>
        <v>0</v>
      </c>
      <c r="T26" s="1"/>
      <c r="U26" s="2">
        <f>+SLXFCottonDryland!YVarExp</f>
        <v>0</v>
      </c>
      <c r="V26" s="2">
        <f>+SLXFCottonDryland!YTVarExp</f>
        <v>0</v>
      </c>
      <c r="W26" s="2">
        <f>+SLXFCottonDryland!YLVarExp</f>
        <v>0</v>
      </c>
      <c r="X26" s="2"/>
      <c r="Y26" s="2">
        <f>+SLXFCottonDryland!YPrice</f>
        <v>0</v>
      </c>
      <c r="Z26" s="2" t="str">
        <f>+SLXFCottonDryland!Unit</f>
        <v>Pound</v>
      </c>
      <c r="AA26" s="5">
        <f t="shared" ref="AA26:AC27" si="20">+IF($K26=0,0,U26/$K26)</f>
        <v>0</v>
      </c>
      <c r="AB26" s="5">
        <f t="shared" si="20"/>
        <v>0</v>
      </c>
      <c r="AC26" s="5">
        <f t="shared" si="20"/>
        <v>0</v>
      </c>
    </row>
    <row r="27" spans="1:29" ht="18.75" customHeight="1" x14ac:dyDescent="0.2">
      <c r="A27" s="3" t="str">
        <f>+ElPasoCotton!A3</f>
        <v>El Paso County Cotton, Canal Delivered Furrow Irrigated, 40 Inch Rows</v>
      </c>
      <c r="B27" s="3">
        <f>+ElPasoCotton!E7</f>
        <v>0</v>
      </c>
      <c r="C27" s="14">
        <f>+ElPasoCotton!YTotRet</f>
        <v>0</v>
      </c>
      <c r="D27" s="14">
        <f>+ElPasoCotton!YTTotRet</f>
        <v>0</v>
      </c>
      <c r="E27" s="14">
        <f>+ElPasoCotton!YLTotRet</f>
        <v>0</v>
      </c>
      <c r="F27" s="1"/>
      <c r="G27" s="2">
        <f>+ElPasoCotton!YTotExp</f>
        <v>0</v>
      </c>
      <c r="H27" s="2">
        <f>+ElPasoCotton!YTTotExp</f>
        <v>0</v>
      </c>
      <c r="I27" s="2">
        <f>+ElPasoCotton!YLTotExp</f>
        <v>0</v>
      </c>
      <c r="J27" s="2"/>
      <c r="K27" s="2">
        <f>+ElPasoCotton!YPrice</f>
        <v>0</v>
      </c>
      <c r="L27" s="2" t="str">
        <f>+ElPasoCotton!Unit</f>
        <v>Pound</v>
      </c>
      <c r="M27" s="5">
        <f t="shared" si="19"/>
        <v>0</v>
      </c>
      <c r="N27" s="5">
        <f t="shared" si="19"/>
        <v>0</v>
      </c>
      <c r="O27" s="5">
        <f t="shared" si="19"/>
        <v>0</v>
      </c>
      <c r="Q27" s="14">
        <f>+ElPasoCotton!YVarRet</f>
        <v>0</v>
      </c>
      <c r="R27" s="14">
        <f>+ElPasoCotton!YTVarRet</f>
        <v>0</v>
      </c>
      <c r="S27" s="14">
        <f>+ElPasoCotton!YLVarRet</f>
        <v>0</v>
      </c>
      <c r="T27" s="1"/>
      <c r="U27" s="2">
        <f>+ElPasoCotton!YVarExp</f>
        <v>0</v>
      </c>
      <c r="V27" s="2">
        <f>+ElPasoCotton!YTVarExp</f>
        <v>0</v>
      </c>
      <c r="W27" s="2">
        <f>+ElPasoCotton!YLVarExp</f>
        <v>0</v>
      </c>
      <c r="X27" s="2"/>
      <c r="Y27" s="2">
        <f>+ElPasoCotton!YPrice</f>
        <v>0</v>
      </c>
      <c r="Z27" s="2" t="str">
        <f>+ElPasoCotton!Unit</f>
        <v>Pound</v>
      </c>
      <c r="AA27" s="5">
        <f t="shared" si="20"/>
        <v>0</v>
      </c>
      <c r="AB27" s="5">
        <f t="shared" si="20"/>
        <v>0</v>
      </c>
      <c r="AC27" s="5">
        <f t="shared" si="20"/>
        <v>0</v>
      </c>
    </row>
    <row r="28" spans="1:29" ht="18.75" customHeight="1" x14ac:dyDescent="0.2">
      <c r="A28" s="3" t="str">
        <f>+SLGSDrip!A3</f>
        <v>St. Lawrence Early Planted Grain Sorghum, Drip Irrigated, 40 Inch Rows</v>
      </c>
      <c r="B28" s="3">
        <f>+SLGSDrip!E7</f>
        <v>0</v>
      </c>
      <c r="C28" s="14">
        <f>+SLGSDrip!YTotRet</f>
        <v>0</v>
      </c>
      <c r="D28" s="14">
        <f>+SLGSDrip!YTTotRet</f>
        <v>0</v>
      </c>
      <c r="E28" s="14">
        <f>+SLGSDrip!YLTotRet</f>
        <v>0</v>
      </c>
      <c r="F28" s="1"/>
      <c r="G28" s="2">
        <f>+SLGSDrip!YTotExp</f>
        <v>0</v>
      </c>
      <c r="H28" s="2">
        <f>+SLGSDrip!YTTotExp</f>
        <v>0</v>
      </c>
      <c r="I28" s="2">
        <f>+SLGSDrip!YLTotExp</f>
        <v>0</v>
      </c>
      <c r="J28" s="2"/>
      <c r="K28" s="2">
        <f>+SLGSDrip!YPrice</f>
        <v>0</v>
      </c>
      <c r="L28" s="2" t="str">
        <f>+SLGSDrip!Unit</f>
        <v>CWT</v>
      </c>
      <c r="M28" s="5">
        <f t="shared" si="13"/>
        <v>0</v>
      </c>
      <c r="N28" s="5">
        <f t="shared" si="14"/>
        <v>0</v>
      </c>
      <c r="O28" s="5">
        <f t="shared" si="15"/>
        <v>0</v>
      </c>
      <c r="Q28" s="14">
        <f>+SLGSDrip!YVarRet</f>
        <v>0</v>
      </c>
      <c r="R28" s="14">
        <f>+SLGSDrip!YTVarRet</f>
        <v>0</v>
      </c>
      <c r="S28" s="14">
        <f>+SLGSDrip!YLVarRet</f>
        <v>0</v>
      </c>
      <c r="T28" s="1"/>
      <c r="U28" s="2">
        <f>+SLGSDrip!YVarExp</f>
        <v>0</v>
      </c>
      <c r="V28" s="2">
        <f>+SLGSDrip!YTVarExp</f>
        <v>0</v>
      </c>
      <c r="W28" s="2">
        <f>+SLGSDrip!YLVarExp</f>
        <v>0</v>
      </c>
      <c r="X28" s="2"/>
      <c r="Y28" s="2">
        <f>+SLGSDrip!YPrice</f>
        <v>0</v>
      </c>
      <c r="Z28" s="2" t="str">
        <f>+SLGSDrip!Unit</f>
        <v>CWT</v>
      </c>
      <c r="AA28" s="5">
        <f t="shared" si="16"/>
        <v>0</v>
      </c>
      <c r="AB28" s="5">
        <f t="shared" si="17"/>
        <v>0</v>
      </c>
      <c r="AC28" s="5">
        <f t="shared" si="18"/>
        <v>0</v>
      </c>
    </row>
    <row r="29" spans="1:29" ht="18.75" customHeight="1" x14ac:dyDescent="0.2">
      <c r="A29" s="3" t="str">
        <f>+WheatDryland!A3</f>
        <v>Wheat, Dryland</v>
      </c>
      <c r="B29" s="3">
        <f>+WheatDryland!E7</f>
        <v>0</v>
      </c>
      <c r="C29" s="14">
        <f>+WheatDryland!YTotRet</f>
        <v>0</v>
      </c>
      <c r="D29" s="14">
        <f>+WheatDryland!YTTotRet</f>
        <v>0</v>
      </c>
      <c r="E29" s="14">
        <f>+WheatDryland!YLTotRet</f>
        <v>0</v>
      </c>
      <c r="F29" s="1"/>
      <c r="G29" s="2">
        <f>+WheatDryland!YTotExp</f>
        <v>0</v>
      </c>
      <c r="H29" s="2">
        <f>+WheatDryland!YTTotExp</f>
        <v>0</v>
      </c>
      <c r="I29" s="2">
        <f>+WheatDryland!YLTotExp</f>
        <v>0</v>
      </c>
      <c r="J29" s="2"/>
      <c r="K29" s="2">
        <f>+WheatDryland!YPrice</f>
        <v>0</v>
      </c>
      <c r="L29" s="2" t="str">
        <f>+WheatDryland!Unit</f>
        <v>Bushel</v>
      </c>
      <c r="M29" s="5">
        <f t="shared" ref="M29:O30" si="21">+IF($K29=0,0,G29/$K29)</f>
        <v>0</v>
      </c>
      <c r="N29" s="5">
        <f t="shared" si="21"/>
        <v>0</v>
      </c>
      <c r="O29" s="5">
        <f t="shared" si="21"/>
        <v>0</v>
      </c>
      <c r="Q29" s="14">
        <f>+WheatDryland!YVarRet</f>
        <v>0</v>
      </c>
      <c r="R29" s="14">
        <f>+WheatDryland!YTVarRet</f>
        <v>0</v>
      </c>
      <c r="S29" s="14">
        <f>+WheatDryland!YLVarRet</f>
        <v>0</v>
      </c>
      <c r="T29" s="1"/>
      <c r="U29" s="2">
        <f>+WheatDryland!YVarExp</f>
        <v>0</v>
      </c>
      <c r="V29" s="2">
        <f>+WheatDryland!YTVarExp</f>
        <v>0</v>
      </c>
      <c r="W29" s="2">
        <f>+WheatDryland!YLVarExp</f>
        <v>0</v>
      </c>
      <c r="X29" s="2"/>
      <c r="Y29" s="2">
        <f>+WheatDryland!YPrice</f>
        <v>0</v>
      </c>
      <c r="Z29" s="2" t="str">
        <f>+WheatDryland!Unit</f>
        <v>Bushel</v>
      </c>
      <c r="AA29" s="5">
        <f t="shared" ref="AA29:AC30" si="22">+IF($K29=0,0,U29/$K29)</f>
        <v>0</v>
      </c>
      <c r="AB29" s="5">
        <f t="shared" si="22"/>
        <v>0</v>
      </c>
      <c r="AC29" s="5">
        <f t="shared" si="22"/>
        <v>0</v>
      </c>
    </row>
    <row r="30" spans="1:29" ht="18.75" customHeight="1" x14ac:dyDescent="0.2">
      <c r="A30" s="3" t="str">
        <f>+WheatIrrigated!A3</f>
        <v>Wheat, Center Pivot Irrigated, Trans Pecos</v>
      </c>
      <c r="B30" s="3">
        <f>+WheatIrrigated!E7</f>
        <v>0</v>
      </c>
      <c r="C30" s="14">
        <f>+WheatIrrigated!YTotRet</f>
        <v>0</v>
      </c>
      <c r="D30" s="14">
        <f>+WheatIrrigated!YTTotRet</f>
        <v>0</v>
      </c>
      <c r="E30" s="14">
        <f>+WheatIrrigated!YLTotRet</f>
        <v>0</v>
      </c>
      <c r="F30" s="1"/>
      <c r="G30" s="2">
        <f>+WheatIrrigated!YTotExp</f>
        <v>0</v>
      </c>
      <c r="H30" s="2">
        <f>+WheatIrrigated!YTTotExp</f>
        <v>0</v>
      </c>
      <c r="I30" s="2">
        <f>+WheatIrrigated!YLTotExp</f>
        <v>0</v>
      </c>
      <c r="J30" s="2"/>
      <c r="K30" s="2">
        <f>+WheatIrrigated!YPrice</f>
        <v>0</v>
      </c>
      <c r="L30" s="2" t="str">
        <f>+WheatIrrigated!Unit</f>
        <v>Bushel</v>
      </c>
      <c r="M30" s="5">
        <f t="shared" si="21"/>
        <v>0</v>
      </c>
      <c r="N30" s="5">
        <f t="shared" si="21"/>
        <v>0</v>
      </c>
      <c r="O30" s="5">
        <f t="shared" si="21"/>
        <v>0</v>
      </c>
      <c r="Q30" s="14">
        <f>+WheatIrrigated!YVarRet</f>
        <v>0</v>
      </c>
      <c r="R30" s="14">
        <f>+WheatIrrigated!YTVarRet</f>
        <v>0</v>
      </c>
      <c r="S30" s="14">
        <f>+WheatIrrigated!YLVarRet</f>
        <v>0</v>
      </c>
      <c r="T30" s="1"/>
      <c r="U30" s="2">
        <f>+WheatIrrigated!YVarExp</f>
        <v>0</v>
      </c>
      <c r="V30" s="2">
        <f>+WheatIrrigated!YTVarExp</f>
        <v>0</v>
      </c>
      <c r="W30" s="2">
        <f>+WheatIrrigated!YLVarExp</f>
        <v>0</v>
      </c>
      <c r="X30" s="2"/>
      <c r="Y30" s="2">
        <f>+WheatIrrigated!YPrice</f>
        <v>0</v>
      </c>
      <c r="Z30" s="2" t="str">
        <f>+WheatIrrigated!Unit</f>
        <v>Bushel</v>
      </c>
      <c r="AA30" s="5">
        <f t="shared" si="22"/>
        <v>0</v>
      </c>
      <c r="AB30" s="5">
        <f t="shared" si="22"/>
        <v>0</v>
      </c>
      <c r="AC30" s="5">
        <f t="shared" si="22"/>
        <v>0</v>
      </c>
    </row>
    <row r="31" spans="1:29" ht="18.75" customHeight="1" x14ac:dyDescent="0.2">
      <c r="Q31" s="14"/>
      <c r="R31" s="14"/>
      <c r="S31" s="14"/>
      <c r="T31" s="1"/>
      <c r="U31" s="2"/>
      <c r="V31" s="2"/>
      <c r="W31" s="2"/>
      <c r="X31" s="2"/>
      <c r="Y31" s="2"/>
      <c r="Z31" s="2"/>
      <c r="AA31" s="5"/>
      <c r="AB31" s="5"/>
      <c r="AC31" s="5"/>
    </row>
    <row r="32" spans="1:29" ht="18.75" customHeight="1" x14ac:dyDescent="0.2">
      <c r="A32" s="14" t="s">
        <v>497</v>
      </c>
      <c r="Q32" s="14"/>
      <c r="R32" s="14"/>
      <c r="S32" s="14"/>
      <c r="T32" s="1"/>
      <c r="U32" s="2"/>
      <c r="V32" s="2"/>
      <c r="W32" s="2"/>
      <c r="X32" s="2"/>
      <c r="Y32" s="2"/>
      <c r="Z32" s="2"/>
      <c r="AA32" s="5"/>
      <c r="AB32" s="5"/>
      <c r="AC32" s="5"/>
    </row>
    <row r="33" spans="1:29" ht="18.75" customHeight="1" x14ac:dyDescent="0.2">
      <c r="Q33" s="14"/>
      <c r="R33" s="14"/>
      <c r="S33" s="14"/>
      <c r="T33" s="2"/>
      <c r="U33" s="2"/>
      <c r="V33" s="2"/>
      <c r="W33" s="2"/>
      <c r="X33" s="2"/>
      <c r="Y33" s="2"/>
      <c r="Z33" s="2"/>
      <c r="AA33" s="5"/>
      <c r="AB33" s="5"/>
      <c r="AC33" s="5"/>
    </row>
    <row r="34" spans="1:29" ht="18.75" customHeight="1" x14ac:dyDescent="0.2">
      <c r="A34" s="3" t="str">
        <f>+RedChile!A3</f>
        <v>Red Chile Peppers, Dell City, Center Pivot Irrigated</v>
      </c>
      <c r="B34" s="3">
        <f>+RedChile!E7</f>
        <v>0</v>
      </c>
      <c r="C34" s="14">
        <f>+RedChile!YTotRet</f>
        <v>0</v>
      </c>
      <c r="D34" s="14">
        <f>+RedChile!YTTotRet</f>
        <v>0</v>
      </c>
      <c r="E34" s="14">
        <f>+RedChile!YLTotRet</f>
        <v>0</v>
      </c>
      <c r="F34" s="1"/>
      <c r="G34" s="2">
        <f>+RedChile!YTotExp</f>
        <v>0</v>
      </c>
      <c r="H34" s="2">
        <f>+RedChile!YTTotExp</f>
        <v>0</v>
      </c>
      <c r="I34" s="2">
        <f>+RedChile!YLTotExp</f>
        <v>0</v>
      </c>
      <c r="J34" s="2"/>
      <c r="K34" s="2">
        <f>+RedChile!YPrice</f>
        <v>0</v>
      </c>
      <c r="L34" s="2" t="str">
        <f>+RedChile!Unit</f>
        <v>Pound</v>
      </c>
      <c r="M34" s="5">
        <f t="shared" ref="M34:O36" si="23">+IF($K34=0,0,G34/$K34)</f>
        <v>0</v>
      </c>
      <c r="N34" s="5">
        <f t="shared" si="23"/>
        <v>0</v>
      </c>
      <c r="O34" s="5">
        <f t="shared" si="23"/>
        <v>0</v>
      </c>
      <c r="Q34" s="14">
        <f>+RedChile!YVarRet</f>
        <v>0</v>
      </c>
      <c r="R34" s="14">
        <f>+RedChile!YTVarRet</f>
        <v>0</v>
      </c>
      <c r="S34" s="14">
        <f>+RedChile!YLVarRet</f>
        <v>0</v>
      </c>
      <c r="T34" s="1"/>
      <c r="U34" s="2">
        <f>+RedChile!YVarExp</f>
        <v>0</v>
      </c>
      <c r="V34" s="2">
        <f>+RedChile!YTVarExp</f>
        <v>0</v>
      </c>
      <c r="W34" s="2">
        <f>+RedChile!YLVarExp</f>
        <v>0</v>
      </c>
      <c r="X34" s="2"/>
      <c r="Y34" s="2">
        <f>+RedChile!YPrice</f>
        <v>0</v>
      </c>
      <c r="Z34" s="2" t="str">
        <f>+RedChile!Unit</f>
        <v>Pound</v>
      </c>
      <c r="AA34" s="5">
        <f t="shared" ref="AA34:AC36" si="24">+IF($K34=0,0,U34/$K34)</f>
        <v>0</v>
      </c>
      <c r="AB34" s="5">
        <f t="shared" si="24"/>
        <v>0</v>
      </c>
      <c r="AC34" s="5">
        <f t="shared" si="24"/>
        <v>0</v>
      </c>
    </row>
    <row r="35" spans="1:29" ht="18.75" customHeight="1" x14ac:dyDescent="0.2">
      <c r="A35" s="3" t="str">
        <f>+Onions!A3</f>
        <v>Spring Onions, Furrow Irrigated</v>
      </c>
      <c r="B35" s="3">
        <f>+Onions!E7</f>
        <v>0</v>
      </c>
      <c r="C35" s="14">
        <f>+Onions!YTotRet</f>
        <v>0</v>
      </c>
      <c r="D35" s="14">
        <f>+Onions!YTTotRet</f>
        <v>0</v>
      </c>
      <c r="E35" s="14">
        <f>+Onions!YLTotRet</f>
        <v>0</v>
      </c>
      <c r="F35" s="1"/>
      <c r="G35" s="2">
        <f>+Onions!YTotExp</f>
        <v>0</v>
      </c>
      <c r="H35" s="2">
        <f>+Onions!YTTotExp</f>
        <v>0</v>
      </c>
      <c r="I35" s="2">
        <f>+Onions!YLTotExp</f>
        <v>0</v>
      </c>
      <c r="J35" s="2"/>
      <c r="K35" s="2">
        <f>+Onions!YPrice</f>
        <v>0</v>
      </c>
      <c r="L35" s="2" t="str">
        <f>+Onions!Unit</f>
        <v>Bag</v>
      </c>
      <c r="M35" s="5">
        <f t="shared" si="23"/>
        <v>0</v>
      </c>
      <c r="N35" s="5">
        <f t="shared" si="23"/>
        <v>0</v>
      </c>
      <c r="O35" s="5">
        <f t="shared" si="23"/>
        <v>0</v>
      </c>
      <c r="Q35" s="14">
        <f>+Onions!YVarRet</f>
        <v>0</v>
      </c>
      <c r="R35" s="14">
        <f>+Onions!YTVarRet</f>
        <v>0</v>
      </c>
      <c r="S35" s="14">
        <f>+Onions!YLVarRet</f>
        <v>0</v>
      </c>
      <c r="T35" s="1"/>
      <c r="U35" s="2">
        <f>+Onions!YVarExp</f>
        <v>0</v>
      </c>
      <c r="V35" s="2">
        <f>+Onions!YTVarExp</f>
        <v>0</v>
      </c>
      <c r="W35" s="2">
        <f>+Onions!YLVarExp</f>
        <v>0</v>
      </c>
      <c r="X35" s="2"/>
      <c r="Y35" s="2">
        <f>+Onions!YPrice</f>
        <v>0</v>
      </c>
      <c r="Z35" s="2" t="str">
        <f>+Onions!Unit</f>
        <v>Bag</v>
      </c>
      <c r="AA35" s="5">
        <f t="shared" si="24"/>
        <v>0</v>
      </c>
      <c r="AB35" s="5">
        <f t="shared" si="24"/>
        <v>0</v>
      </c>
      <c r="AC35" s="5">
        <f t="shared" si="24"/>
        <v>0</v>
      </c>
    </row>
    <row r="36" spans="1:29" ht="18.75" customHeight="1" x14ac:dyDescent="0.2">
      <c r="A36" s="3" t="str">
        <f>+Pecans!A3</f>
        <v>Trans Pecos Flood Irrigated Pecans, Years 10-20</v>
      </c>
      <c r="B36" s="3">
        <f>+Pecans!E7</f>
        <v>0</v>
      </c>
      <c r="C36" s="14">
        <f>+Pecans!YTotRet</f>
        <v>0</v>
      </c>
      <c r="D36" s="14">
        <f>+Pecans!YTTotRet</f>
        <v>0</v>
      </c>
      <c r="E36" s="14">
        <f>+Pecans!YLTotRet</f>
        <v>0</v>
      </c>
      <c r="F36" s="1"/>
      <c r="G36" s="2">
        <f>+Pecans!YTotExp</f>
        <v>0</v>
      </c>
      <c r="H36" s="2">
        <f>+Pecans!YTTotExp</f>
        <v>0</v>
      </c>
      <c r="I36" s="2">
        <f>+Pecans!YLTotExp</f>
        <v>0</v>
      </c>
      <c r="J36" s="2"/>
      <c r="K36" s="2">
        <f>+Pecans!YPrice</f>
        <v>0</v>
      </c>
      <c r="L36" s="2" t="str">
        <f>+Pecans!Unit</f>
        <v>Pound</v>
      </c>
      <c r="M36" s="5">
        <f t="shared" si="23"/>
        <v>0</v>
      </c>
      <c r="N36" s="5">
        <f t="shared" si="23"/>
        <v>0</v>
      </c>
      <c r="O36" s="5">
        <f t="shared" si="23"/>
        <v>0</v>
      </c>
      <c r="Q36" s="14">
        <f>+Pecans!YVarRet</f>
        <v>0</v>
      </c>
      <c r="R36" s="14">
        <f>+Pecans!YTVarRet</f>
        <v>0</v>
      </c>
      <c r="S36" s="14">
        <f>+Pecans!YLVarRet</f>
        <v>0</v>
      </c>
      <c r="T36" s="1"/>
      <c r="U36" s="2">
        <f>+Pecans!YVarExp</f>
        <v>0</v>
      </c>
      <c r="V36" s="2">
        <f>+Pecans!YTVarExp</f>
        <v>0</v>
      </c>
      <c r="W36" s="2">
        <f>+Pecans!YLVarExp</f>
        <v>0</v>
      </c>
      <c r="X36" s="2"/>
      <c r="Y36" s="2">
        <f>+Pecans!YPrice</f>
        <v>0</v>
      </c>
      <c r="Z36" s="2" t="str">
        <f>+Pecans!Unit</f>
        <v>Pound</v>
      </c>
      <c r="AA36" s="5">
        <f t="shared" si="24"/>
        <v>0</v>
      </c>
      <c r="AB36" s="5">
        <f t="shared" si="24"/>
        <v>0</v>
      </c>
      <c r="AC36" s="5">
        <f t="shared" si="24"/>
        <v>0</v>
      </c>
    </row>
    <row r="37" spans="1:29" ht="18.75" customHeight="1" x14ac:dyDescent="0.2">
      <c r="C37" s="1"/>
      <c r="D37" s="1"/>
      <c r="E37" s="1"/>
      <c r="F37" s="1"/>
      <c r="G37" s="1"/>
      <c r="H37" s="1"/>
      <c r="I37" s="1"/>
      <c r="J37" s="6"/>
      <c r="K37" s="1"/>
      <c r="L37" s="13"/>
      <c r="M37" s="1"/>
      <c r="N37" s="5"/>
      <c r="Q37" s="14"/>
      <c r="R37" s="14"/>
      <c r="S37" s="14"/>
      <c r="T37" s="1"/>
      <c r="U37" s="2"/>
      <c r="V37" s="2"/>
      <c r="W37" s="2"/>
      <c r="X37" s="2"/>
      <c r="Y37" s="2"/>
      <c r="Z37" s="2"/>
      <c r="AA37" s="5"/>
      <c r="AB37" s="5"/>
      <c r="AC37" s="5"/>
    </row>
    <row r="38" spans="1:29" ht="18.75" customHeight="1" x14ac:dyDescent="0.2">
      <c r="A38" s="14" t="s">
        <v>144</v>
      </c>
      <c r="B38" s="14"/>
      <c r="C38" s="14"/>
      <c r="D38" s="14"/>
      <c r="E38" s="14"/>
      <c r="F38" s="1"/>
      <c r="G38" s="1"/>
      <c r="H38" s="1"/>
      <c r="I38" s="1"/>
      <c r="J38" s="6"/>
      <c r="K38" s="1"/>
      <c r="L38" s="1"/>
      <c r="M38" s="1"/>
      <c r="N38" s="5"/>
      <c r="Q38" s="14"/>
      <c r="R38" s="14"/>
      <c r="S38" s="14"/>
      <c r="T38" s="1"/>
      <c r="U38" s="2"/>
      <c r="V38" s="2"/>
      <c r="W38" s="2"/>
      <c r="X38" s="2"/>
      <c r="Y38" s="2"/>
      <c r="Z38" s="2"/>
      <c r="AA38" s="5"/>
      <c r="AB38" s="5"/>
      <c r="AC38" s="5"/>
    </row>
    <row r="39" spans="1:29" ht="18.75" customHeight="1" x14ac:dyDescent="0.2">
      <c r="A39" s="3"/>
      <c r="B39" s="3"/>
      <c r="C39" s="14"/>
      <c r="D39" s="14"/>
      <c r="E39" s="14"/>
      <c r="F39" s="1"/>
      <c r="G39" s="2"/>
      <c r="H39" s="2"/>
      <c r="I39" s="2"/>
      <c r="J39" s="2"/>
      <c r="K39" s="2"/>
      <c r="L39" s="2"/>
      <c r="M39" s="5"/>
      <c r="N39" s="5"/>
      <c r="Q39" s="14"/>
      <c r="R39" s="14"/>
      <c r="S39" s="14"/>
      <c r="T39" s="1"/>
      <c r="U39" s="2"/>
      <c r="V39" s="2"/>
      <c r="W39" s="2"/>
      <c r="X39" s="2"/>
      <c r="Y39" s="2"/>
      <c r="Z39" s="2"/>
      <c r="AA39" s="5"/>
      <c r="AB39" s="5"/>
      <c r="AC39" s="5"/>
    </row>
    <row r="40" spans="1:29" ht="18.75" customHeight="1" x14ac:dyDescent="0.2">
      <c r="A40" s="15" t="str">
        <f>+CowCalfNative!A3</f>
        <v>Cow-Calf Enterprise</v>
      </c>
      <c r="B40" s="3">
        <f>+CowCalfNative!E7</f>
        <v>0</v>
      </c>
      <c r="C40" s="14">
        <f>+CowCalfNative!YTotRet</f>
        <v>0</v>
      </c>
      <c r="D40" s="14"/>
      <c r="E40" s="14"/>
      <c r="G40" s="8">
        <f>+CowCalfNative!YTotExp</f>
        <v>0</v>
      </c>
      <c r="H40" s="8"/>
      <c r="I40" s="8"/>
      <c r="J40" s="8"/>
      <c r="K40" s="8" t="e">
        <f>+CowCalfNative!YPrice</f>
        <v>#NAME?</v>
      </c>
      <c r="L40" s="8" t="str">
        <f>+CowCalfNative!Unit</f>
        <v>CWT</v>
      </c>
      <c r="M40" s="5" t="e">
        <f>+IF($K40=0,0,G40/$K40)</f>
        <v>#NAME?</v>
      </c>
      <c r="N40" s="5"/>
      <c r="Q40" s="14">
        <f>+CowCalfNative!YVarRet</f>
        <v>0</v>
      </c>
      <c r="R40" s="14"/>
      <c r="S40" s="14"/>
      <c r="U40" s="8">
        <f>+CowCalfNative!YVarExp</f>
        <v>0</v>
      </c>
      <c r="V40" s="8"/>
      <c r="W40" s="8"/>
      <c r="X40" s="8"/>
      <c r="Y40" s="8" t="e">
        <f>+CowCalfNative!YPrice</f>
        <v>#NAME?</v>
      </c>
      <c r="Z40" s="8" t="str">
        <f>+CowCalfNative!Unit</f>
        <v>CWT</v>
      </c>
      <c r="AA40" s="5" t="e">
        <f t="shared" ref="AA40" si="25">+IF($K40=0,0,U40/$K40)</f>
        <v>#NAME?</v>
      </c>
      <c r="AB40" s="5"/>
      <c r="AC40" s="5"/>
    </row>
    <row r="41" spans="1:29" ht="18.75" customHeight="1" x14ac:dyDescent="0.2">
      <c r="A41" s="15" t="str">
        <f>+StockersSummer!A3</f>
        <v>Stocker Steers - Summer Growth, 0.6 AU per Head</v>
      </c>
      <c r="B41" s="3">
        <f>+StockersSummer!E7</f>
        <v>0</v>
      </c>
      <c r="C41" s="14">
        <f>+StockersSummer!YTotRet</f>
        <v>0</v>
      </c>
      <c r="D41" s="14"/>
      <c r="E41" s="14"/>
      <c r="G41" s="8">
        <f>+StockersSummer!YTotExp</f>
        <v>0</v>
      </c>
      <c r="H41" s="8"/>
      <c r="I41" s="8"/>
      <c r="J41" s="8"/>
      <c r="K41" s="8">
        <f>+StockersSummer!YPrice</f>
        <v>0</v>
      </c>
      <c r="L41" s="8" t="str">
        <f>+StockersSummer!Unit</f>
        <v>CWT</v>
      </c>
      <c r="M41" s="5">
        <f>+IF($K41=0,0,G41/$K41)</f>
        <v>0</v>
      </c>
      <c r="N41" s="118"/>
      <c r="Q41" s="14">
        <f>+StockersSummer!YVarRet</f>
        <v>0</v>
      </c>
      <c r="R41" s="14"/>
      <c r="S41" s="14"/>
      <c r="U41" s="8">
        <f>+StockersSummer!YVarExp</f>
        <v>0</v>
      </c>
      <c r="V41" s="8"/>
      <c r="W41" s="8"/>
      <c r="X41" s="8"/>
      <c r="Y41" s="8">
        <f>+StockersSummer!YPrice</f>
        <v>0</v>
      </c>
      <c r="Z41" s="8" t="str">
        <f>+StockersSummer!Unit</f>
        <v>CWT</v>
      </c>
      <c r="AA41" s="5">
        <f>+IF($K41=0,0,U41/$K41)</f>
        <v>0</v>
      </c>
      <c r="AB41" s="5"/>
      <c r="AC41" s="5"/>
    </row>
    <row r="42" spans="1:29" ht="18.75" customHeight="1" x14ac:dyDescent="0.2">
      <c r="A42" s="15" t="str">
        <f>+StockerWinter!A3</f>
        <v>Stocker Steers - Winter Growth, 0.45 AU per Head</v>
      </c>
      <c r="B42" s="3">
        <f>+StockerWinter!E7</f>
        <v>0</v>
      </c>
      <c r="C42" s="14">
        <f>+StockerWinter!YTotRet</f>
        <v>0</v>
      </c>
      <c r="D42" s="14"/>
      <c r="E42" s="14"/>
      <c r="G42" s="8">
        <f>+StockerWinter!YTotExp</f>
        <v>0</v>
      </c>
      <c r="H42" s="8"/>
      <c r="I42" s="8"/>
      <c r="J42" s="8"/>
      <c r="K42" s="8">
        <f>+StockerWinter!YPrice</f>
        <v>0</v>
      </c>
      <c r="L42" s="8" t="str">
        <f>+StockerWinter!Unit</f>
        <v>CWT</v>
      </c>
      <c r="M42" s="5">
        <f>+IF($K42=0,0,G42/$K42)</f>
        <v>0</v>
      </c>
      <c r="N42" s="5"/>
      <c r="Q42" s="14">
        <f>+StockerWinter!YVarRet</f>
        <v>0</v>
      </c>
      <c r="R42" s="14"/>
      <c r="S42" s="14"/>
      <c r="U42" s="8">
        <f>+StockerWinter!YVarExp</f>
        <v>0</v>
      </c>
      <c r="V42" s="8"/>
      <c r="W42" s="8"/>
      <c r="X42" s="8"/>
      <c r="Y42" s="8">
        <f>+StockerWinter!YPrice</f>
        <v>0</v>
      </c>
      <c r="Z42" s="8" t="str">
        <f>+StockerWinter!Unit</f>
        <v>CWT</v>
      </c>
      <c r="AA42" s="5">
        <f>+IF($K42=0,0,U42/$K42)</f>
        <v>0</v>
      </c>
      <c r="AB42" s="5"/>
      <c r="AC42" s="5"/>
    </row>
    <row r="43" spans="1:29" ht="18.75" customHeight="1" x14ac:dyDescent="0.2">
      <c r="A43" s="15" t="str">
        <f>MeatGoats!A3</f>
        <v>Trans Pecos Meat Goats, 6 Head per AU</v>
      </c>
      <c r="B43" s="3">
        <f>MeatGoats!E7</f>
        <v>0</v>
      </c>
      <c r="C43" s="14">
        <f>MeatGoats!YTotRet</f>
        <v>0</v>
      </c>
      <c r="D43" s="14"/>
      <c r="E43" s="14"/>
      <c r="G43" s="8">
        <f>MeatGoats!YTotExp</f>
        <v>0</v>
      </c>
      <c r="H43" s="8"/>
      <c r="I43" s="8"/>
      <c r="J43" s="8"/>
      <c r="K43" s="8" t="e">
        <f>MeatGoats!YPrice</f>
        <v>#NAME?</v>
      </c>
      <c r="L43" s="8" t="str">
        <f>MeatGoats!Unit</f>
        <v>CWT</v>
      </c>
      <c r="M43" s="5" t="e">
        <f>IF(K43=0,0,G43/K43)</f>
        <v>#NAME?</v>
      </c>
      <c r="N43" s="5"/>
      <c r="Q43" s="14">
        <f>MeatGoats!YVarRet</f>
        <v>0</v>
      </c>
      <c r="R43" s="14"/>
      <c r="S43" s="14"/>
      <c r="U43" s="8">
        <f>MeatGoats!YVarExp</f>
        <v>0</v>
      </c>
      <c r="V43" s="8"/>
      <c r="W43" s="8"/>
      <c r="X43" s="8"/>
      <c r="Y43" s="8" t="e">
        <f>MeatGoats!YPrice</f>
        <v>#NAME?</v>
      </c>
      <c r="Z43" s="8" t="str">
        <f>MeatGoats!Unit</f>
        <v>CWT</v>
      </c>
      <c r="AA43" s="5" t="e">
        <f>IF(K43=0,0,U43/K43)</f>
        <v>#NAME?</v>
      </c>
      <c r="AB43" s="5"/>
      <c r="AC43" s="5"/>
    </row>
    <row r="44" spans="1:29" ht="18.75" customHeight="1" x14ac:dyDescent="0.2">
      <c r="A44" s="15" t="str">
        <f>Angoras!A3</f>
        <v>Trans Pecos Angora Goats, 7 Head per AU</v>
      </c>
      <c r="B44" s="3">
        <f>Angoras!E7</f>
        <v>0</v>
      </c>
      <c r="C44" s="14">
        <f>Angoras!YTotRet</f>
        <v>0</v>
      </c>
      <c r="D44" s="14"/>
      <c r="E44" s="14"/>
      <c r="G44" s="8">
        <f>Angoras!YTotExp</f>
        <v>0</v>
      </c>
      <c r="H44" s="8"/>
      <c r="I44" s="8"/>
      <c r="J44" s="8"/>
      <c r="K44" s="8" t="e">
        <f>Angoras!YPrice</f>
        <v>#NAME?</v>
      </c>
      <c r="L44" s="8" t="str">
        <f>Angoras!Unit</f>
        <v>CWT</v>
      </c>
      <c r="M44" s="5" t="e">
        <f>IF(K44=0,0,G44/K44)</f>
        <v>#NAME?</v>
      </c>
      <c r="N44" s="5"/>
      <c r="Q44" s="14">
        <f>Angoras!YVarRet</f>
        <v>0</v>
      </c>
      <c r="R44" s="14"/>
      <c r="S44" s="14"/>
      <c r="U44" s="8">
        <f>Angoras!YVarExp</f>
        <v>0</v>
      </c>
      <c r="V44" s="8"/>
      <c r="W44" s="8"/>
      <c r="X44" s="8"/>
      <c r="Y44" s="8" t="e">
        <f>Angoras!YPrice</f>
        <v>#NAME?</v>
      </c>
      <c r="Z44" s="8" t="str">
        <f>Angoras!Unit</f>
        <v>CWT</v>
      </c>
      <c r="AA44" s="5" t="e">
        <f>IF(K44=0,0,U44/K44)</f>
        <v>#NAME?</v>
      </c>
      <c r="AB44" s="5"/>
      <c r="AC44" s="5"/>
    </row>
    <row r="45" spans="1:29" ht="18.75" customHeight="1" x14ac:dyDescent="0.2">
      <c r="A45" s="15" t="str">
        <f>SheepWool!A3</f>
        <v>Trans Pecos Wool Sheep, 5 Head per AU</v>
      </c>
      <c r="B45" s="3">
        <f>SheepWool!E7</f>
        <v>0</v>
      </c>
      <c r="C45" s="14">
        <f>SheepWool!YTotRet</f>
        <v>0</v>
      </c>
      <c r="D45" s="14"/>
      <c r="E45" s="14"/>
      <c r="G45" s="8">
        <f>SheepWool!YTotExp</f>
        <v>0</v>
      </c>
      <c r="H45" s="8"/>
      <c r="I45" s="8"/>
      <c r="J45" s="8"/>
      <c r="K45" s="8" t="e">
        <f>SheepWool!YPrice</f>
        <v>#NAME?</v>
      </c>
      <c r="L45" s="8" t="str">
        <f>SheepWool!Unit</f>
        <v>CWT</v>
      </c>
      <c r="M45" s="5" t="e">
        <f>IF(K45=0,0,G45/K45)</f>
        <v>#NAME?</v>
      </c>
      <c r="N45" s="5"/>
      <c r="Q45" s="14">
        <f>SheepWool!YVarRet</f>
        <v>0</v>
      </c>
      <c r="R45" s="14"/>
      <c r="S45" s="14"/>
      <c r="U45" s="8">
        <f>SheepWool!YVarExp</f>
        <v>0</v>
      </c>
      <c r="V45" s="8"/>
      <c r="W45" s="8"/>
      <c r="X45" s="8"/>
      <c r="Y45" s="8" t="e">
        <f>SheepWool!YPrice</f>
        <v>#NAME?</v>
      </c>
      <c r="Z45" s="8" t="str">
        <f>SheepWool!Unit</f>
        <v>CWT</v>
      </c>
      <c r="AA45" s="5" t="e">
        <f>IF(K45=0,0,U45/K45)</f>
        <v>#NAME?</v>
      </c>
      <c r="AB45" s="5"/>
      <c r="AC45" s="5"/>
    </row>
    <row r="46" spans="1:29" ht="18.75" customHeight="1" x14ac:dyDescent="0.2">
      <c r="A46" s="15" t="str">
        <f>SheepHair!A3</f>
        <v>Trans Pecos Hair Sheep, 5 Head per AU</v>
      </c>
      <c r="B46" s="3">
        <f>SheepHair!E7</f>
        <v>0</v>
      </c>
      <c r="C46" s="14">
        <f>SheepHair!YTotRet</f>
        <v>0</v>
      </c>
      <c r="D46" s="14"/>
      <c r="E46" s="14"/>
      <c r="G46" s="8">
        <f>SheepHair!YTotExp</f>
        <v>0</v>
      </c>
      <c r="H46" s="8"/>
      <c r="I46" s="8"/>
      <c r="J46" s="8"/>
      <c r="K46" s="8" t="e">
        <f>SheepHair!YPrice</f>
        <v>#NAME?</v>
      </c>
      <c r="L46" s="8" t="str">
        <f>SheepHair!Unit</f>
        <v>CWT</v>
      </c>
      <c r="M46" s="5" t="e">
        <f>IF(K46=0,0,G46/K46)</f>
        <v>#NAME?</v>
      </c>
      <c r="N46" s="5"/>
      <c r="Q46" s="14">
        <f>SheepHair!YVarRet</f>
        <v>0</v>
      </c>
      <c r="R46" s="14"/>
      <c r="S46" s="14"/>
      <c r="U46" s="8">
        <f>SheepHair!YVarExp</f>
        <v>0</v>
      </c>
      <c r="V46" s="8"/>
      <c r="W46" s="8"/>
      <c r="X46" s="8"/>
      <c r="Y46" s="8" t="e">
        <f>SheepHair!YPrice</f>
        <v>#NAME?</v>
      </c>
      <c r="Z46" s="8" t="str">
        <f>SheepHair!Unit</f>
        <v>CWT</v>
      </c>
      <c r="AA46" s="5" t="e">
        <f>IF(K46=0,0,U46/K46)</f>
        <v>#NAME?</v>
      </c>
      <c r="AB46" s="5"/>
      <c r="AC46" s="5"/>
    </row>
    <row r="47" spans="1:29" ht="18.75" customHeight="1" x14ac:dyDescent="0.2">
      <c r="A47" s="15"/>
      <c r="B47" s="15"/>
      <c r="C47" s="14"/>
      <c r="D47" s="14"/>
      <c r="E47" s="14"/>
      <c r="G47" s="8"/>
      <c r="H47" s="8"/>
      <c r="I47" s="8"/>
      <c r="J47" s="8"/>
      <c r="K47" s="8"/>
      <c r="L47" s="8"/>
      <c r="M47" s="5"/>
      <c r="N47" s="5"/>
      <c r="Q47" s="14"/>
      <c r="R47" s="14"/>
      <c r="S47" s="14"/>
      <c r="U47" s="8"/>
      <c r="V47" s="8"/>
      <c r="W47" s="8"/>
      <c r="X47" s="8"/>
      <c r="Y47" s="8"/>
      <c r="Z47" s="8"/>
      <c r="AA47" s="5"/>
      <c r="AB47" s="5"/>
      <c r="AC47" s="5"/>
    </row>
    <row r="48" spans="1:29" ht="18.75" customHeight="1" x14ac:dyDescent="0.2">
      <c r="A48" s="3"/>
      <c r="B48" s="3"/>
      <c r="C48" s="14"/>
      <c r="D48" s="14"/>
      <c r="E48" s="14"/>
      <c r="G48" s="8"/>
      <c r="H48" s="8"/>
      <c r="I48" s="8"/>
      <c r="J48" s="8"/>
      <c r="K48" s="2"/>
      <c r="L48" s="2"/>
      <c r="M48" s="5"/>
      <c r="N48" s="5"/>
      <c r="Q48" s="14"/>
      <c r="R48" s="14"/>
      <c r="S48" s="14"/>
      <c r="U48" s="8"/>
      <c r="V48" s="8"/>
      <c r="W48" s="8"/>
      <c r="X48" s="8"/>
      <c r="Y48" s="2"/>
      <c r="Z48" s="2"/>
      <c r="AA48" s="5"/>
      <c r="AB48" s="5"/>
      <c r="AC48" s="5"/>
    </row>
    <row r="49" spans="15:15" ht="18.75" customHeight="1" x14ac:dyDescent="0.2"/>
    <row r="50" spans="15:15" ht="18.75" customHeight="1" x14ac:dyDescent="0.2"/>
    <row r="51" spans="15:15" ht="18.75" customHeight="1" x14ac:dyDescent="0.2"/>
    <row r="52" spans="15:15" ht="18.75" customHeight="1" x14ac:dyDescent="0.2"/>
    <row r="53" spans="15:15" ht="18.75" customHeight="1" x14ac:dyDescent="0.2"/>
    <row r="54" spans="15:15" ht="18.75" customHeight="1" x14ac:dyDescent="0.2"/>
    <row r="55" spans="15:15" ht="18.75" customHeight="1" x14ac:dyDescent="0.2"/>
    <row r="56" spans="15:15" ht="18.75" customHeight="1" x14ac:dyDescent="0.2"/>
    <row r="57" spans="15:15" ht="18.75" customHeight="1" x14ac:dyDescent="0.2">
      <c r="O57" s="5">
        <f>+IF($K11=0,0,I11/$K11)</f>
        <v>0</v>
      </c>
    </row>
    <row r="58" spans="15:15" ht="18.75" customHeight="1" x14ac:dyDescent="0.2">
      <c r="O58" s="5"/>
    </row>
    <row r="59" spans="15:15" ht="18.75" customHeight="1" x14ac:dyDescent="0.2">
      <c r="O59" s="5"/>
    </row>
    <row r="60" spans="15:15" ht="18.75" customHeight="1" x14ac:dyDescent="0.2">
      <c r="O60" s="5"/>
    </row>
    <row r="61" spans="15:15" ht="18.75" customHeight="1" x14ac:dyDescent="0.2">
      <c r="O61" s="5" t="e">
        <f>+IF($K40=0,0,I40/$K40)</f>
        <v>#NAME?</v>
      </c>
    </row>
    <row r="62" spans="15:15" ht="16.5" customHeight="1" x14ac:dyDescent="0.2">
      <c r="O62" s="118">
        <f>+IF($K41=0,0,I41/$K41)</f>
        <v>0</v>
      </c>
    </row>
    <row r="63" spans="15:15" ht="16.5" customHeight="1" x14ac:dyDescent="0.2">
      <c r="O63" s="5">
        <f>+IF($K42=0,0,I42/$K42)</f>
        <v>0</v>
      </c>
    </row>
    <row r="64" spans="15:15" ht="16.5" customHeight="1" x14ac:dyDescent="0.2">
      <c r="O64" s="5"/>
    </row>
    <row r="65" spans="15:15" ht="16.5" customHeight="1" x14ac:dyDescent="0.2">
      <c r="O65" s="5"/>
    </row>
    <row r="66" spans="15:15" ht="18.75" customHeight="1" x14ac:dyDescent="0.2"/>
  </sheetData>
  <sheetProtection sheet="1" objects="1" scenarios="1"/>
  <sortState xmlns:xlrd2="http://schemas.microsoft.com/office/spreadsheetml/2017/richdata2" ref="A6:M71">
    <sortCondition ref="A6:A71"/>
  </sortState>
  <mergeCells count="6">
    <mergeCell ref="Y3:AC3"/>
    <mergeCell ref="C3:E3"/>
    <mergeCell ref="G3:I3"/>
    <mergeCell ref="K3:O3"/>
    <mergeCell ref="Q3:S3"/>
    <mergeCell ref="U3:W3"/>
  </mergeCells>
  <conditionalFormatting sqref="Q37:S47 C35:E48 C7:E30 Q8:S35">
    <cfRule type="cellIs" dxfId="31" priority="51" stopIfTrue="1" operator="lessThan">
      <formula>$C$1</formula>
    </cfRule>
    <cfRule type="cellIs" dxfId="30" priority="52" stopIfTrue="1" operator="greaterThanOrEqual">
      <formula>$C$1</formula>
    </cfRule>
  </conditionalFormatting>
  <conditionalFormatting sqref="C34:E34">
    <cfRule type="cellIs" dxfId="29" priority="41" stopIfTrue="1" operator="lessThan">
      <formula>$C$1</formula>
    </cfRule>
    <cfRule type="cellIs" dxfId="28" priority="42" stopIfTrue="1" operator="greaterThanOrEqual">
      <formula>$C$1</formula>
    </cfRule>
  </conditionalFormatting>
  <conditionalFormatting sqref="A5:A6">
    <cfRule type="cellIs" dxfId="27" priority="37" stopIfTrue="1" operator="lessThan">
      <formula>$C$1</formula>
    </cfRule>
    <cfRule type="cellIs" dxfId="26" priority="38" stopIfTrue="1" operator="greaterThanOrEqual">
      <formula>$C$1</formula>
    </cfRule>
  </conditionalFormatting>
  <conditionalFormatting sqref="A39">
    <cfRule type="cellIs" dxfId="25" priority="33" stopIfTrue="1" operator="lessThan">
      <formula>$C$1</formula>
    </cfRule>
    <cfRule type="cellIs" dxfId="24" priority="34" stopIfTrue="1" operator="greaterThanOrEqual">
      <formula>$C$1</formula>
    </cfRule>
  </conditionalFormatting>
  <conditionalFormatting sqref="Q48:S48">
    <cfRule type="cellIs" dxfId="23" priority="31" stopIfTrue="1" operator="lessThan">
      <formula>$C$1</formula>
    </cfRule>
    <cfRule type="cellIs" dxfId="22" priority="32" stopIfTrue="1" operator="greaterThanOrEqual">
      <formula>$C$1</formula>
    </cfRule>
  </conditionalFormatting>
  <conditionalFormatting sqref="B17">
    <cfRule type="cellIs" dxfId="21" priority="23" stopIfTrue="1" operator="lessThan">
      <formula>$C$1</formula>
    </cfRule>
    <cfRule type="cellIs" dxfId="20" priority="24" stopIfTrue="1" operator="greaterThanOrEqual">
      <formula>$C$1</formula>
    </cfRule>
  </conditionalFormatting>
  <conditionalFormatting sqref="B12">
    <cfRule type="cellIs" dxfId="19" priority="21" stopIfTrue="1" operator="lessThan">
      <formula>$C$1</formula>
    </cfRule>
    <cfRule type="cellIs" dxfId="18" priority="22" stopIfTrue="1" operator="greaterThanOrEqual">
      <formula>$C$1</formula>
    </cfRule>
  </conditionalFormatting>
  <conditionalFormatting sqref="B7">
    <cfRule type="cellIs" dxfId="17" priority="19" stopIfTrue="1" operator="lessThan">
      <formula>$C$1</formula>
    </cfRule>
    <cfRule type="cellIs" dxfId="16" priority="20" stopIfTrue="1" operator="greaterThanOrEqual">
      <formula>$C$1</formula>
    </cfRule>
  </conditionalFormatting>
  <conditionalFormatting sqref="B5:B6">
    <cfRule type="cellIs" dxfId="15" priority="17" stopIfTrue="1" operator="lessThan">
      <formula>$C$1</formula>
    </cfRule>
    <cfRule type="cellIs" dxfId="14" priority="18" stopIfTrue="1" operator="greaterThanOrEqual">
      <formula>$C$1</formula>
    </cfRule>
  </conditionalFormatting>
  <conditionalFormatting sqref="B38:B39">
    <cfRule type="cellIs" dxfId="13" priority="13" stopIfTrue="1" operator="lessThan">
      <formula>$C$1</formula>
    </cfRule>
    <cfRule type="cellIs" dxfId="12" priority="14" stopIfTrue="1" operator="greaterThanOrEqual">
      <formula>$C$1</formula>
    </cfRule>
  </conditionalFormatting>
  <conditionalFormatting sqref="B16">
    <cfRule type="cellIs" dxfId="11" priority="15" stopIfTrue="1" operator="lessThan">
      <formula>$C$1</formula>
    </cfRule>
    <cfRule type="cellIs" dxfId="10" priority="16" stopIfTrue="1" operator="greaterThanOrEqual">
      <formula>$C$1</formula>
    </cfRule>
  </conditionalFormatting>
  <conditionalFormatting sqref="Q7:S7">
    <cfRule type="cellIs" dxfId="9" priority="11" stopIfTrue="1" operator="lessThan">
      <formula>$C$1</formula>
    </cfRule>
    <cfRule type="cellIs" dxfId="8" priority="12" stopIfTrue="1" operator="greaterThanOrEqual">
      <formula>$C$1</formula>
    </cfRule>
  </conditionalFormatting>
  <conditionalFormatting sqref="Q36:S36">
    <cfRule type="cellIs" dxfId="7" priority="9" stopIfTrue="1" operator="lessThan">
      <formula>$C$1</formula>
    </cfRule>
    <cfRule type="cellIs" dxfId="6" priority="10" stopIfTrue="1" operator="greaterThanOrEqual">
      <formula>$C$1</formula>
    </cfRule>
  </conditionalFormatting>
  <conditionalFormatting sqref="A19:A20">
    <cfRule type="cellIs" dxfId="5" priority="7" stopIfTrue="1" operator="lessThan">
      <formula>$C$1</formula>
    </cfRule>
    <cfRule type="cellIs" dxfId="4" priority="8" stopIfTrue="1" operator="greaterThanOrEqual">
      <formula>$C$1</formula>
    </cfRule>
  </conditionalFormatting>
  <conditionalFormatting sqref="A32">
    <cfRule type="cellIs" dxfId="3" priority="5" stopIfTrue="1" operator="lessThan">
      <formula>$C$1</formula>
    </cfRule>
    <cfRule type="cellIs" dxfId="2" priority="6" stopIfTrue="1" operator="greaterThanOrEqual">
      <formula>$C$1</formula>
    </cfRule>
  </conditionalFormatting>
  <conditionalFormatting sqref="A38">
    <cfRule type="cellIs" dxfId="1" priority="3" stopIfTrue="1" operator="lessThan">
      <formula>$C$1</formula>
    </cfRule>
    <cfRule type="cellIs" dxfId="0" priority="4" stopIfTrue="1" operator="greaterThanOrEqual">
      <formula>$C$1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6" max="28" man="1"/>
    <brk id="10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7">
    <tabColor rgb="FF92D050"/>
    <pageSetUpPr fitToPage="1"/>
  </sheetPr>
  <dimension ref="A1:S98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342</v>
      </c>
      <c r="C10" s="25"/>
      <c r="D10" s="50">
        <v>4000</v>
      </c>
      <c r="E10" s="132"/>
      <c r="F10" s="226" t="s">
        <v>83</v>
      </c>
      <c r="G10" s="31">
        <v>0.95</v>
      </c>
      <c r="H10" s="133"/>
      <c r="I10" s="35">
        <v>3800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3800</v>
      </c>
      <c r="P10" s="202">
        <f>+J10-N10</f>
        <v>0</v>
      </c>
      <c r="Q10" s="35">
        <v>463600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3800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3800</v>
      </c>
      <c r="P13" s="203">
        <f>SUM(P10:P12)</f>
        <v>0</v>
      </c>
      <c r="Q13" s="36">
        <v>463600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447</v>
      </c>
      <c r="D18" s="25">
        <v>1.97</v>
      </c>
      <c r="E18" s="132"/>
      <c r="F18" s="226" t="s">
        <v>7</v>
      </c>
      <c r="G18" s="41">
        <v>31.15</v>
      </c>
      <c r="H18" s="133"/>
      <c r="I18" s="35">
        <v>61.365499999999997</v>
      </c>
      <c r="J18" s="202">
        <f t="shared" ref="J18:J31" si="4">E18*H18</f>
        <v>0</v>
      </c>
      <c r="K18" s="225">
        <v>0</v>
      </c>
      <c r="L18" s="214"/>
      <c r="M18" s="35">
        <v>0</v>
      </c>
      <c r="N18" s="202">
        <f t="shared" ref="N18:N31" si="5">J18*L18</f>
        <v>0</v>
      </c>
      <c r="O18" s="35">
        <v>61.365499999999997</v>
      </c>
      <c r="P18" s="202">
        <f t="shared" ref="P18:P31" si="6">+J18-N18</f>
        <v>0</v>
      </c>
      <c r="Q18" s="35">
        <v>7486.5909999999994</v>
      </c>
      <c r="R18" s="202">
        <f t="shared" ref="R18:R31" si="7">+J18*E$7</f>
        <v>0</v>
      </c>
    </row>
    <row r="19" spans="1:18" x14ac:dyDescent="0.2">
      <c r="A19" s="25"/>
      <c r="B19" s="25" t="s">
        <v>501</v>
      </c>
      <c r="C19" s="25" t="s">
        <v>394</v>
      </c>
      <c r="D19" s="25">
        <v>228</v>
      </c>
      <c r="E19" s="132"/>
      <c r="F19" s="226" t="s">
        <v>83</v>
      </c>
      <c r="G19" s="41">
        <v>0.54</v>
      </c>
      <c r="H19" s="133"/>
      <c r="I19" s="35">
        <v>123.12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123.12</v>
      </c>
      <c r="P19" s="202">
        <f t="shared" si="6"/>
        <v>0</v>
      </c>
      <c r="Q19" s="35">
        <v>15020.640000000001</v>
      </c>
      <c r="R19" s="202">
        <f t="shared" si="7"/>
        <v>0</v>
      </c>
    </row>
    <row r="20" spans="1:18" x14ac:dyDescent="0.2">
      <c r="A20" s="25"/>
      <c r="B20" s="25" t="s">
        <v>501</v>
      </c>
      <c r="C20" s="25" t="s">
        <v>391</v>
      </c>
      <c r="D20" s="25">
        <v>567</v>
      </c>
      <c r="E20" s="132"/>
      <c r="F20" s="226" t="s">
        <v>83</v>
      </c>
      <c r="G20" s="41">
        <v>0.32</v>
      </c>
      <c r="H20" s="133"/>
      <c r="I20" s="35">
        <v>181.44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181.44</v>
      </c>
      <c r="P20" s="202">
        <f t="shared" si="6"/>
        <v>0</v>
      </c>
      <c r="Q20" s="35">
        <v>22135.68</v>
      </c>
      <c r="R20" s="202">
        <f t="shared" si="7"/>
        <v>0</v>
      </c>
    </row>
    <row r="21" spans="1:18" x14ac:dyDescent="0.2">
      <c r="A21" s="25"/>
      <c r="B21" s="25" t="s">
        <v>49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501</v>
      </c>
      <c r="C22" s="25" t="s">
        <v>445</v>
      </c>
      <c r="D22" s="25">
        <v>3</v>
      </c>
      <c r="E22" s="132"/>
      <c r="F22" s="226" t="s">
        <v>311</v>
      </c>
      <c r="G22" s="41">
        <v>2.75</v>
      </c>
      <c r="H22" s="133"/>
      <c r="I22" s="35">
        <v>8.25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8.25</v>
      </c>
      <c r="P22" s="202">
        <f t="shared" si="6"/>
        <v>0</v>
      </c>
      <c r="Q22" s="35">
        <v>1006.5</v>
      </c>
      <c r="R22" s="202">
        <f t="shared" si="7"/>
        <v>0</v>
      </c>
    </row>
    <row r="23" spans="1:18" x14ac:dyDescent="0.2">
      <c r="A23" s="25"/>
      <c r="B23" s="25" t="s">
        <v>1</v>
      </c>
      <c r="C23" s="25"/>
      <c r="D23" s="25"/>
      <c r="E23" s="25"/>
      <c r="F23" s="25"/>
      <c r="G23" s="25"/>
      <c r="H23" s="25"/>
      <c r="I23" s="25"/>
      <c r="J23" s="25"/>
      <c r="K23" s="2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501</v>
      </c>
      <c r="C24" s="25" t="s">
        <v>436</v>
      </c>
      <c r="D24" s="25">
        <v>10</v>
      </c>
      <c r="E24" s="132"/>
      <c r="F24" s="226" t="s">
        <v>83</v>
      </c>
      <c r="G24" s="41">
        <v>30</v>
      </c>
      <c r="H24" s="133"/>
      <c r="I24" s="35">
        <v>300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300</v>
      </c>
      <c r="P24" s="202">
        <f t="shared" si="6"/>
        <v>0</v>
      </c>
      <c r="Q24" s="35">
        <v>36600</v>
      </c>
      <c r="R24" s="202">
        <f t="shared" si="7"/>
        <v>0</v>
      </c>
    </row>
    <row r="25" spans="1:18" x14ac:dyDescent="0.2">
      <c r="A25" s="25"/>
      <c r="B25" s="25" t="s">
        <v>58</v>
      </c>
      <c r="C25" s="25"/>
      <c r="D25" s="25"/>
      <c r="E25" s="25"/>
      <c r="F25" s="25"/>
      <c r="G25" s="25"/>
      <c r="H25" s="25"/>
      <c r="I25" s="25"/>
      <c r="J25" s="25"/>
      <c r="K25" s="225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501</v>
      </c>
      <c r="C26" s="25" t="s">
        <v>435</v>
      </c>
      <c r="D26" s="25">
        <v>15</v>
      </c>
      <c r="E26" s="132"/>
      <c r="F26" s="226" t="s">
        <v>360</v>
      </c>
      <c r="G26" s="41">
        <v>1.6409</v>
      </c>
      <c r="H26" s="133"/>
      <c r="I26" s="35">
        <v>24.613500000000002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24.613500000000002</v>
      </c>
      <c r="P26" s="202">
        <f t="shared" si="6"/>
        <v>0</v>
      </c>
      <c r="Q26" s="35">
        <v>3002.8470000000002</v>
      </c>
      <c r="R26" s="202">
        <f t="shared" si="7"/>
        <v>0</v>
      </c>
    </row>
    <row r="27" spans="1:18" x14ac:dyDescent="0.2">
      <c r="A27" s="25"/>
      <c r="B27" s="25" t="s">
        <v>103</v>
      </c>
      <c r="C27" s="25"/>
      <c r="D27" s="25"/>
      <c r="E27" s="25"/>
      <c r="F27" s="25"/>
      <c r="G27" s="25"/>
      <c r="H27" s="25"/>
      <c r="I27" s="25"/>
      <c r="J27" s="25"/>
      <c r="K27" s="225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 t="s">
        <v>501</v>
      </c>
      <c r="C28" s="25" t="s">
        <v>389</v>
      </c>
      <c r="D28" s="25">
        <v>16</v>
      </c>
      <c r="E28" s="132"/>
      <c r="F28" s="226" t="s">
        <v>360</v>
      </c>
      <c r="G28" s="41">
        <v>0.15540000000000001</v>
      </c>
      <c r="H28" s="133"/>
      <c r="I28" s="35">
        <v>2.4864000000000002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2.4864000000000002</v>
      </c>
      <c r="P28" s="202">
        <f t="shared" si="6"/>
        <v>0</v>
      </c>
      <c r="Q28" s="35">
        <v>303.3408</v>
      </c>
      <c r="R28" s="202">
        <f t="shared" si="7"/>
        <v>0</v>
      </c>
    </row>
    <row r="29" spans="1:18" x14ac:dyDescent="0.2">
      <c r="A29" s="25"/>
      <c r="B29" s="25" t="s">
        <v>501</v>
      </c>
      <c r="C29" s="25" t="s">
        <v>438</v>
      </c>
      <c r="D29" s="25">
        <v>1</v>
      </c>
      <c r="E29" s="132"/>
      <c r="F29" s="226" t="s">
        <v>79</v>
      </c>
      <c r="G29" s="41">
        <v>6</v>
      </c>
      <c r="H29" s="133"/>
      <c r="I29" s="35">
        <v>6</v>
      </c>
      <c r="J29" s="202">
        <f t="shared" si="4"/>
        <v>0</v>
      </c>
      <c r="K29" s="225">
        <v>0</v>
      </c>
      <c r="L29" s="214"/>
      <c r="M29" s="35">
        <v>0</v>
      </c>
      <c r="N29" s="202">
        <f t="shared" si="5"/>
        <v>0</v>
      </c>
      <c r="O29" s="35">
        <v>6</v>
      </c>
      <c r="P29" s="202">
        <f t="shared" si="6"/>
        <v>0</v>
      </c>
      <c r="Q29" s="35">
        <v>732</v>
      </c>
      <c r="R29" s="202">
        <f t="shared" si="7"/>
        <v>0</v>
      </c>
    </row>
    <row r="30" spans="1:18" x14ac:dyDescent="0.2">
      <c r="A30" s="25"/>
      <c r="B30" s="133"/>
      <c r="C30" s="133"/>
      <c r="D30" s="25">
        <v>0</v>
      </c>
      <c r="E30" s="132"/>
      <c r="F30" s="226"/>
      <c r="G30" s="41">
        <v>0</v>
      </c>
      <c r="H30" s="133"/>
      <c r="I30" s="35">
        <v>0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0</v>
      </c>
      <c r="P30" s="202">
        <f t="shared" si="6"/>
        <v>0</v>
      </c>
      <c r="Q30" s="35">
        <v>0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0</v>
      </c>
      <c r="P31" s="202">
        <f t="shared" si="6"/>
        <v>0</v>
      </c>
      <c r="Q31" s="35">
        <v>0</v>
      </c>
      <c r="R31" s="202">
        <f t="shared" si="7"/>
        <v>0</v>
      </c>
    </row>
    <row r="32" spans="1:18" x14ac:dyDescent="0.2">
      <c r="A32" s="25"/>
      <c r="B32" s="133"/>
      <c r="C32" s="133"/>
      <c r="D32" s="25">
        <v>0</v>
      </c>
      <c r="E32" s="132"/>
      <c r="F32" s="226"/>
      <c r="G32" s="41">
        <v>0</v>
      </c>
      <c r="H32" s="133"/>
      <c r="I32" s="35">
        <v>0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0</v>
      </c>
      <c r="P32" s="202">
        <f>+J32-N32</f>
        <v>0</v>
      </c>
      <c r="Q32" s="35">
        <v>0</v>
      </c>
      <c r="R32" s="202">
        <f>+J32*E$7</f>
        <v>0</v>
      </c>
    </row>
    <row r="33" spans="1:18" x14ac:dyDescent="0.2">
      <c r="A33" s="25"/>
      <c r="B33" s="25" t="s">
        <v>45</v>
      </c>
      <c r="C33" s="25"/>
      <c r="D33" s="25"/>
      <c r="E33" s="209"/>
      <c r="F33" s="21"/>
      <c r="G33" s="41"/>
      <c r="H33" s="198"/>
      <c r="I33" s="186"/>
      <c r="J33" s="184"/>
      <c r="K33" s="225"/>
      <c r="L33" s="198"/>
      <c r="M33" s="35"/>
      <c r="N33" s="184"/>
      <c r="O33" s="35"/>
      <c r="P33" s="184"/>
      <c r="Q33" s="35"/>
      <c r="R33" s="184"/>
    </row>
    <row r="34" spans="1:18" x14ac:dyDescent="0.2">
      <c r="A34" s="25"/>
      <c r="B34" s="25"/>
      <c r="C34" s="25" t="s">
        <v>146</v>
      </c>
      <c r="D34" s="34">
        <v>4.68</v>
      </c>
      <c r="E34" s="132"/>
      <c r="F34" s="226" t="s">
        <v>459</v>
      </c>
      <c r="G34" s="41">
        <v>4.7</v>
      </c>
      <c r="H34" s="133"/>
      <c r="I34" s="35">
        <v>21.995999999999999</v>
      </c>
      <c r="J34" s="202">
        <f t="shared" ref="J34:J35" si="8">E34*H34</f>
        <v>0</v>
      </c>
      <c r="K34" s="225">
        <v>0</v>
      </c>
      <c r="L34" s="214"/>
      <c r="M34" s="35">
        <v>0</v>
      </c>
      <c r="N34" s="202">
        <f t="shared" ref="N34:N35" si="9">J34*L34</f>
        <v>0</v>
      </c>
      <c r="O34" s="35">
        <v>21.995999999999999</v>
      </c>
      <c r="P34" s="202">
        <f t="shared" ref="P34:P35" si="10">+J34-N34</f>
        <v>0</v>
      </c>
      <c r="Q34" s="35">
        <v>2683.5119999999997</v>
      </c>
      <c r="R34" s="202">
        <f t="shared" ref="R34:R35" si="11">+J34*E$7</f>
        <v>0</v>
      </c>
    </row>
    <row r="35" spans="1:18" x14ac:dyDescent="0.2">
      <c r="A35" s="25"/>
      <c r="B35" s="25"/>
      <c r="C35" s="25" t="s">
        <v>136</v>
      </c>
      <c r="D35" s="34">
        <v>1.7299999999999999E-2</v>
      </c>
      <c r="E35" s="132"/>
      <c r="F35" s="226" t="s">
        <v>44</v>
      </c>
      <c r="G35" s="41">
        <v>17.5</v>
      </c>
      <c r="H35" s="133"/>
      <c r="I35" s="35">
        <v>0.30274999999999996</v>
      </c>
      <c r="J35" s="202">
        <f t="shared" si="8"/>
        <v>0</v>
      </c>
      <c r="K35" s="225">
        <v>0</v>
      </c>
      <c r="L35" s="214"/>
      <c r="M35" s="35">
        <v>0</v>
      </c>
      <c r="N35" s="202">
        <f t="shared" si="9"/>
        <v>0</v>
      </c>
      <c r="O35" s="35">
        <v>0.30274999999999996</v>
      </c>
      <c r="P35" s="202">
        <f t="shared" si="10"/>
        <v>0</v>
      </c>
      <c r="Q35" s="35">
        <v>36.935499999999998</v>
      </c>
      <c r="R35" s="202">
        <f t="shared" si="11"/>
        <v>0</v>
      </c>
    </row>
    <row r="36" spans="1:18" x14ac:dyDescent="0.2">
      <c r="A36" s="25"/>
      <c r="B36" s="25" t="s">
        <v>108</v>
      </c>
      <c r="C36" s="25"/>
      <c r="D36" s="25"/>
      <c r="E36" s="105"/>
      <c r="H36" s="105"/>
      <c r="I36" s="124"/>
      <c r="J36" s="105"/>
      <c r="K36" s="225"/>
      <c r="L36" s="105"/>
      <c r="N36" s="105"/>
      <c r="P36" s="105"/>
      <c r="R36" s="105"/>
    </row>
    <row r="37" spans="1:18" x14ac:dyDescent="0.2">
      <c r="A37" s="25"/>
      <c r="B37" s="25"/>
      <c r="C37" s="25" t="s">
        <v>105</v>
      </c>
      <c r="D37" s="25">
        <v>3.27</v>
      </c>
      <c r="E37" s="132"/>
      <c r="F37" s="226" t="s">
        <v>44</v>
      </c>
      <c r="G37" s="41">
        <v>17.21</v>
      </c>
      <c r="H37" s="133"/>
      <c r="I37" s="35">
        <v>56.276700000000005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56.276700000000005</v>
      </c>
      <c r="P37" s="202">
        <f>+J37-N37</f>
        <v>0</v>
      </c>
      <c r="Q37" s="35">
        <v>6865.7574000000004</v>
      </c>
      <c r="R37" s="202">
        <f>+J37*E$7</f>
        <v>0</v>
      </c>
    </row>
    <row r="38" spans="1:18" x14ac:dyDescent="0.2">
      <c r="A38" s="25"/>
      <c r="B38" s="25"/>
      <c r="C38" s="25" t="s">
        <v>107</v>
      </c>
      <c r="D38" s="25">
        <v>2.0699999999999998</v>
      </c>
      <c r="E38" s="132"/>
      <c r="F38" s="226" t="s">
        <v>44</v>
      </c>
      <c r="G38" s="41">
        <v>17.21</v>
      </c>
      <c r="H38" s="133"/>
      <c r="I38" s="35">
        <v>35.624699999999997</v>
      </c>
      <c r="J38" s="202">
        <f>E38*H38</f>
        <v>0</v>
      </c>
      <c r="K38" s="225">
        <v>0</v>
      </c>
      <c r="L38" s="214"/>
      <c r="M38" s="35">
        <v>0</v>
      </c>
      <c r="N38" s="202">
        <f>J38*L38</f>
        <v>0</v>
      </c>
      <c r="O38" s="35">
        <v>35.624699999999997</v>
      </c>
      <c r="P38" s="202">
        <f>+J38-N38</f>
        <v>0</v>
      </c>
      <c r="Q38" s="35">
        <v>4346.2133999999996</v>
      </c>
      <c r="R38" s="202">
        <f>+J38*E$7</f>
        <v>0</v>
      </c>
    </row>
    <row r="39" spans="1:18" x14ac:dyDescent="0.2">
      <c r="A39" s="25"/>
      <c r="B39" s="25"/>
      <c r="C39" s="25"/>
      <c r="D39" s="25"/>
      <c r="E39" s="209"/>
      <c r="F39" s="21"/>
      <c r="G39" s="41"/>
      <c r="H39" s="198"/>
      <c r="I39" s="35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 t="s">
        <v>51</v>
      </c>
      <c r="C40" s="25"/>
      <c r="D40" s="25"/>
      <c r="E40" s="209"/>
      <c r="F40" s="21"/>
      <c r="G40" s="41"/>
      <c r="H40" s="198"/>
      <c r="I40" s="186"/>
      <c r="J40" s="184"/>
      <c r="K40" s="225"/>
      <c r="L40" s="198"/>
      <c r="M40" s="35"/>
      <c r="N40" s="184"/>
      <c r="O40" s="35"/>
      <c r="P40" s="184"/>
      <c r="Q40" s="35"/>
      <c r="R40" s="184"/>
    </row>
    <row r="41" spans="1:18" x14ac:dyDescent="0.2">
      <c r="A41" s="25"/>
      <c r="B41" s="25"/>
      <c r="C41" s="25" t="s">
        <v>104</v>
      </c>
      <c r="D41" s="25">
        <v>1</v>
      </c>
      <c r="E41" s="132"/>
      <c r="F41" s="226" t="s">
        <v>42</v>
      </c>
      <c r="G41" s="41">
        <v>0</v>
      </c>
      <c r="H41" s="133"/>
      <c r="I41" s="35">
        <v>0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0</v>
      </c>
      <c r="P41" s="202">
        <f>+J41-N41</f>
        <v>0</v>
      </c>
      <c r="Q41" s="35">
        <v>0</v>
      </c>
      <c r="R41" s="202">
        <f>+J41*E$7</f>
        <v>0</v>
      </c>
    </row>
    <row r="42" spans="1:18" x14ac:dyDescent="0.2">
      <c r="A42" s="25"/>
      <c r="B42" s="25"/>
      <c r="C42" s="25" t="s">
        <v>105</v>
      </c>
      <c r="D42" s="25">
        <v>18.98</v>
      </c>
      <c r="E42" s="132"/>
      <c r="F42" s="226" t="s">
        <v>79</v>
      </c>
      <c r="G42" s="41">
        <v>3.6</v>
      </c>
      <c r="H42" s="133"/>
      <c r="I42" s="35">
        <v>68.328000000000003</v>
      </c>
      <c r="J42" s="202">
        <f>E42*H42</f>
        <v>0</v>
      </c>
      <c r="K42" s="225">
        <v>0</v>
      </c>
      <c r="L42" s="214"/>
      <c r="M42" s="35">
        <v>0</v>
      </c>
      <c r="N42" s="202">
        <f>J42*L42</f>
        <v>0</v>
      </c>
      <c r="O42" s="35">
        <v>68.328000000000003</v>
      </c>
      <c r="P42" s="202">
        <f>+J42-N42</f>
        <v>0</v>
      </c>
      <c r="Q42" s="35">
        <v>8336.0159999999996</v>
      </c>
      <c r="R42" s="202">
        <f>+J42*E$7</f>
        <v>0</v>
      </c>
    </row>
    <row r="43" spans="1:18" x14ac:dyDescent="0.2">
      <c r="A43" s="25"/>
      <c r="B43" s="25"/>
      <c r="C43" s="25"/>
      <c r="D43" s="25"/>
      <c r="E43" s="209"/>
      <c r="F43" s="21"/>
      <c r="G43" s="41"/>
      <c r="H43" s="198"/>
      <c r="I43" s="35"/>
      <c r="J43" s="184"/>
      <c r="K43" s="225"/>
      <c r="L43" s="198"/>
      <c r="M43" s="35"/>
      <c r="N43" s="184"/>
      <c r="O43" s="35"/>
      <c r="P43" s="184"/>
      <c r="Q43" s="35"/>
      <c r="R43" s="184"/>
    </row>
    <row r="44" spans="1:18" x14ac:dyDescent="0.2">
      <c r="A44" s="25"/>
      <c r="B44" s="25" t="s">
        <v>29</v>
      </c>
      <c r="C44" s="25"/>
      <c r="D44" s="25"/>
      <c r="E44" s="209"/>
      <c r="F44" s="21"/>
      <c r="G44" s="41"/>
      <c r="H44" s="198"/>
      <c r="I44" s="186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/>
      <c r="C45" s="25" t="s">
        <v>104</v>
      </c>
      <c r="D45" s="25">
        <v>1</v>
      </c>
      <c r="E45" s="132"/>
      <c r="F45" s="226" t="s">
        <v>42</v>
      </c>
      <c r="G45" s="41">
        <v>10.131639344262295</v>
      </c>
      <c r="H45" s="133"/>
      <c r="I45" s="35">
        <v>10.131639344262295</v>
      </c>
      <c r="J45" s="202">
        <f>E45*H45</f>
        <v>0</v>
      </c>
      <c r="K45" s="225">
        <v>0</v>
      </c>
      <c r="L45" s="214"/>
      <c r="M45" s="35">
        <v>0</v>
      </c>
      <c r="N45" s="202">
        <f>J45*L45</f>
        <v>0</v>
      </c>
      <c r="O45" s="35">
        <v>10.131639344262295</v>
      </c>
      <c r="P45" s="202">
        <f>+J45-N45</f>
        <v>0</v>
      </c>
      <c r="Q45" s="35">
        <v>1236.06</v>
      </c>
      <c r="R45" s="202">
        <f>+J45*E$7</f>
        <v>0</v>
      </c>
    </row>
    <row r="46" spans="1:18" x14ac:dyDescent="0.2">
      <c r="A46" s="25"/>
      <c r="B46" s="25"/>
      <c r="C46" s="25" t="s">
        <v>105</v>
      </c>
      <c r="D46" s="25">
        <v>0</v>
      </c>
      <c r="E46" s="132"/>
      <c r="F46" s="226" t="s">
        <v>79</v>
      </c>
      <c r="G46" s="41">
        <v>3.15</v>
      </c>
      <c r="H46" s="133"/>
      <c r="I46" s="35">
        <v>0</v>
      </c>
      <c r="J46" s="202">
        <f>E46*H46</f>
        <v>0</v>
      </c>
      <c r="K46" s="225">
        <v>0</v>
      </c>
      <c r="L46" s="214"/>
      <c r="M46" s="35">
        <v>0</v>
      </c>
      <c r="N46" s="202">
        <f>J46*L46</f>
        <v>0</v>
      </c>
      <c r="O46" s="35">
        <v>0</v>
      </c>
      <c r="P46" s="202">
        <f>+J46-N46</f>
        <v>0</v>
      </c>
      <c r="Q46" s="35">
        <v>0</v>
      </c>
      <c r="R46" s="202">
        <f>+J46*E$7</f>
        <v>0</v>
      </c>
    </row>
    <row r="47" spans="1:18" x14ac:dyDescent="0.2">
      <c r="A47" s="25"/>
      <c r="B47" s="25"/>
      <c r="C47" s="25"/>
      <c r="D47" s="25"/>
      <c r="E47" s="209"/>
      <c r="F47" s="21"/>
      <c r="G47" s="41"/>
      <c r="H47" s="198"/>
      <c r="I47" s="35"/>
      <c r="J47" s="184"/>
      <c r="K47" s="225"/>
      <c r="L47" s="198"/>
      <c r="M47" s="35"/>
      <c r="N47" s="184"/>
      <c r="O47" s="35"/>
      <c r="P47" s="184"/>
      <c r="Q47" s="35"/>
      <c r="R47" s="184"/>
    </row>
    <row r="48" spans="1:18" x14ac:dyDescent="0.2">
      <c r="A48" s="25"/>
      <c r="B48" s="25" t="s">
        <v>47</v>
      </c>
      <c r="C48" s="25"/>
      <c r="D48" s="25"/>
      <c r="E48" s="209"/>
      <c r="F48" s="21"/>
      <c r="G48" s="41"/>
      <c r="H48" s="199"/>
      <c r="I48" s="186"/>
      <c r="J48" s="184"/>
      <c r="K48" s="225"/>
      <c r="L48" s="199"/>
      <c r="M48" s="35"/>
      <c r="N48" s="184"/>
      <c r="O48" s="35"/>
      <c r="P48" s="184"/>
      <c r="Q48" s="35"/>
      <c r="R48" s="184"/>
    </row>
    <row r="49" spans="1:18" x14ac:dyDescent="0.2">
      <c r="A49" s="25"/>
      <c r="B49" s="25"/>
      <c r="C49" s="25" t="s">
        <v>104</v>
      </c>
      <c r="D49" s="25">
        <v>1</v>
      </c>
      <c r="E49" s="132"/>
      <c r="F49" s="226" t="s">
        <v>42</v>
      </c>
      <c r="G49" s="41">
        <v>1.6081967213114756</v>
      </c>
      <c r="H49" s="133"/>
      <c r="I49" s="35">
        <v>1.6081967213114756</v>
      </c>
      <c r="J49" s="202">
        <f t="shared" ref="J49:J54" si="12">E49*H49</f>
        <v>0</v>
      </c>
      <c r="K49" s="225">
        <v>0</v>
      </c>
      <c r="L49" s="214"/>
      <c r="M49" s="35">
        <v>0</v>
      </c>
      <c r="N49" s="202">
        <f t="shared" ref="N49:N54" si="13">J49*L49</f>
        <v>0</v>
      </c>
      <c r="O49" s="35">
        <v>1.6081967213114756</v>
      </c>
      <c r="P49" s="202">
        <f t="shared" ref="P49:P54" si="14">+J49-N49</f>
        <v>0</v>
      </c>
      <c r="Q49" s="35">
        <v>196.20000000000002</v>
      </c>
      <c r="R49" s="202">
        <f t="shared" ref="R49:R54" si="15">+J49*E$7</f>
        <v>0</v>
      </c>
    </row>
    <row r="50" spans="1:18" x14ac:dyDescent="0.2">
      <c r="A50" s="25"/>
      <c r="B50" s="25"/>
      <c r="C50" s="25" t="s">
        <v>46</v>
      </c>
      <c r="D50" s="25">
        <v>1</v>
      </c>
      <c r="E50" s="132"/>
      <c r="F50" s="226" t="s">
        <v>42</v>
      </c>
      <c r="G50" s="41">
        <v>7.9705079999999997</v>
      </c>
      <c r="H50" s="133"/>
      <c r="I50" s="35">
        <v>7.9705079999999997</v>
      </c>
      <c r="J50" s="202">
        <f t="shared" si="12"/>
        <v>0</v>
      </c>
      <c r="K50" s="225">
        <v>0</v>
      </c>
      <c r="L50" s="214"/>
      <c r="M50" s="35">
        <v>0</v>
      </c>
      <c r="N50" s="202">
        <f t="shared" si="13"/>
        <v>0</v>
      </c>
      <c r="O50" s="35">
        <v>7.9705079999999997</v>
      </c>
      <c r="P50" s="202">
        <f t="shared" si="14"/>
        <v>0</v>
      </c>
      <c r="Q50" s="35">
        <v>972.40197599999999</v>
      </c>
      <c r="R50" s="202">
        <f t="shared" si="15"/>
        <v>0</v>
      </c>
    </row>
    <row r="51" spans="1:18" x14ac:dyDescent="0.2">
      <c r="A51" s="25"/>
      <c r="B51" s="25"/>
      <c r="C51" s="25" t="s">
        <v>105</v>
      </c>
      <c r="D51" s="25">
        <v>1</v>
      </c>
      <c r="E51" s="132"/>
      <c r="F51" s="226" t="s">
        <v>42</v>
      </c>
      <c r="G51" s="41">
        <v>57.212437852748394</v>
      </c>
      <c r="H51" s="133"/>
      <c r="I51" s="35">
        <v>57.212437852748394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57.212437852748394</v>
      </c>
      <c r="P51" s="202">
        <f t="shared" si="14"/>
        <v>0</v>
      </c>
      <c r="Q51" s="35">
        <v>6979.9174180353039</v>
      </c>
      <c r="R51" s="202">
        <f t="shared" si="15"/>
        <v>0</v>
      </c>
    </row>
    <row r="52" spans="1:18" x14ac:dyDescent="0.2">
      <c r="A52" s="25"/>
      <c r="B52" s="25"/>
      <c r="C52" s="25" t="s">
        <v>4</v>
      </c>
      <c r="D52" s="25">
        <v>1</v>
      </c>
      <c r="E52" s="132"/>
      <c r="F52" s="226" t="s">
        <v>42</v>
      </c>
      <c r="G52" s="41">
        <v>21.760872467422384</v>
      </c>
      <c r="H52" s="133"/>
      <c r="I52" s="35">
        <v>21.760872467422384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21.760872467422384</v>
      </c>
      <c r="P52" s="202">
        <f t="shared" si="14"/>
        <v>0</v>
      </c>
      <c r="Q52" s="35">
        <v>2654.826441025531</v>
      </c>
      <c r="R52" s="202">
        <f t="shared" si="15"/>
        <v>0</v>
      </c>
    </row>
    <row r="53" spans="1:18" x14ac:dyDescent="0.2">
      <c r="A53" s="25"/>
      <c r="B53" s="133"/>
      <c r="C53" s="133"/>
      <c r="D53" s="25"/>
      <c r="E53" s="132"/>
      <c r="F53" s="226"/>
      <c r="G53" s="41"/>
      <c r="H53" s="133"/>
      <c r="I53" s="35">
        <v>0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0</v>
      </c>
      <c r="P53" s="202">
        <f t="shared" si="14"/>
        <v>0</v>
      </c>
      <c r="Q53" s="35">
        <v>0</v>
      </c>
      <c r="R53" s="202">
        <f t="shared" si="15"/>
        <v>0</v>
      </c>
    </row>
    <row r="54" spans="1:18" x14ac:dyDescent="0.2">
      <c r="A54" s="25"/>
      <c r="B54" s="133"/>
      <c r="C54" s="133"/>
      <c r="D54" s="25"/>
      <c r="E54" s="132"/>
      <c r="F54" s="226"/>
      <c r="G54" s="41"/>
      <c r="H54" s="133"/>
      <c r="I54" s="35">
        <v>0</v>
      </c>
      <c r="J54" s="202">
        <f t="shared" si="12"/>
        <v>0</v>
      </c>
      <c r="K54" s="225">
        <v>0</v>
      </c>
      <c r="L54" s="214"/>
      <c r="M54" s="35">
        <v>0</v>
      </c>
      <c r="N54" s="202">
        <f t="shared" si="13"/>
        <v>0</v>
      </c>
      <c r="O54" s="35">
        <v>0</v>
      </c>
      <c r="P54" s="202">
        <f t="shared" si="14"/>
        <v>0</v>
      </c>
      <c r="Q54" s="35">
        <v>0</v>
      </c>
      <c r="R54" s="202">
        <f t="shared" si="15"/>
        <v>0</v>
      </c>
    </row>
    <row r="55" spans="1:18" ht="13.5" thickBot="1" x14ac:dyDescent="0.25">
      <c r="A55" s="25"/>
      <c r="B55" s="25" t="s">
        <v>32</v>
      </c>
      <c r="C55" s="25"/>
      <c r="D55" s="25"/>
      <c r="E55" s="197"/>
      <c r="F55" s="21"/>
      <c r="G55" s="39">
        <v>0.08</v>
      </c>
      <c r="H55" s="215"/>
      <c r="I55" s="42">
        <v>41.911735039327588</v>
      </c>
      <c r="J55" s="202">
        <f>+SUM(J17:J54)/2*H55</f>
        <v>0</v>
      </c>
      <c r="K55" s="86"/>
      <c r="L55" s="137"/>
      <c r="M55" s="42">
        <v>0</v>
      </c>
      <c r="N55" s="202">
        <f>+SUM(N17:N54)/2*L55</f>
        <v>0</v>
      </c>
      <c r="O55" s="42">
        <v>41.911735039327588</v>
      </c>
      <c r="P55" s="202">
        <f>+SUM(P17:P54)/2*L55</f>
        <v>0</v>
      </c>
      <c r="Q55" s="42">
        <v>5113.2316747979658</v>
      </c>
      <c r="R55" s="184">
        <f>+J55*E$7</f>
        <v>0</v>
      </c>
    </row>
    <row r="56" spans="1:18" ht="13.5" thickBot="1" x14ac:dyDescent="0.25">
      <c r="A56" s="25" t="s">
        <v>33</v>
      </c>
      <c r="B56" s="25"/>
      <c r="C56" s="25"/>
      <c r="D56" s="25"/>
      <c r="E56" s="200"/>
      <c r="F56" s="25"/>
      <c r="G56" s="25"/>
      <c r="H56" s="197"/>
      <c r="I56" s="87">
        <v>1030.3989394250721</v>
      </c>
      <c r="J56" s="204">
        <f>SUM(J18:J55)</f>
        <v>0</v>
      </c>
      <c r="K56" s="35"/>
      <c r="L56" s="195"/>
      <c r="M56" s="87">
        <v>0</v>
      </c>
      <c r="N56" s="204">
        <f>SUM(N18:N55)</f>
        <v>0</v>
      </c>
      <c r="O56" s="87">
        <v>1030.3989394250721</v>
      </c>
      <c r="P56" s="204">
        <f>SUM(P18:P55)</f>
        <v>0</v>
      </c>
      <c r="Q56" s="87">
        <v>125708.67060985879</v>
      </c>
      <c r="R56" s="204">
        <f>SUM(R18:R55)</f>
        <v>0</v>
      </c>
    </row>
    <row r="57" spans="1:18" ht="13.5" thickTop="1" x14ac:dyDescent="0.2">
      <c r="A57" s="25" t="s">
        <v>34</v>
      </c>
      <c r="B57" s="25"/>
      <c r="C57" s="25"/>
      <c r="D57" s="25"/>
      <c r="E57" s="200"/>
      <c r="F57" s="25"/>
      <c r="G57" s="25"/>
      <c r="H57" s="197"/>
      <c r="I57" s="35">
        <v>2769.6010605749279</v>
      </c>
      <c r="J57" s="202">
        <f>+J13-J56</f>
        <v>0</v>
      </c>
      <c r="K57" s="35"/>
      <c r="L57" s="195"/>
      <c r="M57" s="35">
        <v>0</v>
      </c>
      <c r="N57" s="202">
        <f>+N13-N56</f>
        <v>0</v>
      </c>
      <c r="O57" s="35">
        <v>2769.6010605749279</v>
      </c>
      <c r="P57" s="202">
        <f>+P13-P56</f>
        <v>0</v>
      </c>
      <c r="Q57" s="35">
        <v>337891.32939014118</v>
      </c>
      <c r="R57" s="202">
        <f>+R13-R56</f>
        <v>0</v>
      </c>
    </row>
    <row r="58" spans="1:18" x14ac:dyDescent="0.2">
      <c r="A58" s="25"/>
      <c r="B58" s="25" t="s">
        <v>35</v>
      </c>
      <c r="C58" s="25"/>
      <c r="D58" s="25"/>
      <c r="E58" s="210"/>
      <c r="F58" s="17"/>
      <c r="G58" s="40">
        <v>0.25759973485626803</v>
      </c>
      <c r="H58" s="210" t="str">
        <f>IF(E10=0,"n/a",(YVarExp-(YTotExp+YTotRet-J10))/E10)</f>
        <v>n/a</v>
      </c>
      <c r="I58" s="25" t="s">
        <v>83</v>
      </c>
      <c r="J58" s="184"/>
      <c r="K58" s="25"/>
      <c r="L58" s="197"/>
      <c r="M58" s="25"/>
      <c r="N58" s="184"/>
      <c r="O58" s="25"/>
      <c r="P58" s="184"/>
      <c r="Q58" s="25"/>
      <c r="R58" s="184"/>
    </row>
    <row r="59" spans="1:18" x14ac:dyDescent="0.2">
      <c r="A59" s="25"/>
      <c r="B59" s="25"/>
      <c r="C59" s="25"/>
      <c r="D59" s="25"/>
      <c r="E59" s="178"/>
      <c r="F59" s="25"/>
      <c r="G59" s="25"/>
      <c r="H59" s="211"/>
      <c r="I59" s="25"/>
      <c r="J59" s="184"/>
      <c r="K59" s="25"/>
      <c r="L59" s="197"/>
      <c r="M59" s="25"/>
      <c r="N59" s="184"/>
      <c r="O59" s="25"/>
      <c r="P59" s="184"/>
      <c r="Q59" s="22" t="s">
        <v>19</v>
      </c>
      <c r="R59" s="184" t="s">
        <v>19</v>
      </c>
    </row>
    <row r="60" spans="1:18" x14ac:dyDescent="0.2">
      <c r="A60" s="23" t="s">
        <v>36</v>
      </c>
      <c r="B60" s="23"/>
      <c r="C60" s="23"/>
      <c r="D60" s="24" t="s">
        <v>2</v>
      </c>
      <c r="E60" s="196" t="s">
        <v>2</v>
      </c>
      <c r="F60" s="24" t="s">
        <v>21</v>
      </c>
      <c r="G60" s="24" t="s">
        <v>22</v>
      </c>
      <c r="H60" s="196" t="s">
        <v>22</v>
      </c>
      <c r="I60" s="24" t="s">
        <v>11</v>
      </c>
      <c r="J60" s="196" t="s">
        <v>11</v>
      </c>
      <c r="K60" s="24" t="s">
        <v>10</v>
      </c>
      <c r="L60" s="196" t="s">
        <v>10</v>
      </c>
      <c r="M60" s="24" t="s">
        <v>9</v>
      </c>
      <c r="N60" s="196" t="s">
        <v>9</v>
      </c>
      <c r="O60" s="24" t="s">
        <v>8</v>
      </c>
      <c r="P60" s="196" t="s">
        <v>8</v>
      </c>
      <c r="Q60" s="24" t="s">
        <v>11</v>
      </c>
      <c r="R60" s="208" t="s">
        <v>11</v>
      </c>
    </row>
    <row r="61" spans="1:18" x14ac:dyDescent="0.2">
      <c r="A61" s="25"/>
      <c r="B61" s="25" t="s">
        <v>106</v>
      </c>
      <c r="C61" s="25"/>
      <c r="D61" s="25"/>
      <c r="E61" s="178"/>
      <c r="F61" s="25"/>
      <c r="G61" s="25"/>
      <c r="H61" s="211"/>
      <c r="I61" s="186"/>
      <c r="J61" s="184"/>
      <c r="K61" s="225"/>
      <c r="L61" s="197"/>
      <c r="M61" s="25"/>
      <c r="N61" s="184"/>
      <c r="O61" s="25"/>
      <c r="P61" s="184"/>
      <c r="Q61" s="25"/>
      <c r="R61" s="184"/>
    </row>
    <row r="62" spans="1:18" x14ac:dyDescent="0.2">
      <c r="A62" s="25"/>
      <c r="B62" s="25"/>
      <c r="C62" s="25" t="s">
        <v>104</v>
      </c>
      <c r="D62" s="25">
        <v>1</v>
      </c>
      <c r="E62" s="132"/>
      <c r="F62" s="226" t="s">
        <v>42</v>
      </c>
      <c r="G62" s="41">
        <v>6.0307377049180326</v>
      </c>
      <c r="H62" s="133"/>
      <c r="I62" s="35">
        <v>6.0307377049180326</v>
      </c>
      <c r="J62" s="202">
        <f t="shared" ref="J62:J65" si="16">E62*H62</f>
        <v>0</v>
      </c>
      <c r="K62" s="225">
        <v>0</v>
      </c>
      <c r="L62" s="214"/>
      <c r="M62" s="35">
        <v>0</v>
      </c>
      <c r="N62" s="202">
        <f>J62*L62</f>
        <v>0</v>
      </c>
      <c r="O62" s="35">
        <v>6.0307377049180326</v>
      </c>
      <c r="P62" s="202">
        <f t="shared" ref="P62:P65" si="17">+J62-N62</f>
        <v>0</v>
      </c>
      <c r="Q62" s="35">
        <v>735.75</v>
      </c>
      <c r="R62" s="202">
        <f t="shared" ref="R62:R65" si="18">+J62*E$7</f>
        <v>0</v>
      </c>
    </row>
    <row r="63" spans="1:18" x14ac:dyDescent="0.2">
      <c r="A63" s="25"/>
      <c r="B63" s="25"/>
      <c r="C63" s="25" t="s">
        <v>46</v>
      </c>
      <c r="D63" s="25">
        <v>1</v>
      </c>
      <c r="E63" s="132"/>
      <c r="F63" s="226" t="s">
        <v>42</v>
      </c>
      <c r="G63" s="41">
        <v>45.373770491803278</v>
      </c>
      <c r="H63" s="133"/>
      <c r="I63" s="35">
        <v>45.373770491803278</v>
      </c>
      <c r="J63" s="202">
        <f t="shared" si="16"/>
        <v>0</v>
      </c>
      <c r="K63" s="225">
        <v>0</v>
      </c>
      <c r="L63" s="214"/>
      <c r="M63" s="35">
        <v>0</v>
      </c>
      <c r="N63" s="202">
        <f>J63*L63</f>
        <v>0</v>
      </c>
      <c r="O63" s="35">
        <v>45.373770491803278</v>
      </c>
      <c r="P63" s="202">
        <f t="shared" si="17"/>
        <v>0</v>
      </c>
      <c r="Q63" s="35">
        <v>5535.5999999999995</v>
      </c>
      <c r="R63" s="202">
        <f t="shared" si="18"/>
        <v>0</v>
      </c>
    </row>
    <row r="64" spans="1:18" x14ac:dyDescent="0.2">
      <c r="A64" s="25"/>
      <c r="B64" s="25"/>
      <c r="C64" s="25" t="s">
        <v>105</v>
      </c>
      <c r="D64" s="25">
        <v>1</v>
      </c>
      <c r="E64" s="132"/>
      <c r="F64" s="226" t="s">
        <v>42</v>
      </c>
      <c r="G64" s="41">
        <v>86.339913583051612</v>
      </c>
      <c r="H64" s="133"/>
      <c r="I64" s="35">
        <v>86.339913583051612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86.339913583051612</v>
      </c>
      <c r="P64" s="202">
        <f t="shared" si="17"/>
        <v>0</v>
      </c>
      <c r="Q64" s="35">
        <v>10533.469457132296</v>
      </c>
      <c r="R64" s="202">
        <f t="shared" si="18"/>
        <v>0</v>
      </c>
    </row>
    <row r="65" spans="1:18" x14ac:dyDescent="0.2">
      <c r="A65" s="25"/>
      <c r="B65" s="25"/>
      <c r="C65" s="25" t="s">
        <v>4</v>
      </c>
      <c r="D65" s="25">
        <v>1</v>
      </c>
      <c r="E65" s="132"/>
      <c r="F65" s="226" t="s">
        <v>42</v>
      </c>
      <c r="G65" s="41">
        <v>28.743787343662504</v>
      </c>
      <c r="H65" s="133"/>
      <c r="I65" s="35">
        <v>28.743787343662504</v>
      </c>
      <c r="J65" s="202">
        <f t="shared" si="16"/>
        <v>0</v>
      </c>
      <c r="K65" s="225">
        <v>0</v>
      </c>
      <c r="L65" s="214"/>
      <c r="M65" s="35">
        <v>0</v>
      </c>
      <c r="N65" s="202">
        <f>J65*L65</f>
        <v>0</v>
      </c>
      <c r="O65" s="35">
        <v>28.743787343662504</v>
      </c>
      <c r="P65" s="202">
        <f t="shared" si="17"/>
        <v>0</v>
      </c>
      <c r="Q65" s="35">
        <v>3506.7420559268253</v>
      </c>
      <c r="R65" s="202">
        <f t="shared" si="18"/>
        <v>0</v>
      </c>
    </row>
    <row r="66" spans="1:18" x14ac:dyDescent="0.2">
      <c r="A66" s="25"/>
      <c r="B66" s="25" t="s">
        <v>89</v>
      </c>
      <c r="C66" s="25"/>
      <c r="D66" s="25"/>
      <c r="E66" s="197"/>
      <c r="F66" s="21"/>
      <c r="G66" s="41"/>
      <c r="H66" s="197"/>
      <c r="I66" s="186"/>
      <c r="J66" s="184"/>
      <c r="K66" s="225"/>
      <c r="L66" s="197"/>
      <c r="M66" s="35"/>
      <c r="N66" s="184"/>
      <c r="O66" s="35"/>
      <c r="P66" s="184"/>
      <c r="Q66" s="35"/>
      <c r="R66" s="184"/>
    </row>
    <row r="67" spans="1:18" x14ac:dyDescent="0.2">
      <c r="A67" s="25"/>
      <c r="B67" s="25"/>
      <c r="C67" s="25" t="s">
        <v>104</v>
      </c>
      <c r="D67" s="41">
        <v>25.128073770491802</v>
      </c>
      <c r="E67" s="132"/>
      <c r="F67" s="226" t="s">
        <v>100</v>
      </c>
      <c r="G67" s="39">
        <v>0.08</v>
      </c>
      <c r="H67" s="215"/>
      <c r="I67" s="35">
        <v>2.0102459016393444</v>
      </c>
      <c r="J67" s="202">
        <f t="shared" ref="J67:J77" si="19">E67*H67</f>
        <v>0</v>
      </c>
      <c r="K67" s="225">
        <v>0</v>
      </c>
      <c r="L67" s="214"/>
      <c r="M67" s="35">
        <v>0</v>
      </c>
      <c r="N67" s="202">
        <f>J67*L67</f>
        <v>0</v>
      </c>
      <c r="O67" s="35">
        <v>2.0102459016393444</v>
      </c>
      <c r="P67" s="202">
        <f t="shared" ref="P67:P70" si="20">+J67-N67</f>
        <v>0</v>
      </c>
      <c r="Q67" s="35">
        <v>245.25</v>
      </c>
      <c r="R67" s="202">
        <f t="shared" ref="R67:R70" si="21">+J67*E$7</f>
        <v>0</v>
      </c>
    </row>
    <row r="68" spans="1:18" x14ac:dyDescent="0.2">
      <c r="A68" s="25"/>
      <c r="B68" s="25"/>
      <c r="C68" s="25" t="s">
        <v>46</v>
      </c>
      <c r="D68" s="41">
        <v>340.30327868852459</v>
      </c>
      <c r="E68" s="132"/>
      <c r="F68" s="226" t="s">
        <v>100</v>
      </c>
      <c r="G68" s="39">
        <v>0.08</v>
      </c>
      <c r="H68" s="215"/>
      <c r="I68" s="35">
        <v>27.224262295081967</v>
      </c>
      <c r="J68" s="202">
        <f t="shared" si="19"/>
        <v>0</v>
      </c>
      <c r="K68" s="225">
        <v>0</v>
      </c>
      <c r="L68" s="214"/>
      <c r="M68" s="35">
        <v>0</v>
      </c>
      <c r="N68" s="202">
        <f>J68*L68</f>
        <v>0</v>
      </c>
      <c r="O68" s="35">
        <v>27.224262295081967</v>
      </c>
      <c r="P68" s="202">
        <f t="shared" si="20"/>
        <v>0</v>
      </c>
      <c r="Q68" s="35">
        <v>3321.36</v>
      </c>
      <c r="R68" s="202">
        <f t="shared" si="21"/>
        <v>0</v>
      </c>
    </row>
    <row r="69" spans="1:18" x14ac:dyDescent="0.2">
      <c r="A69" s="25"/>
      <c r="B69" s="25"/>
      <c r="C69" s="25" t="s">
        <v>105</v>
      </c>
      <c r="D69" s="41">
        <v>801.12252914483611</v>
      </c>
      <c r="E69" s="132"/>
      <c r="F69" s="226" t="s">
        <v>100</v>
      </c>
      <c r="G69" s="39">
        <v>0.08</v>
      </c>
      <c r="H69" s="215"/>
      <c r="I69" s="35">
        <v>64.089802331586895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64.089802331586895</v>
      </c>
      <c r="P69" s="202">
        <f t="shared" si="20"/>
        <v>0</v>
      </c>
      <c r="Q69" s="35">
        <v>7818.9558844536014</v>
      </c>
      <c r="R69" s="202">
        <f t="shared" si="21"/>
        <v>0</v>
      </c>
    </row>
    <row r="70" spans="1:18" x14ac:dyDescent="0.2">
      <c r="A70" s="25"/>
      <c r="B70" s="25"/>
      <c r="C70" s="25" t="s">
        <v>4</v>
      </c>
      <c r="D70" s="41">
        <v>131.39721119355517</v>
      </c>
      <c r="E70" s="132"/>
      <c r="F70" s="226" t="s">
        <v>100</v>
      </c>
      <c r="G70" s="39">
        <v>0.08</v>
      </c>
      <c r="H70" s="215"/>
      <c r="I70" s="35">
        <v>10.511776895484413</v>
      </c>
      <c r="J70" s="202">
        <f t="shared" si="19"/>
        <v>0</v>
      </c>
      <c r="K70" s="225">
        <v>0</v>
      </c>
      <c r="L70" s="214"/>
      <c r="M70" s="35">
        <v>0</v>
      </c>
      <c r="N70" s="202">
        <f>J70*L70</f>
        <v>0</v>
      </c>
      <c r="O70" s="35">
        <v>10.511776895484413</v>
      </c>
      <c r="P70" s="202">
        <f t="shared" si="20"/>
        <v>0</v>
      </c>
      <c r="Q70" s="35">
        <v>1282.4367812490984</v>
      </c>
      <c r="R70" s="202">
        <f t="shared" si="21"/>
        <v>0</v>
      </c>
    </row>
    <row r="71" spans="1:18" x14ac:dyDescent="0.2">
      <c r="A71" s="25"/>
      <c r="B71" s="25" t="s">
        <v>156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19"/>
        <v>0</v>
      </c>
      <c r="K71" s="225">
        <v>0</v>
      </c>
      <c r="L71" s="214"/>
      <c r="M71" s="35">
        <v>0</v>
      </c>
      <c r="N71" s="202">
        <f t="shared" ref="N71:N78" si="22">J71*L71</f>
        <v>0</v>
      </c>
      <c r="O71" s="35">
        <v>0</v>
      </c>
      <c r="P71" s="202">
        <f t="shared" ref="P71:P78" si="23">+J71-N71</f>
        <v>0</v>
      </c>
      <c r="Q71" s="35">
        <v>0</v>
      </c>
      <c r="R71" s="202">
        <f t="shared" ref="R71:R78" si="24">+J71*E$7</f>
        <v>0</v>
      </c>
    </row>
    <row r="72" spans="1:18" x14ac:dyDescent="0.2">
      <c r="A72" s="25"/>
      <c r="B72" s="25" t="s">
        <v>152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si="22"/>
        <v>0</v>
      </c>
      <c r="O72" s="35">
        <v>0</v>
      </c>
      <c r="P72" s="202">
        <f t="shared" si="23"/>
        <v>0</v>
      </c>
      <c r="Q72" s="35">
        <v>0</v>
      </c>
      <c r="R72" s="202">
        <f t="shared" si="24"/>
        <v>0</v>
      </c>
    </row>
    <row r="73" spans="1:18" x14ac:dyDescent="0.2">
      <c r="A73" s="25"/>
      <c r="B73" s="25" t="s">
        <v>137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0</v>
      </c>
      <c r="P73" s="202">
        <f t="shared" si="23"/>
        <v>0</v>
      </c>
      <c r="Q73" s="35">
        <v>0</v>
      </c>
      <c r="R73" s="202">
        <f t="shared" si="24"/>
        <v>0</v>
      </c>
    </row>
    <row r="74" spans="1:18" x14ac:dyDescent="0.2">
      <c r="A74" s="25"/>
      <c r="B74" s="25" t="s">
        <v>453</v>
      </c>
      <c r="C74" s="25"/>
      <c r="D74" s="25">
        <v>1</v>
      </c>
      <c r="E74" s="132"/>
      <c r="F74" s="226" t="s">
        <v>42</v>
      </c>
      <c r="G74" s="41">
        <v>50</v>
      </c>
      <c r="H74" s="133"/>
      <c r="I74" s="35">
        <v>50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50</v>
      </c>
      <c r="P74" s="202">
        <f t="shared" si="23"/>
        <v>0</v>
      </c>
      <c r="Q74" s="35">
        <v>6100</v>
      </c>
      <c r="R74" s="202">
        <f t="shared" si="24"/>
        <v>0</v>
      </c>
    </row>
    <row r="75" spans="1:18" x14ac:dyDescent="0.2">
      <c r="A75" s="25"/>
      <c r="B75" s="25" t="s">
        <v>159</v>
      </c>
      <c r="C75" s="25"/>
      <c r="D75" s="25">
        <v>1</v>
      </c>
      <c r="E75" s="132"/>
      <c r="F75" s="226" t="s">
        <v>42</v>
      </c>
      <c r="G75" s="41">
        <v>0</v>
      </c>
      <c r="H75" s="133"/>
      <c r="I75" s="35">
        <v>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0</v>
      </c>
      <c r="P75" s="202">
        <f t="shared" si="23"/>
        <v>0</v>
      </c>
      <c r="Q75" s="35">
        <v>0</v>
      </c>
      <c r="R75" s="202">
        <f t="shared" si="24"/>
        <v>0</v>
      </c>
    </row>
    <row r="76" spans="1:18" x14ac:dyDescent="0.2">
      <c r="A76" s="25"/>
      <c r="B76" s="25" t="s">
        <v>160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x14ac:dyDescent="0.2">
      <c r="A77" s="25"/>
      <c r="B77" s="133"/>
      <c r="C77" s="133"/>
      <c r="D77" s="25">
        <v>1</v>
      </c>
      <c r="E77" s="132"/>
      <c r="F77" s="226"/>
      <c r="G77" s="41">
        <v>0</v>
      </c>
      <c r="H77" s="133"/>
      <c r="I77" s="35">
        <v>0</v>
      </c>
      <c r="J77" s="202">
        <f t="shared" si="19"/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ht="13.5" thickBot="1" x14ac:dyDescent="0.25">
      <c r="A78" s="25"/>
      <c r="B78" s="133"/>
      <c r="C78" s="133"/>
      <c r="D78" s="25">
        <v>1</v>
      </c>
      <c r="E78" s="132"/>
      <c r="F78" s="226"/>
      <c r="G78" s="41">
        <v>0</v>
      </c>
      <c r="H78" s="133"/>
      <c r="I78" s="35">
        <v>0</v>
      </c>
      <c r="J78" s="202">
        <f>E78*H78</f>
        <v>0</v>
      </c>
      <c r="K78" s="225">
        <v>0</v>
      </c>
      <c r="L78" s="214"/>
      <c r="M78" s="35">
        <v>0</v>
      </c>
      <c r="N78" s="202">
        <f t="shared" si="22"/>
        <v>0</v>
      </c>
      <c r="O78" s="35">
        <v>0</v>
      </c>
      <c r="P78" s="202">
        <f t="shared" si="23"/>
        <v>0</v>
      </c>
      <c r="Q78" s="35">
        <v>0</v>
      </c>
      <c r="R78" s="202">
        <f t="shared" si="24"/>
        <v>0</v>
      </c>
    </row>
    <row r="79" spans="1:18" ht="13.5" thickBot="1" x14ac:dyDescent="0.25">
      <c r="A79" s="25" t="s">
        <v>37</v>
      </c>
      <c r="B79" s="25"/>
      <c r="C79" s="25"/>
      <c r="D79" s="25"/>
      <c r="E79" s="197"/>
      <c r="F79" s="25"/>
      <c r="G79" s="25"/>
      <c r="H79" s="197"/>
      <c r="I79" s="121">
        <v>320.32429654722802</v>
      </c>
      <c r="J79" s="204">
        <f>+SUM(J62:J78)</f>
        <v>0</v>
      </c>
      <c r="K79" s="35"/>
      <c r="L79" s="195"/>
      <c r="M79" s="121">
        <v>0</v>
      </c>
      <c r="N79" s="204">
        <f>+SUM(N62:N78)</f>
        <v>0</v>
      </c>
      <c r="O79" s="121">
        <v>320.32429654722802</v>
      </c>
      <c r="P79" s="204">
        <f>+SUM(P62:P78)</f>
        <v>0</v>
      </c>
      <c r="Q79" s="121">
        <v>39079.564178761822</v>
      </c>
      <c r="R79" s="204">
        <f>+SUM(R62:R78)</f>
        <v>0</v>
      </c>
    </row>
    <row r="80" spans="1:18" ht="14.25" thickTop="1" thickBot="1" x14ac:dyDescent="0.25">
      <c r="A80" s="25" t="s">
        <v>52</v>
      </c>
      <c r="B80" s="25"/>
      <c r="C80" s="25"/>
      <c r="D80" s="25"/>
      <c r="E80" s="197"/>
      <c r="F80" s="25"/>
      <c r="G80" s="25"/>
      <c r="H80" s="197"/>
      <c r="I80" s="87">
        <v>1350.7232359723</v>
      </c>
      <c r="J80" s="205">
        <f>+J56+J79</f>
        <v>0</v>
      </c>
      <c r="K80" s="35"/>
      <c r="L80" s="195"/>
      <c r="M80" s="87">
        <v>0</v>
      </c>
      <c r="N80" s="205">
        <f>+N56+N79</f>
        <v>0</v>
      </c>
      <c r="O80" s="87">
        <v>1350.7232359723</v>
      </c>
      <c r="P80" s="205">
        <f>+P56+P79</f>
        <v>0</v>
      </c>
      <c r="Q80" s="87">
        <v>164788.23478862061</v>
      </c>
      <c r="R80" s="205">
        <f>+R56+R79</f>
        <v>0</v>
      </c>
    </row>
    <row r="81" spans="1:18" ht="13.5" thickTop="1" x14ac:dyDescent="0.2">
      <c r="A81" s="25"/>
      <c r="B81" s="25"/>
      <c r="C81" s="25"/>
      <c r="D81" s="25"/>
      <c r="E81" s="197"/>
      <c r="F81" s="25"/>
      <c r="G81" s="25"/>
      <c r="H81" s="197"/>
      <c r="I81" s="35"/>
      <c r="J81" s="184"/>
      <c r="K81" s="35"/>
      <c r="L81" s="195"/>
      <c r="M81" s="35"/>
      <c r="N81" s="184"/>
      <c r="O81" s="35"/>
      <c r="P81" s="184"/>
      <c r="Q81" s="35"/>
      <c r="R81" s="184"/>
    </row>
    <row r="82" spans="1:18" x14ac:dyDescent="0.2">
      <c r="A82" s="25" t="s">
        <v>153</v>
      </c>
      <c r="B82" s="25"/>
      <c r="C82" s="25"/>
      <c r="D82" s="25"/>
      <c r="E82" s="197"/>
      <c r="F82" s="25"/>
      <c r="G82" s="25"/>
      <c r="H82" s="197"/>
      <c r="I82" s="35">
        <v>2449.2767640276998</v>
      </c>
      <c r="J82" s="202">
        <f>+J13-J80</f>
        <v>0</v>
      </c>
      <c r="K82" s="35"/>
      <c r="L82" s="195"/>
      <c r="M82" s="35">
        <v>0</v>
      </c>
      <c r="N82" s="202">
        <f>+N13-N80</f>
        <v>0</v>
      </c>
      <c r="O82" s="35">
        <v>2449.2767640276998</v>
      </c>
      <c r="P82" s="202">
        <f>+P13-P80</f>
        <v>0</v>
      </c>
      <c r="Q82" s="35">
        <v>298811.76521137939</v>
      </c>
      <c r="R82" s="202">
        <f>+R13-R80</f>
        <v>0</v>
      </c>
    </row>
    <row r="83" spans="1:18" x14ac:dyDescent="0.2">
      <c r="A83" s="25"/>
      <c r="B83" s="25"/>
      <c r="C83" s="25"/>
      <c r="D83" s="25"/>
      <c r="E83" s="197"/>
      <c r="F83" s="25"/>
      <c r="G83" s="25"/>
      <c r="H83" s="197"/>
      <c r="I83" s="35"/>
      <c r="J83" s="206"/>
      <c r="K83" s="35"/>
      <c r="L83" s="195"/>
      <c r="M83" s="35"/>
      <c r="N83" s="195"/>
      <c r="O83" s="35"/>
      <c r="P83" s="195"/>
      <c r="Q83" s="35"/>
      <c r="R83" s="206"/>
    </row>
    <row r="84" spans="1:18" ht="13.5" thickBot="1" x14ac:dyDescent="0.25">
      <c r="A84" s="44" t="s">
        <v>38</v>
      </c>
      <c r="B84" s="44"/>
      <c r="C84" s="44"/>
      <c r="D84" s="44"/>
      <c r="E84" s="201"/>
      <c r="F84" s="44"/>
      <c r="G84" s="45">
        <v>0.33768080899307501</v>
      </c>
      <c r="H84" s="212" t="str">
        <f>IF(E10=0,"n/a",(YTotExp-(YTotExp+YTotRet-J10))/E10)</f>
        <v>n/a</v>
      </c>
      <c r="I84" s="44" t="s">
        <v>83</v>
      </c>
      <c r="J84" s="207"/>
      <c r="K84" s="44"/>
      <c r="L84" s="201"/>
      <c r="M84" s="44"/>
      <c r="N84" s="201"/>
      <c r="O84" s="44"/>
      <c r="P84" s="201"/>
      <c r="Q84" s="44"/>
      <c r="R84" s="207"/>
    </row>
    <row r="85" spans="1:18" ht="13.5" thickTop="1" x14ac:dyDescent="0.2"/>
    <row r="86" spans="1:18" s="17" customFormat="1" ht="15.75" x14ac:dyDescent="0.25">
      <c r="A86"/>
      <c r="B86" s="88"/>
      <c r="C86" s="89"/>
      <c r="D86" s="234" t="s">
        <v>115</v>
      </c>
      <c r="E86" s="235"/>
      <c r="F86" s="235"/>
      <c r="G86" s="235"/>
      <c r="H86" s="235"/>
      <c r="I86" s="235"/>
      <c r="J86" s="99"/>
      <c r="K86" s="99"/>
      <c r="M86"/>
      <c r="N86"/>
    </row>
    <row r="87" spans="1:18" s="17" customFormat="1" ht="15.75" x14ac:dyDescent="0.25">
      <c r="A87"/>
      <c r="B87" s="19" t="s">
        <v>116</v>
      </c>
      <c r="C87" s="19" t="s">
        <v>116</v>
      </c>
      <c r="D87" s="126" t="s">
        <v>170</v>
      </c>
      <c r="E87" s="18"/>
      <c r="F87" s="18"/>
      <c r="G87" s="126" t="s">
        <v>170</v>
      </c>
      <c r="H87" s="18"/>
      <c r="I87" s="18"/>
      <c r="J87" s="18"/>
      <c r="K87" s="18"/>
      <c r="M87"/>
      <c r="N87"/>
    </row>
    <row r="88" spans="1:18" s="17" customFormat="1" x14ac:dyDescent="0.2">
      <c r="A88"/>
      <c r="B88" s="19" t="s">
        <v>81</v>
      </c>
      <c r="C88" s="19" t="s">
        <v>81</v>
      </c>
      <c r="D88" s="126" t="s">
        <v>157</v>
      </c>
      <c r="E88" s="122"/>
      <c r="F88" s="122"/>
      <c r="G88" s="126" t="s">
        <v>11</v>
      </c>
      <c r="H88" s="122"/>
      <c r="I88" s="122"/>
      <c r="J88" s="122"/>
      <c r="K88" s="122"/>
      <c r="M88"/>
      <c r="N88"/>
    </row>
    <row r="89" spans="1:18" s="17" customFormat="1" x14ac:dyDescent="0.2">
      <c r="A89"/>
      <c r="B89" s="19" t="s">
        <v>30</v>
      </c>
      <c r="C89" s="99" t="s">
        <v>83</v>
      </c>
      <c r="D89" s="126" t="s">
        <v>99</v>
      </c>
      <c r="E89" s="122"/>
      <c r="F89" s="122"/>
      <c r="G89" s="126" t="s">
        <v>99</v>
      </c>
      <c r="H89" s="19"/>
      <c r="I89" s="19"/>
      <c r="J89" s="19"/>
      <c r="K89" s="19"/>
      <c r="M89"/>
      <c r="N89"/>
    </row>
    <row r="90" spans="1:18" s="17" customFormat="1" x14ac:dyDescent="0.2">
      <c r="A90"/>
      <c r="B90" s="90">
        <v>0.75</v>
      </c>
      <c r="C90" s="91">
        <v>3000</v>
      </c>
      <c r="D90" s="92">
        <v>0.34346631314169068</v>
      </c>
      <c r="E90" s="93"/>
      <c r="F90" s="94"/>
      <c r="G90" s="92">
        <v>0.45024107865743335</v>
      </c>
      <c r="H90" s="93"/>
      <c r="I90" s="93"/>
      <c r="M90"/>
      <c r="N90"/>
    </row>
    <row r="91" spans="1:18" s="17" customFormat="1" x14ac:dyDescent="0.2">
      <c r="A91"/>
      <c r="B91" s="95">
        <v>0.9</v>
      </c>
      <c r="C91" s="96">
        <v>3600</v>
      </c>
      <c r="D91" s="97">
        <v>0.28622192761807558</v>
      </c>
      <c r="E91" s="83"/>
      <c r="F91" s="98"/>
      <c r="G91" s="97">
        <v>0.37520089888119446</v>
      </c>
      <c r="H91" s="83"/>
      <c r="I91" s="83"/>
      <c r="M91"/>
      <c r="N91"/>
    </row>
    <row r="92" spans="1:18" s="17" customFormat="1" x14ac:dyDescent="0.2">
      <c r="A92"/>
      <c r="B92" s="90">
        <v>1</v>
      </c>
      <c r="C92" s="91">
        <v>4000</v>
      </c>
      <c r="D92" s="92">
        <v>0.25759973485626803</v>
      </c>
      <c r="E92" s="93"/>
      <c r="F92" s="94"/>
      <c r="G92" s="92">
        <v>0.33768080899307501</v>
      </c>
      <c r="H92" s="93"/>
      <c r="I92" s="93"/>
      <c r="M92"/>
      <c r="N92"/>
    </row>
    <row r="93" spans="1:18" s="17" customFormat="1" x14ac:dyDescent="0.2">
      <c r="A93"/>
      <c r="B93" s="95">
        <v>1.1000000000000001</v>
      </c>
      <c r="C93" s="96">
        <v>4400</v>
      </c>
      <c r="D93" s="97">
        <v>0.23418157714206184</v>
      </c>
      <c r="E93" s="83"/>
      <c r="F93" s="98"/>
      <c r="G93" s="97">
        <v>0.30698255363006821</v>
      </c>
      <c r="H93" s="83"/>
      <c r="I93" s="83"/>
      <c r="M93"/>
      <c r="N93"/>
    </row>
    <row r="94" spans="1:18" s="17" customFormat="1" x14ac:dyDescent="0.2">
      <c r="A94"/>
      <c r="B94" s="90">
        <v>1.25</v>
      </c>
      <c r="C94" s="91">
        <v>5000</v>
      </c>
      <c r="D94" s="92">
        <v>0.20607978788501441</v>
      </c>
      <c r="E94" s="93"/>
      <c r="F94" s="94"/>
      <c r="G94" s="92">
        <v>0.27014464719446002</v>
      </c>
      <c r="H94" s="93"/>
      <c r="I94" s="93"/>
      <c r="M94"/>
      <c r="N94"/>
    </row>
    <row r="95" spans="1:18" s="17" customFormat="1" x14ac:dyDescent="0.2">
      <c r="A95"/>
      <c r="M95"/>
      <c r="N95"/>
    </row>
    <row r="96" spans="1:18" x14ac:dyDescent="0.2">
      <c r="A96" s="25" t="s">
        <v>536</v>
      </c>
      <c r="B96" s="17"/>
      <c r="C96" s="17"/>
      <c r="D96" s="17"/>
      <c r="E96" s="17"/>
      <c r="F96" s="17"/>
      <c r="G96" s="17"/>
      <c r="H96" s="17"/>
      <c r="I96" s="17"/>
      <c r="J96" s="28"/>
      <c r="K96" s="17"/>
      <c r="L96" s="17"/>
      <c r="M96" s="17"/>
      <c r="N96" s="17"/>
      <c r="O96" s="17"/>
      <c r="P96" s="17"/>
      <c r="Q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28"/>
      <c r="K97" s="17"/>
      <c r="L97" s="17"/>
      <c r="M97" s="17"/>
      <c r="N97" s="17"/>
      <c r="O97" s="17"/>
      <c r="P97" s="17"/>
      <c r="Q97" s="17"/>
    </row>
    <row r="98" spans="1:18" ht="26.25" customHeight="1" x14ac:dyDescent="0.2">
      <c r="A98" s="236" t="s">
        <v>140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21"/>
      <c r="N98" s="221"/>
      <c r="O98" s="221"/>
      <c r="P98" s="221"/>
      <c r="Q98" s="221"/>
      <c r="R98" s="221"/>
    </row>
  </sheetData>
  <sheetProtection sheet="1" objects="1" scenarios="1"/>
  <mergeCells count="6">
    <mergeCell ref="D86:I86"/>
    <mergeCell ref="A98:L98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9">
    <tabColor rgb="FF92D050"/>
    <pageSetUpPr fitToPage="1"/>
  </sheetPr>
  <dimension ref="A1:S9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344</v>
      </c>
      <c r="C10" s="25"/>
      <c r="D10" s="50">
        <v>650</v>
      </c>
      <c r="E10" s="132"/>
      <c r="F10" s="226" t="s">
        <v>142</v>
      </c>
      <c r="G10" s="31">
        <v>8</v>
      </c>
      <c r="H10" s="133"/>
      <c r="I10" s="35">
        <v>5200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5200</v>
      </c>
      <c r="P10" s="202">
        <f>+J10-N10</f>
        <v>0</v>
      </c>
      <c r="Q10" s="35">
        <v>634400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5200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5200</v>
      </c>
      <c r="P13" s="203">
        <f>SUM(P10:P12)</f>
        <v>0</v>
      </c>
      <c r="Q13" s="36">
        <v>634400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379</v>
      </c>
      <c r="D18" s="25">
        <v>1</v>
      </c>
      <c r="E18" s="132"/>
      <c r="F18" s="226" t="s">
        <v>42</v>
      </c>
      <c r="G18" s="41">
        <v>6.39</v>
      </c>
      <c r="H18" s="133"/>
      <c r="I18" s="35">
        <v>6.39</v>
      </c>
      <c r="J18" s="202">
        <f t="shared" ref="J18:J32" si="4">E18*H18</f>
        <v>0</v>
      </c>
      <c r="K18" s="225">
        <v>0</v>
      </c>
      <c r="L18" s="214"/>
      <c r="M18" s="35">
        <v>0</v>
      </c>
      <c r="N18" s="202">
        <f t="shared" ref="N18:N32" si="5">J18*L18</f>
        <v>0</v>
      </c>
      <c r="O18" s="35">
        <v>6.39</v>
      </c>
      <c r="P18" s="202">
        <f t="shared" ref="P18:P32" si="6">+J18-N18</f>
        <v>0</v>
      </c>
      <c r="Q18" s="35">
        <v>779.57999999999993</v>
      </c>
      <c r="R18" s="202">
        <f t="shared" ref="R18:R32" si="7">+J18*E$7</f>
        <v>0</v>
      </c>
    </row>
    <row r="19" spans="1:18" x14ac:dyDescent="0.2">
      <c r="A19" s="25"/>
      <c r="B19" s="25" t="s">
        <v>501</v>
      </c>
      <c r="C19" s="25" t="s">
        <v>405</v>
      </c>
      <c r="D19" s="25">
        <v>650</v>
      </c>
      <c r="E19" s="132"/>
      <c r="F19" s="226" t="s">
        <v>142</v>
      </c>
      <c r="G19" s="41">
        <v>4.0199999999999996</v>
      </c>
      <c r="H19" s="133"/>
      <c r="I19" s="35">
        <v>2612.9999999999995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2612.9999999999995</v>
      </c>
      <c r="P19" s="202">
        <f t="shared" si="6"/>
        <v>0</v>
      </c>
      <c r="Q19" s="35">
        <v>318785.99999999994</v>
      </c>
      <c r="R19" s="202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394</v>
      </c>
      <c r="D21" s="25">
        <v>100</v>
      </c>
      <c r="E21" s="132"/>
      <c r="F21" s="226" t="s">
        <v>83</v>
      </c>
      <c r="G21" s="41">
        <v>0.54</v>
      </c>
      <c r="H21" s="133"/>
      <c r="I21" s="35">
        <v>54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54</v>
      </c>
      <c r="P21" s="202">
        <f t="shared" si="6"/>
        <v>0</v>
      </c>
      <c r="Q21" s="35">
        <v>6588</v>
      </c>
      <c r="R21" s="202">
        <f t="shared" si="7"/>
        <v>0</v>
      </c>
    </row>
    <row r="22" spans="1:18" x14ac:dyDescent="0.2">
      <c r="A22" s="25"/>
      <c r="B22" s="25" t="s">
        <v>501</v>
      </c>
      <c r="C22" s="25" t="s">
        <v>423</v>
      </c>
      <c r="D22" s="25">
        <v>100</v>
      </c>
      <c r="E22" s="132"/>
      <c r="F22" s="226" t="s">
        <v>83</v>
      </c>
      <c r="G22" s="41">
        <v>0.53</v>
      </c>
      <c r="H22" s="133"/>
      <c r="I22" s="35">
        <v>53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53</v>
      </c>
      <c r="P22" s="202">
        <f t="shared" si="6"/>
        <v>0</v>
      </c>
      <c r="Q22" s="35">
        <v>6466</v>
      </c>
      <c r="R22" s="202">
        <f t="shared" si="7"/>
        <v>0</v>
      </c>
    </row>
    <row r="23" spans="1:18" x14ac:dyDescent="0.2">
      <c r="A23" s="25"/>
      <c r="B23" s="25" t="s">
        <v>49</v>
      </c>
      <c r="C23" s="25"/>
      <c r="D23" s="25"/>
      <c r="E23" s="25"/>
      <c r="F23" s="25"/>
      <c r="G23" s="25"/>
      <c r="H23" s="25"/>
      <c r="I23" s="25"/>
      <c r="J23" s="25"/>
      <c r="K23" s="2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501</v>
      </c>
      <c r="C24" s="25" t="s">
        <v>399</v>
      </c>
      <c r="D24" s="25">
        <v>2</v>
      </c>
      <c r="E24" s="132"/>
      <c r="F24" s="226" t="s">
        <v>311</v>
      </c>
      <c r="G24" s="41">
        <v>2.125</v>
      </c>
      <c r="H24" s="133"/>
      <c r="I24" s="35">
        <v>4.25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4.25</v>
      </c>
      <c r="P24" s="202">
        <f t="shared" si="6"/>
        <v>0</v>
      </c>
      <c r="Q24" s="35">
        <v>518.5</v>
      </c>
      <c r="R24" s="202">
        <f t="shared" si="7"/>
        <v>0</v>
      </c>
    </row>
    <row r="25" spans="1:18" x14ac:dyDescent="0.2">
      <c r="A25" s="25"/>
      <c r="B25" s="25" t="s">
        <v>48</v>
      </c>
      <c r="C25" s="25"/>
      <c r="D25" s="25"/>
      <c r="E25" s="25"/>
      <c r="F25" s="25"/>
      <c r="G25" s="25"/>
      <c r="H25" s="25"/>
      <c r="I25" s="25"/>
      <c r="J25" s="25"/>
      <c r="K25" s="225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501</v>
      </c>
      <c r="C26" s="25" t="s">
        <v>421</v>
      </c>
      <c r="D26" s="25">
        <v>31</v>
      </c>
      <c r="E26" s="132"/>
      <c r="F26" s="226" t="s">
        <v>360</v>
      </c>
      <c r="G26" s="41">
        <v>1.25</v>
      </c>
      <c r="H26" s="133"/>
      <c r="I26" s="35">
        <v>38.75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38.75</v>
      </c>
      <c r="P26" s="202">
        <f t="shared" si="6"/>
        <v>0</v>
      </c>
      <c r="Q26" s="35">
        <v>4727.5</v>
      </c>
      <c r="R26" s="202">
        <f t="shared" si="7"/>
        <v>0</v>
      </c>
    </row>
    <row r="27" spans="1:18" x14ac:dyDescent="0.2">
      <c r="A27" s="25"/>
      <c r="B27" s="25" t="s">
        <v>1</v>
      </c>
      <c r="C27" s="25"/>
      <c r="D27" s="25"/>
      <c r="E27" s="25"/>
      <c r="F27" s="25"/>
      <c r="G27" s="25"/>
      <c r="H27" s="25"/>
      <c r="I27" s="25"/>
      <c r="J27" s="25"/>
      <c r="K27" s="225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 t="s">
        <v>501</v>
      </c>
      <c r="C28" s="25" t="s">
        <v>427</v>
      </c>
      <c r="D28" s="25">
        <v>1.5</v>
      </c>
      <c r="E28" s="132"/>
      <c r="F28" s="226" t="s">
        <v>83</v>
      </c>
      <c r="G28" s="41">
        <v>60</v>
      </c>
      <c r="H28" s="133"/>
      <c r="I28" s="35">
        <v>90</v>
      </c>
      <c r="J28" s="202">
        <f t="shared" si="4"/>
        <v>0</v>
      </c>
      <c r="K28" s="225">
        <v>0</v>
      </c>
      <c r="L28" s="214"/>
      <c r="M28" s="35">
        <v>0</v>
      </c>
      <c r="N28" s="202">
        <f t="shared" si="5"/>
        <v>0</v>
      </c>
      <c r="O28" s="35">
        <v>90</v>
      </c>
      <c r="P28" s="202">
        <f t="shared" si="6"/>
        <v>0</v>
      </c>
      <c r="Q28" s="35">
        <v>10980</v>
      </c>
      <c r="R28" s="202">
        <f t="shared" si="7"/>
        <v>0</v>
      </c>
    </row>
    <row r="29" spans="1:18" x14ac:dyDescent="0.2">
      <c r="A29" s="25"/>
      <c r="B29" s="25" t="s">
        <v>58</v>
      </c>
      <c r="C29" s="25"/>
      <c r="D29" s="25"/>
      <c r="E29" s="25"/>
      <c r="F29" s="25"/>
      <c r="G29" s="25"/>
      <c r="H29" s="25"/>
      <c r="I29" s="25"/>
      <c r="J29" s="25"/>
      <c r="K29" s="225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501</v>
      </c>
      <c r="C30" s="25" t="s">
        <v>435</v>
      </c>
      <c r="D30" s="25">
        <v>19</v>
      </c>
      <c r="E30" s="132"/>
      <c r="F30" s="226" t="s">
        <v>360</v>
      </c>
      <c r="G30" s="41">
        <v>1.6409</v>
      </c>
      <c r="H30" s="133"/>
      <c r="I30" s="35">
        <v>31.177099999999999</v>
      </c>
      <c r="J30" s="202">
        <f t="shared" si="4"/>
        <v>0</v>
      </c>
      <c r="K30" s="225">
        <v>0</v>
      </c>
      <c r="L30" s="214"/>
      <c r="M30" s="35">
        <v>0</v>
      </c>
      <c r="N30" s="202">
        <f t="shared" si="5"/>
        <v>0</v>
      </c>
      <c r="O30" s="35">
        <v>31.177099999999999</v>
      </c>
      <c r="P30" s="202">
        <f t="shared" si="6"/>
        <v>0</v>
      </c>
      <c r="Q30" s="35">
        <v>3803.6061999999997</v>
      </c>
      <c r="R30" s="202">
        <f t="shared" si="7"/>
        <v>0</v>
      </c>
    </row>
    <row r="31" spans="1:18" x14ac:dyDescent="0.2">
      <c r="A31" s="25"/>
      <c r="B31" s="133"/>
      <c r="C31" s="133"/>
      <c r="D31" s="25">
        <v>0</v>
      </c>
      <c r="E31" s="132"/>
      <c r="F31" s="226"/>
      <c r="G31" s="41">
        <v>0</v>
      </c>
      <c r="H31" s="133"/>
      <c r="I31" s="35">
        <v>0</v>
      </c>
      <c r="J31" s="202">
        <f t="shared" si="4"/>
        <v>0</v>
      </c>
      <c r="K31" s="225">
        <v>0</v>
      </c>
      <c r="L31" s="214"/>
      <c r="M31" s="35">
        <v>0</v>
      </c>
      <c r="N31" s="202">
        <f t="shared" si="5"/>
        <v>0</v>
      </c>
      <c r="O31" s="35">
        <v>0</v>
      </c>
      <c r="P31" s="202">
        <f t="shared" si="6"/>
        <v>0</v>
      </c>
      <c r="Q31" s="35">
        <v>0</v>
      </c>
      <c r="R31" s="202">
        <f t="shared" si="7"/>
        <v>0</v>
      </c>
    </row>
    <row r="32" spans="1:18" x14ac:dyDescent="0.2">
      <c r="A32" s="25"/>
      <c r="B32" s="133"/>
      <c r="C32" s="133"/>
      <c r="D32" s="25">
        <v>0</v>
      </c>
      <c r="E32" s="132"/>
      <c r="F32" s="226"/>
      <c r="G32" s="41">
        <v>0</v>
      </c>
      <c r="H32" s="133"/>
      <c r="I32" s="35">
        <v>0</v>
      </c>
      <c r="J32" s="202">
        <f t="shared" si="4"/>
        <v>0</v>
      </c>
      <c r="K32" s="225">
        <v>0</v>
      </c>
      <c r="L32" s="214"/>
      <c r="M32" s="35">
        <v>0</v>
      </c>
      <c r="N32" s="202">
        <f t="shared" si="5"/>
        <v>0</v>
      </c>
      <c r="O32" s="35">
        <v>0</v>
      </c>
      <c r="P32" s="202">
        <f t="shared" si="6"/>
        <v>0</v>
      </c>
      <c r="Q32" s="35">
        <v>0</v>
      </c>
      <c r="R32" s="202">
        <f t="shared" si="7"/>
        <v>0</v>
      </c>
    </row>
    <row r="33" spans="1:18" x14ac:dyDescent="0.2">
      <c r="A33" s="25"/>
      <c r="B33" s="133"/>
      <c r="C33" s="133"/>
      <c r="D33" s="25">
        <v>0</v>
      </c>
      <c r="E33" s="132"/>
      <c r="F33" s="226"/>
      <c r="G33" s="41">
        <v>0</v>
      </c>
      <c r="H33" s="133"/>
      <c r="I33" s="35">
        <v>0</v>
      </c>
      <c r="J33" s="202">
        <f>E33*H33</f>
        <v>0</v>
      </c>
      <c r="K33" s="225">
        <v>0</v>
      </c>
      <c r="L33" s="214"/>
      <c r="M33" s="35">
        <v>0</v>
      </c>
      <c r="N33" s="202">
        <f>J33*L33</f>
        <v>0</v>
      </c>
      <c r="O33" s="35">
        <v>0</v>
      </c>
      <c r="P33" s="202">
        <f>+J33-N33</f>
        <v>0</v>
      </c>
      <c r="Q33" s="35">
        <v>0</v>
      </c>
      <c r="R33" s="202">
        <f>+J33*E$7</f>
        <v>0</v>
      </c>
    </row>
    <row r="34" spans="1:18" x14ac:dyDescent="0.2">
      <c r="A34" s="25"/>
      <c r="B34" s="25" t="s">
        <v>45</v>
      </c>
      <c r="C34" s="25"/>
      <c r="D34" s="25"/>
      <c r="E34" s="209"/>
      <c r="F34" s="21"/>
      <c r="G34" s="41"/>
      <c r="H34" s="198"/>
      <c r="I34" s="186"/>
      <c r="J34" s="184"/>
      <c r="K34" s="225"/>
      <c r="L34" s="198"/>
      <c r="M34" s="35"/>
      <c r="N34" s="184"/>
      <c r="O34" s="35"/>
      <c r="P34" s="184"/>
      <c r="Q34" s="35"/>
      <c r="R34" s="184"/>
    </row>
    <row r="35" spans="1:18" x14ac:dyDescent="0.2">
      <c r="A35" s="25"/>
      <c r="B35" s="25"/>
      <c r="C35" s="25" t="s">
        <v>146</v>
      </c>
      <c r="D35" s="34">
        <v>2425.52</v>
      </c>
      <c r="E35" s="132"/>
      <c r="F35" s="226" t="s">
        <v>388</v>
      </c>
      <c r="G35" s="41">
        <v>0.17</v>
      </c>
      <c r="H35" s="133"/>
      <c r="I35" s="35">
        <v>412.33840000000004</v>
      </c>
      <c r="J35" s="202">
        <f t="shared" ref="J35:J36" si="8">E35*H35</f>
        <v>0</v>
      </c>
      <c r="K35" s="225">
        <v>0</v>
      </c>
      <c r="L35" s="214"/>
      <c r="M35" s="35">
        <v>0</v>
      </c>
      <c r="N35" s="202">
        <f t="shared" ref="N35:N36" si="9">J35*L35</f>
        <v>0</v>
      </c>
      <c r="O35" s="35">
        <v>412.33840000000004</v>
      </c>
      <c r="P35" s="202">
        <f t="shared" ref="P35:P36" si="10">+J35-N35</f>
        <v>0</v>
      </c>
      <c r="Q35" s="35">
        <v>50305.284800000001</v>
      </c>
      <c r="R35" s="202">
        <f t="shared" ref="R35:R36" si="11">+J35*E$7</f>
        <v>0</v>
      </c>
    </row>
    <row r="36" spans="1:18" x14ac:dyDescent="0.2">
      <c r="A36" s="25"/>
      <c r="B36" s="25"/>
      <c r="C36" s="25" t="s">
        <v>136</v>
      </c>
      <c r="D36" s="34">
        <v>7.638399999999999</v>
      </c>
      <c r="E36" s="132"/>
      <c r="F36" s="226" t="s">
        <v>44</v>
      </c>
      <c r="G36" s="41">
        <v>17.5</v>
      </c>
      <c r="H36" s="133"/>
      <c r="I36" s="35">
        <v>133.67199999999997</v>
      </c>
      <c r="J36" s="202">
        <f t="shared" si="8"/>
        <v>0</v>
      </c>
      <c r="K36" s="225">
        <v>0</v>
      </c>
      <c r="L36" s="214"/>
      <c r="M36" s="35">
        <v>0</v>
      </c>
      <c r="N36" s="202">
        <f t="shared" si="9"/>
        <v>0</v>
      </c>
      <c r="O36" s="35">
        <v>133.67199999999997</v>
      </c>
      <c r="P36" s="202">
        <f t="shared" si="10"/>
        <v>0</v>
      </c>
      <c r="Q36" s="35">
        <v>16307.983999999997</v>
      </c>
      <c r="R36" s="202">
        <f t="shared" si="11"/>
        <v>0</v>
      </c>
    </row>
    <row r="37" spans="1:18" x14ac:dyDescent="0.2">
      <c r="A37" s="25"/>
      <c r="B37" s="25" t="s">
        <v>108</v>
      </c>
      <c r="C37" s="25"/>
      <c r="D37" s="25"/>
      <c r="E37" s="105"/>
      <c r="H37" s="105"/>
      <c r="I37" s="124"/>
      <c r="J37" s="105"/>
      <c r="K37" s="225"/>
      <c r="L37" s="105"/>
      <c r="N37" s="105"/>
      <c r="P37" s="105"/>
      <c r="R37" s="105"/>
    </row>
    <row r="38" spans="1:18" x14ac:dyDescent="0.2">
      <c r="A38" s="25"/>
      <c r="B38" s="25"/>
      <c r="C38" s="25" t="s">
        <v>105</v>
      </c>
      <c r="D38" s="25">
        <v>2.2999999999999998</v>
      </c>
      <c r="E38" s="132"/>
      <c r="F38" s="226" t="s">
        <v>44</v>
      </c>
      <c r="G38" s="41">
        <v>17.21</v>
      </c>
      <c r="H38" s="133"/>
      <c r="I38" s="35">
        <v>39.582999999999998</v>
      </c>
      <c r="J38" s="202">
        <f>E38*H38</f>
        <v>0</v>
      </c>
      <c r="K38" s="225">
        <v>0</v>
      </c>
      <c r="L38" s="214"/>
      <c r="M38" s="35">
        <v>0</v>
      </c>
      <c r="N38" s="202">
        <f>J38*L38</f>
        <v>0</v>
      </c>
      <c r="O38" s="35">
        <v>39.582999999999998</v>
      </c>
      <c r="P38" s="202">
        <f>+J38-N38</f>
        <v>0</v>
      </c>
      <c r="Q38" s="35">
        <v>4829.1260000000002</v>
      </c>
      <c r="R38" s="202">
        <f>+J38*E$7</f>
        <v>0</v>
      </c>
    </row>
    <row r="39" spans="1:18" x14ac:dyDescent="0.2">
      <c r="A39" s="25"/>
      <c r="B39" s="25"/>
      <c r="C39" s="25" t="s">
        <v>107</v>
      </c>
      <c r="D39" s="25">
        <v>0</v>
      </c>
      <c r="E39" s="132"/>
      <c r="F39" s="226" t="s">
        <v>44</v>
      </c>
      <c r="G39" s="41">
        <v>17.21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/>
      <c r="C40" s="25"/>
      <c r="D40" s="25"/>
      <c r="E40" s="209"/>
      <c r="F40" s="21"/>
      <c r="G40" s="41"/>
      <c r="H40" s="198"/>
      <c r="I40" s="35"/>
      <c r="J40" s="184"/>
      <c r="K40" s="225"/>
      <c r="L40" s="198"/>
      <c r="M40" s="35"/>
      <c r="N40" s="184"/>
      <c r="O40" s="35"/>
      <c r="P40" s="184"/>
      <c r="Q40" s="35"/>
      <c r="R40" s="184"/>
    </row>
    <row r="41" spans="1:18" x14ac:dyDescent="0.2">
      <c r="A41" s="25"/>
      <c r="B41" s="25" t="s">
        <v>51</v>
      </c>
      <c r="C41" s="25"/>
      <c r="D41" s="25"/>
      <c r="E41" s="209"/>
      <c r="F41" s="21"/>
      <c r="G41" s="41"/>
      <c r="H41" s="198"/>
      <c r="I41" s="186"/>
      <c r="J41" s="184"/>
      <c r="K41" s="225"/>
      <c r="L41" s="198"/>
      <c r="M41" s="35"/>
      <c r="N41" s="184"/>
      <c r="O41" s="35"/>
      <c r="P41" s="184"/>
      <c r="Q41" s="35"/>
      <c r="R41" s="184"/>
    </row>
    <row r="42" spans="1:18" x14ac:dyDescent="0.2">
      <c r="A42" s="25"/>
      <c r="B42" s="25"/>
      <c r="C42" s="25" t="s">
        <v>104</v>
      </c>
      <c r="D42" s="25">
        <v>1</v>
      </c>
      <c r="E42" s="132"/>
      <c r="F42" s="226" t="s">
        <v>42</v>
      </c>
      <c r="G42" s="41">
        <v>0</v>
      </c>
      <c r="H42" s="133"/>
      <c r="I42" s="35">
        <v>0</v>
      </c>
      <c r="J42" s="202">
        <f>E42*H42</f>
        <v>0</v>
      </c>
      <c r="K42" s="225">
        <v>0</v>
      </c>
      <c r="L42" s="214"/>
      <c r="M42" s="35">
        <v>0</v>
      </c>
      <c r="N42" s="202">
        <f>J42*L42</f>
        <v>0</v>
      </c>
      <c r="O42" s="35">
        <v>0</v>
      </c>
      <c r="P42" s="202">
        <f>+J42-N42</f>
        <v>0</v>
      </c>
      <c r="Q42" s="35">
        <v>0</v>
      </c>
      <c r="R42" s="202">
        <f>+J42*E$7</f>
        <v>0</v>
      </c>
    </row>
    <row r="43" spans="1:18" x14ac:dyDescent="0.2">
      <c r="A43" s="25"/>
      <c r="B43" s="25"/>
      <c r="C43" s="25" t="s">
        <v>105</v>
      </c>
      <c r="D43" s="25">
        <v>18.309999999999999</v>
      </c>
      <c r="E43" s="132"/>
      <c r="F43" s="226" t="s">
        <v>79</v>
      </c>
      <c r="G43" s="41">
        <v>3.6</v>
      </c>
      <c r="H43" s="133"/>
      <c r="I43" s="35">
        <v>65.915999999999997</v>
      </c>
      <c r="J43" s="202">
        <f>E43*H43</f>
        <v>0</v>
      </c>
      <c r="K43" s="225">
        <v>0</v>
      </c>
      <c r="L43" s="214"/>
      <c r="M43" s="35">
        <v>0</v>
      </c>
      <c r="N43" s="202">
        <f>J43*L43</f>
        <v>0</v>
      </c>
      <c r="O43" s="35">
        <v>65.915999999999997</v>
      </c>
      <c r="P43" s="202">
        <f>+J43-N43</f>
        <v>0</v>
      </c>
      <c r="Q43" s="35">
        <v>8041.7519999999995</v>
      </c>
      <c r="R43" s="202">
        <f>+J43*E$7</f>
        <v>0</v>
      </c>
    </row>
    <row r="44" spans="1:18" x14ac:dyDescent="0.2">
      <c r="A44" s="25"/>
      <c r="B44" s="25"/>
      <c r="C44" s="25"/>
      <c r="D44" s="25"/>
      <c r="E44" s="209"/>
      <c r="F44" s="21"/>
      <c r="G44" s="41"/>
      <c r="H44" s="198"/>
      <c r="I44" s="35"/>
      <c r="J44" s="184"/>
      <c r="K44" s="225"/>
      <c r="L44" s="198"/>
      <c r="M44" s="35"/>
      <c r="N44" s="184"/>
      <c r="O44" s="35"/>
      <c r="P44" s="184"/>
      <c r="Q44" s="35"/>
      <c r="R44" s="184"/>
    </row>
    <row r="45" spans="1:18" x14ac:dyDescent="0.2">
      <c r="A45" s="25"/>
      <c r="B45" s="25" t="s">
        <v>29</v>
      </c>
      <c r="C45" s="25"/>
      <c r="D45" s="25"/>
      <c r="E45" s="209"/>
      <c r="F45" s="21"/>
      <c r="G45" s="41"/>
      <c r="H45" s="198"/>
      <c r="I45" s="186"/>
      <c r="J45" s="184"/>
      <c r="K45" s="225"/>
      <c r="L45" s="198"/>
      <c r="M45" s="35"/>
      <c r="N45" s="184"/>
      <c r="O45" s="35"/>
      <c r="P45" s="184"/>
      <c r="Q45" s="35"/>
      <c r="R45" s="184"/>
    </row>
    <row r="46" spans="1:18" x14ac:dyDescent="0.2">
      <c r="A46" s="25"/>
      <c r="B46" s="25"/>
      <c r="C46" s="25" t="s">
        <v>104</v>
      </c>
      <c r="D46" s="25">
        <v>1</v>
      </c>
      <c r="E46" s="132"/>
      <c r="F46" s="226" t="s">
        <v>42</v>
      </c>
      <c r="G46" s="41">
        <v>10.131639344262295</v>
      </c>
      <c r="H46" s="133"/>
      <c r="I46" s="35">
        <v>10.131639344262295</v>
      </c>
      <c r="J46" s="202">
        <f>E46*H46</f>
        <v>0</v>
      </c>
      <c r="K46" s="225">
        <v>0</v>
      </c>
      <c r="L46" s="214"/>
      <c r="M46" s="35">
        <v>0</v>
      </c>
      <c r="N46" s="202">
        <f>J46*L46</f>
        <v>0</v>
      </c>
      <c r="O46" s="35">
        <v>10.131639344262295</v>
      </c>
      <c r="P46" s="202">
        <f>+J46-N46</f>
        <v>0</v>
      </c>
      <c r="Q46" s="35">
        <v>1236.06</v>
      </c>
      <c r="R46" s="202">
        <f>+J46*E$7</f>
        <v>0</v>
      </c>
    </row>
    <row r="47" spans="1:18" x14ac:dyDescent="0.2">
      <c r="A47" s="25"/>
      <c r="B47" s="25"/>
      <c r="C47" s="25" t="s">
        <v>105</v>
      </c>
      <c r="D47" s="25">
        <v>0</v>
      </c>
      <c r="E47" s="132"/>
      <c r="F47" s="226" t="s">
        <v>79</v>
      </c>
      <c r="G47" s="41">
        <v>3.15</v>
      </c>
      <c r="H47" s="133"/>
      <c r="I47" s="35">
        <v>0</v>
      </c>
      <c r="J47" s="202">
        <f>E47*H47</f>
        <v>0</v>
      </c>
      <c r="K47" s="225">
        <v>0</v>
      </c>
      <c r="L47" s="214"/>
      <c r="M47" s="35">
        <v>0</v>
      </c>
      <c r="N47" s="202">
        <f>J47*L47</f>
        <v>0</v>
      </c>
      <c r="O47" s="35">
        <v>0</v>
      </c>
      <c r="P47" s="202">
        <f>+J47-N47</f>
        <v>0</v>
      </c>
      <c r="Q47" s="35">
        <v>0</v>
      </c>
      <c r="R47" s="202">
        <f>+J47*E$7</f>
        <v>0</v>
      </c>
    </row>
    <row r="48" spans="1:18" x14ac:dyDescent="0.2">
      <c r="A48" s="25"/>
      <c r="B48" s="25"/>
      <c r="C48" s="25"/>
      <c r="D48" s="25"/>
      <c r="E48" s="209"/>
      <c r="F48" s="21"/>
      <c r="G48" s="41"/>
      <c r="H48" s="198"/>
      <c r="I48" s="35"/>
      <c r="J48" s="184"/>
      <c r="K48" s="225"/>
      <c r="L48" s="198"/>
      <c r="M48" s="35"/>
      <c r="N48" s="184"/>
      <c r="O48" s="35"/>
      <c r="P48" s="184"/>
      <c r="Q48" s="35"/>
      <c r="R48" s="184"/>
    </row>
    <row r="49" spans="1:18" x14ac:dyDescent="0.2">
      <c r="A49" s="25"/>
      <c r="B49" s="25" t="s">
        <v>47</v>
      </c>
      <c r="C49" s="25"/>
      <c r="D49" s="25"/>
      <c r="E49" s="209"/>
      <c r="F49" s="21"/>
      <c r="G49" s="41"/>
      <c r="H49" s="199"/>
      <c r="I49" s="186"/>
      <c r="J49" s="184"/>
      <c r="K49" s="225"/>
      <c r="L49" s="199"/>
      <c r="M49" s="35"/>
      <c r="N49" s="184"/>
      <c r="O49" s="35"/>
      <c r="P49" s="184"/>
      <c r="Q49" s="35"/>
      <c r="R49" s="184"/>
    </row>
    <row r="50" spans="1:18" x14ac:dyDescent="0.2">
      <c r="A50" s="25"/>
      <c r="B50" s="25"/>
      <c r="C50" s="25" t="s">
        <v>104</v>
      </c>
      <c r="D50" s="25">
        <v>1</v>
      </c>
      <c r="E50" s="132"/>
      <c r="F50" s="226" t="s">
        <v>42</v>
      </c>
      <c r="G50" s="41">
        <v>1.6081967213114756</v>
      </c>
      <c r="H50" s="133"/>
      <c r="I50" s="35">
        <v>1.6081967213114756</v>
      </c>
      <c r="J50" s="202">
        <f t="shared" ref="J50:J55" si="12">E50*H50</f>
        <v>0</v>
      </c>
      <c r="K50" s="225">
        <v>0</v>
      </c>
      <c r="L50" s="214"/>
      <c r="M50" s="35">
        <v>0</v>
      </c>
      <c r="N50" s="202">
        <f t="shared" ref="N50:N55" si="13">J50*L50</f>
        <v>0</v>
      </c>
      <c r="O50" s="35">
        <v>1.6081967213114756</v>
      </c>
      <c r="P50" s="202">
        <f t="shared" ref="P50:P55" si="14">+J50-N50</f>
        <v>0</v>
      </c>
      <c r="Q50" s="35">
        <v>196.20000000000002</v>
      </c>
      <c r="R50" s="202">
        <f t="shared" ref="R50:R55" si="15">+J50*E$7</f>
        <v>0</v>
      </c>
    </row>
    <row r="51" spans="1:18" x14ac:dyDescent="0.2">
      <c r="A51" s="25"/>
      <c r="B51" s="25"/>
      <c r="C51" s="25" t="s">
        <v>46</v>
      </c>
      <c r="D51" s="25">
        <v>1</v>
      </c>
      <c r="E51" s="132"/>
      <c r="F51" s="226" t="s">
        <v>42</v>
      </c>
      <c r="G51" s="41">
        <v>5.5786959999999999</v>
      </c>
      <c r="H51" s="133"/>
      <c r="I51" s="35">
        <v>5.5786959999999999</v>
      </c>
      <c r="J51" s="202">
        <f t="shared" si="12"/>
        <v>0</v>
      </c>
      <c r="K51" s="225">
        <v>0</v>
      </c>
      <c r="L51" s="214"/>
      <c r="M51" s="35">
        <v>0</v>
      </c>
      <c r="N51" s="202">
        <f t="shared" si="13"/>
        <v>0</v>
      </c>
      <c r="O51" s="35">
        <v>5.5786959999999999</v>
      </c>
      <c r="P51" s="202">
        <f t="shared" si="14"/>
        <v>0</v>
      </c>
      <c r="Q51" s="35">
        <v>680.60091199999999</v>
      </c>
      <c r="R51" s="202">
        <f t="shared" si="15"/>
        <v>0</v>
      </c>
    </row>
    <row r="52" spans="1:18" x14ac:dyDescent="0.2">
      <c r="A52" s="25"/>
      <c r="B52" s="25"/>
      <c r="C52" s="25" t="s">
        <v>105</v>
      </c>
      <c r="D52" s="25">
        <v>1</v>
      </c>
      <c r="E52" s="132"/>
      <c r="F52" s="226" t="s">
        <v>42</v>
      </c>
      <c r="G52" s="41">
        <v>47.819392943008616</v>
      </c>
      <c r="H52" s="133"/>
      <c r="I52" s="35">
        <v>47.819392943008616</v>
      </c>
      <c r="J52" s="202">
        <f t="shared" si="12"/>
        <v>0</v>
      </c>
      <c r="K52" s="225">
        <v>0</v>
      </c>
      <c r="L52" s="214"/>
      <c r="M52" s="35">
        <v>0</v>
      </c>
      <c r="N52" s="202">
        <f t="shared" si="13"/>
        <v>0</v>
      </c>
      <c r="O52" s="35">
        <v>47.819392943008616</v>
      </c>
      <c r="P52" s="202">
        <f t="shared" si="14"/>
        <v>0</v>
      </c>
      <c r="Q52" s="35">
        <v>5833.9659390470515</v>
      </c>
      <c r="R52" s="202">
        <f t="shared" si="15"/>
        <v>0</v>
      </c>
    </row>
    <row r="53" spans="1:18" x14ac:dyDescent="0.2">
      <c r="A53" s="25"/>
      <c r="B53" s="25"/>
      <c r="C53" s="25" t="s">
        <v>4</v>
      </c>
      <c r="D53" s="25">
        <v>1</v>
      </c>
      <c r="E53" s="132"/>
      <c r="F53" s="226" t="s">
        <v>42</v>
      </c>
      <c r="G53" s="41">
        <v>26.462337896124087</v>
      </c>
      <c r="H53" s="133"/>
      <c r="I53" s="35">
        <v>26.462337896124087</v>
      </c>
      <c r="J53" s="202">
        <f t="shared" si="12"/>
        <v>0</v>
      </c>
      <c r="K53" s="225">
        <v>0</v>
      </c>
      <c r="L53" s="214"/>
      <c r="M53" s="35">
        <v>0</v>
      </c>
      <c r="N53" s="202">
        <f t="shared" si="13"/>
        <v>0</v>
      </c>
      <c r="O53" s="35">
        <v>26.462337896124087</v>
      </c>
      <c r="P53" s="202">
        <f t="shared" si="14"/>
        <v>0</v>
      </c>
      <c r="Q53" s="35">
        <v>3228.4052233271386</v>
      </c>
      <c r="R53" s="202">
        <f t="shared" si="15"/>
        <v>0</v>
      </c>
    </row>
    <row r="54" spans="1:18" x14ac:dyDescent="0.2">
      <c r="A54" s="25"/>
      <c r="B54" s="133"/>
      <c r="C54" s="133"/>
      <c r="D54" s="25"/>
      <c r="E54" s="132"/>
      <c r="F54" s="226"/>
      <c r="G54" s="41"/>
      <c r="H54" s="133"/>
      <c r="I54" s="35">
        <v>0</v>
      </c>
      <c r="J54" s="202">
        <f t="shared" si="12"/>
        <v>0</v>
      </c>
      <c r="K54" s="225">
        <v>0</v>
      </c>
      <c r="L54" s="214"/>
      <c r="M54" s="35">
        <v>0</v>
      </c>
      <c r="N54" s="202">
        <f t="shared" si="13"/>
        <v>0</v>
      </c>
      <c r="O54" s="35">
        <v>0</v>
      </c>
      <c r="P54" s="202">
        <f t="shared" si="14"/>
        <v>0</v>
      </c>
      <c r="Q54" s="35">
        <v>0</v>
      </c>
      <c r="R54" s="202">
        <f t="shared" si="15"/>
        <v>0</v>
      </c>
    </row>
    <row r="55" spans="1:18" x14ac:dyDescent="0.2">
      <c r="A55" s="25"/>
      <c r="B55" s="133"/>
      <c r="C55" s="133"/>
      <c r="D55" s="25"/>
      <c r="E55" s="132"/>
      <c r="F55" s="226"/>
      <c r="G55" s="41"/>
      <c r="H55" s="133"/>
      <c r="I55" s="35">
        <v>0</v>
      </c>
      <c r="J55" s="202">
        <f t="shared" si="12"/>
        <v>0</v>
      </c>
      <c r="K55" s="225">
        <v>0</v>
      </c>
      <c r="L55" s="214"/>
      <c r="M55" s="35">
        <v>0</v>
      </c>
      <c r="N55" s="202">
        <f t="shared" si="13"/>
        <v>0</v>
      </c>
      <c r="O55" s="35">
        <v>0</v>
      </c>
      <c r="P55" s="202">
        <f t="shared" si="14"/>
        <v>0</v>
      </c>
      <c r="Q55" s="35">
        <v>0</v>
      </c>
      <c r="R55" s="202">
        <f t="shared" si="15"/>
        <v>0</v>
      </c>
    </row>
    <row r="56" spans="1:18" ht="13.5" thickBot="1" x14ac:dyDescent="0.25">
      <c r="A56" s="25"/>
      <c r="B56" s="25" t="s">
        <v>32</v>
      </c>
      <c r="C56" s="25"/>
      <c r="D56" s="25"/>
      <c r="E56" s="197"/>
      <c r="F56" s="21"/>
      <c r="G56" s="39">
        <v>0.08</v>
      </c>
      <c r="H56" s="215"/>
      <c r="I56" s="42">
        <v>52.534973391793521</v>
      </c>
      <c r="J56" s="202">
        <f>+SUM(J17:J55)/2*H56</f>
        <v>0</v>
      </c>
      <c r="K56" s="86"/>
      <c r="L56" s="137"/>
      <c r="M56" s="42">
        <v>0</v>
      </c>
      <c r="N56" s="202">
        <f>+SUM(N17:N55)/2*L56</f>
        <v>0</v>
      </c>
      <c r="O56" s="42">
        <v>52.534973391793521</v>
      </c>
      <c r="P56" s="202">
        <f>+SUM(P17:P55)/2*L56</f>
        <v>0</v>
      </c>
      <c r="Q56" s="42">
        <v>6409.26675379881</v>
      </c>
      <c r="R56" s="184">
        <f>+J56*E$7</f>
        <v>0</v>
      </c>
    </row>
    <row r="57" spans="1:18" ht="13.5" thickBot="1" x14ac:dyDescent="0.25">
      <c r="A57" s="25" t="s">
        <v>33</v>
      </c>
      <c r="B57" s="25"/>
      <c r="C57" s="25"/>
      <c r="D57" s="25"/>
      <c r="E57" s="200"/>
      <c r="F57" s="25"/>
      <c r="G57" s="25"/>
      <c r="H57" s="197"/>
      <c r="I57" s="87">
        <v>3686.2117362964991</v>
      </c>
      <c r="J57" s="204">
        <f>SUM(J18:J56)</f>
        <v>0</v>
      </c>
      <c r="K57" s="35"/>
      <c r="L57" s="195"/>
      <c r="M57" s="87">
        <v>0</v>
      </c>
      <c r="N57" s="204">
        <f>SUM(N18:N56)</f>
        <v>0</v>
      </c>
      <c r="O57" s="87">
        <v>3686.2117362964991</v>
      </c>
      <c r="P57" s="204">
        <f>SUM(P18:P56)</f>
        <v>0</v>
      </c>
      <c r="Q57" s="87">
        <v>449717.83182817296</v>
      </c>
      <c r="R57" s="204">
        <f>SUM(R18:R56)</f>
        <v>0</v>
      </c>
    </row>
    <row r="58" spans="1:18" ht="13.5" thickTop="1" x14ac:dyDescent="0.2">
      <c r="A58" s="25" t="s">
        <v>34</v>
      </c>
      <c r="B58" s="25"/>
      <c r="C58" s="25"/>
      <c r="D58" s="25"/>
      <c r="E58" s="200"/>
      <c r="F58" s="25"/>
      <c r="G58" s="25"/>
      <c r="H58" s="197"/>
      <c r="I58" s="35">
        <v>1513.7882637035009</v>
      </c>
      <c r="J58" s="202">
        <f>+J13-J57</f>
        <v>0</v>
      </c>
      <c r="K58" s="35"/>
      <c r="L58" s="195"/>
      <c r="M58" s="35">
        <v>0</v>
      </c>
      <c r="N58" s="202">
        <f>+N13-N57</f>
        <v>0</v>
      </c>
      <c r="O58" s="35">
        <v>1513.7882637035009</v>
      </c>
      <c r="P58" s="202">
        <f>+P13-P57</f>
        <v>0</v>
      </c>
      <c r="Q58" s="35">
        <v>184682.16817182704</v>
      </c>
      <c r="R58" s="202">
        <f>+R13-R57</f>
        <v>0</v>
      </c>
    </row>
    <row r="59" spans="1:18" x14ac:dyDescent="0.2">
      <c r="A59" s="25"/>
      <c r="B59" s="25" t="s">
        <v>35</v>
      </c>
      <c r="C59" s="25"/>
      <c r="D59" s="25"/>
      <c r="E59" s="210"/>
      <c r="F59" s="17"/>
      <c r="G59" s="40">
        <v>5.671094978917691</v>
      </c>
      <c r="H59" s="210" t="str">
        <f>IF(E10=0,"n/a",(YVarExp-(YTotExp+YTotRet-J10))/E10)</f>
        <v>n/a</v>
      </c>
      <c r="I59" s="25" t="s">
        <v>142</v>
      </c>
      <c r="J59" s="184"/>
      <c r="K59" s="25"/>
      <c r="L59" s="197"/>
      <c r="M59" s="25"/>
      <c r="N59" s="184"/>
      <c r="O59" s="25"/>
      <c r="P59" s="184"/>
      <c r="Q59" s="25"/>
      <c r="R59" s="184"/>
    </row>
    <row r="60" spans="1:18" x14ac:dyDescent="0.2">
      <c r="A60" s="25"/>
      <c r="B60" s="25"/>
      <c r="C60" s="25"/>
      <c r="D60" s="25"/>
      <c r="E60" s="178"/>
      <c r="F60" s="25"/>
      <c r="G60" s="25"/>
      <c r="H60" s="211"/>
      <c r="I60" s="25"/>
      <c r="J60" s="184"/>
      <c r="K60" s="25"/>
      <c r="L60" s="197"/>
      <c r="M60" s="25"/>
      <c r="N60" s="184"/>
      <c r="O60" s="25"/>
      <c r="P60" s="184"/>
      <c r="Q60" s="22" t="s">
        <v>19</v>
      </c>
      <c r="R60" s="184" t="s">
        <v>19</v>
      </c>
    </row>
    <row r="61" spans="1:18" x14ac:dyDescent="0.2">
      <c r="A61" s="23" t="s">
        <v>36</v>
      </c>
      <c r="B61" s="23"/>
      <c r="C61" s="23"/>
      <c r="D61" s="24" t="s">
        <v>2</v>
      </c>
      <c r="E61" s="196" t="s">
        <v>2</v>
      </c>
      <c r="F61" s="24" t="s">
        <v>21</v>
      </c>
      <c r="G61" s="24" t="s">
        <v>22</v>
      </c>
      <c r="H61" s="196" t="s">
        <v>22</v>
      </c>
      <c r="I61" s="24" t="s">
        <v>11</v>
      </c>
      <c r="J61" s="196" t="s">
        <v>11</v>
      </c>
      <c r="K61" s="24" t="s">
        <v>10</v>
      </c>
      <c r="L61" s="196" t="s">
        <v>10</v>
      </c>
      <c r="M61" s="24" t="s">
        <v>9</v>
      </c>
      <c r="N61" s="196" t="s">
        <v>9</v>
      </c>
      <c r="O61" s="24" t="s">
        <v>8</v>
      </c>
      <c r="P61" s="196" t="s">
        <v>8</v>
      </c>
      <c r="Q61" s="24" t="s">
        <v>11</v>
      </c>
      <c r="R61" s="208" t="s">
        <v>11</v>
      </c>
    </row>
    <row r="62" spans="1:18" x14ac:dyDescent="0.2">
      <c r="A62" s="25"/>
      <c r="B62" s="25" t="s">
        <v>106</v>
      </c>
      <c r="C62" s="25"/>
      <c r="D62" s="25"/>
      <c r="E62" s="178"/>
      <c r="F62" s="25"/>
      <c r="G62" s="25"/>
      <c r="H62" s="211"/>
      <c r="I62" s="186"/>
      <c r="J62" s="184"/>
      <c r="K62" s="225"/>
      <c r="L62" s="197"/>
      <c r="M62" s="25"/>
      <c r="N62" s="184"/>
      <c r="O62" s="25"/>
      <c r="P62" s="184"/>
      <c r="Q62" s="25"/>
      <c r="R62" s="184"/>
    </row>
    <row r="63" spans="1:18" x14ac:dyDescent="0.2">
      <c r="A63" s="25"/>
      <c r="B63" s="25"/>
      <c r="C63" s="25" t="s">
        <v>104</v>
      </c>
      <c r="D63" s="25">
        <v>1</v>
      </c>
      <c r="E63" s="132"/>
      <c r="F63" s="226" t="s">
        <v>42</v>
      </c>
      <c r="G63" s="41">
        <v>6.0307377049180326</v>
      </c>
      <c r="H63" s="133"/>
      <c r="I63" s="35">
        <v>6.0307377049180326</v>
      </c>
      <c r="J63" s="202">
        <f t="shared" ref="J63:J66" si="16">E63*H63</f>
        <v>0</v>
      </c>
      <c r="K63" s="225">
        <v>0</v>
      </c>
      <c r="L63" s="214"/>
      <c r="M63" s="35">
        <v>0</v>
      </c>
      <c r="N63" s="202">
        <f>J63*L63</f>
        <v>0</v>
      </c>
      <c r="O63" s="35">
        <v>6.0307377049180326</v>
      </c>
      <c r="P63" s="202">
        <f t="shared" ref="P63:P66" si="17">+J63-N63</f>
        <v>0</v>
      </c>
      <c r="Q63" s="35">
        <v>735.75</v>
      </c>
      <c r="R63" s="202">
        <f t="shared" ref="R63:R66" si="18">+J63*E$7</f>
        <v>0</v>
      </c>
    </row>
    <row r="64" spans="1:18" x14ac:dyDescent="0.2">
      <c r="A64" s="25"/>
      <c r="B64" s="25"/>
      <c r="C64" s="25" t="s">
        <v>46</v>
      </c>
      <c r="D64" s="25">
        <v>1</v>
      </c>
      <c r="E64" s="132"/>
      <c r="F64" s="226" t="s">
        <v>42</v>
      </c>
      <c r="G64" s="41">
        <v>21.584699453551913</v>
      </c>
      <c r="H64" s="133"/>
      <c r="I64" s="35">
        <v>21.584699453551913</v>
      </c>
      <c r="J64" s="202">
        <f t="shared" si="16"/>
        <v>0</v>
      </c>
      <c r="K64" s="225">
        <v>0</v>
      </c>
      <c r="L64" s="214"/>
      <c r="M64" s="35">
        <v>0</v>
      </c>
      <c r="N64" s="202">
        <f>J64*L64</f>
        <v>0</v>
      </c>
      <c r="O64" s="35">
        <v>21.584699453551913</v>
      </c>
      <c r="P64" s="202">
        <f t="shared" si="17"/>
        <v>0</v>
      </c>
      <c r="Q64" s="35">
        <v>2633.3333333333335</v>
      </c>
      <c r="R64" s="202">
        <f t="shared" si="18"/>
        <v>0</v>
      </c>
    </row>
    <row r="65" spans="1:18" x14ac:dyDescent="0.2">
      <c r="A65" s="25"/>
      <c r="B65" s="25"/>
      <c r="C65" s="25" t="s">
        <v>105</v>
      </c>
      <c r="D65" s="25">
        <v>1</v>
      </c>
      <c r="E65" s="132"/>
      <c r="F65" s="226" t="s">
        <v>42</v>
      </c>
      <c r="G65" s="41">
        <v>49.413372707775572</v>
      </c>
      <c r="H65" s="133"/>
      <c r="I65" s="35">
        <v>49.413372707775572</v>
      </c>
      <c r="J65" s="202">
        <f t="shared" si="16"/>
        <v>0</v>
      </c>
      <c r="K65" s="225">
        <v>0</v>
      </c>
      <c r="L65" s="214"/>
      <c r="M65" s="35">
        <v>0</v>
      </c>
      <c r="N65" s="202">
        <f>J65*L65</f>
        <v>0</v>
      </c>
      <c r="O65" s="35">
        <v>49.413372707775572</v>
      </c>
      <c r="P65" s="202">
        <f t="shared" si="17"/>
        <v>0</v>
      </c>
      <c r="Q65" s="35">
        <v>6028.4314703486198</v>
      </c>
      <c r="R65" s="202">
        <f t="shared" si="18"/>
        <v>0</v>
      </c>
    </row>
    <row r="66" spans="1:18" x14ac:dyDescent="0.2">
      <c r="A66" s="25"/>
      <c r="B66" s="25"/>
      <c r="C66" s="25" t="s">
        <v>4</v>
      </c>
      <c r="D66" s="25">
        <v>1</v>
      </c>
      <c r="E66" s="132"/>
      <c r="F66" s="226" t="s">
        <v>42</v>
      </c>
      <c r="G66" s="41">
        <v>31.989262947174105</v>
      </c>
      <c r="H66" s="133"/>
      <c r="I66" s="35">
        <v>31.989262947174105</v>
      </c>
      <c r="J66" s="202">
        <f t="shared" si="16"/>
        <v>0</v>
      </c>
      <c r="K66" s="225">
        <v>0</v>
      </c>
      <c r="L66" s="214"/>
      <c r="M66" s="35">
        <v>0</v>
      </c>
      <c r="N66" s="202">
        <f>J66*L66</f>
        <v>0</v>
      </c>
      <c r="O66" s="35">
        <v>31.989262947174105</v>
      </c>
      <c r="P66" s="202">
        <f t="shared" si="17"/>
        <v>0</v>
      </c>
      <c r="Q66" s="35">
        <v>3902.6900795552406</v>
      </c>
      <c r="R66" s="202">
        <f t="shared" si="18"/>
        <v>0</v>
      </c>
    </row>
    <row r="67" spans="1:18" x14ac:dyDescent="0.2">
      <c r="A67" s="25"/>
      <c r="B67" s="25" t="s">
        <v>89</v>
      </c>
      <c r="C67" s="25"/>
      <c r="D67" s="25"/>
      <c r="E67" s="197"/>
      <c r="F67" s="21"/>
      <c r="G67" s="41"/>
      <c r="H67" s="197"/>
      <c r="I67" s="186"/>
      <c r="J67" s="184"/>
      <c r="K67" s="225"/>
      <c r="L67" s="197"/>
      <c r="M67" s="35"/>
      <c r="N67" s="184"/>
      <c r="O67" s="35"/>
      <c r="P67" s="184"/>
      <c r="Q67" s="35"/>
      <c r="R67" s="184"/>
    </row>
    <row r="68" spans="1:18" x14ac:dyDescent="0.2">
      <c r="A68" s="25"/>
      <c r="B68" s="25"/>
      <c r="C68" s="25" t="s">
        <v>104</v>
      </c>
      <c r="D68" s="41">
        <v>25.128073770491802</v>
      </c>
      <c r="E68" s="132"/>
      <c r="F68" s="226" t="s">
        <v>100</v>
      </c>
      <c r="G68" s="39">
        <v>0.08</v>
      </c>
      <c r="H68" s="215"/>
      <c r="I68" s="35">
        <v>2.0102459016393444</v>
      </c>
      <c r="J68" s="202">
        <f t="shared" ref="J68:J78" si="19">E68*H68</f>
        <v>0</v>
      </c>
      <c r="K68" s="225">
        <v>0</v>
      </c>
      <c r="L68" s="214"/>
      <c r="M68" s="35">
        <v>0</v>
      </c>
      <c r="N68" s="202">
        <f>J68*L68</f>
        <v>0</v>
      </c>
      <c r="O68" s="35">
        <v>2.0102459016393444</v>
      </c>
      <c r="P68" s="202">
        <f t="shared" ref="P68:P71" si="20">+J68-N68</f>
        <v>0</v>
      </c>
      <c r="Q68" s="35">
        <v>245.25</v>
      </c>
      <c r="R68" s="202">
        <f t="shared" ref="R68:R71" si="21">+J68*E$7</f>
        <v>0</v>
      </c>
    </row>
    <row r="69" spans="1:18" x14ac:dyDescent="0.2">
      <c r="A69" s="25"/>
      <c r="B69" s="25"/>
      <c r="C69" s="25" t="s">
        <v>46</v>
      </c>
      <c r="D69" s="41">
        <v>161.88524590163934</v>
      </c>
      <c r="E69" s="132"/>
      <c r="F69" s="226" t="s">
        <v>100</v>
      </c>
      <c r="G69" s="39">
        <v>0.08</v>
      </c>
      <c r="H69" s="215"/>
      <c r="I69" s="35">
        <v>12.950819672131146</v>
      </c>
      <c r="J69" s="202">
        <f t="shared" si="19"/>
        <v>0</v>
      </c>
      <c r="K69" s="225">
        <v>0</v>
      </c>
      <c r="L69" s="214"/>
      <c r="M69" s="35">
        <v>0</v>
      </c>
      <c r="N69" s="202">
        <f>J69*L69</f>
        <v>0</v>
      </c>
      <c r="O69" s="35">
        <v>12.950819672131146</v>
      </c>
      <c r="P69" s="202">
        <f t="shared" si="20"/>
        <v>0</v>
      </c>
      <c r="Q69" s="35">
        <v>1579.9999999999998</v>
      </c>
      <c r="R69" s="202">
        <f t="shared" si="21"/>
        <v>0</v>
      </c>
    </row>
    <row r="70" spans="1:18" x14ac:dyDescent="0.2">
      <c r="A70" s="25"/>
      <c r="B70" s="25"/>
      <c r="C70" s="25" t="s">
        <v>105</v>
      </c>
      <c r="D70" s="41">
        <v>384.94611319121924</v>
      </c>
      <c r="E70" s="132"/>
      <c r="F70" s="226" t="s">
        <v>100</v>
      </c>
      <c r="G70" s="39">
        <v>0.08</v>
      </c>
      <c r="H70" s="215"/>
      <c r="I70" s="35">
        <v>30.79568905529754</v>
      </c>
      <c r="J70" s="202">
        <f t="shared" si="19"/>
        <v>0</v>
      </c>
      <c r="K70" s="225">
        <v>0</v>
      </c>
      <c r="L70" s="214"/>
      <c r="M70" s="35">
        <v>0</v>
      </c>
      <c r="N70" s="202">
        <f>J70*L70</f>
        <v>0</v>
      </c>
      <c r="O70" s="35">
        <v>30.79568905529754</v>
      </c>
      <c r="P70" s="202">
        <f t="shared" si="20"/>
        <v>0</v>
      </c>
      <c r="Q70" s="35">
        <v>3757.0740647462999</v>
      </c>
      <c r="R70" s="202">
        <f t="shared" si="21"/>
        <v>0</v>
      </c>
    </row>
    <row r="71" spans="1:18" x14ac:dyDescent="0.2">
      <c r="A71" s="25"/>
      <c r="B71" s="25"/>
      <c r="C71" s="25" t="s">
        <v>4</v>
      </c>
      <c r="D71" s="41">
        <v>136.84295816291146</v>
      </c>
      <c r="E71" s="132"/>
      <c r="F71" s="226" t="s">
        <v>100</v>
      </c>
      <c r="G71" s="39">
        <v>0.08</v>
      </c>
      <c r="H71" s="215"/>
      <c r="I71" s="35">
        <v>10.947436653032916</v>
      </c>
      <c r="J71" s="202">
        <f t="shared" si="19"/>
        <v>0</v>
      </c>
      <c r="K71" s="225">
        <v>0</v>
      </c>
      <c r="L71" s="214"/>
      <c r="M71" s="35">
        <v>0</v>
      </c>
      <c r="N71" s="202">
        <f>J71*L71</f>
        <v>0</v>
      </c>
      <c r="O71" s="35">
        <v>10.947436653032916</v>
      </c>
      <c r="P71" s="202">
        <f t="shared" si="20"/>
        <v>0</v>
      </c>
      <c r="Q71" s="35">
        <v>1335.5872716700158</v>
      </c>
      <c r="R71" s="202">
        <f t="shared" si="21"/>
        <v>0</v>
      </c>
    </row>
    <row r="72" spans="1:18" x14ac:dyDescent="0.2">
      <c r="A72" s="25"/>
      <c r="B72" s="25" t="s">
        <v>156</v>
      </c>
      <c r="C72" s="25"/>
      <c r="D72" s="25">
        <v>1</v>
      </c>
      <c r="E72" s="132"/>
      <c r="F72" s="226" t="s">
        <v>42</v>
      </c>
      <c r="G72" s="41">
        <v>0</v>
      </c>
      <c r="H72" s="133"/>
      <c r="I72" s="35">
        <v>0</v>
      </c>
      <c r="J72" s="202">
        <f t="shared" si="19"/>
        <v>0</v>
      </c>
      <c r="K72" s="225">
        <v>0</v>
      </c>
      <c r="L72" s="214"/>
      <c r="M72" s="35">
        <v>0</v>
      </c>
      <c r="N72" s="202">
        <f t="shared" ref="N72:N79" si="22">J72*L72</f>
        <v>0</v>
      </c>
      <c r="O72" s="35">
        <v>0</v>
      </c>
      <c r="P72" s="202">
        <f t="shared" ref="P72:P79" si="23">+J72-N72</f>
        <v>0</v>
      </c>
      <c r="Q72" s="35">
        <v>0</v>
      </c>
      <c r="R72" s="202">
        <f t="shared" ref="R72:R79" si="24">+J72*E$7</f>
        <v>0</v>
      </c>
    </row>
    <row r="73" spans="1:18" x14ac:dyDescent="0.2">
      <c r="A73" s="25"/>
      <c r="B73" s="25" t="s">
        <v>152</v>
      </c>
      <c r="C73" s="25"/>
      <c r="D73" s="25">
        <v>1</v>
      </c>
      <c r="E73" s="132"/>
      <c r="F73" s="226" t="s">
        <v>42</v>
      </c>
      <c r="G73" s="41">
        <v>0</v>
      </c>
      <c r="H73" s="133"/>
      <c r="I73" s="35">
        <v>0</v>
      </c>
      <c r="J73" s="202">
        <f t="shared" si="19"/>
        <v>0</v>
      </c>
      <c r="K73" s="225">
        <v>0</v>
      </c>
      <c r="L73" s="214"/>
      <c r="M73" s="35">
        <v>0</v>
      </c>
      <c r="N73" s="202">
        <f t="shared" si="22"/>
        <v>0</v>
      </c>
      <c r="O73" s="35">
        <v>0</v>
      </c>
      <c r="P73" s="202">
        <f t="shared" si="23"/>
        <v>0</v>
      </c>
      <c r="Q73" s="35">
        <v>0</v>
      </c>
      <c r="R73" s="202">
        <f t="shared" si="24"/>
        <v>0</v>
      </c>
    </row>
    <row r="74" spans="1:18" x14ac:dyDescent="0.2">
      <c r="A74" s="25"/>
      <c r="B74" s="25" t="s">
        <v>137</v>
      </c>
      <c r="C74" s="25"/>
      <c r="D74" s="25">
        <v>1</v>
      </c>
      <c r="E74" s="132"/>
      <c r="F74" s="226" t="s">
        <v>42</v>
      </c>
      <c r="G74" s="41">
        <v>0</v>
      </c>
      <c r="H74" s="133"/>
      <c r="I74" s="35">
        <v>0</v>
      </c>
      <c r="J74" s="202">
        <f t="shared" si="19"/>
        <v>0</v>
      </c>
      <c r="K74" s="225">
        <v>0</v>
      </c>
      <c r="L74" s="214"/>
      <c r="M74" s="35">
        <v>0</v>
      </c>
      <c r="N74" s="202">
        <f t="shared" si="22"/>
        <v>0</v>
      </c>
      <c r="O74" s="35">
        <v>0</v>
      </c>
      <c r="P74" s="202">
        <f t="shared" si="23"/>
        <v>0</v>
      </c>
      <c r="Q74" s="35">
        <v>0</v>
      </c>
      <c r="R74" s="202">
        <f t="shared" si="24"/>
        <v>0</v>
      </c>
    </row>
    <row r="75" spans="1:18" x14ac:dyDescent="0.2">
      <c r="A75" s="25"/>
      <c r="B75" s="25" t="s">
        <v>453</v>
      </c>
      <c r="C75" s="25"/>
      <c r="D75" s="25">
        <v>1</v>
      </c>
      <c r="E75" s="132"/>
      <c r="F75" s="226" t="s">
        <v>42</v>
      </c>
      <c r="G75" s="41">
        <v>50</v>
      </c>
      <c r="H75" s="133"/>
      <c r="I75" s="35">
        <v>50</v>
      </c>
      <c r="J75" s="202">
        <f t="shared" si="19"/>
        <v>0</v>
      </c>
      <c r="K75" s="225">
        <v>0</v>
      </c>
      <c r="L75" s="214"/>
      <c r="M75" s="35">
        <v>0</v>
      </c>
      <c r="N75" s="202">
        <f t="shared" si="22"/>
        <v>0</v>
      </c>
      <c r="O75" s="35">
        <v>50</v>
      </c>
      <c r="P75" s="202">
        <f t="shared" si="23"/>
        <v>0</v>
      </c>
      <c r="Q75" s="35">
        <v>6100</v>
      </c>
      <c r="R75" s="202">
        <f t="shared" si="24"/>
        <v>0</v>
      </c>
    </row>
    <row r="76" spans="1:18" x14ac:dyDescent="0.2">
      <c r="A76" s="25"/>
      <c r="B76" s="25" t="s">
        <v>159</v>
      </c>
      <c r="C76" s="25"/>
      <c r="D76" s="25">
        <v>1</v>
      </c>
      <c r="E76" s="132"/>
      <c r="F76" s="226" t="s">
        <v>42</v>
      </c>
      <c r="G76" s="41">
        <v>0</v>
      </c>
      <c r="H76" s="133"/>
      <c r="I76" s="35">
        <v>0</v>
      </c>
      <c r="J76" s="202">
        <f t="shared" si="19"/>
        <v>0</v>
      </c>
      <c r="K76" s="225">
        <v>0</v>
      </c>
      <c r="L76" s="214"/>
      <c r="M76" s="35">
        <v>0</v>
      </c>
      <c r="N76" s="202">
        <f t="shared" si="22"/>
        <v>0</v>
      </c>
      <c r="O76" s="35">
        <v>0</v>
      </c>
      <c r="P76" s="202">
        <f t="shared" si="23"/>
        <v>0</v>
      </c>
      <c r="Q76" s="35">
        <v>0</v>
      </c>
      <c r="R76" s="202">
        <f t="shared" si="24"/>
        <v>0</v>
      </c>
    </row>
    <row r="77" spans="1:18" x14ac:dyDescent="0.2">
      <c r="A77" s="25"/>
      <c r="B77" s="25" t="s">
        <v>160</v>
      </c>
      <c r="C77" s="25"/>
      <c r="D77" s="25">
        <v>1</v>
      </c>
      <c r="E77" s="132"/>
      <c r="F77" s="226" t="s">
        <v>42</v>
      </c>
      <c r="G77" s="41">
        <v>0</v>
      </c>
      <c r="H77" s="133"/>
      <c r="I77" s="35">
        <v>0</v>
      </c>
      <c r="J77" s="202">
        <f t="shared" si="19"/>
        <v>0</v>
      </c>
      <c r="K77" s="225">
        <v>0</v>
      </c>
      <c r="L77" s="214"/>
      <c r="M77" s="35">
        <v>0</v>
      </c>
      <c r="N77" s="202">
        <f t="shared" si="22"/>
        <v>0</v>
      </c>
      <c r="O77" s="35">
        <v>0</v>
      </c>
      <c r="P77" s="202">
        <f t="shared" si="23"/>
        <v>0</v>
      </c>
      <c r="Q77" s="35">
        <v>0</v>
      </c>
      <c r="R77" s="202">
        <f t="shared" si="24"/>
        <v>0</v>
      </c>
    </row>
    <row r="78" spans="1:18" x14ac:dyDescent="0.2">
      <c r="A78" s="25"/>
      <c r="B78" s="133"/>
      <c r="C78" s="133"/>
      <c r="D78" s="25">
        <v>1</v>
      </c>
      <c r="E78" s="132"/>
      <c r="F78" s="226"/>
      <c r="G78" s="41">
        <v>0</v>
      </c>
      <c r="H78" s="133"/>
      <c r="I78" s="35">
        <v>0</v>
      </c>
      <c r="J78" s="202">
        <f t="shared" si="19"/>
        <v>0</v>
      </c>
      <c r="K78" s="225">
        <v>0</v>
      </c>
      <c r="L78" s="214"/>
      <c r="M78" s="35">
        <v>0</v>
      </c>
      <c r="N78" s="202">
        <f t="shared" si="22"/>
        <v>0</v>
      </c>
      <c r="O78" s="35">
        <v>0</v>
      </c>
      <c r="P78" s="202">
        <f t="shared" si="23"/>
        <v>0</v>
      </c>
      <c r="Q78" s="35">
        <v>0</v>
      </c>
      <c r="R78" s="202">
        <f t="shared" si="24"/>
        <v>0</v>
      </c>
    </row>
    <row r="79" spans="1:18" ht="13.5" thickBot="1" x14ac:dyDescent="0.25">
      <c r="A79" s="25"/>
      <c r="B79" s="133"/>
      <c r="C79" s="133"/>
      <c r="D79" s="25">
        <v>1</v>
      </c>
      <c r="E79" s="132"/>
      <c r="F79" s="226"/>
      <c r="G79" s="41">
        <v>0</v>
      </c>
      <c r="H79" s="133"/>
      <c r="I79" s="35">
        <v>0</v>
      </c>
      <c r="J79" s="202">
        <f>E79*H79</f>
        <v>0</v>
      </c>
      <c r="K79" s="225">
        <v>0</v>
      </c>
      <c r="L79" s="214"/>
      <c r="M79" s="35">
        <v>0</v>
      </c>
      <c r="N79" s="202">
        <f t="shared" si="22"/>
        <v>0</v>
      </c>
      <c r="O79" s="35">
        <v>0</v>
      </c>
      <c r="P79" s="202">
        <f t="shared" si="23"/>
        <v>0</v>
      </c>
      <c r="Q79" s="35">
        <v>0</v>
      </c>
      <c r="R79" s="202">
        <f t="shared" si="24"/>
        <v>0</v>
      </c>
    </row>
    <row r="80" spans="1:18" ht="13.5" thickBot="1" x14ac:dyDescent="0.25">
      <c r="A80" s="25" t="s">
        <v>37</v>
      </c>
      <c r="B80" s="25"/>
      <c r="C80" s="25"/>
      <c r="D80" s="25"/>
      <c r="E80" s="197"/>
      <c r="F80" s="25"/>
      <c r="G80" s="25"/>
      <c r="H80" s="197"/>
      <c r="I80" s="121">
        <v>215.72226409552059</v>
      </c>
      <c r="J80" s="204">
        <f>+SUM(J63:J79)</f>
        <v>0</v>
      </c>
      <c r="K80" s="35"/>
      <c r="L80" s="195"/>
      <c r="M80" s="121">
        <v>0</v>
      </c>
      <c r="N80" s="204">
        <f>+SUM(N63:N79)</f>
        <v>0</v>
      </c>
      <c r="O80" s="121">
        <v>215.72226409552059</v>
      </c>
      <c r="P80" s="204">
        <f>+SUM(P63:P79)</f>
        <v>0</v>
      </c>
      <c r="Q80" s="121">
        <v>26318.116219653508</v>
      </c>
      <c r="R80" s="204">
        <f>+SUM(R63:R79)</f>
        <v>0</v>
      </c>
    </row>
    <row r="81" spans="1:18" ht="14.25" thickTop="1" thickBot="1" x14ac:dyDescent="0.25">
      <c r="A81" s="25" t="s">
        <v>52</v>
      </c>
      <c r="B81" s="25"/>
      <c r="C81" s="25"/>
      <c r="D81" s="25"/>
      <c r="E81" s="197"/>
      <c r="F81" s="25"/>
      <c r="G81" s="25"/>
      <c r="H81" s="197"/>
      <c r="I81" s="87">
        <v>3901.9340003920197</v>
      </c>
      <c r="J81" s="205">
        <f>+J57+J80</f>
        <v>0</v>
      </c>
      <c r="K81" s="35"/>
      <c r="L81" s="195"/>
      <c r="M81" s="87">
        <v>0</v>
      </c>
      <c r="N81" s="205">
        <f>+N57+N80</f>
        <v>0</v>
      </c>
      <c r="O81" s="87">
        <v>3901.9340003920197</v>
      </c>
      <c r="P81" s="205">
        <f>+P57+P80</f>
        <v>0</v>
      </c>
      <c r="Q81" s="87">
        <v>476035.94804782647</v>
      </c>
      <c r="R81" s="205">
        <f>+R57+R80</f>
        <v>0</v>
      </c>
    </row>
    <row r="82" spans="1:18" ht="13.5" thickTop="1" x14ac:dyDescent="0.2">
      <c r="A82" s="25"/>
      <c r="B82" s="25"/>
      <c r="C82" s="25"/>
      <c r="D82" s="25"/>
      <c r="E82" s="197"/>
      <c r="F82" s="25"/>
      <c r="G82" s="25"/>
      <c r="H82" s="197"/>
      <c r="I82" s="35"/>
      <c r="J82" s="184"/>
      <c r="K82" s="35"/>
      <c r="L82" s="195"/>
      <c r="M82" s="35"/>
      <c r="N82" s="184"/>
      <c r="O82" s="35"/>
      <c r="P82" s="184"/>
      <c r="Q82" s="35"/>
      <c r="R82" s="184"/>
    </row>
    <row r="83" spans="1:18" x14ac:dyDescent="0.2">
      <c r="A83" s="25" t="s">
        <v>153</v>
      </c>
      <c r="B83" s="25"/>
      <c r="C83" s="25"/>
      <c r="D83" s="25"/>
      <c r="E83" s="197"/>
      <c r="F83" s="25"/>
      <c r="G83" s="25"/>
      <c r="H83" s="197"/>
      <c r="I83" s="35">
        <v>1298.0659996079803</v>
      </c>
      <c r="J83" s="202">
        <f>+J13-J81</f>
        <v>0</v>
      </c>
      <c r="K83" s="35"/>
      <c r="L83" s="195"/>
      <c r="M83" s="35">
        <v>0</v>
      </c>
      <c r="N83" s="202">
        <f>+N13-N81</f>
        <v>0</v>
      </c>
      <c r="O83" s="35">
        <v>1298.0659996079803</v>
      </c>
      <c r="P83" s="202">
        <f>+P13-P81</f>
        <v>0</v>
      </c>
      <c r="Q83" s="35">
        <v>158364.05195217353</v>
      </c>
      <c r="R83" s="202">
        <f>+R13-R81</f>
        <v>0</v>
      </c>
    </row>
    <row r="84" spans="1:18" x14ac:dyDescent="0.2">
      <c r="A84" s="25"/>
      <c r="B84" s="25"/>
      <c r="C84" s="25"/>
      <c r="D84" s="25"/>
      <c r="E84" s="197"/>
      <c r="F84" s="25"/>
      <c r="G84" s="25"/>
      <c r="H84" s="197"/>
      <c r="I84" s="35"/>
      <c r="J84" s="206"/>
      <c r="K84" s="35"/>
      <c r="L84" s="195"/>
      <c r="M84" s="35"/>
      <c r="N84" s="195"/>
      <c r="O84" s="35"/>
      <c r="P84" s="195"/>
      <c r="Q84" s="35"/>
      <c r="R84" s="206"/>
    </row>
    <row r="85" spans="1:18" ht="13.5" thickBot="1" x14ac:dyDescent="0.25">
      <c r="A85" s="44" t="s">
        <v>38</v>
      </c>
      <c r="B85" s="44"/>
      <c r="C85" s="44"/>
      <c r="D85" s="44"/>
      <c r="E85" s="201"/>
      <c r="F85" s="44"/>
      <c r="G85" s="45">
        <v>6.0029753852184919</v>
      </c>
      <c r="H85" s="212" t="str">
        <f>IF(E10=0,"n/a",(YTotExp-(YTotExp+YTotRet-J10))/E10)</f>
        <v>n/a</v>
      </c>
      <c r="I85" s="44" t="s">
        <v>142</v>
      </c>
      <c r="J85" s="207"/>
      <c r="K85" s="44"/>
      <c r="L85" s="201"/>
      <c r="M85" s="44"/>
      <c r="N85" s="201"/>
      <c r="O85" s="44"/>
      <c r="P85" s="201"/>
      <c r="Q85" s="44"/>
      <c r="R85" s="207"/>
    </row>
    <row r="86" spans="1:18" ht="13.5" thickTop="1" x14ac:dyDescent="0.2"/>
    <row r="87" spans="1:18" s="17" customFormat="1" ht="15.75" x14ac:dyDescent="0.25">
      <c r="A87"/>
      <c r="B87" s="88"/>
      <c r="C87" s="89"/>
      <c r="D87" s="234" t="s">
        <v>115</v>
      </c>
      <c r="E87" s="235"/>
      <c r="F87" s="235"/>
      <c r="G87" s="235"/>
      <c r="H87" s="235"/>
      <c r="I87" s="235"/>
      <c r="J87" s="99"/>
      <c r="K87" s="99"/>
      <c r="M87"/>
      <c r="N87"/>
    </row>
    <row r="88" spans="1:18" s="17" customFormat="1" ht="15.75" x14ac:dyDescent="0.25">
      <c r="A88"/>
      <c r="B88" s="19" t="s">
        <v>116</v>
      </c>
      <c r="C88" s="19" t="s">
        <v>116</v>
      </c>
      <c r="D88" s="126" t="s">
        <v>170</v>
      </c>
      <c r="E88" s="18"/>
      <c r="F88" s="18"/>
      <c r="G88" s="126" t="s">
        <v>170</v>
      </c>
      <c r="H88" s="18"/>
      <c r="I88" s="18"/>
      <c r="J88" s="18"/>
      <c r="K88" s="18"/>
      <c r="M88"/>
      <c r="N88"/>
    </row>
    <row r="89" spans="1:18" s="17" customFormat="1" x14ac:dyDescent="0.2">
      <c r="A89"/>
      <c r="B89" s="19" t="s">
        <v>81</v>
      </c>
      <c r="C89" s="19" t="s">
        <v>81</v>
      </c>
      <c r="D89" s="126" t="s">
        <v>157</v>
      </c>
      <c r="E89" s="122"/>
      <c r="F89" s="122"/>
      <c r="G89" s="126" t="s">
        <v>11</v>
      </c>
      <c r="H89" s="122"/>
      <c r="I89" s="122"/>
      <c r="J89" s="122"/>
      <c r="K89" s="122"/>
      <c r="M89"/>
      <c r="N89"/>
    </row>
    <row r="90" spans="1:18" s="17" customFormat="1" x14ac:dyDescent="0.2">
      <c r="A90"/>
      <c r="B90" s="19" t="s">
        <v>30</v>
      </c>
      <c r="C90" s="99" t="s">
        <v>142</v>
      </c>
      <c r="D90" s="126" t="s">
        <v>99</v>
      </c>
      <c r="E90" s="122"/>
      <c r="F90" s="122"/>
      <c r="G90" s="126" t="s">
        <v>99</v>
      </c>
      <c r="H90" s="19"/>
      <c r="I90" s="19"/>
      <c r="J90" s="19"/>
      <c r="K90" s="19"/>
      <c r="M90"/>
      <c r="N90"/>
    </row>
    <row r="91" spans="1:18" s="17" customFormat="1" x14ac:dyDescent="0.2">
      <c r="A91"/>
      <c r="B91" s="90">
        <v>0.75</v>
      </c>
      <c r="C91" s="91">
        <v>487.5</v>
      </c>
      <c r="D91" s="92">
        <v>7.5614599718902546</v>
      </c>
      <c r="E91" s="93"/>
      <c r="F91" s="94"/>
      <c r="G91" s="92">
        <v>8.0039671802913226</v>
      </c>
      <c r="H91" s="93"/>
      <c r="I91" s="93"/>
      <c r="M91"/>
      <c r="N91"/>
    </row>
    <row r="92" spans="1:18" s="17" customFormat="1" x14ac:dyDescent="0.2">
      <c r="A92"/>
      <c r="B92" s="95">
        <v>0.9</v>
      </c>
      <c r="C92" s="96">
        <v>585</v>
      </c>
      <c r="D92" s="97">
        <v>6.3012166432418786</v>
      </c>
      <c r="E92" s="83"/>
      <c r="F92" s="98"/>
      <c r="G92" s="97">
        <v>6.6699726502427685</v>
      </c>
      <c r="H92" s="83"/>
      <c r="I92" s="83"/>
      <c r="M92"/>
      <c r="N92"/>
    </row>
    <row r="93" spans="1:18" s="17" customFormat="1" x14ac:dyDescent="0.2">
      <c r="A93"/>
      <c r="B93" s="90">
        <v>1</v>
      </c>
      <c r="C93" s="91">
        <v>650</v>
      </c>
      <c r="D93" s="92">
        <v>5.671094978917691</v>
      </c>
      <c r="E93" s="93"/>
      <c r="F93" s="94"/>
      <c r="G93" s="92">
        <v>6.0029753852184919</v>
      </c>
      <c r="H93" s="93"/>
      <c r="I93" s="93"/>
      <c r="M93"/>
      <c r="N93"/>
    </row>
    <row r="94" spans="1:18" s="17" customFormat="1" x14ac:dyDescent="0.2">
      <c r="A94"/>
      <c r="B94" s="95">
        <v>1.1000000000000001</v>
      </c>
      <c r="C94" s="96">
        <v>715.00000000000011</v>
      </c>
      <c r="D94" s="97">
        <v>5.1555408899251729</v>
      </c>
      <c r="E94" s="83"/>
      <c r="F94" s="98"/>
      <c r="G94" s="97">
        <v>5.4572503501986285</v>
      </c>
      <c r="H94" s="83"/>
      <c r="I94" s="83"/>
      <c r="M94"/>
      <c r="N94"/>
    </row>
    <row r="95" spans="1:18" s="17" customFormat="1" x14ac:dyDescent="0.2">
      <c r="A95"/>
      <c r="B95" s="90">
        <v>1.25</v>
      </c>
      <c r="C95" s="91">
        <v>812.5</v>
      </c>
      <c r="D95" s="92">
        <v>4.536875983134153</v>
      </c>
      <c r="E95" s="93"/>
      <c r="F95" s="94"/>
      <c r="G95" s="92">
        <v>4.8023803081747936</v>
      </c>
      <c r="H95" s="93"/>
      <c r="I95" s="93"/>
      <c r="M95"/>
      <c r="N95"/>
    </row>
    <row r="96" spans="1:18" s="17" customFormat="1" x14ac:dyDescent="0.2">
      <c r="A96"/>
      <c r="M96"/>
      <c r="N96"/>
    </row>
    <row r="97" spans="1:18" x14ac:dyDescent="0.2">
      <c r="A97" s="25" t="s">
        <v>536</v>
      </c>
      <c r="B97" s="17"/>
      <c r="C97" s="17"/>
      <c r="D97" s="17"/>
      <c r="E97" s="17"/>
      <c r="F97" s="17"/>
      <c r="G97" s="17"/>
      <c r="H97" s="17"/>
      <c r="I97" s="17"/>
      <c r="J97" s="28"/>
      <c r="K97" s="17"/>
      <c r="L97" s="17"/>
      <c r="M97" s="17"/>
      <c r="N97" s="17"/>
      <c r="O97" s="17"/>
      <c r="P97" s="17"/>
      <c r="Q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28"/>
      <c r="K98" s="17"/>
      <c r="L98" s="17"/>
      <c r="M98" s="17"/>
      <c r="N98" s="17"/>
      <c r="O98" s="17"/>
      <c r="P98" s="17"/>
      <c r="Q98" s="17"/>
    </row>
    <row r="99" spans="1:18" ht="26.25" customHeight="1" x14ac:dyDescent="0.2">
      <c r="A99" s="236" t="s">
        <v>140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21"/>
      <c r="N99" s="221"/>
      <c r="O99" s="221"/>
      <c r="P99" s="221"/>
      <c r="Q99" s="221"/>
      <c r="R99" s="221"/>
    </row>
  </sheetData>
  <sheetProtection sheet="1" objects="1" scenarios="1"/>
  <mergeCells count="6">
    <mergeCell ref="D87:I87"/>
    <mergeCell ref="A99:L9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1">
    <tabColor rgb="FF92D050"/>
    <pageSetUpPr fitToPage="1"/>
  </sheetPr>
  <dimension ref="A1:S89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42578125" customWidth="1"/>
    <col min="3" max="3" width="31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>
        <v>0</v>
      </c>
      <c r="C10" s="25"/>
      <c r="D10" s="50">
        <v>0</v>
      </c>
      <c r="E10" s="132"/>
      <c r="F10" s="226" t="s">
        <v>501</v>
      </c>
      <c r="G10" s="31">
        <v>0</v>
      </c>
      <c r="H10" s="133"/>
      <c r="I10" s="35">
        <v>0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0</v>
      </c>
      <c r="P10" s="202">
        <f>+J10-N10</f>
        <v>0</v>
      </c>
      <c r="Q10" s="35">
        <v>0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0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0</v>
      </c>
      <c r="P13" s="203">
        <f>SUM(P10:P12)</f>
        <v>0</v>
      </c>
      <c r="Q13" s="36">
        <v>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423</v>
      </c>
      <c r="D18" s="25">
        <v>20</v>
      </c>
      <c r="E18" s="132"/>
      <c r="F18" s="226" t="s">
        <v>83</v>
      </c>
      <c r="G18" s="41">
        <v>0.53</v>
      </c>
      <c r="H18" s="133"/>
      <c r="I18" s="35">
        <v>10.600000000000001</v>
      </c>
      <c r="J18" s="202">
        <f t="shared" ref="J18:J24" si="4">E18*H18</f>
        <v>0</v>
      </c>
      <c r="K18" s="225">
        <v>0</v>
      </c>
      <c r="L18" s="214"/>
      <c r="M18" s="35">
        <v>0</v>
      </c>
      <c r="N18" s="202">
        <f t="shared" ref="N18:N24" si="5">J18*L18</f>
        <v>0</v>
      </c>
      <c r="O18" s="35">
        <v>10.600000000000001</v>
      </c>
      <c r="P18" s="202">
        <f t="shared" ref="P18:P24" si="6">+J18-N18</f>
        <v>0</v>
      </c>
      <c r="Q18" s="35">
        <v>1293.2000000000003</v>
      </c>
      <c r="R18" s="202">
        <f t="shared" ref="R18:R24" si="7">+J18*E$7</f>
        <v>0</v>
      </c>
    </row>
    <row r="19" spans="1:18" x14ac:dyDescent="0.2">
      <c r="A19" s="25"/>
      <c r="B19" s="25" t="s">
        <v>49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399</v>
      </c>
      <c r="D20" s="25">
        <v>8</v>
      </c>
      <c r="E20" s="132"/>
      <c r="F20" s="226" t="s">
        <v>311</v>
      </c>
      <c r="G20" s="41">
        <v>2.125</v>
      </c>
      <c r="H20" s="133"/>
      <c r="I20" s="35">
        <v>17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17</v>
      </c>
      <c r="P20" s="202">
        <f t="shared" si="6"/>
        <v>0</v>
      </c>
      <c r="Q20" s="35">
        <v>2074</v>
      </c>
      <c r="R20" s="202">
        <f t="shared" si="7"/>
        <v>0</v>
      </c>
    </row>
    <row r="21" spans="1:18" x14ac:dyDescent="0.2">
      <c r="A21" s="25"/>
      <c r="B21" s="25" t="s">
        <v>1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501</v>
      </c>
      <c r="C22" s="25" t="s">
        <v>443</v>
      </c>
      <c r="D22" s="25">
        <v>3</v>
      </c>
      <c r="E22" s="132"/>
      <c r="F22" s="226" t="s">
        <v>83</v>
      </c>
      <c r="G22" s="41">
        <v>18</v>
      </c>
      <c r="H22" s="133"/>
      <c r="I22" s="35">
        <v>54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54</v>
      </c>
      <c r="P22" s="202">
        <f t="shared" si="6"/>
        <v>0</v>
      </c>
      <c r="Q22" s="35">
        <v>6588</v>
      </c>
      <c r="R22" s="202">
        <f t="shared" si="7"/>
        <v>0</v>
      </c>
    </row>
    <row r="23" spans="1:18" x14ac:dyDescent="0.2">
      <c r="A23" s="25"/>
      <c r="B23" s="133"/>
      <c r="C23" s="133"/>
      <c r="D23" s="25">
        <v>0</v>
      </c>
      <c r="E23" s="132"/>
      <c r="F23" s="226"/>
      <c r="G23" s="41">
        <v>0</v>
      </c>
      <c r="H23" s="133"/>
      <c r="I23" s="35">
        <v>0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0</v>
      </c>
      <c r="P23" s="202">
        <f t="shared" si="6"/>
        <v>0</v>
      </c>
      <c r="Q23" s="35">
        <v>0</v>
      </c>
      <c r="R23" s="202">
        <f t="shared" si="7"/>
        <v>0</v>
      </c>
    </row>
    <row r="24" spans="1:18" x14ac:dyDescent="0.2">
      <c r="A24" s="25"/>
      <c r="B24" s="133"/>
      <c r="C24" s="133"/>
      <c r="D24" s="25">
        <v>0</v>
      </c>
      <c r="E24" s="132"/>
      <c r="F24" s="226"/>
      <c r="G24" s="41">
        <v>0</v>
      </c>
      <c r="H24" s="133"/>
      <c r="I24" s="35">
        <v>0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0</v>
      </c>
      <c r="P24" s="202">
        <f t="shared" si="6"/>
        <v>0</v>
      </c>
      <c r="Q24" s="35">
        <v>0</v>
      </c>
      <c r="R24" s="202">
        <f t="shared" si="7"/>
        <v>0</v>
      </c>
    </row>
    <row r="25" spans="1:18" x14ac:dyDescent="0.2">
      <c r="A25" s="25"/>
      <c r="B25" s="133"/>
      <c r="C25" s="133"/>
      <c r="D25" s="25">
        <v>0</v>
      </c>
      <c r="E25" s="132"/>
      <c r="F25" s="226"/>
      <c r="G25" s="41">
        <v>0</v>
      </c>
      <c r="H25" s="133"/>
      <c r="I25" s="35">
        <v>0</v>
      </c>
      <c r="J25" s="202">
        <f>E25*H25</f>
        <v>0</v>
      </c>
      <c r="K25" s="225">
        <v>0</v>
      </c>
      <c r="L25" s="214"/>
      <c r="M25" s="35">
        <v>0</v>
      </c>
      <c r="N25" s="202">
        <f>J25*L25</f>
        <v>0</v>
      </c>
      <c r="O25" s="35">
        <v>0</v>
      </c>
      <c r="P25" s="202">
        <f>+J25-N25</f>
        <v>0</v>
      </c>
      <c r="Q25" s="35">
        <v>0</v>
      </c>
      <c r="R25" s="202">
        <f>+J25*E$7</f>
        <v>0</v>
      </c>
    </row>
    <row r="26" spans="1:18" x14ac:dyDescent="0.2">
      <c r="A26" s="25"/>
      <c r="B26" s="25" t="s">
        <v>45</v>
      </c>
      <c r="C26" s="25"/>
      <c r="D26" s="25"/>
      <c r="E26" s="209"/>
      <c r="F26" s="21"/>
      <c r="G26" s="41"/>
      <c r="H26" s="198"/>
      <c r="I26" s="186"/>
      <c r="J26" s="184"/>
      <c r="K26" s="225"/>
      <c r="L26" s="198"/>
      <c r="M26" s="35"/>
      <c r="N26" s="184"/>
      <c r="O26" s="35"/>
      <c r="P26" s="184"/>
      <c r="Q26" s="35"/>
      <c r="R26" s="184"/>
    </row>
    <row r="27" spans="1:18" x14ac:dyDescent="0.2">
      <c r="A27" s="25"/>
      <c r="B27" s="25"/>
      <c r="C27" s="25" t="s">
        <v>146</v>
      </c>
      <c r="D27" s="34">
        <v>3.04</v>
      </c>
      <c r="E27" s="132"/>
      <c r="F27" s="226" t="s">
        <v>459</v>
      </c>
      <c r="G27" s="41">
        <v>4.7</v>
      </c>
      <c r="H27" s="133"/>
      <c r="I27" s="35">
        <v>14.288</v>
      </c>
      <c r="J27" s="202">
        <f t="shared" ref="J27:J28" si="8">E27*H27</f>
        <v>0</v>
      </c>
      <c r="K27" s="225">
        <v>0</v>
      </c>
      <c r="L27" s="214"/>
      <c r="M27" s="35">
        <v>0</v>
      </c>
      <c r="N27" s="202">
        <f t="shared" ref="N27:N28" si="9">J27*L27</f>
        <v>0</v>
      </c>
      <c r="O27" s="35">
        <v>14.288</v>
      </c>
      <c r="P27" s="202">
        <f t="shared" ref="P27:P28" si="10">+J27-N27</f>
        <v>0</v>
      </c>
      <c r="Q27" s="35">
        <v>1743.136</v>
      </c>
      <c r="R27" s="202">
        <f t="shared" ref="R27:R28" si="11">+J27*E$7</f>
        <v>0</v>
      </c>
    </row>
    <row r="28" spans="1:18" x14ac:dyDescent="0.2">
      <c r="A28" s="25"/>
      <c r="B28" s="25"/>
      <c r="C28" s="25" t="s">
        <v>136</v>
      </c>
      <c r="D28" s="34">
        <v>1.7600000000000001E-2</v>
      </c>
      <c r="E28" s="132"/>
      <c r="F28" s="226" t="s">
        <v>44</v>
      </c>
      <c r="G28" s="41">
        <v>17.5</v>
      </c>
      <c r="H28" s="133"/>
      <c r="I28" s="35">
        <v>0.308</v>
      </c>
      <c r="J28" s="202">
        <f t="shared" si="8"/>
        <v>0</v>
      </c>
      <c r="K28" s="225">
        <v>0</v>
      </c>
      <c r="L28" s="214"/>
      <c r="M28" s="35">
        <v>0</v>
      </c>
      <c r="N28" s="202">
        <f t="shared" si="9"/>
        <v>0</v>
      </c>
      <c r="O28" s="35">
        <v>0.308</v>
      </c>
      <c r="P28" s="202">
        <f t="shared" si="10"/>
        <v>0</v>
      </c>
      <c r="Q28" s="35">
        <v>37.576000000000001</v>
      </c>
      <c r="R28" s="202">
        <f t="shared" si="11"/>
        <v>0</v>
      </c>
    </row>
    <row r="29" spans="1:18" x14ac:dyDescent="0.2">
      <c r="A29" s="25"/>
      <c r="B29" s="25" t="s">
        <v>108</v>
      </c>
      <c r="C29" s="25"/>
      <c r="D29" s="25"/>
      <c r="E29" s="105"/>
      <c r="H29" s="105"/>
      <c r="I29" s="124"/>
      <c r="J29" s="105"/>
      <c r="K29" s="225"/>
      <c r="L29" s="105"/>
      <c r="N29" s="105"/>
      <c r="P29" s="105"/>
      <c r="R29" s="105"/>
    </row>
    <row r="30" spans="1:18" x14ac:dyDescent="0.2">
      <c r="A30" s="25"/>
      <c r="B30" s="25"/>
      <c r="C30" s="25" t="s">
        <v>105</v>
      </c>
      <c r="D30" s="25">
        <v>1.28</v>
      </c>
      <c r="E30" s="132"/>
      <c r="F30" s="226" t="s">
        <v>44</v>
      </c>
      <c r="G30" s="41">
        <v>17.21</v>
      </c>
      <c r="H30" s="133"/>
      <c r="I30" s="35">
        <v>22.0288</v>
      </c>
      <c r="J30" s="202">
        <f>E30*H30</f>
        <v>0</v>
      </c>
      <c r="K30" s="225">
        <v>0</v>
      </c>
      <c r="L30" s="214"/>
      <c r="M30" s="35">
        <v>0</v>
      </c>
      <c r="N30" s="202">
        <f>J30*L30</f>
        <v>0</v>
      </c>
      <c r="O30" s="35">
        <v>22.0288</v>
      </c>
      <c r="P30" s="202">
        <f>+J30-N30</f>
        <v>0</v>
      </c>
      <c r="Q30" s="35">
        <v>2687.5136000000002</v>
      </c>
      <c r="R30" s="202">
        <f>+J30*E$7</f>
        <v>0</v>
      </c>
    </row>
    <row r="31" spans="1:18" x14ac:dyDescent="0.2">
      <c r="A31" s="25"/>
      <c r="B31" s="25"/>
      <c r="C31" s="25" t="s">
        <v>107</v>
      </c>
      <c r="D31" s="25">
        <v>0</v>
      </c>
      <c r="E31" s="132"/>
      <c r="F31" s="226" t="s">
        <v>44</v>
      </c>
      <c r="G31" s="41">
        <v>17.21</v>
      </c>
      <c r="H31" s="133"/>
      <c r="I31" s="35">
        <v>0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0</v>
      </c>
      <c r="P31" s="202">
        <f>+J31-N31</f>
        <v>0</v>
      </c>
      <c r="Q31" s="35">
        <v>0</v>
      </c>
      <c r="R31" s="202">
        <f>+J31*E$7</f>
        <v>0</v>
      </c>
    </row>
    <row r="32" spans="1:18" x14ac:dyDescent="0.2">
      <c r="A32" s="25"/>
      <c r="B32" s="25"/>
      <c r="C32" s="25"/>
      <c r="D32" s="25"/>
      <c r="E32" s="209"/>
      <c r="F32" s="21"/>
      <c r="G32" s="41"/>
      <c r="H32" s="198"/>
      <c r="I32" s="35"/>
      <c r="J32" s="184"/>
      <c r="K32" s="225"/>
      <c r="L32" s="198"/>
      <c r="M32" s="35"/>
      <c r="N32" s="184"/>
      <c r="O32" s="35"/>
      <c r="P32" s="184"/>
      <c r="Q32" s="35"/>
      <c r="R32" s="184"/>
    </row>
    <row r="33" spans="1:18" x14ac:dyDescent="0.2">
      <c r="A33" s="25"/>
      <c r="B33" s="25" t="s">
        <v>51</v>
      </c>
      <c r="C33" s="25"/>
      <c r="D33" s="25"/>
      <c r="E33" s="209"/>
      <c r="F33" s="21"/>
      <c r="G33" s="41"/>
      <c r="H33" s="198"/>
      <c r="I33" s="186"/>
      <c r="J33" s="184"/>
      <c r="K33" s="225"/>
      <c r="L33" s="198"/>
      <c r="M33" s="35"/>
      <c r="N33" s="184"/>
      <c r="O33" s="35"/>
      <c r="P33" s="184"/>
      <c r="Q33" s="35"/>
      <c r="R33" s="184"/>
    </row>
    <row r="34" spans="1:18" x14ac:dyDescent="0.2">
      <c r="A34" s="25"/>
      <c r="B34" s="25"/>
      <c r="C34" s="25" t="s">
        <v>104</v>
      </c>
      <c r="D34" s="25">
        <v>1</v>
      </c>
      <c r="E34" s="132"/>
      <c r="F34" s="226" t="s">
        <v>42</v>
      </c>
      <c r="G34" s="41">
        <v>0</v>
      </c>
      <c r="H34" s="133"/>
      <c r="I34" s="35">
        <v>0</v>
      </c>
      <c r="J34" s="202">
        <f>E34*H34</f>
        <v>0</v>
      </c>
      <c r="K34" s="225">
        <v>0</v>
      </c>
      <c r="L34" s="214"/>
      <c r="M34" s="35">
        <v>0</v>
      </c>
      <c r="N34" s="202">
        <f>J34*L34</f>
        <v>0</v>
      </c>
      <c r="O34" s="35">
        <v>0</v>
      </c>
      <c r="P34" s="202">
        <f>+J34-N34</f>
        <v>0</v>
      </c>
      <c r="Q34" s="35">
        <v>0</v>
      </c>
      <c r="R34" s="202">
        <f>+J34*E$7</f>
        <v>0</v>
      </c>
    </row>
    <row r="35" spans="1:18" x14ac:dyDescent="0.2">
      <c r="A35" s="25"/>
      <c r="B35" s="25"/>
      <c r="C35" s="25" t="s">
        <v>105</v>
      </c>
      <c r="D35" s="25">
        <v>6.86</v>
      </c>
      <c r="E35" s="132"/>
      <c r="F35" s="226" t="s">
        <v>79</v>
      </c>
      <c r="G35" s="41">
        <v>3.6</v>
      </c>
      <c r="H35" s="133"/>
      <c r="I35" s="35">
        <v>24.696000000000002</v>
      </c>
      <c r="J35" s="202">
        <f>E35*H35</f>
        <v>0</v>
      </c>
      <c r="K35" s="225">
        <v>0</v>
      </c>
      <c r="L35" s="214"/>
      <c r="M35" s="35">
        <v>0</v>
      </c>
      <c r="N35" s="202">
        <f>J35*L35</f>
        <v>0</v>
      </c>
      <c r="O35" s="35">
        <v>24.696000000000002</v>
      </c>
      <c r="P35" s="202">
        <f>+J35-N35</f>
        <v>0</v>
      </c>
      <c r="Q35" s="35">
        <v>3012.9120000000003</v>
      </c>
      <c r="R35" s="202">
        <f>+J35*E$7</f>
        <v>0</v>
      </c>
    </row>
    <row r="36" spans="1:18" x14ac:dyDescent="0.2">
      <c r="A36" s="25"/>
      <c r="B36" s="25"/>
      <c r="C36" s="25"/>
      <c r="D36" s="25"/>
      <c r="E36" s="209"/>
      <c r="F36" s="21"/>
      <c r="G36" s="41"/>
      <c r="H36" s="198"/>
      <c r="I36" s="35"/>
      <c r="J36" s="184"/>
      <c r="K36" s="225"/>
      <c r="L36" s="198"/>
      <c r="M36" s="35"/>
      <c r="N36" s="184"/>
      <c r="O36" s="35"/>
      <c r="P36" s="184"/>
      <c r="Q36" s="35"/>
      <c r="R36" s="184"/>
    </row>
    <row r="37" spans="1:18" x14ac:dyDescent="0.2">
      <c r="A37" s="25"/>
      <c r="B37" s="25" t="s">
        <v>29</v>
      </c>
      <c r="C37" s="25"/>
      <c r="D37" s="25"/>
      <c r="E37" s="209"/>
      <c r="F37" s="21"/>
      <c r="G37" s="41"/>
      <c r="H37" s="198"/>
      <c r="I37" s="186"/>
      <c r="J37" s="184"/>
      <c r="K37" s="225"/>
      <c r="L37" s="198"/>
      <c r="M37" s="35"/>
      <c r="N37" s="184"/>
      <c r="O37" s="35"/>
      <c r="P37" s="184"/>
      <c r="Q37" s="35"/>
      <c r="R37" s="184"/>
    </row>
    <row r="38" spans="1:18" x14ac:dyDescent="0.2">
      <c r="A38" s="25"/>
      <c r="B38" s="25"/>
      <c r="C38" s="25" t="s">
        <v>104</v>
      </c>
      <c r="D38" s="25">
        <v>1</v>
      </c>
      <c r="E38" s="132"/>
      <c r="F38" s="226" t="s">
        <v>42</v>
      </c>
      <c r="G38" s="41">
        <v>0</v>
      </c>
      <c r="H38" s="133"/>
      <c r="I38" s="35">
        <v>0</v>
      </c>
      <c r="J38" s="202">
        <f>E38*H38</f>
        <v>0</v>
      </c>
      <c r="K38" s="225">
        <v>0</v>
      </c>
      <c r="L38" s="214"/>
      <c r="M38" s="35">
        <v>0</v>
      </c>
      <c r="N38" s="202">
        <f>J38*L38</f>
        <v>0</v>
      </c>
      <c r="O38" s="35">
        <v>0</v>
      </c>
      <c r="P38" s="202">
        <f>+J38-N38</f>
        <v>0</v>
      </c>
      <c r="Q38" s="35">
        <v>0</v>
      </c>
      <c r="R38" s="202">
        <f>+J38*E$7</f>
        <v>0</v>
      </c>
    </row>
    <row r="39" spans="1:18" x14ac:dyDescent="0.2">
      <c r="A39" s="25"/>
      <c r="B39" s="25"/>
      <c r="C39" s="25" t="s">
        <v>105</v>
      </c>
      <c r="D39" s="25">
        <v>0</v>
      </c>
      <c r="E39" s="132"/>
      <c r="F39" s="226" t="s">
        <v>79</v>
      </c>
      <c r="G39" s="41">
        <v>3.15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/>
      <c r="C40" s="25"/>
      <c r="D40" s="25"/>
      <c r="E40" s="209"/>
      <c r="F40" s="21"/>
      <c r="G40" s="41"/>
      <c r="H40" s="198"/>
      <c r="I40" s="35"/>
      <c r="J40" s="184"/>
      <c r="K40" s="225"/>
      <c r="L40" s="198"/>
      <c r="M40" s="35"/>
      <c r="N40" s="184"/>
      <c r="O40" s="35"/>
      <c r="P40" s="184"/>
      <c r="Q40" s="35"/>
      <c r="R40" s="184"/>
    </row>
    <row r="41" spans="1:18" x14ac:dyDescent="0.2">
      <c r="A41" s="25"/>
      <c r="B41" s="25" t="s">
        <v>47</v>
      </c>
      <c r="C41" s="25"/>
      <c r="D41" s="25"/>
      <c r="E41" s="209"/>
      <c r="F41" s="21"/>
      <c r="G41" s="41"/>
      <c r="H41" s="199"/>
      <c r="I41" s="186"/>
      <c r="J41" s="184"/>
      <c r="K41" s="225"/>
      <c r="L41" s="199"/>
      <c r="M41" s="35"/>
      <c r="N41" s="184"/>
      <c r="O41" s="35"/>
      <c r="P41" s="184"/>
      <c r="Q41" s="35"/>
      <c r="R41" s="184"/>
    </row>
    <row r="42" spans="1:18" x14ac:dyDescent="0.2">
      <c r="A42" s="25"/>
      <c r="B42" s="25"/>
      <c r="C42" s="25" t="s">
        <v>104</v>
      </c>
      <c r="D42" s="25">
        <v>1</v>
      </c>
      <c r="E42" s="132"/>
      <c r="F42" s="226" t="s">
        <v>42</v>
      </c>
      <c r="G42" s="41">
        <v>0</v>
      </c>
      <c r="H42" s="133"/>
      <c r="I42" s="35">
        <v>0</v>
      </c>
      <c r="J42" s="202">
        <f t="shared" ref="J42:J47" si="12">E42*H42</f>
        <v>0</v>
      </c>
      <c r="K42" s="225">
        <v>0</v>
      </c>
      <c r="L42" s="214"/>
      <c r="M42" s="35">
        <v>0</v>
      </c>
      <c r="N42" s="202">
        <f t="shared" ref="N42:N47" si="13">J42*L42</f>
        <v>0</v>
      </c>
      <c r="O42" s="35">
        <v>0</v>
      </c>
      <c r="P42" s="202">
        <f t="shared" ref="P42:P47" si="14">+J42-N42</f>
        <v>0</v>
      </c>
      <c r="Q42" s="35">
        <v>0</v>
      </c>
      <c r="R42" s="202">
        <f t="shared" ref="R42:R47" si="15">+J42*E$7</f>
        <v>0</v>
      </c>
    </row>
    <row r="43" spans="1:18" x14ac:dyDescent="0.2">
      <c r="A43" s="25"/>
      <c r="B43" s="25"/>
      <c r="C43" s="25" t="s">
        <v>46</v>
      </c>
      <c r="D43" s="25">
        <v>1</v>
      </c>
      <c r="E43" s="132"/>
      <c r="F43" s="226" t="s">
        <v>42</v>
      </c>
      <c r="G43" s="41">
        <v>8.0113120000000002</v>
      </c>
      <c r="H43" s="133"/>
      <c r="I43" s="35">
        <v>8.0113120000000002</v>
      </c>
      <c r="J43" s="202">
        <f t="shared" si="12"/>
        <v>0</v>
      </c>
      <c r="K43" s="225">
        <v>0</v>
      </c>
      <c r="L43" s="214"/>
      <c r="M43" s="35">
        <v>0</v>
      </c>
      <c r="N43" s="202">
        <f t="shared" si="13"/>
        <v>0</v>
      </c>
      <c r="O43" s="35">
        <v>8.0113120000000002</v>
      </c>
      <c r="P43" s="202">
        <f t="shared" si="14"/>
        <v>0</v>
      </c>
      <c r="Q43" s="35">
        <v>977.38006400000006</v>
      </c>
      <c r="R43" s="202">
        <f t="shared" si="15"/>
        <v>0</v>
      </c>
    </row>
    <row r="44" spans="1:18" x14ac:dyDescent="0.2">
      <c r="A44" s="25"/>
      <c r="B44" s="25"/>
      <c r="C44" s="25" t="s">
        <v>105</v>
      </c>
      <c r="D44" s="25">
        <v>1</v>
      </c>
      <c r="E44" s="132"/>
      <c r="F44" s="226" t="s">
        <v>42</v>
      </c>
      <c r="G44" s="41">
        <v>16.710853480516562</v>
      </c>
      <c r="H44" s="133"/>
      <c r="I44" s="35">
        <v>16.710853480516562</v>
      </c>
      <c r="J44" s="202">
        <f t="shared" si="12"/>
        <v>0</v>
      </c>
      <c r="K44" s="225">
        <v>0</v>
      </c>
      <c r="L44" s="214"/>
      <c r="M44" s="35">
        <v>0</v>
      </c>
      <c r="N44" s="202">
        <f t="shared" si="13"/>
        <v>0</v>
      </c>
      <c r="O44" s="35">
        <v>16.710853480516562</v>
      </c>
      <c r="P44" s="202">
        <f t="shared" si="14"/>
        <v>0</v>
      </c>
      <c r="Q44" s="35">
        <v>2038.7241246230205</v>
      </c>
      <c r="R44" s="202">
        <f t="shared" si="15"/>
        <v>0</v>
      </c>
    </row>
    <row r="45" spans="1:18" x14ac:dyDescent="0.2">
      <c r="A45" s="25"/>
      <c r="B45" s="25"/>
      <c r="C45" s="25" t="s">
        <v>4</v>
      </c>
      <c r="D45" s="25">
        <v>1</v>
      </c>
      <c r="E45" s="132"/>
      <c r="F45" s="226" t="s">
        <v>42</v>
      </c>
      <c r="G45" s="41">
        <v>15.81236340759264</v>
      </c>
      <c r="H45" s="133"/>
      <c r="I45" s="35">
        <v>15.81236340759264</v>
      </c>
      <c r="J45" s="202">
        <f t="shared" si="12"/>
        <v>0</v>
      </c>
      <c r="K45" s="225">
        <v>0</v>
      </c>
      <c r="L45" s="214"/>
      <c r="M45" s="35">
        <v>0</v>
      </c>
      <c r="N45" s="202">
        <f t="shared" si="13"/>
        <v>0</v>
      </c>
      <c r="O45" s="35">
        <v>15.81236340759264</v>
      </c>
      <c r="P45" s="202">
        <f t="shared" si="14"/>
        <v>0</v>
      </c>
      <c r="Q45" s="35">
        <v>1929.1083357263021</v>
      </c>
      <c r="R45" s="202">
        <f t="shared" si="15"/>
        <v>0</v>
      </c>
    </row>
    <row r="46" spans="1:18" x14ac:dyDescent="0.2">
      <c r="A46" s="25"/>
      <c r="B46" s="133"/>
      <c r="C46" s="133"/>
      <c r="D46" s="25"/>
      <c r="E46" s="132"/>
      <c r="F46" s="226"/>
      <c r="G46" s="41"/>
      <c r="H46" s="133"/>
      <c r="I46" s="35">
        <v>0</v>
      </c>
      <c r="J46" s="202">
        <f t="shared" si="12"/>
        <v>0</v>
      </c>
      <c r="K46" s="225">
        <v>0</v>
      </c>
      <c r="L46" s="214"/>
      <c r="M46" s="35">
        <v>0</v>
      </c>
      <c r="N46" s="202">
        <f t="shared" si="13"/>
        <v>0</v>
      </c>
      <c r="O46" s="35">
        <v>0</v>
      </c>
      <c r="P46" s="202">
        <f t="shared" si="14"/>
        <v>0</v>
      </c>
      <c r="Q46" s="35">
        <v>0</v>
      </c>
      <c r="R46" s="202">
        <f t="shared" si="15"/>
        <v>0</v>
      </c>
    </row>
    <row r="47" spans="1:18" x14ac:dyDescent="0.2">
      <c r="A47" s="25"/>
      <c r="B47" s="133"/>
      <c r="C47" s="133"/>
      <c r="D47" s="25"/>
      <c r="E47" s="132"/>
      <c r="F47" s="226"/>
      <c r="G47" s="41"/>
      <c r="H47" s="133"/>
      <c r="I47" s="35">
        <v>0</v>
      </c>
      <c r="J47" s="202">
        <f t="shared" si="12"/>
        <v>0</v>
      </c>
      <c r="K47" s="225">
        <v>0</v>
      </c>
      <c r="L47" s="214"/>
      <c r="M47" s="35">
        <v>0</v>
      </c>
      <c r="N47" s="202">
        <f t="shared" si="13"/>
        <v>0</v>
      </c>
      <c r="O47" s="35">
        <v>0</v>
      </c>
      <c r="P47" s="202">
        <f t="shared" si="14"/>
        <v>0</v>
      </c>
      <c r="Q47" s="35">
        <v>0</v>
      </c>
      <c r="R47" s="202">
        <f t="shared" si="15"/>
        <v>0</v>
      </c>
    </row>
    <row r="48" spans="1:18" ht="13.5" thickBot="1" x14ac:dyDescent="0.25">
      <c r="A48" s="25"/>
      <c r="B48" s="25" t="s">
        <v>32</v>
      </c>
      <c r="C48" s="25"/>
      <c r="D48" s="25"/>
      <c r="E48" s="197"/>
      <c r="F48" s="21"/>
      <c r="G48" s="39">
        <v>0.08</v>
      </c>
      <c r="H48" s="215"/>
      <c r="I48" s="42">
        <v>5.2919146381278352</v>
      </c>
      <c r="J48" s="202">
        <f>+SUM(J17:J47)/2*H48</f>
        <v>0</v>
      </c>
      <c r="K48" s="86"/>
      <c r="L48" s="137"/>
      <c r="M48" s="42">
        <v>0</v>
      </c>
      <c r="N48" s="202">
        <f>+SUM(N17:N47)/2*L48</f>
        <v>0</v>
      </c>
      <c r="O48" s="42">
        <v>5.2919146381278352</v>
      </c>
      <c r="P48" s="202">
        <f>+SUM(P17:P47)/2*L48</f>
        <v>0</v>
      </c>
      <c r="Q48" s="42">
        <v>645.61358585159587</v>
      </c>
      <c r="R48" s="184">
        <f>+J48*E$7</f>
        <v>0</v>
      </c>
    </row>
    <row r="49" spans="1:18" ht="13.5" thickBot="1" x14ac:dyDescent="0.25">
      <c r="A49" s="25" t="s">
        <v>33</v>
      </c>
      <c r="B49" s="25"/>
      <c r="C49" s="25"/>
      <c r="D49" s="25"/>
      <c r="E49" s="200"/>
      <c r="F49" s="25"/>
      <c r="G49" s="25"/>
      <c r="H49" s="197"/>
      <c r="I49" s="87">
        <v>188.74724352623707</v>
      </c>
      <c r="J49" s="204">
        <f>SUM(J18:J48)</f>
        <v>0</v>
      </c>
      <c r="K49" s="35"/>
      <c r="L49" s="195"/>
      <c r="M49" s="87">
        <v>0</v>
      </c>
      <c r="N49" s="204">
        <f>SUM(N18:N48)</f>
        <v>0</v>
      </c>
      <c r="O49" s="87">
        <v>188.74724352623707</v>
      </c>
      <c r="P49" s="204">
        <f>SUM(P18:P48)</f>
        <v>0</v>
      </c>
      <c r="Q49" s="87">
        <v>23027.163710200919</v>
      </c>
      <c r="R49" s="204">
        <f>SUM(R18:R48)</f>
        <v>0</v>
      </c>
    </row>
    <row r="50" spans="1:18" ht="13.5" thickTop="1" x14ac:dyDescent="0.2">
      <c r="A50" s="25" t="s">
        <v>34</v>
      </c>
      <c r="B50" s="25"/>
      <c r="C50" s="25"/>
      <c r="D50" s="25"/>
      <c r="E50" s="200"/>
      <c r="F50" s="25"/>
      <c r="G50" s="25"/>
      <c r="H50" s="197"/>
      <c r="I50" s="35">
        <v>-188.74724352623707</v>
      </c>
      <c r="J50" s="202">
        <f>+J13-J49</f>
        <v>0</v>
      </c>
      <c r="K50" s="35"/>
      <c r="L50" s="195"/>
      <c r="M50" s="35">
        <v>0</v>
      </c>
      <c r="N50" s="202">
        <f>+N13-N49</f>
        <v>0</v>
      </c>
      <c r="O50" s="35">
        <v>-188.74724352623707</v>
      </c>
      <c r="P50" s="202">
        <f>+P13-P49</f>
        <v>0</v>
      </c>
      <c r="Q50" s="35">
        <v>-23027.163710200919</v>
      </c>
      <c r="R50" s="202">
        <f>+R13-R49</f>
        <v>0</v>
      </c>
    </row>
    <row r="51" spans="1:18" x14ac:dyDescent="0.2">
      <c r="A51" s="25"/>
      <c r="B51" s="25" t="s">
        <v>35</v>
      </c>
      <c r="C51" s="25"/>
      <c r="D51" s="25"/>
      <c r="E51" s="210"/>
      <c r="F51" s="17"/>
      <c r="G51" s="40" t="s">
        <v>303</v>
      </c>
      <c r="H51" s="210" t="str">
        <f>IF(E10=0,"n/a",(YVarExp-(YTotExp+YTotRet-J10))/E10)</f>
        <v>n/a</v>
      </c>
      <c r="I51" s="25" t="s">
        <v>501</v>
      </c>
      <c r="J51" s="184"/>
      <c r="K51" s="25"/>
      <c r="L51" s="197"/>
      <c r="M51" s="25"/>
      <c r="N51" s="184"/>
      <c r="O51" s="25"/>
      <c r="P51" s="184"/>
      <c r="Q51" s="25"/>
      <c r="R51" s="184"/>
    </row>
    <row r="52" spans="1:18" x14ac:dyDescent="0.2">
      <c r="A52" s="25"/>
      <c r="B52" s="25"/>
      <c r="C52" s="25"/>
      <c r="D52" s="25"/>
      <c r="E52" s="178"/>
      <c r="F52" s="25"/>
      <c r="G52" s="25"/>
      <c r="H52" s="211"/>
      <c r="I52" s="25"/>
      <c r="J52" s="184"/>
      <c r="K52" s="25"/>
      <c r="L52" s="197"/>
      <c r="M52" s="25"/>
      <c r="N52" s="184"/>
      <c r="O52" s="25"/>
      <c r="P52" s="184"/>
      <c r="Q52" s="22" t="s">
        <v>19</v>
      </c>
      <c r="R52" s="184" t="s">
        <v>19</v>
      </c>
    </row>
    <row r="53" spans="1:18" x14ac:dyDescent="0.2">
      <c r="A53" s="23" t="s">
        <v>36</v>
      </c>
      <c r="B53" s="23"/>
      <c r="C53" s="23"/>
      <c r="D53" s="24" t="s">
        <v>2</v>
      </c>
      <c r="E53" s="196" t="s">
        <v>2</v>
      </c>
      <c r="F53" s="24" t="s">
        <v>21</v>
      </c>
      <c r="G53" s="24" t="s">
        <v>22</v>
      </c>
      <c r="H53" s="196" t="s">
        <v>22</v>
      </c>
      <c r="I53" s="24" t="s">
        <v>11</v>
      </c>
      <c r="J53" s="196" t="s">
        <v>11</v>
      </c>
      <c r="K53" s="24" t="s">
        <v>10</v>
      </c>
      <c r="L53" s="196" t="s">
        <v>10</v>
      </c>
      <c r="M53" s="24" t="s">
        <v>9</v>
      </c>
      <c r="N53" s="196" t="s">
        <v>9</v>
      </c>
      <c r="O53" s="24" t="s">
        <v>8</v>
      </c>
      <c r="P53" s="196" t="s">
        <v>8</v>
      </c>
      <c r="Q53" s="24" t="s">
        <v>11</v>
      </c>
      <c r="R53" s="208" t="s">
        <v>11</v>
      </c>
    </row>
    <row r="54" spans="1:18" x14ac:dyDescent="0.2">
      <c r="A54" s="25"/>
      <c r="B54" s="25" t="s">
        <v>106</v>
      </c>
      <c r="C54" s="25"/>
      <c r="D54" s="25"/>
      <c r="E54" s="178"/>
      <c r="F54" s="25"/>
      <c r="G54" s="25"/>
      <c r="H54" s="211"/>
      <c r="I54" s="186"/>
      <c r="J54" s="184"/>
      <c r="K54" s="225"/>
      <c r="L54" s="197"/>
      <c r="M54" s="25"/>
      <c r="N54" s="184"/>
      <c r="O54" s="25"/>
      <c r="P54" s="184"/>
      <c r="Q54" s="25"/>
      <c r="R54" s="184"/>
    </row>
    <row r="55" spans="1:18" x14ac:dyDescent="0.2">
      <c r="A55" s="25"/>
      <c r="B55" s="25"/>
      <c r="C55" s="25" t="s">
        <v>46</v>
      </c>
      <c r="D55" s="25">
        <v>1</v>
      </c>
      <c r="E55" s="132"/>
      <c r="F55" s="226" t="s">
        <v>42</v>
      </c>
      <c r="G55" s="41">
        <v>48.63725832786885</v>
      </c>
      <c r="H55" s="133"/>
      <c r="I55" s="35">
        <v>48.63725832786885</v>
      </c>
      <c r="J55" s="202">
        <f t="shared" ref="J55:J57" si="16">E55*H55</f>
        <v>0</v>
      </c>
      <c r="K55" s="225">
        <v>0</v>
      </c>
      <c r="L55" s="214"/>
      <c r="M55" s="35">
        <v>0</v>
      </c>
      <c r="N55" s="202">
        <f>J55*L55</f>
        <v>0</v>
      </c>
      <c r="O55" s="35">
        <v>48.63725832786885</v>
      </c>
      <c r="P55" s="202">
        <f t="shared" ref="P55:P57" si="17">+J55-N55</f>
        <v>0</v>
      </c>
      <c r="Q55" s="35">
        <v>5933.745516</v>
      </c>
      <c r="R55" s="202">
        <f t="shared" ref="R55:R57" si="18">+J55*E$7</f>
        <v>0</v>
      </c>
    </row>
    <row r="56" spans="1:18" x14ac:dyDescent="0.2">
      <c r="A56" s="25"/>
      <c r="B56" s="25"/>
      <c r="C56" s="25" t="s">
        <v>105</v>
      </c>
      <c r="D56" s="25">
        <v>1</v>
      </c>
      <c r="E56" s="132"/>
      <c r="F56" s="226" t="s">
        <v>42</v>
      </c>
      <c r="G56" s="41">
        <v>17.081157471272306</v>
      </c>
      <c r="H56" s="133"/>
      <c r="I56" s="35">
        <v>17.081157471272306</v>
      </c>
      <c r="J56" s="202">
        <f t="shared" si="16"/>
        <v>0</v>
      </c>
      <c r="K56" s="225">
        <v>0</v>
      </c>
      <c r="L56" s="214"/>
      <c r="M56" s="35">
        <v>0</v>
      </c>
      <c r="N56" s="202">
        <f>J56*L56</f>
        <v>0</v>
      </c>
      <c r="O56" s="35">
        <v>17.081157471272306</v>
      </c>
      <c r="P56" s="202">
        <f t="shared" si="17"/>
        <v>0</v>
      </c>
      <c r="Q56" s="35">
        <v>2083.9012114952211</v>
      </c>
      <c r="R56" s="202">
        <f t="shared" si="18"/>
        <v>0</v>
      </c>
    </row>
    <row r="57" spans="1:18" x14ac:dyDescent="0.2">
      <c r="A57" s="25"/>
      <c r="B57" s="25"/>
      <c r="C57" s="25" t="s">
        <v>4</v>
      </c>
      <c r="D57" s="25">
        <v>1</v>
      </c>
      <c r="E57" s="132"/>
      <c r="F57" s="226" t="s">
        <v>42</v>
      </c>
      <c r="G57" s="41">
        <v>19.797417761330575</v>
      </c>
      <c r="H57" s="133"/>
      <c r="I57" s="35">
        <v>19.797417761330575</v>
      </c>
      <c r="J57" s="202">
        <f t="shared" si="16"/>
        <v>0</v>
      </c>
      <c r="K57" s="225">
        <v>0</v>
      </c>
      <c r="L57" s="214"/>
      <c r="M57" s="35">
        <v>0</v>
      </c>
      <c r="N57" s="202">
        <f>J57*L57</f>
        <v>0</v>
      </c>
      <c r="O57" s="35">
        <v>19.797417761330575</v>
      </c>
      <c r="P57" s="202">
        <f t="shared" si="17"/>
        <v>0</v>
      </c>
      <c r="Q57" s="35">
        <v>2415.2849668823301</v>
      </c>
      <c r="R57" s="202">
        <f t="shared" si="18"/>
        <v>0</v>
      </c>
    </row>
    <row r="58" spans="1:18" x14ac:dyDescent="0.2">
      <c r="A58" s="25"/>
      <c r="B58" s="25" t="s">
        <v>89</v>
      </c>
      <c r="C58" s="25"/>
      <c r="D58" s="25"/>
      <c r="E58" s="197"/>
      <c r="F58" s="21"/>
      <c r="G58" s="41"/>
      <c r="H58" s="197"/>
      <c r="I58" s="186"/>
      <c r="J58" s="184"/>
      <c r="K58" s="225"/>
      <c r="L58" s="197"/>
      <c r="M58" s="35"/>
      <c r="N58" s="184"/>
      <c r="O58" s="35"/>
      <c r="P58" s="184"/>
      <c r="Q58" s="35"/>
      <c r="R58" s="184"/>
    </row>
    <row r="59" spans="1:18" x14ac:dyDescent="0.2">
      <c r="A59" s="25"/>
      <c r="B59" s="25"/>
      <c r="C59" s="25" t="s">
        <v>46</v>
      </c>
      <c r="D59" s="41">
        <v>364.77943745901632</v>
      </c>
      <c r="E59" s="132"/>
      <c r="F59" s="226" t="s">
        <v>100</v>
      </c>
      <c r="G59" s="39">
        <v>0.08</v>
      </c>
      <c r="H59" s="215"/>
      <c r="I59" s="35">
        <v>29.182354996721305</v>
      </c>
      <c r="J59" s="202">
        <f t="shared" ref="J59:J68" si="19">E59*H59</f>
        <v>0</v>
      </c>
      <c r="K59" s="225">
        <v>0</v>
      </c>
      <c r="L59" s="214"/>
      <c r="M59" s="35">
        <v>0</v>
      </c>
      <c r="N59" s="202">
        <f>J59*L59</f>
        <v>0</v>
      </c>
      <c r="O59" s="35">
        <v>29.182354996721305</v>
      </c>
      <c r="P59" s="202">
        <f t="shared" ref="P59:P61" si="20">+J59-N59</f>
        <v>0</v>
      </c>
      <c r="Q59" s="35">
        <v>3560.247309599999</v>
      </c>
      <c r="R59" s="202">
        <f t="shared" ref="R59:R61" si="21">+J59*E$7</f>
        <v>0</v>
      </c>
    </row>
    <row r="60" spans="1:18" x14ac:dyDescent="0.2">
      <c r="A60" s="25"/>
      <c r="B60" s="25"/>
      <c r="C60" s="25" t="s">
        <v>105</v>
      </c>
      <c r="D60" s="41">
        <v>133.06772675200844</v>
      </c>
      <c r="E60" s="132"/>
      <c r="F60" s="226" t="s">
        <v>100</v>
      </c>
      <c r="G60" s="39">
        <v>0.08</v>
      </c>
      <c r="H60" s="215"/>
      <c r="I60" s="35">
        <v>10.645418140160675</v>
      </c>
      <c r="J60" s="202">
        <f t="shared" si="19"/>
        <v>0</v>
      </c>
      <c r="K60" s="225">
        <v>0</v>
      </c>
      <c r="L60" s="214"/>
      <c r="M60" s="35">
        <v>0</v>
      </c>
      <c r="N60" s="202">
        <f>J60*L60</f>
        <v>0</v>
      </c>
      <c r="O60" s="35">
        <v>10.645418140160675</v>
      </c>
      <c r="P60" s="202">
        <f t="shared" si="20"/>
        <v>0</v>
      </c>
      <c r="Q60" s="35">
        <v>1298.7410130996025</v>
      </c>
      <c r="R60" s="202">
        <f t="shared" si="21"/>
        <v>0</v>
      </c>
    </row>
    <row r="61" spans="1:18" x14ac:dyDescent="0.2">
      <c r="A61" s="25"/>
      <c r="B61" s="25"/>
      <c r="C61" s="25" t="s">
        <v>4</v>
      </c>
      <c r="D61" s="41">
        <v>84.688953756803031</v>
      </c>
      <c r="E61" s="132"/>
      <c r="F61" s="226" t="s">
        <v>100</v>
      </c>
      <c r="G61" s="39">
        <v>0.08</v>
      </c>
      <c r="H61" s="215"/>
      <c r="I61" s="35">
        <v>6.7751163005442425</v>
      </c>
      <c r="J61" s="202">
        <f t="shared" si="19"/>
        <v>0</v>
      </c>
      <c r="K61" s="225">
        <v>0</v>
      </c>
      <c r="L61" s="214"/>
      <c r="M61" s="35">
        <v>0</v>
      </c>
      <c r="N61" s="202">
        <f>J61*L61</f>
        <v>0</v>
      </c>
      <c r="O61" s="35">
        <v>6.7751163005442425</v>
      </c>
      <c r="P61" s="202">
        <f t="shared" si="20"/>
        <v>0</v>
      </c>
      <c r="Q61" s="35">
        <v>826.56418866639763</v>
      </c>
      <c r="R61" s="202">
        <f t="shared" si="21"/>
        <v>0</v>
      </c>
    </row>
    <row r="62" spans="1:18" x14ac:dyDescent="0.2">
      <c r="A62" s="25"/>
      <c r="B62" s="25" t="s">
        <v>156</v>
      </c>
      <c r="C62" s="25"/>
      <c r="D62" s="25">
        <v>1</v>
      </c>
      <c r="E62" s="132"/>
      <c r="F62" s="226" t="s">
        <v>42</v>
      </c>
      <c r="G62" s="41">
        <v>0</v>
      </c>
      <c r="H62" s="133"/>
      <c r="I62" s="35">
        <v>0</v>
      </c>
      <c r="J62" s="202">
        <f t="shared" si="19"/>
        <v>0</v>
      </c>
      <c r="K62" s="225">
        <v>0</v>
      </c>
      <c r="L62" s="214"/>
      <c r="M62" s="35">
        <v>0</v>
      </c>
      <c r="N62" s="202">
        <f t="shared" ref="N62:N69" si="22">J62*L62</f>
        <v>0</v>
      </c>
      <c r="O62" s="35">
        <v>0</v>
      </c>
      <c r="P62" s="202">
        <f t="shared" ref="P62:P69" si="23">+J62-N62</f>
        <v>0</v>
      </c>
      <c r="Q62" s="35">
        <v>0</v>
      </c>
      <c r="R62" s="202">
        <f t="shared" ref="R62:R69" si="24">+J62*E$7</f>
        <v>0</v>
      </c>
    </row>
    <row r="63" spans="1:18" x14ac:dyDescent="0.2">
      <c r="A63" s="25"/>
      <c r="B63" s="25" t="s">
        <v>152</v>
      </c>
      <c r="C63" s="25"/>
      <c r="D63" s="25">
        <v>1</v>
      </c>
      <c r="E63" s="132"/>
      <c r="F63" s="226" t="s">
        <v>42</v>
      </c>
      <c r="G63" s="41">
        <v>0</v>
      </c>
      <c r="H63" s="133"/>
      <c r="I63" s="35">
        <v>0</v>
      </c>
      <c r="J63" s="202">
        <f t="shared" si="19"/>
        <v>0</v>
      </c>
      <c r="K63" s="225">
        <v>0</v>
      </c>
      <c r="L63" s="214"/>
      <c r="M63" s="35">
        <v>0</v>
      </c>
      <c r="N63" s="202">
        <f t="shared" si="22"/>
        <v>0</v>
      </c>
      <c r="O63" s="35">
        <v>0</v>
      </c>
      <c r="P63" s="202">
        <f t="shared" si="23"/>
        <v>0</v>
      </c>
      <c r="Q63" s="35">
        <v>0</v>
      </c>
      <c r="R63" s="202">
        <f t="shared" si="24"/>
        <v>0</v>
      </c>
    </row>
    <row r="64" spans="1:18" x14ac:dyDescent="0.2">
      <c r="A64" s="25"/>
      <c r="B64" s="25" t="s">
        <v>137</v>
      </c>
      <c r="C64" s="25"/>
      <c r="D64" s="25">
        <v>1</v>
      </c>
      <c r="E64" s="132"/>
      <c r="F64" s="226" t="s">
        <v>42</v>
      </c>
      <c r="G64" s="41">
        <v>0</v>
      </c>
      <c r="H64" s="133"/>
      <c r="I64" s="35">
        <v>0</v>
      </c>
      <c r="J64" s="202">
        <f t="shared" si="19"/>
        <v>0</v>
      </c>
      <c r="K64" s="225">
        <v>0</v>
      </c>
      <c r="L64" s="214"/>
      <c r="M64" s="35">
        <v>0</v>
      </c>
      <c r="N64" s="202">
        <f t="shared" si="22"/>
        <v>0</v>
      </c>
      <c r="O64" s="35">
        <v>0</v>
      </c>
      <c r="P64" s="202">
        <f t="shared" si="23"/>
        <v>0</v>
      </c>
      <c r="Q64" s="35">
        <v>0</v>
      </c>
      <c r="R64" s="202">
        <f t="shared" si="24"/>
        <v>0</v>
      </c>
    </row>
    <row r="65" spans="1:18" x14ac:dyDescent="0.2">
      <c r="A65" s="25"/>
      <c r="B65" s="25" t="s">
        <v>138</v>
      </c>
      <c r="C65" s="25"/>
      <c r="D65" s="25">
        <v>1</v>
      </c>
      <c r="E65" s="132"/>
      <c r="F65" s="226" t="s">
        <v>42</v>
      </c>
      <c r="G65" s="41">
        <v>0</v>
      </c>
      <c r="H65" s="133"/>
      <c r="I65" s="35">
        <v>0</v>
      </c>
      <c r="J65" s="202">
        <f t="shared" si="19"/>
        <v>0</v>
      </c>
      <c r="K65" s="225">
        <v>0</v>
      </c>
      <c r="L65" s="214"/>
      <c r="M65" s="35">
        <v>0</v>
      </c>
      <c r="N65" s="202">
        <f t="shared" si="22"/>
        <v>0</v>
      </c>
      <c r="O65" s="35">
        <v>0</v>
      </c>
      <c r="P65" s="202">
        <f t="shared" si="23"/>
        <v>0</v>
      </c>
      <c r="Q65" s="35">
        <v>0</v>
      </c>
      <c r="R65" s="202">
        <f t="shared" si="24"/>
        <v>0</v>
      </c>
    </row>
    <row r="66" spans="1:18" x14ac:dyDescent="0.2">
      <c r="A66" s="25"/>
      <c r="B66" s="25" t="s">
        <v>159</v>
      </c>
      <c r="C66" s="25"/>
      <c r="D66" s="25">
        <v>1</v>
      </c>
      <c r="E66" s="132"/>
      <c r="F66" s="226" t="s">
        <v>42</v>
      </c>
      <c r="G66" s="41">
        <v>0</v>
      </c>
      <c r="H66" s="133"/>
      <c r="I66" s="35">
        <v>0</v>
      </c>
      <c r="J66" s="202">
        <f t="shared" si="19"/>
        <v>0</v>
      </c>
      <c r="K66" s="225">
        <v>0</v>
      </c>
      <c r="L66" s="214"/>
      <c r="M66" s="35">
        <v>0</v>
      </c>
      <c r="N66" s="202">
        <f t="shared" si="22"/>
        <v>0</v>
      </c>
      <c r="O66" s="35">
        <v>0</v>
      </c>
      <c r="P66" s="202">
        <f t="shared" si="23"/>
        <v>0</v>
      </c>
      <c r="Q66" s="35">
        <v>0</v>
      </c>
      <c r="R66" s="202">
        <f t="shared" si="24"/>
        <v>0</v>
      </c>
    </row>
    <row r="67" spans="1:18" x14ac:dyDescent="0.2">
      <c r="A67" s="25"/>
      <c r="B67" s="25" t="s">
        <v>160</v>
      </c>
      <c r="C67" s="25"/>
      <c r="D67" s="25">
        <v>1</v>
      </c>
      <c r="E67" s="132"/>
      <c r="F67" s="226" t="s">
        <v>42</v>
      </c>
      <c r="G67" s="41">
        <v>0</v>
      </c>
      <c r="H67" s="133"/>
      <c r="I67" s="35">
        <v>0</v>
      </c>
      <c r="J67" s="202">
        <f t="shared" si="19"/>
        <v>0</v>
      </c>
      <c r="K67" s="225">
        <v>0</v>
      </c>
      <c r="L67" s="214"/>
      <c r="M67" s="35">
        <v>0</v>
      </c>
      <c r="N67" s="202">
        <f t="shared" si="22"/>
        <v>0</v>
      </c>
      <c r="O67" s="35">
        <v>0</v>
      </c>
      <c r="P67" s="202">
        <f t="shared" si="23"/>
        <v>0</v>
      </c>
      <c r="Q67" s="35">
        <v>0</v>
      </c>
      <c r="R67" s="202">
        <f t="shared" si="24"/>
        <v>0</v>
      </c>
    </row>
    <row r="68" spans="1:18" x14ac:dyDescent="0.2">
      <c r="A68" s="25"/>
      <c r="B68" s="133"/>
      <c r="C68" s="133"/>
      <c r="D68" s="25">
        <v>1</v>
      </c>
      <c r="E68" s="132"/>
      <c r="F68" s="226"/>
      <c r="G68" s="41">
        <v>0</v>
      </c>
      <c r="H68" s="133"/>
      <c r="I68" s="35">
        <v>0</v>
      </c>
      <c r="J68" s="202">
        <f t="shared" si="19"/>
        <v>0</v>
      </c>
      <c r="K68" s="225">
        <v>0</v>
      </c>
      <c r="L68" s="214"/>
      <c r="M68" s="35">
        <v>0</v>
      </c>
      <c r="N68" s="202">
        <f t="shared" si="22"/>
        <v>0</v>
      </c>
      <c r="O68" s="35">
        <v>0</v>
      </c>
      <c r="P68" s="202">
        <f t="shared" si="23"/>
        <v>0</v>
      </c>
      <c r="Q68" s="35">
        <v>0</v>
      </c>
      <c r="R68" s="202">
        <f t="shared" si="24"/>
        <v>0</v>
      </c>
    </row>
    <row r="69" spans="1:18" ht="13.5" thickBot="1" x14ac:dyDescent="0.25">
      <c r="A69" s="25"/>
      <c r="B69" s="133"/>
      <c r="C69" s="133"/>
      <c r="D69" s="25">
        <v>1</v>
      </c>
      <c r="E69" s="132"/>
      <c r="F69" s="226"/>
      <c r="G69" s="41">
        <v>0</v>
      </c>
      <c r="H69" s="133"/>
      <c r="I69" s="35">
        <v>0</v>
      </c>
      <c r="J69" s="202">
        <f>E69*H69</f>
        <v>0</v>
      </c>
      <c r="K69" s="225">
        <v>0</v>
      </c>
      <c r="L69" s="214"/>
      <c r="M69" s="35">
        <v>0</v>
      </c>
      <c r="N69" s="202">
        <f t="shared" si="22"/>
        <v>0</v>
      </c>
      <c r="O69" s="35">
        <v>0</v>
      </c>
      <c r="P69" s="202">
        <f t="shared" si="23"/>
        <v>0</v>
      </c>
      <c r="Q69" s="35">
        <v>0</v>
      </c>
      <c r="R69" s="202">
        <f t="shared" si="24"/>
        <v>0</v>
      </c>
    </row>
    <row r="70" spans="1:18" ht="13.5" thickBot="1" x14ac:dyDescent="0.25">
      <c r="A70" s="25" t="s">
        <v>37</v>
      </c>
      <c r="B70" s="25"/>
      <c r="C70" s="25"/>
      <c r="D70" s="25"/>
      <c r="E70" s="197"/>
      <c r="F70" s="25"/>
      <c r="G70" s="25"/>
      <c r="H70" s="197"/>
      <c r="I70" s="121">
        <v>132.11872299789795</v>
      </c>
      <c r="J70" s="204">
        <f>+SUM(J55:J69)</f>
        <v>0</v>
      </c>
      <c r="K70" s="35"/>
      <c r="L70" s="195"/>
      <c r="M70" s="121">
        <v>0</v>
      </c>
      <c r="N70" s="204">
        <f>+SUM(N55:N69)</f>
        <v>0</v>
      </c>
      <c r="O70" s="121">
        <v>132.11872299789795</v>
      </c>
      <c r="P70" s="204">
        <f>+SUM(P55:P69)</f>
        <v>0</v>
      </c>
      <c r="Q70" s="121">
        <v>16118.484205743553</v>
      </c>
      <c r="R70" s="204">
        <f>+SUM(R55:R69)</f>
        <v>0</v>
      </c>
    </row>
    <row r="71" spans="1:18" ht="14.25" thickTop="1" thickBot="1" x14ac:dyDescent="0.25">
      <c r="A71" s="25" t="s">
        <v>52</v>
      </c>
      <c r="B71" s="25"/>
      <c r="C71" s="25"/>
      <c r="D71" s="25"/>
      <c r="E71" s="197"/>
      <c r="F71" s="25"/>
      <c r="G71" s="25"/>
      <c r="H71" s="197"/>
      <c r="I71" s="87">
        <v>320.86596652413505</v>
      </c>
      <c r="J71" s="205">
        <f>+J49+J70</f>
        <v>0</v>
      </c>
      <c r="K71" s="35"/>
      <c r="L71" s="195"/>
      <c r="M71" s="87">
        <v>0</v>
      </c>
      <c r="N71" s="205">
        <f>+N49+N70</f>
        <v>0</v>
      </c>
      <c r="O71" s="87">
        <v>320.86596652413505</v>
      </c>
      <c r="P71" s="205">
        <f>+P49+P70</f>
        <v>0</v>
      </c>
      <c r="Q71" s="87">
        <v>39145.647915944472</v>
      </c>
      <c r="R71" s="205">
        <f>+R49+R70</f>
        <v>0</v>
      </c>
    </row>
    <row r="72" spans="1:18" ht="13.5" thickTop="1" x14ac:dyDescent="0.2">
      <c r="A72" s="25"/>
      <c r="B72" s="25"/>
      <c r="C72" s="25"/>
      <c r="D72" s="25"/>
      <c r="E72" s="197"/>
      <c r="F72" s="25"/>
      <c r="G72" s="25"/>
      <c r="H72" s="197"/>
      <c r="I72" s="35"/>
      <c r="J72" s="184"/>
      <c r="K72" s="35"/>
      <c r="L72" s="195"/>
      <c r="M72" s="35"/>
      <c r="N72" s="184"/>
      <c r="O72" s="35"/>
      <c r="P72" s="184"/>
      <c r="Q72" s="35"/>
      <c r="R72" s="184"/>
    </row>
    <row r="73" spans="1:18" x14ac:dyDescent="0.2">
      <c r="A73" s="25" t="s">
        <v>153</v>
      </c>
      <c r="B73" s="25"/>
      <c r="C73" s="25"/>
      <c r="D73" s="25"/>
      <c r="E73" s="197"/>
      <c r="F73" s="25"/>
      <c r="G73" s="25"/>
      <c r="H73" s="197"/>
      <c r="I73" s="35">
        <v>-320.86596652413505</v>
      </c>
      <c r="J73" s="202">
        <f>+J13-J71</f>
        <v>0</v>
      </c>
      <c r="K73" s="35"/>
      <c r="L73" s="195"/>
      <c r="M73" s="35">
        <v>0</v>
      </c>
      <c r="N73" s="202">
        <f>+N13-N71</f>
        <v>0</v>
      </c>
      <c r="O73" s="35">
        <v>-320.86596652413505</v>
      </c>
      <c r="P73" s="202">
        <f>+P13-P71</f>
        <v>0</v>
      </c>
      <c r="Q73" s="35">
        <v>-39145.647915944472</v>
      </c>
      <c r="R73" s="202">
        <f>+R13-R71</f>
        <v>0</v>
      </c>
    </row>
    <row r="74" spans="1:18" x14ac:dyDescent="0.2">
      <c r="A74" s="25"/>
      <c r="B74" s="25"/>
      <c r="C74" s="25"/>
      <c r="D74" s="25"/>
      <c r="E74" s="197"/>
      <c r="F74" s="25"/>
      <c r="G74" s="25"/>
      <c r="H74" s="197"/>
      <c r="I74" s="35"/>
      <c r="J74" s="206"/>
      <c r="K74" s="35"/>
      <c r="L74" s="195"/>
      <c r="M74" s="35"/>
      <c r="N74" s="195"/>
      <c r="O74" s="35"/>
      <c r="P74" s="195"/>
      <c r="Q74" s="35"/>
      <c r="R74" s="206"/>
    </row>
    <row r="75" spans="1:18" ht="13.5" thickBot="1" x14ac:dyDescent="0.25">
      <c r="A75" s="44" t="s">
        <v>38</v>
      </c>
      <c r="B75" s="44"/>
      <c r="C75" s="44"/>
      <c r="D75" s="44"/>
      <c r="E75" s="201"/>
      <c r="F75" s="44"/>
      <c r="G75" s="45" t="s">
        <v>303</v>
      </c>
      <c r="H75" s="212" t="str">
        <f>IF(E10=0,"n/a",(YTotExp-(YTotExp+YTotRet-J10))/E10)</f>
        <v>n/a</v>
      </c>
      <c r="I75" s="44" t="s">
        <v>501</v>
      </c>
      <c r="J75" s="207"/>
      <c r="K75" s="44"/>
      <c r="L75" s="201"/>
      <c r="M75" s="44"/>
      <c r="N75" s="201"/>
      <c r="O75" s="44"/>
      <c r="P75" s="201"/>
      <c r="Q75" s="44"/>
      <c r="R75" s="207"/>
    </row>
    <row r="76" spans="1:18" ht="13.5" thickTop="1" x14ac:dyDescent="0.2"/>
    <row r="77" spans="1:18" s="17" customFormat="1" ht="15.75" x14ac:dyDescent="0.25">
      <c r="A77"/>
      <c r="B77" s="88"/>
      <c r="C77" s="89"/>
      <c r="D77" s="234" t="s">
        <v>115</v>
      </c>
      <c r="E77" s="235"/>
      <c r="F77" s="235"/>
      <c r="G77" s="235"/>
      <c r="H77" s="235"/>
      <c r="I77" s="235"/>
      <c r="J77" s="99"/>
      <c r="K77" s="99"/>
      <c r="M77"/>
      <c r="N77"/>
    </row>
    <row r="78" spans="1:18" s="17" customFormat="1" ht="15.75" x14ac:dyDescent="0.25">
      <c r="A78"/>
      <c r="B78" s="19" t="s">
        <v>116</v>
      </c>
      <c r="C78" s="19" t="s">
        <v>116</v>
      </c>
      <c r="D78" s="126" t="s">
        <v>170</v>
      </c>
      <c r="E78" s="18"/>
      <c r="F78" s="18"/>
      <c r="G78" s="126" t="s">
        <v>170</v>
      </c>
      <c r="H78" s="18"/>
      <c r="I78" s="18"/>
      <c r="J78" s="18"/>
      <c r="K78" s="18"/>
      <c r="M78"/>
      <c r="N78"/>
    </row>
    <row r="79" spans="1:18" s="17" customFormat="1" x14ac:dyDescent="0.2">
      <c r="A79"/>
      <c r="B79" s="19" t="s">
        <v>81</v>
      </c>
      <c r="C79" s="19" t="s">
        <v>81</v>
      </c>
      <c r="D79" s="126" t="s">
        <v>157</v>
      </c>
      <c r="E79" s="122"/>
      <c r="F79" s="122"/>
      <c r="G79" s="126" t="s">
        <v>11</v>
      </c>
      <c r="H79" s="122"/>
      <c r="I79" s="122"/>
      <c r="J79" s="122"/>
      <c r="K79" s="122"/>
      <c r="M79"/>
      <c r="N79"/>
    </row>
    <row r="80" spans="1:18" s="17" customFormat="1" x14ac:dyDescent="0.2">
      <c r="A80"/>
      <c r="B80" s="19" t="s">
        <v>30</v>
      </c>
      <c r="C80" s="99" t="s">
        <v>501</v>
      </c>
      <c r="D80" s="126" t="s">
        <v>99</v>
      </c>
      <c r="E80" s="122"/>
      <c r="F80" s="122"/>
      <c r="G80" s="126" t="s">
        <v>99</v>
      </c>
      <c r="H80" s="19"/>
      <c r="I80" s="19"/>
      <c r="J80" s="19"/>
      <c r="K80" s="19"/>
      <c r="M80"/>
      <c r="N80"/>
    </row>
    <row r="81" spans="1:18" s="17" customFormat="1" x14ac:dyDescent="0.2">
      <c r="A81"/>
      <c r="B81" s="90">
        <v>0.75</v>
      </c>
      <c r="C81" s="91">
        <v>0</v>
      </c>
      <c r="D81" s="92">
        <v>0</v>
      </c>
      <c r="E81" s="93"/>
      <c r="F81" s="94"/>
      <c r="G81" s="92">
        <v>0</v>
      </c>
      <c r="H81" s="93"/>
      <c r="I81" s="93"/>
      <c r="M81"/>
      <c r="N81"/>
    </row>
    <row r="82" spans="1:18" s="17" customFormat="1" x14ac:dyDescent="0.2">
      <c r="A82"/>
      <c r="B82" s="95">
        <v>0.9</v>
      </c>
      <c r="C82" s="96">
        <v>0</v>
      </c>
      <c r="D82" s="97">
        <v>0</v>
      </c>
      <c r="E82" s="83"/>
      <c r="F82" s="98"/>
      <c r="G82" s="97">
        <v>0</v>
      </c>
      <c r="H82" s="83"/>
      <c r="I82" s="83"/>
      <c r="M82"/>
      <c r="N82"/>
    </row>
    <row r="83" spans="1:18" s="17" customFormat="1" x14ac:dyDescent="0.2">
      <c r="A83"/>
      <c r="B83" s="90">
        <v>1</v>
      </c>
      <c r="C83" s="91">
        <v>0</v>
      </c>
      <c r="D83" s="92">
        <v>0</v>
      </c>
      <c r="E83" s="93"/>
      <c r="F83" s="94"/>
      <c r="G83" s="92">
        <v>0</v>
      </c>
      <c r="H83" s="93"/>
      <c r="I83" s="93"/>
      <c r="M83"/>
      <c r="N83"/>
    </row>
    <row r="84" spans="1:18" s="17" customFormat="1" x14ac:dyDescent="0.2">
      <c r="A84"/>
      <c r="B84" s="95">
        <v>1.1000000000000001</v>
      </c>
      <c r="C84" s="96">
        <v>0</v>
      </c>
      <c r="D84" s="97">
        <v>0</v>
      </c>
      <c r="E84" s="83"/>
      <c r="F84" s="98"/>
      <c r="G84" s="97">
        <v>0</v>
      </c>
      <c r="H84" s="83"/>
      <c r="I84" s="83"/>
      <c r="M84"/>
      <c r="N84"/>
    </row>
    <row r="85" spans="1:18" s="17" customFormat="1" x14ac:dyDescent="0.2">
      <c r="A85"/>
      <c r="B85" s="90">
        <v>1.25</v>
      </c>
      <c r="C85" s="91">
        <v>0</v>
      </c>
      <c r="D85" s="92">
        <v>0</v>
      </c>
      <c r="E85" s="93"/>
      <c r="F85" s="94"/>
      <c r="G85" s="92">
        <v>0</v>
      </c>
      <c r="H85" s="93"/>
      <c r="I85" s="93"/>
      <c r="M85"/>
      <c r="N85"/>
    </row>
    <row r="86" spans="1:18" s="17" customFormat="1" x14ac:dyDescent="0.2">
      <c r="A86"/>
      <c r="M86"/>
      <c r="N86"/>
    </row>
    <row r="87" spans="1:18" x14ac:dyDescent="0.2">
      <c r="A87" s="25" t="s">
        <v>536</v>
      </c>
      <c r="B87" s="17"/>
      <c r="C87" s="17"/>
      <c r="D87" s="17"/>
      <c r="E87" s="17"/>
      <c r="F87" s="17"/>
      <c r="G87" s="17"/>
      <c r="H87" s="17"/>
      <c r="I87" s="17"/>
      <c r="J87" s="28"/>
      <c r="K87" s="17"/>
      <c r="L87" s="17"/>
      <c r="M87" s="17"/>
      <c r="N87" s="17"/>
      <c r="O87" s="17"/>
      <c r="P87" s="17"/>
      <c r="Q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18" ht="26.25" customHeight="1" x14ac:dyDescent="0.2">
      <c r="A89" s="236" t="s">
        <v>140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21"/>
      <c r="N89" s="221"/>
      <c r="O89" s="221"/>
      <c r="P89" s="221"/>
      <c r="Q89" s="221"/>
      <c r="R89" s="221"/>
    </row>
  </sheetData>
  <sheetProtection sheet="1" objects="1" scenarios="1"/>
  <mergeCells count="6">
    <mergeCell ref="D77:I77"/>
    <mergeCell ref="A89:L8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5">
    <tabColor rgb="FF92D050"/>
    <pageSetUpPr fitToPage="1"/>
  </sheetPr>
  <dimension ref="A1:S90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6.42578125" customWidth="1"/>
    <col min="3" max="3" width="32.1406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338</v>
      </c>
      <c r="C10" s="25"/>
      <c r="D10" s="50">
        <v>6.3</v>
      </c>
      <c r="E10" s="132"/>
      <c r="F10" s="226" t="s">
        <v>339</v>
      </c>
      <c r="G10" s="31">
        <v>15.5</v>
      </c>
      <c r="H10" s="133"/>
      <c r="I10" s="35">
        <v>97.649999999999991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97.649999999999991</v>
      </c>
      <c r="P10" s="202">
        <f>+J10-N10</f>
        <v>0</v>
      </c>
      <c r="Q10" s="35">
        <v>11913.3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97.649999999999991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97.649999999999991</v>
      </c>
      <c r="P13" s="203">
        <f>SUM(P10:P12)</f>
        <v>0</v>
      </c>
      <c r="Q13" s="36">
        <v>11913.3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423</v>
      </c>
      <c r="D18" s="25">
        <v>20</v>
      </c>
      <c r="E18" s="132"/>
      <c r="F18" s="226" t="s">
        <v>83</v>
      </c>
      <c r="G18" s="41">
        <v>0.53</v>
      </c>
      <c r="H18" s="133"/>
      <c r="I18" s="35">
        <v>10.600000000000001</v>
      </c>
      <c r="J18" s="202">
        <f t="shared" ref="J18:J25" si="4">E18*H18</f>
        <v>0</v>
      </c>
      <c r="K18" s="225">
        <v>0</v>
      </c>
      <c r="L18" s="214"/>
      <c r="M18" s="35">
        <v>0</v>
      </c>
      <c r="N18" s="202">
        <f t="shared" ref="N18:N25" si="5">J18*L18</f>
        <v>0</v>
      </c>
      <c r="O18" s="35">
        <v>10.600000000000001</v>
      </c>
      <c r="P18" s="202">
        <f t="shared" ref="P18:P25" si="6">+J18-N18</f>
        <v>0</v>
      </c>
      <c r="Q18" s="35">
        <v>1293.2000000000003</v>
      </c>
      <c r="R18" s="202">
        <f t="shared" ref="R18:R25" si="7">+J18*E$7</f>
        <v>0</v>
      </c>
    </row>
    <row r="19" spans="1:18" x14ac:dyDescent="0.2">
      <c r="A19" s="25"/>
      <c r="B19" s="25" t="s">
        <v>501</v>
      </c>
      <c r="C19" s="25" t="s">
        <v>447</v>
      </c>
      <c r="D19" s="25">
        <v>0.45</v>
      </c>
      <c r="E19" s="132"/>
      <c r="F19" s="226" t="s">
        <v>7</v>
      </c>
      <c r="G19" s="41">
        <v>31.15</v>
      </c>
      <c r="H19" s="133"/>
      <c r="I19" s="35">
        <v>14.0175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14.0175</v>
      </c>
      <c r="P19" s="202">
        <f t="shared" si="6"/>
        <v>0</v>
      </c>
      <c r="Q19" s="35">
        <v>1710.135</v>
      </c>
      <c r="R19" s="202">
        <f t="shared" si="7"/>
        <v>0</v>
      </c>
    </row>
    <row r="20" spans="1:18" x14ac:dyDescent="0.2">
      <c r="A20" s="25"/>
      <c r="B20" s="25" t="s">
        <v>49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359</v>
      </c>
      <c r="D21" s="25">
        <v>40</v>
      </c>
      <c r="E21" s="132"/>
      <c r="F21" s="226" t="s">
        <v>360</v>
      </c>
      <c r="G21" s="41">
        <v>0.10078125</v>
      </c>
      <c r="H21" s="133"/>
      <c r="I21" s="35">
        <v>4.03125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4.03125</v>
      </c>
      <c r="P21" s="202">
        <f t="shared" si="6"/>
        <v>0</v>
      </c>
      <c r="Q21" s="35">
        <v>491.8125</v>
      </c>
      <c r="R21" s="202">
        <f t="shared" si="7"/>
        <v>0</v>
      </c>
    </row>
    <row r="22" spans="1:18" x14ac:dyDescent="0.2">
      <c r="A22" s="25"/>
      <c r="B22" s="25" t="s">
        <v>107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403</v>
      </c>
      <c r="D23" s="25">
        <v>0.14000000000000001</v>
      </c>
      <c r="E23" s="132"/>
      <c r="F23" s="226" t="s">
        <v>44</v>
      </c>
      <c r="G23" s="41">
        <v>8.5</v>
      </c>
      <c r="H23" s="133"/>
      <c r="I23" s="35">
        <v>1.1900000000000002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1.1900000000000002</v>
      </c>
      <c r="P23" s="202">
        <f t="shared" si="6"/>
        <v>0</v>
      </c>
      <c r="Q23" s="35">
        <v>145.18</v>
      </c>
      <c r="R23" s="202">
        <f t="shared" si="7"/>
        <v>0</v>
      </c>
    </row>
    <row r="24" spans="1:18" x14ac:dyDescent="0.2">
      <c r="A24" s="25"/>
      <c r="B24" s="133"/>
      <c r="C24" s="133"/>
      <c r="D24" s="25">
        <v>0</v>
      </c>
      <c r="E24" s="132"/>
      <c r="F24" s="226"/>
      <c r="G24" s="41">
        <v>0</v>
      </c>
      <c r="H24" s="133"/>
      <c r="I24" s="35">
        <v>0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0</v>
      </c>
      <c r="P24" s="202">
        <f t="shared" si="6"/>
        <v>0</v>
      </c>
      <c r="Q24" s="35">
        <v>0</v>
      </c>
      <c r="R24" s="202">
        <f t="shared" si="7"/>
        <v>0</v>
      </c>
    </row>
    <row r="25" spans="1:18" x14ac:dyDescent="0.2">
      <c r="A25" s="25"/>
      <c r="B25" s="133"/>
      <c r="C25" s="133"/>
      <c r="D25" s="25">
        <v>0</v>
      </c>
      <c r="E25" s="132"/>
      <c r="F25" s="226"/>
      <c r="G25" s="41">
        <v>0</v>
      </c>
      <c r="H25" s="133"/>
      <c r="I25" s="35">
        <v>0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0</v>
      </c>
      <c r="P25" s="202">
        <f t="shared" si="6"/>
        <v>0</v>
      </c>
      <c r="Q25" s="35">
        <v>0</v>
      </c>
      <c r="R25" s="202">
        <f t="shared" si="7"/>
        <v>0</v>
      </c>
    </row>
    <row r="26" spans="1:18" x14ac:dyDescent="0.2">
      <c r="A26" s="25"/>
      <c r="B26" s="133"/>
      <c r="C26" s="133"/>
      <c r="D26" s="25">
        <v>0</v>
      </c>
      <c r="E26" s="132"/>
      <c r="F26" s="226"/>
      <c r="G26" s="41">
        <v>0</v>
      </c>
      <c r="H26" s="133"/>
      <c r="I26" s="35">
        <v>0</v>
      </c>
      <c r="J26" s="202">
        <f>E26*H26</f>
        <v>0</v>
      </c>
      <c r="K26" s="225">
        <v>0</v>
      </c>
      <c r="L26" s="214"/>
      <c r="M26" s="35">
        <v>0</v>
      </c>
      <c r="N26" s="202">
        <f>J26*L26</f>
        <v>0</v>
      </c>
      <c r="O26" s="35">
        <v>0</v>
      </c>
      <c r="P26" s="202">
        <f>+J26-N26</f>
        <v>0</v>
      </c>
      <c r="Q26" s="35">
        <v>0</v>
      </c>
      <c r="R26" s="202">
        <f>+J26*E$7</f>
        <v>0</v>
      </c>
    </row>
    <row r="27" spans="1:18" x14ac:dyDescent="0.2">
      <c r="A27" s="25"/>
      <c r="B27" s="25" t="s">
        <v>45</v>
      </c>
      <c r="C27" s="25"/>
      <c r="D27" s="25"/>
      <c r="E27" s="209"/>
      <c r="F27" s="21"/>
      <c r="G27" s="41"/>
      <c r="H27" s="198"/>
      <c r="I27" s="186"/>
      <c r="J27" s="184"/>
      <c r="K27" s="225"/>
      <c r="L27" s="198"/>
      <c r="M27" s="35"/>
      <c r="N27" s="184"/>
      <c r="O27" s="35"/>
      <c r="P27" s="184"/>
      <c r="Q27" s="35"/>
      <c r="R27" s="184"/>
    </row>
    <row r="28" spans="1:18" x14ac:dyDescent="0.2">
      <c r="A28" s="25"/>
      <c r="B28" s="25"/>
      <c r="C28" s="25" t="s">
        <v>146</v>
      </c>
      <c r="D28" s="34">
        <v>4.5600000000000005</v>
      </c>
      <c r="E28" s="132"/>
      <c r="F28" s="226" t="s">
        <v>459</v>
      </c>
      <c r="G28" s="41">
        <v>4.7</v>
      </c>
      <c r="H28" s="133"/>
      <c r="I28" s="35">
        <v>21.432000000000002</v>
      </c>
      <c r="J28" s="202">
        <f t="shared" ref="J28:J29" si="8">E28*H28</f>
        <v>0</v>
      </c>
      <c r="K28" s="225">
        <v>0</v>
      </c>
      <c r="L28" s="214"/>
      <c r="M28" s="35">
        <v>0</v>
      </c>
      <c r="N28" s="202">
        <f t="shared" ref="N28:N29" si="9">J28*L28</f>
        <v>0</v>
      </c>
      <c r="O28" s="35">
        <v>21.432000000000002</v>
      </c>
      <c r="P28" s="202">
        <f t="shared" ref="P28:P29" si="10">+J28-N28</f>
        <v>0</v>
      </c>
      <c r="Q28" s="35">
        <v>2614.7040000000002</v>
      </c>
      <c r="R28" s="202">
        <f t="shared" ref="R28:R29" si="11">+J28*E$7</f>
        <v>0</v>
      </c>
    </row>
    <row r="29" spans="1:18" x14ac:dyDescent="0.2">
      <c r="A29" s="25"/>
      <c r="B29" s="25"/>
      <c r="C29" s="25" t="s">
        <v>136</v>
      </c>
      <c r="D29" s="34">
        <v>2.64E-2</v>
      </c>
      <c r="E29" s="132"/>
      <c r="F29" s="226" t="s">
        <v>44</v>
      </c>
      <c r="G29" s="41">
        <v>17.5</v>
      </c>
      <c r="H29" s="133"/>
      <c r="I29" s="35">
        <v>0.46200000000000002</v>
      </c>
      <c r="J29" s="202">
        <f t="shared" si="8"/>
        <v>0</v>
      </c>
      <c r="K29" s="225">
        <v>0</v>
      </c>
      <c r="L29" s="214"/>
      <c r="M29" s="35">
        <v>0</v>
      </c>
      <c r="N29" s="202">
        <f t="shared" si="9"/>
        <v>0</v>
      </c>
      <c r="O29" s="35">
        <v>0.46200000000000002</v>
      </c>
      <c r="P29" s="202">
        <f t="shared" si="10"/>
        <v>0</v>
      </c>
      <c r="Q29" s="35">
        <v>56.364000000000004</v>
      </c>
      <c r="R29" s="202">
        <f t="shared" si="11"/>
        <v>0</v>
      </c>
    </row>
    <row r="30" spans="1:18" x14ac:dyDescent="0.2">
      <c r="A30" s="25"/>
      <c r="B30" s="25" t="s">
        <v>108</v>
      </c>
      <c r="C30" s="25"/>
      <c r="D30" s="25"/>
      <c r="E30" s="105"/>
      <c r="H30" s="105"/>
      <c r="I30" s="124"/>
      <c r="J30" s="105"/>
      <c r="K30" s="225"/>
      <c r="L30" s="105"/>
      <c r="N30" s="105"/>
      <c r="P30" s="105"/>
      <c r="R30" s="105"/>
    </row>
    <row r="31" spans="1:18" x14ac:dyDescent="0.2">
      <c r="A31" s="25"/>
      <c r="B31" s="25"/>
      <c r="C31" s="25" t="s">
        <v>105</v>
      </c>
      <c r="D31" s="25">
        <v>0.3</v>
      </c>
      <c r="E31" s="132"/>
      <c r="F31" s="226" t="s">
        <v>44</v>
      </c>
      <c r="G31" s="41">
        <v>17.21</v>
      </c>
      <c r="H31" s="133"/>
      <c r="I31" s="35">
        <v>5.1630000000000003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5.1630000000000003</v>
      </c>
      <c r="P31" s="202">
        <f>+J31-N31</f>
        <v>0</v>
      </c>
      <c r="Q31" s="35">
        <v>629.88600000000008</v>
      </c>
      <c r="R31" s="202">
        <f>+J31*E$7</f>
        <v>0</v>
      </c>
    </row>
    <row r="32" spans="1:18" x14ac:dyDescent="0.2">
      <c r="A32" s="25"/>
      <c r="B32" s="25"/>
      <c r="C32" s="25" t="s">
        <v>107</v>
      </c>
      <c r="D32" s="25">
        <v>0</v>
      </c>
      <c r="E32" s="132"/>
      <c r="F32" s="226" t="s">
        <v>44</v>
      </c>
      <c r="G32" s="41">
        <v>17.21</v>
      </c>
      <c r="H32" s="133"/>
      <c r="I32" s="35">
        <v>0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0</v>
      </c>
      <c r="P32" s="202">
        <f>+J32-N32</f>
        <v>0</v>
      </c>
      <c r="Q32" s="35">
        <v>0</v>
      </c>
      <c r="R32" s="202">
        <f>+J32*E$7</f>
        <v>0</v>
      </c>
    </row>
    <row r="33" spans="1:18" x14ac:dyDescent="0.2">
      <c r="A33" s="25"/>
      <c r="B33" s="25"/>
      <c r="C33" s="25"/>
      <c r="D33" s="25"/>
      <c r="E33" s="209"/>
      <c r="F33" s="21"/>
      <c r="G33" s="41"/>
      <c r="H33" s="198"/>
      <c r="I33" s="35"/>
      <c r="J33" s="184"/>
      <c r="K33" s="225"/>
      <c r="L33" s="198"/>
      <c r="M33" s="35"/>
      <c r="N33" s="184"/>
      <c r="O33" s="35"/>
      <c r="P33" s="184"/>
      <c r="Q33" s="35"/>
      <c r="R33" s="184"/>
    </row>
    <row r="34" spans="1:18" x14ac:dyDescent="0.2">
      <c r="A34" s="25"/>
      <c r="B34" s="25" t="s">
        <v>51</v>
      </c>
      <c r="C34" s="25"/>
      <c r="D34" s="25"/>
      <c r="E34" s="209"/>
      <c r="F34" s="21"/>
      <c r="G34" s="41"/>
      <c r="H34" s="198"/>
      <c r="I34" s="186"/>
      <c r="J34" s="184"/>
      <c r="K34" s="225"/>
      <c r="L34" s="198"/>
      <c r="M34" s="35"/>
      <c r="N34" s="184"/>
      <c r="O34" s="35"/>
      <c r="P34" s="184"/>
      <c r="Q34" s="35"/>
      <c r="R34" s="184"/>
    </row>
    <row r="35" spans="1:18" x14ac:dyDescent="0.2">
      <c r="A35" s="25"/>
      <c r="B35" s="25"/>
      <c r="C35" s="25" t="s">
        <v>104</v>
      </c>
      <c r="D35" s="25">
        <v>1</v>
      </c>
      <c r="E35" s="132"/>
      <c r="F35" s="226" t="s">
        <v>42</v>
      </c>
      <c r="G35" s="41">
        <v>0</v>
      </c>
      <c r="H35" s="133"/>
      <c r="I35" s="35">
        <v>0</v>
      </c>
      <c r="J35" s="202">
        <f>E35*H35</f>
        <v>0</v>
      </c>
      <c r="K35" s="225">
        <v>0</v>
      </c>
      <c r="L35" s="214"/>
      <c r="M35" s="35">
        <v>0</v>
      </c>
      <c r="N35" s="202">
        <f>J35*L35</f>
        <v>0</v>
      </c>
      <c r="O35" s="35">
        <v>0</v>
      </c>
      <c r="P35" s="202">
        <f>+J35-N35</f>
        <v>0</v>
      </c>
      <c r="Q35" s="35">
        <v>0</v>
      </c>
      <c r="R35" s="202">
        <f>+J35*E$7</f>
        <v>0</v>
      </c>
    </row>
    <row r="36" spans="1:18" x14ac:dyDescent="0.2">
      <c r="A36" s="25"/>
      <c r="B36" s="25"/>
      <c r="C36" s="25" t="s">
        <v>105</v>
      </c>
      <c r="D36" s="25">
        <v>1.1399999999999999</v>
      </c>
      <c r="E36" s="132"/>
      <c r="F36" s="226" t="s">
        <v>79</v>
      </c>
      <c r="G36" s="41">
        <v>3.6</v>
      </c>
      <c r="H36" s="133"/>
      <c r="I36" s="35">
        <v>4.1040000000000001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4.1040000000000001</v>
      </c>
      <c r="P36" s="202">
        <f>+J36-N36</f>
        <v>0</v>
      </c>
      <c r="Q36" s="35">
        <v>500.68799999999999</v>
      </c>
      <c r="R36" s="202">
        <f>+J36*E$7</f>
        <v>0</v>
      </c>
    </row>
    <row r="37" spans="1:18" x14ac:dyDescent="0.2">
      <c r="A37" s="25"/>
      <c r="B37" s="25"/>
      <c r="C37" s="25"/>
      <c r="D37" s="25"/>
      <c r="E37" s="209"/>
      <c r="F37" s="21"/>
      <c r="G37" s="41"/>
      <c r="H37" s="198"/>
      <c r="I37" s="35"/>
      <c r="J37" s="184"/>
      <c r="K37" s="225"/>
      <c r="L37" s="198"/>
      <c r="M37" s="35"/>
      <c r="N37" s="184"/>
      <c r="O37" s="35"/>
      <c r="P37" s="184"/>
      <c r="Q37" s="35"/>
      <c r="R37" s="184"/>
    </row>
    <row r="38" spans="1:18" x14ac:dyDescent="0.2">
      <c r="A38" s="25"/>
      <c r="B38" s="25" t="s">
        <v>29</v>
      </c>
      <c r="C38" s="25"/>
      <c r="D38" s="25"/>
      <c r="E38" s="209"/>
      <c r="F38" s="21"/>
      <c r="G38" s="41"/>
      <c r="H38" s="198"/>
      <c r="I38" s="186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/>
      <c r="C39" s="25" t="s">
        <v>104</v>
      </c>
      <c r="D39" s="25">
        <v>1</v>
      </c>
      <c r="E39" s="132"/>
      <c r="F39" s="226" t="s">
        <v>42</v>
      </c>
      <c r="G39" s="41">
        <v>0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/>
      <c r="C40" s="25" t="s">
        <v>105</v>
      </c>
      <c r="D40" s="25">
        <v>0</v>
      </c>
      <c r="E40" s="132"/>
      <c r="F40" s="226" t="s">
        <v>79</v>
      </c>
      <c r="G40" s="41">
        <v>3.15</v>
      </c>
      <c r="H40" s="133"/>
      <c r="I40" s="35">
        <v>0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0</v>
      </c>
      <c r="P40" s="202">
        <f>+J40-N40</f>
        <v>0</v>
      </c>
      <c r="Q40" s="35">
        <v>0</v>
      </c>
      <c r="R40" s="202">
        <f>+J40*E$7</f>
        <v>0</v>
      </c>
    </row>
    <row r="41" spans="1:18" x14ac:dyDescent="0.2">
      <c r="A41" s="25"/>
      <c r="B41" s="25"/>
      <c r="C41" s="25"/>
      <c r="D41" s="25"/>
      <c r="E41" s="209"/>
      <c r="F41" s="21"/>
      <c r="G41" s="41"/>
      <c r="H41" s="198"/>
      <c r="I41" s="35"/>
      <c r="J41" s="184"/>
      <c r="K41" s="225"/>
      <c r="L41" s="198"/>
      <c r="M41" s="35"/>
      <c r="N41" s="184"/>
      <c r="O41" s="35"/>
      <c r="P41" s="184"/>
      <c r="Q41" s="35"/>
      <c r="R41" s="184"/>
    </row>
    <row r="42" spans="1:18" x14ac:dyDescent="0.2">
      <c r="A42" s="25"/>
      <c r="B42" s="25" t="s">
        <v>47</v>
      </c>
      <c r="C42" s="25"/>
      <c r="D42" s="25"/>
      <c r="E42" s="209"/>
      <c r="F42" s="21"/>
      <c r="G42" s="41"/>
      <c r="H42" s="199"/>
      <c r="I42" s="186"/>
      <c r="J42" s="184"/>
      <c r="K42" s="225"/>
      <c r="L42" s="199"/>
      <c r="M42" s="35"/>
      <c r="N42" s="184"/>
      <c r="O42" s="35"/>
      <c r="P42" s="184"/>
      <c r="Q42" s="35"/>
      <c r="R42" s="184"/>
    </row>
    <row r="43" spans="1:18" x14ac:dyDescent="0.2">
      <c r="A43" s="25"/>
      <c r="B43" s="25"/>
      <c r="C43" s="25" t="s">
        <v>104</v>
      </c>
      <c r="D43" s="25">
        <v>1</v>
      </c>
      <c r="E43" s="132"/>
      <c r="F43" s="226" t="s">
        <v>42</v>
      </c>
      <c r="G43" s="41">
        <v>0</v>
      </c>
      <c r="H43" s="133"/>
      <c r="I43" s="35">
        <v>0</v>
      </c>
      <c r="J43" s="202">
        <f t="shared" ref="J43:J48" si="12">E43*H43</f>
        <v>0</v>
      </c>
      <c r="K43" s="225">
        <v>0</v>
      </c>
      <c r="L43" s="214"/>
      <c r="M43" s="35">
        <v>0</v>
      </c>
      <c r="N43" s="202">
        <f t="shared" ref="N43:N48" si="13">J43*L43</f>
        <v>0</v>
      </c>
      <c r="O43" s="35">
        <v>0</v>
      </c>
      <c r="P43" s="202">
        <f t="shared" ref="P43:P48" si="14">+J43-N43</f>
        <v>0</v>
      </c>
      <c r="Q43" s="35">
        <v>0</v>
      </c>
      <c r="R43" s="202">
        <f t="shared" ref="R43:R48" si="15">+J43*E$7</f>
        <v>0</v>
      </c>
    </row>
    <row r="44" spans="1:18" x14ac:dyDescent="0.2">
      <c r="A44" s="25"/>
      <c r="B44" s="25"/>
      <c r="C44" s="25" t="s">
        <v>46</v>
      </c>
      <c r="D44" s="25">
        <v>1</v>
      </c>
      <c r="E44" s="132"/>
      <c r="F44" s="226" t="s">
        <v>42</v>
      </c>
      <c r="G44" s="41">
        <v>12.016968</v>
      </c>
      <c r="H44" s="133"/>
      <c r="I44" s="35">
        <v>12.016968</v>
      </c>
      <c r="J44" s="202">
        <f t="shared" si="12"/>
        <v>0</v>
      </c>
      <c r="K44" s="225">
        <v>0</v>
      </c>
      <c r="L44" s="214"/>
      <c r="M44" s="35">
        <v>0</v>
      </c>
      <c r="N44" s="202">
        <f t="shared" si="13"/>
        <v>0</v>
      </c>
      <c r="O44" s="35">
        <v>12.016968</v>
      </c>
      <c r="P44" s="202">
        <f t="shared" si="14"/>
        <v>0</v>
      </c>
      <c r="Q44" s="35">
        <v>1466.0700960000001</v>
      </c>
      <c r="R44" s="202">
        <f t="shared" si="15"/>
        <v>0</v>
      </c>
    </row>
    <row r="45" spans="1:18" x14ac:dyDescent="0.2">
      <c r="A45" s="25"/>
      <c r="B45" s="25"/>
      <c r="C45" s="25" t="s">
        <v>105</v>
      </c>
      <c r="D45" s="25">
        <v>1</v>
      </c>
      <c r="E45" s="132"/>
      <c r="F45" s="226" t="s">
        <v>42</v>
      </c>
      <c r="G45" s="41">
        <v>1.762215403382525</v>
      </c>
      <c r="H45" s="133"/>
      <c r="I45" s="35">
        <v>1.762215403382525</v>
      </c>
      <c r="J45" s="202">
        <f t="shared" si="12"/>
        <v>0</v>
      </c>
      <c r="K45" s="225">
        <v>0</v>
      </c>
      <c r="L45" s="214"/>
      <c r="M45" s="35">
        <v>0</v>
      </c>
      <c r="N45" s="202">
        <f t="shared" si="13"/>
        <v>0</v>
      </c>
      <c r="O45" s="35">
        <v>1.762215403382525</v>
      </c>
      <c r="P45" s="202">
        <f t="shared" si="14"/>
        <v>0</v>
      </c>
      <c r="Q45" s="35">
        <v>214.99027921266804</v>
      </c>
      <c r="R45" s="202">
        <f t="shared" si="15"/>
        <v>0</v>
      </c>
    </row>
    <row r="46" spans="1:18" x14ac:dyDescent="0.2">
      <c r="A46" s="25"/>
      <c r="B46" s="25"/>
      <c r="C46" s="25" t="s">
        <v>4</v>
      </c>
      <c r="D46" s="25">
        <v>1</v>
      </c>
      <c r="E46" s="132"/>
      <c r="F46" s="226" t="s">
        <v>42</v>
      </c>
      <c r="G46" s="41">
        <v>0.33951679627560982</v>
      </c>
      <c r="H46" s="133"/>
      <c r="I46" s="35">
        <v>0.33951679627560982</v>
      </c>
      <c r="J46" s="202">
        <f t="shared" si="12"/>
        <v>0</v>
      </c>
      <c r="K46" s="225">
        <v>0</v>
      </c>
      <c r="L46" s="214"/>
      <c r="M46" s="35">
        <v>0</v>
      </c>
      <c r="N46" s="202">
        <f t="shared" si="13"/>
        <v>0</v>
      </c>
      <c r="O46" s="35">
        <v>0.33951679627560982</v>
      </c>
      <c r="P46" s="202">
        <f t="shared" si="14"/>
        <v>0</v>
      </c>
      <c r="Q46" s="35">
        <v>41.421049145624401</v>
      </c>
      <c r="R46" s="202">
        <f t="shared" si="15"/>
        <v>0</v>
      </c>
    </row>
    <row r="47" spans="1:18" x14ac:dyDescent="0.2">
      <c r="A47" s="25"/>
      <c r="B47" s="133"/>
      <c r="C47" s="133"/>
      <c r="D47" s="25"/>
      <c r="E47" s="132"/>
      <c r="F47" s="226"/>
      <c r="G47" s="41"/>
      <c r="H47" s="133"/>
      <c r="I47" s="35">
        <v>0</v>
      </c>
      <c r="J47" s="202">
        <f t="shared" si="12"/>
        <v>0</v>
      </c>
      <c r="K47" s="225">
        <v>0</v>
      </c>
      <c r="L47" s="214"/>
      <c r="M47" s="35">
        <v>0</v>
      </c>
      <c r="N47" s="202">
        <f t="shared" si="13"/>
        <v>0</v>
      </c>
      <c r="O47" s="35">
        <v>0</v>
      </c>
      <c r="P47" s="202">
        <f t="shared" si="14"/>
        <v>0</v>
      </c>
      <c r="Q47" s="35">
        <v>0</v>
      </c>
      <c r="R47" s="202">
        <f t="shared" si="15"/>
        <v>0</v>
      </c>
    </row>
    <row r="48" spans="1:18" x14ac:dyDescent="0.2">
      <c r="A48" s="25"/>
      <c r="B48" s="133"/>
      <c r="C48" s="133"/>
      <c r="D48" s="25"/>
      <c r="E48" s="132"/>
      <c r="F48" s="226"/>
      <c r="G48" s="41"/>
      <c r="H48" s="133"/>
      <c r="I48" s="35">
        <v>0</v>
      </c>
      <c r="J48" s="202">
        <f t="shared" si="12"/>
        <v>0</v>
      </c>
      <c r="K48" s="225">
        <v>0</v>
      </c>
      <c r="L48" s="214"/>
      <c r="M48" s="35">
        <v>0</v>
      </c>
      <c r="N48" s="202">
        <f t="shared" si="13"/>
        <v>0</v>
      </c>
      <c r="O48" s="35">
        <v>0</v>
      </c>
      <c r="P48" s="202">
        <f t="shared" si="14"/>
        <v>0</v>
      </c>
      <c r="Q48" s="35">
        <v>0</v>
      </c>
      <c r="R48" s="202">
        <f t="shared" si="15"/>
        <v>0</v>
      </c>
    </row>
    <row r="49" spans="1:18" ht="13.5" thickBot="1" x14ac:dyDescent="0.25">
      <c r="A49" s="25"/>
      <c r="B49" s="25" t="s">
        <v>32</v>
      </c>
      <c r="C49" s="25"/>
      <c r="D49" s="25"/>
      <c r="E49" s="197"/>
      <c r="F49" s="21"/>
      <c r="G49" s="39">
        <v>0.08</v>
      </c>
      <c r="H49" s="215"/>
      <c r="I49" s="42">
        <v>2.4555300310758308</v>
      </c>
      <c r="J49" s="202">
        <f>+SUM(J17:J48)/2*H49</f>
        <v>0</v>
      </c>
      <c r="K49" s="86"/>
      <c r="L49" s="137"/>
      <c r="M49" s="42">
        <v>0</v>
      </c>
      <c r="N49" s="202">
        <f>+SUM(N17:N48)/2*L49</f>
        <v>0</v>
      </c>
      <c r="O49" s="42">
        <v>2.4555300310758308</v>
      </c>
      <c r="P49" s="202">
        <f>+SUM(P17:P48)/2*L49</f>
        <v>0</v>
      </c>
      <c r="Q49" s="42">
        <v>299.57466379125134</v>
      </c>
      <c r="R49" s="184">
        <f>+J49*E$7</f>
        <v>0</v>
      </c>
    </row>
    <row r="50" spans="1:18" ht="13.5" thickBot="1" x14ac:dyDescent="0.25">
      <c r="A50" s="25" t="s">
        <v>33</v>
      </c>
      <c r="B50" s="25"/>
      <c r="C50" s="25"/>
      <c r="D50" s="25"/>
      <c r="E50" s="200"/>
      <c r="F50" s="25"/>
      <c r="G50" s="25"/>
      <c r="H50" s="197"/>
      <c r="I50" s="87">
        <v>77.573980230733966</v>
      </c>
      <c r="J50" s="204">
        <f>SUM(J18:J49)</f>
        <v>0</v>
      </c>
      <c r="K50" s="35"/>
      <c r="L50" s="195"/>
      <c r="M50" s="87">
        <v>0</v>
      </c>
      <c r="N50" s="204">
        <f>SUM(N18:N49)</f>
        <v>0</v>
      </c>
      <c r="O50" s="87">
        <v>77.573980230733966</v>
      </c>
      <c r="P50" s="204">
        <f>SUM(P18:P49)</f>
        <v>0</v>
      </c>
      <c r="Q50" s="87">
        <v>9464.025588149545</v>
      </c>
      <c r="R50" s="204">
        <f>SUM(R18:R49)</f>
        <v>0</v>
      </c>
    </row>
    <row r="51" spans="1:18" ht="13.5" thickTop="1" x14ac:dyDescent="0.2">
      <c r="A51" s="25" t="s">
        <v>34</v>
      </c>
      <c r="B51" s="25"/>
      <c r="C51" s="25"/>
      <c r="D51" s="25"/>
      <c r="E51" s="200"/>
      <c r="F51" s="25"/>
      <c r="G51" s="25"/>
      <c r="H51" s="197"/>
      <c r="I51" s="35">
        <v>20.076019769266026</v>
      </c>
      <c r="J51" s="202">
        <f>+J13-J50</f>
        <v>0</v>
      </c>
      <c r="K51" s="35"/>
      <c r="L51" s="195"/>
      <c r="M51" s="35">
        <v>0</v>
      </c>
      <c r="N51" s="202">
        <f>+N13-N50</f>
        <v>0</v>
      </c>
      <c r="O51" s="35">
        <v>20.076019769266026</v>
      </c>
      <c r="P51" s="202">
        <f>+P13-P50</f>
        <v>0</v>
      </c>
      <c r="Q51" s="35">
        <v>2449.2744118504543</v>
      </c>
      <c r="R51" s="202">
        <f>+R13-R50</f>
        <v>0</v>
      </c>
    </row>
    <row r="52" spans="1:18" x14ac:dyDescent="0.2">
      <c r="A52" s="25"/>
      <c r="B52" s="25" t="s">
        <v>35</v>
      </c>
      <c r="C52" s="25"/>
      <c r="D52" s="25"/>
      <c r="E52" s="210"/>
      <c r="F52" s="17"/>
      <c r="G52" s="40">
        <v>12.313330195354599</v>
      </c>
      <c r="H52" s="210" t="str">
        <f>IF(E10=0,"n/a",(YVarExp-(YTotExp+YTotRet-J10))/E10)</f>
        <v>n/a</v>
      </c>
      <c r="I52" s="25" t="s">
        <v>339</v>
      </c>
      <c r="J52" s="184"/>
      <c r="K52" s="25"/>
      <c r="L52" s="197"/>
      <c r="M52" s="25"/>
      <c r="N52" s="184"/>
      <c r="O52" s="25"/>
      <c r="P52" s="184"/>
      <c r="Q52" s="25"/>
      <c r="R52" s="184"/>
    </row>
    <row r="53" spans="1:18" x14ac:dyDescent="0.2">
      <c r="A53" s="25"/>
      <c r="B53" s="25"/>
      <c r="C53" s="25"/>
      <c r="D53" s="25"/>
      <c r="E53" s="178"/>
      <c r="F53" s="25"/>
      <c r="G53" s="25"/>
      <c r="H53" s="211"/>
      <c r="I53" s="25"/>
      <c r="J53" s="184"/>
      <c r="K53" s="25"/>
      <c r="L53" s="197"/>
      <c r="M53" s="25"/>
      <c r="N53" s="184"/>
      <c r="O53" s="25"/>
      <c r="P53" s="184"/>
      <c r="Q53" s="22" t="s">
        <v>19</v>
      </c>
      <c r="R53" s="184" t="s">
        <v>19</v>
      </c>
    </row>
    <row r="54" spans="1:18" x14ac:dyDescent="0.2">
      <c r="A54" s="23" t="s">
        <v>36</v>
      </c>
      <c r="B54" s="23"/>
      <c r="C54" s="23"/>
      <c r="D54" s="24" t="s">
        <v>2</v>
      </c>
      <c r="E54" s="196" t="s">
        <v>2</v>
      </c>
      <c r="F54" s="24" t="s">
        <v>21</v>
      </c>
      <c r="G54" s="24" t="s">
        <v>22</v>
      </c>
      <c r="H54" s="196" t="s">
        <v>22</v>
      </c>
      <c r="I54" s="24" t="s">
        <v>11</v>
      </c>
      <c r="J54" s="196" t="s">
        <v>11</v>
      </c>
      <c r="K54" s="24" t="s">
        <v>10</v>
      </c>
      <c r="L54" s="196" t="s">
        <v>10</v>
      </c>
      <c r="M54" s="24" t="s">
        <v>9</v>
      </c>
      <c r="N54" s="196" t="s">
        <v>9</v>
      </c>
      <c r="O54" s="24" t="s">
        <v>8</v>
      </c>
      <c r="P54" s="196" t="s">
        <v>8</v>
      </c>
      <c r="Q54" s="24" t="s">
        <v>11</v>
      </c>
      <c r="R54" s="208" t="s">
        <v>11</v>
      </c>
    </row>
    <row r="55" spans="1:18" x14ac:dyDescent="0.2">
      <c r="A55" s="25"/>
      <c r="B55" s="25" t="s">
        <v>106</v>
      </c>
      <c r="C55" s="25"/>
      <c r="D55" s="25"/>
      <c r="E55" s="178"/>
      <c r="F55" s="25"/>
      <c r="G55" s="25"/>
      <c r="H55" s="211"/>
      <c r="I55" s="186"/>
      <c r="J55" s="184"/>
      <c r="K55" s="225"/>
      <c r="L55" s="197"/>
      <c r="M55" s="25"/>
      <c r="N55" s="184"/>
      <c r="O55" s="25"/>
      <c r="P55" s="184"/>
      <c r="Q55" s="25"/>
      <c r="R55" s="184"/>
    </row>
    <row r="56" spans="1:18" x14ac:dyDescent="0.2">
      <c r="A56" s="25"/>
      <c r="B56" s="25"/>
      <c r="C56" s="25" t="s">
        <v>46</v>
      </c>
      <c r="D56" s="25">
        <v>1</v>
      </c>
      <c r="E56" s="132"/>
      <c r="F56" s="226" t="s">
        <v>42</v>
      </c>
      <c r="G56" s="41">
        <v>48.63725832786885</v>
      </c>
      <c r="H56" s="133"/>
      <c r="I56" s="35">
        <v>48.63725832786885</v>
      </c>
      <c r="J56" s="202">
        <f t="shared" ref="J56:J58" si="16">E56*H56</f>
        <v>0</v>
      </c>
      <c r="K56" s="225">
        <v>0</v>
      </c>
      <c r="L56" s="214"/>
      <c r="M56" s="35">
        <v>0</v>
      </c>
      <c r="N56" s="202">
        <f>J56*L56</f>
        <v>0</v>
      </c>
      <c r="O56" s="35">
        <v>48.63725832786885</v>
      </c>
      <c r="P56" s="202">
        <f t="shared" ref="P56:P58" si="17">+J56-N56</f>
        <v>0</v>
      </c>
      <c r="Q56" s="35">
        <v>5933.745516</v>
      </c>
      <c r="R56" s="202">
        <f t="shared" ref="R56:R58" si="18">+J56*E$7</f>
        <v>0</v>
      </c>
    </row>
    <row r="57" spans="1:18" x14ac:dyDescent="0.2">
      <c r="A57" s="25"/>
      <c r="B57" s="25"/>
      <c r="C57" s="25" t="s">
        <v>105</v>
      </c>
      <c r="D57" s="25">
        <v>1</v>
      </c>
      <c r="E57" s="132"/>
      <c r="F57" s="226" t="s">
        <v>42</v>
      </c>
      <c r="G57" s="41">
        <v>1.7167140781550849</v>
      </c>
      <c r="H57" s="133"/>
      <c r="I57" s="35">
        <v>1.7167140781550849</v>
      </c>
      <c r="J57" s="202">
        <f t="shared" si="16"/>
        <v>0</v>
      </c>
      <c r="K57" s="225">
        <v>0</v>
      </c>
      <c r="L57" s="214"/>
      <c r="M57" s="35">
        <v>0</v>
      </c>
      <c r="N57" s="202">
        <f>J57*L57</f>
        <v>0</v>
      </c>
      <c r="O57" s="35">
        <v>1.7167140781550849</v>
      </c>
      <c r="P57" s="202">
        <f t="shared" si="17"/>
        <v>0</v>
      </c>
      <c r="Q57" s="35">
        <v>209.43911753492037</v>
      </c>
      <c r="R57" s="202">
        <f t="shared" si="18"/>
        <v>0</v>
      </c>
    </row>
    <row r="58" spans="1:18" x14ac:dyDescent="0.2">
      <c r="A58" s="25"/>
      <c r="B58" s="25"/>
      <c r="C58" s="25" t="s">
        <v>4</v>
      </c>
      <c r="D58" s="25">
        <v>1</v>
      </c>
      <c r="E58" s="132"/>
      <c r="F58" s="226" t="s">
        <v>42</v>
      </c>
      <c r="G58" s="41">
        <v>0.40391889491206451</v>
      </c>
      <c r="H58" s="133"/>
      <c r="I58" s="35">
        <v>0.40391889491206451</v>
      </c>
      <c r="J58" s="202">
        <f t="shared" si="16"/>
        <v>0</v>
      </c>
      <c r="K58" s="225">
        <v>0</v>
      </c>
      <c r="L58" s="214"/>
      <c r="M58" s="35">
        <v>0</v>
      </c>
      <c r="N58" s="202">
        <f>J58*L58</f>
        <v>0</v>
      </c>
      <c r="O58" s="35">
        <v>0.40391889491206451</v>
      </c>
      <c r="P58" s="202">
        <f t="shared" si="17"/>
        <v>0</v>
      </c>
      <c r="Q58" s="35">
        <v>49.278105179271869</v>
      </c>
      <c r="R58" s="202">
        <f t="shared" si="18"/>
        <v>0</v>
      </c>
    </row>
    <row r="59" spans="1:18" x14ac:dyDescent="0.2">
      <c r="A59" s="25"/>
      <c r="B59" s="25" t="s">
        <v>89</v>
      </c>
      <c r="C59" s="25"/>
      <c r="D59" s="25"/>
      <c r="E59" s="197"/>
      <c r="F59" s="21"/>
      <c r="G59" s="41"/>
      <c r="H59" s="197"/>
      <c r="I59" s="186"/>
      <c r="J59" s="184"/>
      <c r="K59" s="225"/>
      <c r="L59" s="197"/>
      <c r="M59" s="35"/>
      <c r="N59" s="184"/>
      <c r="O59" s="35"/>
      <c r="P59" s="184"/>
      <c r="Q59" s="35"/>
      <c r="R59" s="184"/>
    </row>
    <row r="60" spans="1:18" x14ac:dyDescent="0.2">
      <c r="A60" s="25"/>
      <c r="B60" s="25"/>
      <c r="C60" s="25" t="s">
        <v>46</v>
      </c>
      <c r="D60" s="41">
        <v>364.77943745901632</v>
      </c>
      <c r="E60" s="132"/>
      <c r="F60" s="226" t="s">
        <v>100</v>
      </c>
      <c r="G60" s="39">
        <v>0.08</v>
      </c>
      <c r="H60" s="215"/>
      <c r="I60" s="35">
        <v>29.182354996721305</v>
      </c>
      <c r="J60" s="202">
        <f t="shared" ref="J60:J69" si="19">E60*H60</f>
        <v>0</v>
      </c>
      <c r="K60" s="225">
        <v>0</v>
      </c>
      <c r="L60" s="214"/>
      <c r="M60" s="35">
        <v>0</v>
      </c>
      <c r="N60" s="202">
        <f>J60*L60</f>
        <v>0</v>
      </c>
      <c r="O60" s="35">
        <v>29.182354996721305</v>
      </c>
      <c r="P60" s="202">
        <f t="shared" ref="P60:P62" si="20">+J60-N60</f>
        <v>0</v>
      </c>
      <c r="Q60" s="35">
        <v>3560.247309599999</v>
      </c>
      <c r="R60" s="202">
        <f t="shared" ref="R60:R62" si="21">+J60*E$7</f>
        <v>0</v>
      </c>
    </row>
    <row r="61" spans="1:18" x14ac:dyDescent="0.2">
      <c r="A61" s="25"/>
      <c r="B61" s="25"/>
      <c r="C61" s="25" t="s">
        <v>105</v>
      </c>
      <c r="D61" s="41">
        <v>13.373756447563</v>
      </c>
      <c r="E61" s="132"/>
      <c r="F61" s="226" t="s">
        <v>100</v>
      </c>
      <c r="G61" s="39">
        <v>0.08</v>
      </c>
      <c r="H61" s="215"/>
      <c r="I61" s="35">
        <v>1.0699005158050401</v>
      </c>
      <c r="J61" s="202">
        <f t="shared" si="19"/>
        <v>0</v>
      </c>
      <c r="K61" s="225">
        <v>0</v>
      </c>
      <c r="L61" s="214"/>
      <c r="M61" s="35">
        <v>0</v>
      </c>
      <c r="N61" s="202">
        <f>J61*L61</f>
        <v>0</v>
      </c>
      <c r="O61" s="35">
        <v>1.0699005158050401</v>
      </c>
      <c r="P61" s="202">
        <f t="shared" si="20"/>
        <v>0</v>
      </c>
      <c r="Q61" s="35">
        <v>130.52786292821489</v>
      </c>
      <c r="R61" s="202">
        <f t="shared" si="21"/>
        <v>0</v>
      </c>
    </row>
    <row r="62" spans="1:18" x14ac:dyDescent="0.2">
      <c r="A62" s="25"/>
      <c r="B62" s="25"/>
      <c r="C62" s="25" t="s">
        <v>4</v>
      </c>
      <c r="D62" s="41">
        <v>4.8208804766470781</v>
      </c>
      <c r="E62" s="132"/>
      <c r="F62" s="226" t="s">
        <v>100</v>
      </c>
      <c r="G62" s="39">
        <v>0.08</v>
      </c>
      <c r="H62" s="215"/>
      <c r="I62" s="35">
        <v>0.38567043813176627</v>
      </c>
      <c r="J62" s="202">
        <f t="shared" si="19"/>
        <v>0</v>
      </c>
      <c r="K62" s="225">
        <v>0</v>
      </c>
      <c r="L62" s="214"/>
      <c r="M62" s="35">
        <v>0</v>
      </c>
      <c r="N62" s="202">
        <f>J62*L62</f>
        <v>0</v>
      </c>
      <c r="O62" s="35">
        <v>0.38567043813176627</v>
      </c>
      <c r="P62" s="202">
        <f t="shared" si="20"/>
        <v>0</v>
      </c>
      <c r="Q62" s="35">
        <v>47.051793452075486</v>
      </c>
      <c r="R62" s="202">
        <f t="shared" si="21"/>
        <v>0</v>
      </c>
    </row>
    <row r="63" spans="1:18" x14ac:dyDescent="0.2">
      <c r="A63" s="25"/>
      <c r="B63" s="25" t="s">
        <v>156</v>
      </c>
      <c r="C63" s="25"/>
      <c r="D63" s="25">
        <v>1</v>
      </c>
      <c r="E63" s="132"/>
      <c r="F63" s="226" t="s">
        <v>42</v>
      </c>
      <c r="G63" s="41">
        <v>0</v>
      </c>
      <c r="H63" s="133"/>
      <c r="I63" s="35">
        <v>0</v>
      </c>
      <c r="J63" s="202">
        <f t="shared" si="19"/>
        <v>0</v>
      </c>
      <c r="K63" s="225">
        <v>0</v>
      </c>
      <c r="L63" s="214"/>
      <c r="M63" s="35">
        <v>0</v>
      </c>
      <c r="N63" s="202">
        <f t="shared" ref="N63:N70" si="22">J63*L63</f>
        <v>0</v>
      </c>
      <c r="O63" s="35">
        <v>0</v>
      </c>
      <c r="P63" s="202">
        <f t="shared" ref="P63:P70" si="23">+J63-N63</f>
        <v>0</v>
      </c>
      <c r="Q63" s="35">
        <v>0</v>
      </c>
      <c r="R63" s="202">
        <f t="shared" ref="R63:R70" si="24">+J63*E$7</f>
        <v>0</v>
      </c>
    </row>
    <row r="64" spans="1:18" x14ac:dyDescent="0.2">
      <c r="A64" s="25"/>
      <c r="B64" s="25" t="s">
        <v>152</v>
      </c>
      <c r="C64" s="25"/>
      <c r="D64" s="25">
        <v>1</v>
      </c>
      <c r="E64" s="132"/>
      <c r="F64" s="226" t="s">
        <v>42</v>
      </c>
      <c r="G64" s="41">
        <v>0</v>
      </c>
      <c r="H64" s="133"/>
      <c r="I64" s="35">
        <v>0</v>
      </c>
      <c r="J64" s="202">
        <f t="shared" si="19"/>
        <v>0</v>
      </c>
      <c r="K64" s="225">
        <v>0</v>
      </c>
      <c r="L64" s="214"/>
      <c r="M64" s="35">
        <v>0</v>
      </c>
      <c r="N64" s="202">
        <f t="shared" si="22"/>
        <v>0</v>
      </c>
      <c r="O64" s="35">
        <v>0</v>
      </c>
      <c r="P64" s="202">
        <f t="shared" si="23"/>
        <v>0</v>
      </c>
      <c r="Q64" s="35">
        <v>0</v>
      </c>
      <c r="R64" s="202">
        <f t="shared" si="24"/>
        <v>0</v>
      </c>
    </row>
    <row r="65" spans="1:18" x14ac:dyDescent="0.2">
      <c r="A65" s="25"/>
      <c r="B65" s="25" t="s">
        <v>137</v>
      </c>
      <c r="C65" s="25"/>
      <c r="D65" s="25">
        <v>1</v>
      </c>
      <c r="E65" s="132"/>
      <c r="F65" s="226" t="s">
        <v>42</v>
      </c>
      <c r="G65" s="41">
        <v>47.705000000000005</v>
      </c>
      <c r="H65" s="133"/>
      <c r="I65" s="35">
        <v>47.705000000000005</v>
      </c>
      <c r="J65" s="202">
        <f t="shared" si="19"/>
        <v>0</v>
      </c>
      <c r="K65" s="225">
        <v>0</v>
      </c>
      <c r="L65" s="214"/>
      <c r="M65" s="35">
        <v>0</v>
      </c>
      <c r="N65" s="202">
        <f t="shared" si="22"/>
        <v>0</v>
      </c>
      <c r="O65" s="35">
        <v>47.705000000000005</v>
      </c>
      <c r="P65" s="202">
        <f t="shared" si="23"/>
        <v>0</v>
      </c>
      <c r="Q65" s="35">
        <v>5820.01</v>
      </c>
      <c r="R65" s="202">
        <f t="shared" si="24"/>
        <v>0</v>
      </c>
    </row>
    <row r="66" spans="1:18" x14ac:dyDescent="0.2">
      <c r="A66" s="25"/>
      <c r="B66" s="25" t="s">
        <v>453</v>
      </c>
      <c r="C66" s="25"/>
      <c r="D66" s="25">
        <v>1</v>
      </c>
      <c r="E66" s="132"/>
      <c r="F66" s="226" t="s">
        <v>42</v>
      </c>
      <c r="G66" s="41">
        <v>50</v>
      </c>
      <c r="H66" s="133"/>
      <c r="I66" s="35">
        <v>50</v>
      </c>
      <c r="J66" s="202">
        <f t="shared" si="19"/>
        <v>0</v>
      </c>
      <c r="K66" s="225">
        <v>0</v>
      </c>
      <c r="L66" s="214"/>
      <c r="M66" s="35">
        <v>0</v>
      </c>
      <c r="N66" s="202">
        <f t="shared" si="22"/>
        <v>0</v>
      </c>
      <c r="O66" s="35">
        <v>50</v>
      </c>
      <c r="P66" s="202">
        <f t="shared" si="23"/>
        <v>0</v>
      </c>
      <c r="Q66" s="35">
        <v>6100</v>
      </c>
      <c r="R66" s="202">
        <f t="shared" si="24"/>
        <v>0</v>
      </c>
    </row>
    <row r="67" spans="1:18" x14ac:dyDescent="0.2">
      <c r="A67" s="25"/>
      <c r="B67" s="25" t="s">
        <v>159</v>
      </c>
      <c r="C67" s="25"/>
      <c r="D67" s="25">
        <v>1</v>
      </c>
      <c r="E67" s="132"/>
      <c r="F67" s="226" t="s">
        <v>42</v>
      </c>
      <c r="G67" s="41">
        <v>0</v>
      </c>
      <c r="H67" s="133"/>
      <c r="I67" s="35">
        <v>0</v>
      </c>
      <c r="J67" s="202">
        <f t="shared" si="19"/>
        <v>0</v>
      </c>
      <c r="K67" s="225">
        <v>0</v>
      </c>
      <c r="L67" s="214"/>
      <c r="M67" s="35">
        <v>0</v>
      </c>
      <c r="N67" s="202">
        <f t="shared" si="22"/>
        <v>0</v>
      </c>
      <c r="O67" s="35">
        <v>0</v>
      </c>
      <c r="P67" s="202">
        <f t="shared" si="23"/>
        <v>0</v>
      </c>
      <c r="Q67" s="35">
        <v>0</v>
      </c>
      <c r="R67" s="202">
        <f t="shared" si="24"/>
        <v>0</v>
      </c>
    </row>
    <row r="68" spans="1:18" x14ac:dyDescent="0.2">
      <c r="A68" s="25"/>
      <c r="B68" s="25" t="s">
        <v>160</v>
      </c>
      <c r="C68" s="25"/>
      <c r="D68" s="25">
        <v>1</v>
      </c>
      <c r="E68" s="132"/>
      <c r="F68" s="226" t="s">
        <v>42</v>
      </c>
      <c r="G68" s="41">
        <v>0</v>
      </c>
      <c r="H68" s="133"/>
      <c r="I68" s="35">
        <v>0</v>
      </c>
      <c r="J68" s="202">
        <f t="shared" si="19"/>
        <v>0</v>
      </c>
      <c r="K68" s="225">
        <v>0</v>
      </c>
      <c r="L68" s="214"/>
      <c r="M68" s="35">
        <v>0</v>
      </c>
      <c r="N68" s="202">
        <f t="shared" si="22"/>
        <v>0</v>
      </c>
      <c r="O68" s="35">
        <v>0</v>
      </c>
      <c r="P68" s="202">
        <f t="shared" si="23"/>
        <v>0</v>
      </c>
      <c r="Q68" s="35">
        <v>0</v>
      </c>
      <c r="R68" s="202">
        <f t="shared" si="24"/>
        <v>0</v>
      </c>
    </row>
    <row r="69" spans="1:18" x14ac:dyDescent="0.2">
      <c r="A69" s="25"/>
      <c r="B69" s="133"/>
      <c r="C69" s="133"/>
      <c r="D69" s="25">
        <v>1</v>
      </c>
      <c r="E69" s="132"/>
      <c r="F69" s="226"/>
      <c r="G69" s="41">
        <v>0</v>
      </c>
      <c r="H69" s="133"/>
      <c r="I69" s="35">
        <v>0</v>
      </c>
      <c r="J69" s="202">
        <f t="shared" si="19"/>
        <v>0</v>
      </c>
      <c r="K69" s="225">
        <v>0</v>
      </c>
      <c r="L69" s="214"/>
      <c r="M69" s="35">
        <v>0</v>
      </c>
      <c r="N69" s="202">
        <f t="shared" si="22"/>
        <v>0</v>
      </c>
      <c r="O69" s="35">
        <v>0</v>
      </c>
      <c r="P69" s="202">
        <f t="shared" si="23"/>
        <v>0</v>
      </c>
      <c r="Q69" s="35">
        <v>0</v>
      </c>
      <c r="R69" s="202">
        <f t="shared" si="24"/>
        <v>0</v>
      </c>
    </row>
    <row r="70" spans="1:18" ht="13.5" thickBot="1" x14ac:dyDescent="0.25">
      <c r="A70" s="25"/>
      <c r="B70" s="133"/>
      <c r="C70" s="133"/>
      <c r="D70" s="25">
        <v>1</v>
      </c>
      <c r="E70" s="132"/>
      <c r="F70" s="226"/>
      <c r="G70" s="41">
        <v>0</v>
      </c>
      <c r="H70" s="133"/>
      <c r="I70" s="35">
        <v>0</v>
      </c>
      <c r="J70" s="202">
        <f>E70*H70</f>
        <v>0</v>
      </c>
      <c r="K70" s="225">
        <v>0</v>
      </c>
      <c r="L70" s="214"/>
      <c r="M70" s="35">
        <v>0</v>
      </c>
      <c r="N70" s="202">
        <f t="shared" si="22"/>
        <v>0</v>
      </c>
      <c r="O70" s="35">
        <v>0</v>
      </c>
      <c r="P70" s="202">
        <f t="shared" si="23"/>
        <v>0</v>
      </c>
      <c r="Q70" s="35">
        <v>0</v>
      </c>
      <c r="R70" s="202">
        <f t="shared" si="24"/>
        <v>0</v>
      </c>
    </row>
    <row r="71" spans="1:18" ht="13.5" thickBot="1" x14ac:dyDescent="0.25">
      <c r="A71" s="25" t="s">
        <v>37</v>
      </c>
      <c r="B71" s="25"/>
      <c r="C71" s="25"/>
      <c r="D71" s="25"/>
      <c r="E71" s="197"/>
      <c r="F71" s="25"/>
      <c r="G71" s="25"/>
      <c r="H71" s="197"/>
      <c r="I71" s="121">
        <v>179.10081725159412</v>
      </c>
      <c r="J71" s="204">
        <f>+SUM(J56:J70)</f>
        <v>0</v>
      </c>
      <c r="K71" s="35"/>
      <c r="L71" s="195"/>
      <c r="M71" s="121">
        <v>0</v>
      </c>
      <c r="N71" s="204">
        <f>+SUM(N56:N70)</f>
        <v>0</v>
      </c>
      <c r="O71" s="121">
        <v>179.10081725159412</v>
      </c>
      <c r="P71" s="204">
        <f>+SUM(P56:P70)</f>
        <v>0</v>
      </c>
      <c r="Q71" s="121">
        <v>21850.29970469448</v>
      </c>
      <c r="R71" s="204">
        <f>+SUM(R56:R70)</f>
        <v>0</v>
      </c>
    </row>
    <row r="72" spans="1:18" ht="14.25" thickTop="1" thickBot="1" x14ac:dyDescent="0.25">
      <c r="A72" s="25" t="s">
        <v>52</v>
      </c>
      <c r="B72" s="25"/>
      <c r="C72" s="25"/>
      <c r="D72" s="25"/>
      <c r="E72" s="197"/>
      <c r="F72" s="25"/>
      <c r="G72" s="25"/>
      <c r="H72" s="197"/>
      <c r="I72" s="87">
        <v>256.67479748232807</v>
      </c>
      <c r="J72" s="205">
        <f>+J50+J71</f>
        <v>0</v>
      </c>
      <c r="K72" s="35"/>
      <c r="L72" s="195"/>
      <c r="M72" s="87">
        <v>0</v>
      </c>
      <c r="N72" s="205">
        <f>+N50+N71</f>
        <v>0</v>
      </c>
      <c r="O72" s="87">
        <v>256.67479748232807</v>
      </c>
      <c r="P72" s="205">
        <f>+P50+P71</f>
        <v>0</v>
      </c>
      <c r="Q72" s="87">
        <v>31314.325292844027</v>
      </c>
      <c r="R72" s="205">
        <f>+R50+R71</f>
        <v>0</v>
      </c>
    </row>
    <row r="73" spans="1:18" ht="13.5" thickTop="1" x14ac:dyDescent="0.2">
      <c r="A73" s="25"/>
      <c r="B73" s="25"/>
      <c r="C73" s="25"/>
      <c r="D73" s="25"/>
      <c r="E73" s="197"/>
      <c r="F73" s="25"/>
      <c r="G73" s="25"/>
      <c r="H73" s="197"/>
      <c r="I73" s="35"/>
      <c r="J73" s="184"/>
      <c r="K73" s="35"/>
      <c r="L73" s="195"/>
      <c r="M73" s="35"/>
      <c r="N73" s="184"/>
      <c r="O73" s="35"/>
      <c r="P73" s="184"/>
      <c r="Q73" s="35"/>
      <c r="R73" s="184"/>
    </row>
    <row r="74" spans="1:18" x14ac:dyDescent="0.2">
      <c r="A74" s="25" t="s">
        <v>153</v>
      </c>
      <c r="B74" s="25"/>
      <c r="C74" s="25"/>
      <c r="D74" s="25"/>
      <c r="E74" s="197"/>
      <c r="F74" s="25"/>
      <c r="G74" s="25"/>
      <c r="H74" s="197"/>
      <c r="I74" s="35">
        <v>-159.0247974823281</v>
      </c>
      <c r="J74" s="202">
        <f>+J13-J72</f>
        <v>0</v>
      </c>
      <c r="K74" s="35"/>
      <c r="L74" s="195"/>
      <c r="M74" s="35">
        <v>0</v>
      </c>
      <c r="N74" s="202">
        <f>+N13-N72</f>
        <v>0</v>
      </c>
      <c r="O74" s="35">
        <v>-159.0247974823281</v>
      </c>
      <c r="P74" s="202">
        <f>+P13-P72</f>
        <v>0</v>
      </c>
      <c r="Q74" s="35">
        <v>-19401.025292844028</v>
      </c>
      <c r="R74" s="202">
        <f>+R13-R72</f>
        <v>0</v>
      </c>
    </row>
    <row r="75" spans="1:18" x14ac:dyDescent="0.2">
      <c r="A75" s="25"/>
      <c r="B75" s="25"/>
      <c r="C75" s="25"/>
      <c r="D75" s="25"/>
      <c r="E75" s="197"/>
      <c r="F75" s="25"/>
      <c r="G75" s="25"/>
      <c r="H75" s="197"/>
      <c r="I75" s="35"/>
      <c r="J75" s="206"/>
      <c r="K75" s="35"/>
      <c r="L75" s="195"/>
      <c r="M75" s="35"/>
      <c r="N75" s="195"/>
      <c r="O75" s="35"/>
      <c r="P75" s="195"/>
      <c r="Q75" s="35"/>
      <c r="R75" s="206"/>
    </row>
    <row r="76" spans="1:18" ht="13.5" thickBot="1" x14ac:dyDescent="0.25">
      <c r="A76" s="44" t="s">
        <v>38</v>
      </c>
      <c r="B76" s="44"/>
      <c r="C76" s="44"/>
      <c r="D76" s="44"/>
      <c r="E76" s="201"/>
      <c r="F76" s="44"/>
      <c r="G76" s="45">
        <v>40.742031346401284</v>
      </c>
      <c r="H76" s="212" t="str">
        <f>IF(E10=0,"n/a",(YTotExp-(YTotExp+YTotRet-J10))/E10)</f>
        <v>n/a</v>
      </c>
      <c r="I76" s="44" t="s">
        <v>339</v>
      </c>
      <c r="J76" s="207"/>
      <c r="K76" s="44"/>
      <c r="L76" s="201"/>
      <c r="M76" s="44"/>
      <c r="N76" s="201"/>
      <c r="O76" s="44"/>
      <c r="P76" s="201"/>
      <c r="Q76" s="44"/>
      <c r="R76" s="207"/>
    </row>
    <row r="77" spans="1:18" ht="13.5" thickTop="1" x14ac:dyDescent="0.2"/>
    <row r="78" spans="1:18" s="17" customFormat="1" ht="15.75" x14ac:dyDescent="0.25">
      <c r="A78"/>
      <c r="B78" s="88"/>
      <c r="C78" s="89"/>
      <c r="D78" s="234" t="s">
        <v>115</v>
      </c>
      <c r="E78" s="235"/>
      <c r="F78" s="235"/>
      <c r="G78" s="235"/>
      <c r="H78" s="235"/>
      <c r="I78" s="235"/>
      <c r="J78" s="99"/>
      <c r="K78" s="99"/>
      <c r="M78"/>
      <c r="N78"/>
    </row>
    <row r="79" spans="1:18" s="17" customFormat="1" ht="15.75" x14ac:dyDescent="0.25">
      <c r="A79"/>
      <c r="B79" s="19" t="s">
        <v>116</v>
      </c>
      <c r="C79" s="19" t="s">
        <v>116</v>
      </c>
      <c r="D79" s="126" t="s">
        <v>170</v>
      </c>
      <c r="E79" s="18"/>
      <c r="F79" s="18"/>
      <c r="G79" s="126" t="s">
        <v>170</v>
      </c>
      <c r="H79" s="18"/>
      <c r="I79" s="18"/>
      <c r="J79" s="18"/>
      <c r="K79" s="18"/>
      <c r="M79"/>
      <c r="N79"/>
    </row>
    <row r="80" spans="1:18" s="17" customFormat="1" x14ac:dyDescent="0.2">
      <c r="A80"/>
      <c r="B80" s="19" t="s">
        <v>81</v>
      </c>
      <c r="C80" s="19" t="s">
        <v>81</v>
      </c>
      <c r="D80" s="126" t="s">
        <v>157</v>
      </c>
      <c r="E80" s="122"/>
      <c r="F80" s="122"/>
      <c r="G80" s="126" t="s">
        <v>11</v>
      </c>
      <c r="H80" s="122"/>
      <c r="I80" s="122"/>
      <c r="J80" s="122"/>
      <c r="K80" s="122"/>
      <c r="M80"/>
      <c r="N80"/>
    </row>
    <row r="81" spans="1:18" s="17" customFormat="1" x14ac:dyDescent="0.2">
      <c r="A81"/>
      <c r="B81" s="19" t="s">
        <v>30</v>
      </c>
      <c r="C81" s="99" t="s">
        <v>339</v>
      </c>
      <c r="D81" s="126" t="s">
        <v>99</v>
      </c>
      <c r="E81" s="122"/>
      <c r="F81" s="122"/>
      <c r="G81" s="126" t="s">
        <v>99</v>
      </c>
      <c r="H81" s="19"/>
      <c r="I81" s="19"/>
      <c r="J81" s="19"/>
      <c r="K81" s="19"/>
      <c r="M81"/>
      <c r="N81"/>
    </row>
    <row r="82" spans="1:18" s="17" customFormat="1" x14ac:dyDescent="0.2">
      <c r="A82"/>
      <c r="B82" s="90">
        <v>0.75</v>
      </c>
      <c r="C82" s="91">
        <v>4.7249999999999996</v>
      </c>
      <c r="D82" s="92">
        <v>16.417773593806132</v>
      </c>
      <c r="E82" s="93"/>
      <c r="F82" s="94"/>
      <c r="G82" s="92">
        <v>54.32270846186838</v>
      </c>
      <c r="H82" s="93"/>
      <c r="I82" s="93"/>
      <c r="M82"/>
      <c r="N82"/>
    </row>
    <row r="83" spans="1:18" s="17" customFormat="1" x14ac:dyDescent="0.2">
      <c r="A83"/>
      <c r="B83" s="95">
        <v>0.9</v>
      </c>
      <c r="C83" s="96">
        <v>5.67</v>
      </c>
      <c r="D83" s="97">
        <v>13.681477994838442</v>
      </c>
      <c r="E83" s="83"/>
      <c r="F83" s="98"/>
      <c r="G83" s="97">
        <v>45.268923718223647</v>
      </c>
      <c r="H83" s="83"/>
      <c r="I83" s="83"/>
      <c r="M83"/>
      <c r="N83"/>
    </row>
    <row r="84" spans="1:18" s="17" customFormat="1" x14ac:dyDescent="0.2">
      <c r="A84"/>
      <c r="B84" s="90">
        <v>1</v>
      </c>
      <c r="C84" s="91">
        <v>6.3</v>
      </c>
      <c r="D84" s="92">
        <v>12.313330195354599</v>
      </c>
      <c r="E84" s="93"/>
      <c r="F84" s="94"/>
      <c r="G84" s="92">
        <v>40.742031346401284</v>
      </c>
      <c r="H84" s="93"/>
      <c r="I84" s="93"/>
      <c r="M84"/>
      <c r="N84"/>
    </row>
    <row r="85" spans="1:18" s="17" customFormat="1" x14ac:dyDescent="0.2">
      <c r="A85"/>
      <c r="B85" s="95">
        <v>1.1000000000000001</v>
      </c>
      <c r="C85" s="96">
        <v>6.9300000000000006</v>
      </c>
      <c r="D85" s="97">
        <v>11.193936541231452</v>
      </c>
      <c r="E85" s="83"/>
      <c r="F85" s="98"/>
      <c r="G85" s="97">
        <v>37.038210314910252</v>
      </c>
      <c r="H85" s="83"/>
      <c r="I85" s="83"/>
      <c r="M85"/>
      <c r="N85"/>
    </row>
    <row r="86" spans="1:18" s="17" customFormat="1" x14ac:dyDescent="0.2">
      <c r="A86"/>
      <c r="B86" s="90">
        <v>1.25</v>
      </c>
      <c r="C86" s="91">
        <v>7.875</v>
      </c>
      <c r="D86" s="92">
        <v>9.8506641562836776</v>
      </c>
      <c r="E86" s="93"/>
      <c r="F86" s="94"/>
      <c r="G86" s="92">
        <v>32.593625077121025</v>
      </c>
      <c r="H86" s="93"/>
      <c r="I86" s="93"/>
      <c r="M86"/>
      <c r="N86"/>
    </row>
    <row r="87" spans="1:18" s="17" customFormat="1" x14ac:dyDescent="0.2">
      <c r="A87"/>
      <c r="M87"/>
      <c r="N87"/>
    </row>
    <row r="88" spans="1:18" x14ac:dyDescent="0.2">
      <c r="A88" s="25" t="s">
        <v>536</v>
      </c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28"/>
      <c r="K89" s="17"/>
      <c r="L89" s="17"/>
      <c r="M89" s="17"/>
      <c r="N89" s="17"/>
      <c r="O89" s="17"/>
      <c r="P89" s="17"/>
      <c r="Q89" s="17"/>
    </row>
    <row r="90" spans="1:18" ht="26.25" customHeight="1" x14ac:dyDescent="0.2">
      <c r="A90" s="236" t="s">
        <v>140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21"/>
      <c r="N90" s="221"/>
      <c r="O90" s="221"/>
      <c r="P90" s="221"/>
      <c r="Q90" s="221"/>
      <c r="R90" s="221"/>
    </row>
  </sheetData>
  <sheetProtection sheet="1" objects="1" scenarios="1"/>
  <mergeCells count="6">
    <mergeCell ref="D78:I78"/>
    <mergeCell ref="A90:L9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7">
    <tabColor rgb="FF92D050"/>
    <pageSetUpPr fitToPage="1"/>
  </sheetPr>
  <dimension ref="A1:S90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464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25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t="s">
        <v>345</v>
      </c>
      <c r="C10" s="25"/>
      <c r="D10" s="50">
        <v>3.17</v>
      </c>
      <c r="E10" s="132"/>
      <c r="F10" s="226" t="s">
        <v>135</v>
      </c>
      <c r="G10" s="31">
        <v>145</v>
      </c>
      <c r="H10" s="133"/>
      <c r="I10" s="35">
        <v>459.65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459.65</v>
      </c>
      <c r="P10" s="202">
        <f>+J10-N10</f>
        <v>0</v>
      </c>
      <c r="Q10" s="35">
        <v>56077.299999999996</v>
      </c>
      <c r="R10" s="202">
        <f t="shared" ref="R10:R12" si="2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ref="P11:P12" si="3">+J11-N11</f>
        <v>0</v>
      </c>
      <c r="Q11" s="35">
        <v>0</v>
      </c>
      <c r="R11" s="202">
        <f t="shared" si="2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3"/>
        <v>0</v>
      </c>
      <c r="Q12" s="42">
        <v>0</v>
      </c>
      <c r="R12" s="184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459.65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459.65</v>
      </c>
      <c r="P13" s="203">
        <f>SUM(P10:P12)</f>
        <v>0</v>
      </c>
      <c r="Q13" s="36">
        <v>56077.299999999996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423</v>
      </c>
      <c r="D18" s="25">
        <v>20</v>
      </c>
      <c r="E18" s="132"/>
      <c r="F18" s="226" t="s">
        <v>83</v>
      </c>
      <c r="G18" s="41">
        <v>0.53</v>
      </c>
      <c r="H18" s="133"/>
      <c r="I18" s="35">
        <v>10.600000000000001</v>
      </c>
      <c r="J18" s="202">
        <f t="shared" ref="J18:J25" si="4">E18*H18</f>
        <v>0</v>
      </c>
      <c r="K18" s="225">
        <v>0</v>
      </c>
      <c r="L18" s="214"/>
      <c r="M18" s="35">
        <v>0</v>
      </c>
      <c r="N18" s="202">
        <f t="shared" ref="N18:N25" si="5">J18*L18</f>
        <v>0</v>
      </c>
      <c r="O18" s="35">
        <v>10.600000000000001</v>
      </c>
      <c r="P18" s="202">
        <f t="shared" ref="P18:P25" si="6">+J18-N18</f>
        <v>0</v>
      </c>
      <c r="Q18" s="35">
        <v>1293.2000000000003</v>
      </c>
      <c r="R18" s="202">
        <f t="shared" ref="R18:R25" si="7">+J18*E$7</f>
        <v>0</v>
      </c>
    </row>
    <row r="19" spans="1:18" x14ac:dyDescent="0.2">
      <c r="A19" s="25"/>
      <c r="B19" s="25" t="s">
        <v>501</v>
      </c>
      <c r="C19" s="25" t="s">
        <v>447</v>
      </c>
      <c r="D19" s="25">
        <v>0.45</v>
      </c>
      <c r="E19" s="132"/>
      <c r="F19" s="226" t="s">
        <v>7</v>
      </c>
      <c r="G19" s="41">
        <v>31.15</v>
      </c>
      <c r="H19" s="133"/>
      <c r="I19" s="35">
        <v>14.0175</v>
      </c>
      <c r="J19" s="202">
        <f t="shared" si="4"/>
        <v>0</v>
      </c>
      <c r="K19" s="225">
        <v>0</v>
      </c>
      <c r="L19" s="214"/>
      <c r="M19" s="35">
        <v>0</v>
      </c>
      <c r="N19" s="202">
        <f t="shared" si="5"/>
        <v>0</v>
      </c>
      <c r="O19" s="35">
        <v>14.0175</v>
      </c>
      <c r="P19" s="202">
        <f t="shared" si="6"/>
        <v>0</v>
      </c>
      <c r="Q19" s="35">
        <v>1710.135</v>
      </c>
      <c r="R19" s="202">
        <f t="shared" si="7"/>
        <v>0</v>
      </c>
    </row>
    <row r="20" spans="1:18" x14ac:dyDescent="0.2">
      <c r="A20" s="25"/>
      <c r="B20" s="25" t="s">
        <v>49</v>
      </c>
      <c r="C20" s="25"/>
      <c r="D20" s="25"/>
      <c r="E20" s="25"/>
      <c r="F20" s="25"/>
      <c r="G20" s="25"/>
      <c r="H20" s="25"/>
      <c r="I20" s="25"/>
      <c r="J20" s="25"/>
      <c r="K20" s="225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501</v>
      </c>
      <c r="C21" s="25" t="s">
        <v>359</v>
      </c>
      <c r="D21" s="25">
        <v>40</v>
      </c>
      <c r="E21" s="132"/>
      <c r="F21" s="226" t="s">
        <v>360</v>
      </c>
      <c r="G21" s="41">
        <v>0.10078125</v>
      </c>
      <c r="H21" s="133"/>
      <c r="I21" s="35">
        <v>4.03125</v>
      </c>
      <c r="J21" s="202">
        <f t="shared" si="4"/>
        <v>0</v>
      </c>
      <c r="K21" s="225">
        <v>0</v>
      </c>
      <c r="L21" s="214"/>
      <c r="M21" s="35">
        <v>0</v>
      </c>
      <c r="N21" s="202">
        <f t="shared" si="5"/>
        <v>0</v>
      </c>
      <c r="O21" s="35">
        <v>4.03125</v>
      </c>
      <c r="P21" s="202">
        <f t="shared" si="6"/>
        <v>0</v>
      </c>
      <c r="Q21" s="35">
        <v>491.8125</v>
      </c>
      <c r="R21" s="202">
        <f t="shared" si="7"/>
        <v>0</v>
      </c>
    </row>
    <row r="22" spans="1:18" x14ac:dyDescent="0.2">
      <c r="A22" s="25"/>
      <c r="B22" s="25" t="s">
        <v>107</v>
      </c>
      <c r="C22" s="25"/>
      <c r="D22" s="25"/>
      <c r="E22" s="25"/>
      <c r="F22" s="25"/>
      <c r="G22" s="25"/>
      <c r="H22" s="25"/>
      <c r="I22" s="25"/>
      <c r="J22" s="25"/>
      <c r="K22" s="225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501</v>
      </c>
      <c r="C23" s="25" t="s">
        <v>403</v>
      </c>
      <c r="D23" s="25">
        <v>0.14000000000000001</v>
      </c>
      <c r="E23" s="132"/>
      <c r="F23" s="226" t="s">
        <v>44</v>
      </c>
      <c r="G23" s="41">
        <v>8.5</v>
      </c>
      <c r="H23" s="133"/>
      <c r="I23" s="35">
        <v>1.1900000000000002</v>
      </c>
      <c r="J23" s="202">
        <f t="shared" si="4"/>
        <v>0</v>
      </c>
      <c r="K23" s="225">
        <v>0</v>
      </c>
      <c r="L23" s="214"/>
      <c r="M23" s="35">
        <v>0</v>
      </c>
      <c r="N23" s="202">
        <f t="shared" si="5"/>
        <v>0</v>
      </c>
      <c r="O23" s="35">
        <v>1.1900000000000002</v>
      </c>
      <c r="P23" s="202">
        <f t="shared" si="6"/>
        <v>0</v>
      </c>
      <c r="Q23" s="35">
        <v>145.18</v>
      </c>
      <c r="R23" s="202">
        <f t="shared" si="7"/>
        <v>0</v>
      </c>
    </row>
    <row r="24" spans="1:18" x14ac:dyDescent="0.2">
      <c r="A24" s="25"/>
      <c r="B24" s="133"/>
      <c r="C24" s="133"/>
      <c r="D24" s="25">
        <v>0</v>
      </c>
      <c r="E24" s="132"/>
      <c r="F24" s="226"/>
      <c r="G24" s="41">
        <v>0</v>
      </c>
      <c r="H24" s="133"/>
      <c r="I24" s="35">
        <v>0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0</v>
      </c>
      <c r="P24" s="202">
        <f t="shared" si="6"/>
        <v>0</v>
      </c>
      <c r="Q24" s="35">
        <v>0</v>
      </c>
      <c r="R24" s="202">
        <f t="shared" si="7"/>
        <v>0</v>
      </c>
    </row>
    <row r="25" spans="1:18" x14ac:dyDescent="0.2">
      <c r="A25" s="25"/>
      <c r="B25" s="133"/>
      <c r="C25" s="133"/>
      <c r="D25" s="25">
        <v>0</v>
      </c>
      <c r="E25" s="132"/>
      <c r="F25" s="226"/>
      <c r="G25" s="41">
        <v>0</v>
      </c>
      <c r="H25" s="133"/>
      <c r="I25" s="35">
        <v>0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0</v>
      </c>
      <c r="P25" s="202">
        <f t="shared" si="6"/>
        <v>0</v>
      </c>
      <c r="Q25" s="35">
        <v>0</v>
      </c>
      <c r="R25" s="202">
        <f t="shared" si="7"/>
        <v>0</v>
      </c>
    </row>
    <row r="26" spans="1:18" x14ac:dyDescent="0.2">
      <c r="A26" s="25"/>
      <c r="B26" s="133"/>
      <c r="C26" s="133"/>
      <c r="D26" s="25">
        <v>0</v>
      </c>
      <c r="E26" s="132"/>
      <c r="F26" s="226"/>
      <c r="G26" s="41">
        <v>0</v>
      </c>
      <c r="H26" s="133"/>
      <c r="I26" s="35">
        <v>0</v>
      </c>
      <c r="J26" s="202">
        <f>E26*H26</f>
        <v>0</v>
      </c>
      <c r="K26" s="225">
        <v>0</v>
      </c>
      <c r="L26" s="214"/>
      <c r="M26" s="35">
        <v>0</v>
      </c>
      <c r="N26" s="202">
        <f>J26*L26</f>
        <v>0</v>
      </c>
      <c r="O26" s="35">
        <v>0</v>
      </c>
      <c r="P26" s="202">
        <f>+J26-N26</f>
        <v>0</v>
      </c>
      <c r="Q26" s="35">
        <v>0</v>
      </c>
      <c r="R26" s="202">
        <f>+J26*E$7</f>
        <v>0</v>
      </c>
    </row>
    <row r="27" spans="1:18" x14ac:dyDescent="0.2">
      <c r="A27" s="25"/>
      <c r="B27" s="25" t="s">
        <v>45</v>
      </c>
      <c r="C27" s="25"/>
      <c r="D27" s="25"/>
      <c r="E27" s="209"/>
      <c r="F27" s="21"/>
      <c r="G27" s="41"/>
      <c r="H27" s="198"/>
      <c r="I27" s="186"/>
      <c r="J27" s="184"/>
      <c r="K27" s="225"/>
      <c r="L27" s="198"/>
      <c r="M27" s="35"/>
      <c r="N27" s="184"/>
      <c r="O27" s="35"/>
      <c r="P27" s="184"/>
      <c r="Q27" s="35"/>
      <c r="R27" s="184"/>
    </row>
    <row r="28" spans="1:18" x14ac:dyDescent="0.2">
      <c r="A28" s="25"/>
      <c r="B28" s="25"/>
      <c r="C28" s="25" t="s">
        <v>146</v>
      </c>
      <c r="D28" s="34">
        <v>4.5600000000000005</v>
      </c>
      <c r="E28" s="132"/>
      <c r="F28" s="226" t="s">
        <v>459</v>
      </c>
      <c r="G28" s="41">
        <v>4.7</v>
      </c>
      <c r="H28" s="133"/>
      <c r="I28" s="35">
        <v>21.432000000000002</v>
      </c>
      <c r="J28" s="202">
        <f t="shared" ref="J28:J29" si="8">E28*H28</f>
        <v>0</v>
      </c>
      <c r="K28" s="225">
        <v>0</v>
      </c>
      <c r="L28" s="214"/>
      <c r="M28" s="35">
        <v>0</v>
      </c>
      <c r="N28" s="202">
        <f t="shared" ref="N28:N29" si="9">J28*L28</f>
        <v>0</v>
      </c>
      <c r="O28" s="35">
        <v>21.432000000000002</v>
      </c>
      <c r="P28" s="202">
        <f t="shared" ref="P28:P29" si="10">+J28-N28</f>
        <v>0</v>
      </c>
      <c r="Q28" s="35">
        <v>2614.7040000000002</v>
      </c>
      <c r="R28" s="202">
        <f t="shared" ref="R28:R29" si="11">+J28*E$7</f>
        <v>0</v>
      </c>
    </row>
    <row r="29" spans="1:18" x14ac:dyDescent="0.2">
      <c r="A29" s="25"/>
      <c r="B29" s="25"/>
      <c r="C29" s="25" t="s">
        <v>136</v>
      </c>
      <c r="D29" s="34">
        <v>2.64E-2</v>
      </c>
      <c r="E29" s="132"/>
      <c r="F29" s="226" t="s">
        <v>44</v>
      </c>
      <c r="G29" s="41">
        <v>17.5</v>
      </c>
      <c r="H29" s="133"/>
      <c r="I29" s="35">
        <v>0.46200000000000002</v>
      </c>
      <c r="J29" s="202">
        <f t="shared" si="8"/>
        <v>0</v>
      </c>
      <c r="K29" s="225">
        <v>0</v>
      </c>
      <c r="L29" s="214"/>
      <c r="M29" s="35">
        <v>0</v>
      </c>
      <c r="N29" s="202">
        <f t="shared" si="9"/>
        <v>0</v>
      </c>
      <c r="O29" s="35">
        <v>0.46200000000000002</v>
      </c>
      <c r="P29" s="202">
        <f t="shared" si="10"/>
        <v>0</v>
      </c>
      <c r="Q29" s="35">
        <v>56.364000000000004</v>
      </c>
      <c r="R29" s="202">
        <f t="shared" si="11"/>
        <v>0</v>
      </c>
    </row>
    <row r="30" spans="1:18" x14ac:dyDescent="0.2">
      <c r="A30" s="25"/>
      <c r="B30" s="25" t="s">
        <v>108</v>
      </c>
      <c r="C30" s="25"/>
      <c r="D30" s="25"/>
      <c r="E30" s="105"/>
      <c r="H30" s="105"/>
      <c r="I30" s="124"/>
      <c r="J30" s="105"/>
      <c r="K30" s="225"/>
      <c r="L30" s="105"/>
      <c r="N30" s="105"/>
      <c r="P30" s="105"/>
      <c r="R30" s="105"/>
    </row>
    <row r="31" spans="1:18" x14ac:dyDescent="0.2">
      <c r="A31" s="25"/>
      <c r="B31" s="25"/>
      <c r="C31" s="25" t="s">
        <v>105</v>
      </c>
      <c r="D31" s="25">
        <v>2.89</v>
      </c>
      <c r="E31" s="132"/>
      <c r="F31" s="226" t="s">
        <v>44</v>
      </c>
      <c r="G31" s="41">
        <v>17.21</v>
      </c>
      <c r="H31" s="133"/>
      <c r="I31" s="35">
        <v>49.736900000000006</v>
      </c>
      <c r="J31" s="202">
        <f>E31*H31</f>
        <v>0</v>
      </c>
      <c r="K31" s="225">
        <v>0</v>
      </c>
      <c r="L31" s="214"/>
      <c r="M31" s="35">
        <v>0</v>
      </c>
      <c r="N31" s="202">
        <f>J31*L31</f>
        <v>0</v>
      </c>
      <c r="O31" s="35">
        <v>49.736900000000006</v>
      </c>
      <c r="P31" s="202">
        <f>+J31-N31</f>
        <v>0</v>
      </c>
      <c r="Q31" s="35">
        <v>6067.9018000000005</v>
      </c>
      <c r="R31" s="202">
        <f>+J31*E$7</f>
        <v>0</v>
      </c>
    </row>
    <row r="32" spans="1:18" x14ac:dyDescent="0.2">
      <c r="A32" s="25"/>
      <c r="B32" s="25"/>
      <c r="C32" s="25" t="s">
        <v>107</v>
      </c>
      <c r="D32" s="25">
        <v>0</v>
      </c>
      <c r="E32" s="132"/>
      <c r="F32" s="226" t="s">
        <v>44</v>
      </c>
      <c r="G32" s="41">
        <v>17.21</v>
      </c>
      <c r="H32" s="133"/>
      <c r="I32" s="35">
        <v>0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0</v>
      </c>
      <c r="P32" s="202">
        <f>+J32-N32</f>
        <v>0</v>
      </c>
      <c r="Q32" s="35">
        <v>0</v>
      </c>
      <c r="R32" s="202">
        <f>+J32*E$7</f>
        <v>0</v>
      </c>
    </row>
    <row r="33" spans="1:18" x14ac:dyDescent="0.2">
      <c r="A33" s="25"/>
      <c r="B33" s="25"/>
      <c r="C33" s="25"/>
      <c r="D33" s="25"/>
      <c r="E33" s="209"/>
      <c r="F33" s="21"/>
      <c r="G33" s="41"/>
      <c r="H33" s="198"/>
      <c r="I33" s="35"/>
      <c r="J33" s="184"/>
      <c r="K33" s="225"/>
      <c r="L33" s="198"/>
      <c r="M33" s="35"/>
      <c r="N33" s="184"/>
      <c r="O33" s="35"/>
      <c r="P33" s="184"/>
      <c r="Q33" s="35"/>
      <c r="R33" s="184"/>
    </row>
    <row r="34" spans="1:18" x14ac:dyDescent="0.2">
      <c r="A34" s="25"/>
      <c r="B34" s="25" t="s">
        <v>51</v>
      </c>
      <c r="C34" s="25"/>
      <c r="D34" s="25"/>
      <c r="E34" s="209"/>
      <c r="F34" s="21"/>
      <c r="G34" s="41"/>
      <c r="H34" s="198"/>
      <c r="I34" s="186"/>
      <c r="J34" s="184"/>
      <c r="K34" s="225"/>
      <c r="L34" s="198"/>
      <c r="M34" s="35"/>
      <c r="N34" s="184"/>
      <c r="O34" s="35"/>
      <c r="P34" s="184"/>
      <c r="Q34" s="35"/>
      <c r="R34" s="184"/>
    </row>
    <row r="35" spans="1:18" x14ac:dyDescent="0.2">
      <c r="A35" s="25"/>
      <c r="B35" s="25"/>
      <c r="C35" s="25" t="s">
        <v>104</v>
      </c>
      <c r="D35" s="25">
        <v>1</v>
      </c>
      <c r="E35" s="132"/>
      <c r="F35" s="226" t="s">
        <v>42</v>
      </c>
      <c r="G35" s="41">
        <v>0</v>
      </c>
      <c r="H35" s="133"/>
      <c r="I35" s="35">
        <v>0</v>
      </c>
      <c r="J35" s="202">
        <f>E35*H35</f>
        <v>0</v>
      </c>
      <c r="K35" s="225">
        <v>0</v>
      </c>
      <c r="L35" s="214"/>
      <c r="M35" s="35">
        <v>0</v>
      </c>
      <c r="N35" s="202">
        <f>J35*L35</f>
        <v>0</v>
      </c>
      <c r="O35" s="35">
        <v>0</v>
      </c>
      <c r="P35" s="202">
        <f>+J35-N35</f>
        <v>0</v>
      </c>
      <c r="Q35" s="35">
        <v>0</v>
      </c>
      <c r="R35" s="202">
        <f>+J35*E$7</f>
        <v>0</v>
      </c>
    </row>
    <row r="36" spans="1:18" x14ac:dyDescent="0.2">
      <c r="A36" s="25"/>
      <c r="B36" s="25"/>
      <c r="C36" s="25" t="s">
        <v>105</v>
      </c>
      <c r="D36" s="25">
        <v>16.78</v>
      </c>
      <c r="E36" s="132"/>
      <c r="F36" s="226" t="s">
        <v>79</v>
      </c>
      <c r="G36" s="41">
        <v>3.6</v>
      </c>
      <c r="H36" s="133"/>
      <c r="I36" s="35">
        <v>60.408000000000008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60.408000000000008</v>
      </c>
      <c r="P36" s="202">
        <f>+J36-N36</f>
        <v>0</v>
      </c>
      <c r="Q36" s="35">
        <v>7369.7760000000007</v>
      </c>
      <c r="R36" s="202">
        <f>+J36*E$7</f>
        <v>0</v>
      </c>
    </row>
    <row r="37" spans="1:18" x14ac:dyDescent="0.2">
      <c r="A37" s="25"/>
      <c r="B37" s="25"/>
      <c r="C37" s="25"/>
      <c r="D37" s="25"/>
      <c r="E37" s="209"/>
      <c r="F37" s="21"/>
      <c r="G37" s="41"/>
      <c r="H37" s="198"/>
      <c r="I37" s="35"/>
      <c r="J37" s="184"/>
      <c r="K37" s="225"/>
      <c r="L37" s="198"/>
      <c r="M37" s="35"/>
      <c r="N37" s="184"/>
      <c r="O37" s="35"/>
      <c r="P37" s="184"/>
      <c r="Q37" s="35"/>
      <c r="R37" s="184"/>
    </row>
    <row r="38" spans="1:18" x14ac:dyDescent="0.2">
      <c r="A38" s="25"/>
      <c r="B38" s="25" t="s">
        <v>29</v>
      </c>
      <c r="C38" s="25"/>
      <c r="D38" s="25"/>
      <c r="E38" s="209"/>
      <c r="F38" s="21"/>
      <c r="G38" s="41"/>
      <c r="H38" s="198"/>
      <c r="I38" s="186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/>
      <c r="C39" s="25" t="s">
        <v>104</v>
      </c>
      <c r="D39" s="25">
        <v>1</v>
      </c>
      <c r="E39" s="132"/>
      <c r="F39" s="226" t="s">
        <v>42</v>
      </c>
      <c r="G39" s="41">
        <v>0</v>
      </c>
      <c r="H39" s="133"/>
      <c r="I39" s="35">
        <v>0</v>
      </c>
      <c r="J39" s="202">
        <f>E39*H39</f>
        <v>0</v>
      </c>
      <c r="K39" s="225">
        <v>0</v>
      </c>
      <c r="L39" s="214"/>
      <c r="M39" s="35">
        <v>0</v>
      </c>
      <c r="N39" s="202">
        <f>J39*L39</f>
        <v>0</v>
      </c>
      <c r="O39" s="35">
        <v>0</v>
      </c>
      <c r="P39" s="202">
        <f>+J39-N39</f>
        <v>0</v>
      </c>
      <c r="Q39" s="35">
        <v>0</v>
      </c>
      <c r="R39" s="202">
        <f>+J39*E$7</f>
        <v>0</v>
      </c>
    </row>
    <row r="40" spans="1:18" x14ac:dyDescent="0.2">
      <c r="A40" s="25"/>
      <c r="B40" s="25"/>
      <c r="C40" s="25" t="s">
        <v>105</v>
      </c>
      <c r="D40" s="25">
        <v>0</v>
      </c>
      <c r="E40" s="132"/>
      <c r="F40" s="226" t="s">
        <v>79</v>
      </c>
      <c r="G40" s="41">
        <v>3.15</v>
      </c>
      <c r="H40" s="133"/>
      <c r="I40" s="35">
        <v>0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0</v>
      </c>
      <c r="P40" s="202">
        <f>+J40-N40</f>
        <v>0</v>
      </c>
      <c r="Q40" s="35">
        <v>0</v>
      </c>
      <c r="R40" s="202">
        <f>+J40*E$7</f>
        <v>0</v>
      </c>
    </row>
    <row r="41" spans="1:18" x14ac:dyDescent="0.2">
      <c r="A41" s="25"/>
      <c r="B41" s="25"/>
      <c r="C41" s="25"/>
      <c r="D41" s="25"/>
      <c r="E41" s="209"/>
      <c r="F41" s="21"/>
      <c r="G41" s="41"/>
      <c r="H41" s="198"/>
      <c r="I41" s="35"/>
      <c r="J41" s="184"/>
      <c r="K41" s="225"/>
      <c r="L41" s="198"/>
      <c r="M41" s="35"/>
      <c r="N41" s="184"/>
      <c r="O41" s="35"/>
      <c r="P41" s="184"/>
      <c r="Q41" s="35"/>
      <c r="R41" s="184"/>
    </row>
    <row r="42" spans="1:18" x14ac:dyDescent="0.2">
      <c r="A42" s="25"/>
      <c r="B42" s="25" t="s">
        <v>47</v>
      </c>
      <c r="C42" s="25"/>
      <c r="D42" s="25"/>
      <c r="E42" s="209"/>
      <c r="F42" s="21"/>
      <c r="G42" s="41"/>
      <c r="H42" s="199"/>
      <c r="I42" s="186"/>
      <c r="J42" s="184"/>
      <c r="K42" s="225"/>
      <c r="L42" s="199"/>
      <c r="M42" s="35"/>
      <c r="N42" s="184"/>
      <c r="O42" s="35"/>
      <c r="P42" s="184"/>
      <c r="Q42" s="35"/>
      <c r="R42" s="184"/>
    </row>
    <row r="43" spans="1:18" x14ac:dyDescent="0.2">
      <c r="A43" s="25"/>
      <c r="B43" s="25"/>
      <c r="C43" s="25" t="s">
        <v>104</v>
      </c>
      <c r="D43" s="25">
        <v>1</v>
      </c>
      <c r="E43" s="132"/>
      <c r="F43" s="226" t="s">
        <v>42</v>
      </c>
      <c r="G43" s="41">
        <v>0</v>
      </c>
      <c r="H43" s="133"/>
      <c r="I43" s="35">
        <v>0</v>
      </c>
      <c r="J43" s="202">
        <f t="shared" ref="J43:J48" si="12">E43*H43</f>
        <v>0</v>
      </c>
      <c r="K43" s="225">
        <v>0</v>
      </c>
      <c r="L43" s="214"/>
      <c r="M43" s="35">
        <v>0</v>
      </c>
      <c r="N43" s="202">
        <f t="shared" ref="N43:N48" si="13">J43*L43</f>
        <v>0</v>
      </c>
      <c r="O43" s="35">
        <v>0</v>
      </c>
      <c r="P43" s="202">
        <f t="shared" ref="P43:P48" si="14">+J43-N43</f>
        <v>0</v>
      </c>
      <c r="Q43" s="35">
        <v>0</v>
      </c>
      <c r="R43" s="202">
        <f t="shared" ref="R43:R48" si="15">+J43*E$7</f>
        <v>0</v>
      </c>
    </row>
    <row r="44" spans="1:18" x14ac:dyDescent="0.2">
      <c r="A44" s="25"/>
      <c r="B44" s="25"/>
      <c r="C44" s="25" t="s">
        <v>46</v>
      </c>
      <c r="D44" s="25">
        <v>1</v>
      </c>
      <c r="E44" s="132"/>
      <c r="F44" s="226" t="s">
        <v>42</v>
      </c>
      <c r="G44" s="41">
        <v>12.016968</v>
      </c>
      <c r="H44" s="133"/>
      <c r="I44" s="35">
        <v>12.016968</v>
      </c>
      <c r="J44" s="202">
        <f t="shared" si="12"/>
        <v>0</v>
      </c>
      <c r="K44" s="225">
        <v>0</v>
      </c>
      <c r="L44" s="214"/>
      <c r="M44" s="35">
        <v>0</v>
      </c>
      <c r="N44" s="202">
        <f t="shared" si="13"/>
        <v>0</v>
      </c>
      <c r="O44" s="35">
        <v>12.016968</v>
      </c>
      <c r="P44" s="202">
        <f t="shared" si="14"/>
        <v>0</v>
      </c>
      <c r="Q44" s="35">
        <v>1466.0700960000001</v>
      </c>
      <c r="R44" s="202">
        <f t="shared" si="15"/>
        <v>0</v>
      </c>
    </row>
    <row r="45" spans="1:18" x14ac:dyDescent="0.2">
      <c r="A45" s="25"/>
      <c r="B45" s="25"/>
      <c r="C45" s="25" t="s">
        <v>105</v>
      </c>
      <c r="D45" s="25">
        <v>1</v>
      </c>
      <c r="E45" s="132"/>
      <c r="F45" s="226" t="s">
        <v>42</v>
      </c>
      <c r="G45" s="41">
        <v>21.512303907667082</v>
      </c>
      <c r="H45" s="133"/>
      <c r="I45" s="35">
        <v>21.512303907667082</v>
      </c>
      <c r="J45" s="202">
        <f t="shared" si="12"/>
        <v>0</v>
      </c>
      <c r="K45" s="225">
        <v>0</v>
      </c>
      <c r="L45" s="214"/>
      <c r="M45" s="35">
        <v>0</v>
      </c>
      <c r="N45" s="202">
        <f t="shared" si="13"/>
        <v>0</v>
      </c>
      <c r="O45" s="35">
        <v>21.512303907667082</v>
      </c>
      <c r="P45" s="202">
        <f t="shared" si="14"/>
        <v>0</v>
      </c>
      <c r="Q45" s="35">
        <v>2624.5010767353842</v>
      </c>
      <c r="R45" s="202">
        <f t="shared" si="15"/>
        <v>0</v>
      </c>
    </row>
    <row r="46" spans="1:18" x14ac:dyDescent="0.2">
      <c r="A46" s="25"/>
      <c r="B46" s="25"/>
      <c r="C46" s="25" t="s">
        <v>4</v>
      </c>
      <c r="D46" s="25">
        <v>1</v>
      </c>
      <c r="E46" s="132"/>
      <c r="F46" s="226" t="s">
        <v>42</v>
      </c>
      <c r="G46" s="41">
        <v>1.9671280238032152</v>
      </c>
      <c r="H46" s="133"/>
      <c r="I46" s="35">
        <v>1.9671280238032152</v>
      </c>
      <c r="J46" s="202">
        <f t="shared" si="12"/>
        <v>0</v>
      </c>
      <c r="K46" s="225">
        <v>0</v>
      </c>
      <c r="L46" s="214"/>
      <c r="M46" s="35">
        <v>0</v>
      </c>
      <c r="N46" s="202">
        <f t="shared" si="13"/>
        <v>0</v>
      </c>
      <c r="O46" s="35">
        <v>1.9671280238032152</v>
      </c>
      <c r="P46" s="202">
        <f t="shared" si="14"/>
        <v>0</v>
      </c>
      <c r="Q46" s="35">
        <v>239.98961890399224</v>
      </c>
      <c r="R46" s="202">
        <f t="shared" si="15"/>
        <v>0</v>
      </c>
    </row>
    <row r="47" spans="1:18" x14ac:dyDescent="0.2">
      <c r="A47" s="25"/>
      <c r="B47" s="133"/>
      <c r="C47" s="133"/>
      <c r="D47" s="25"/>
      <c r="E47" s="132"/>
      <c r="F47" s="226"/>
      <c r="G47" s="41"/>
      <c r="H47" s="133"/>
      <c r="I47" s="35">
        <v>0</v>
      </c>
      <c r="J47" s="202">
        <f t="shared" si="12"/>
        <v>0</v>
      </c>
      <c r="K47" s="225">
        <v>0</v>
      </c>
      <c r="L47" s="214"/>
      <c r="M47" s="35">
        <v>0</v>
      </c>
      <c r="N47" s="202">
        <f t="shared" si="13"/>
        <v>0</v>
      </c>
      <c r="O47" s="35">
        <v>0</v>
      </c>
      <c r="P47" s="202">
        <f t="shared" si="14"/>
        <v>0</v>
      </c>
      <c r="Q47" s="35">
        <v>0</v>
      </c>
      <c r="R47" s="202">
        <f t="shared" si="15"/>
        <v>0</v>
      </c>
    </row>
    <row r="48" spans="1:18" x14ac:dyDescent="0.2">
      <c r="A48" s="25"/>
      <c r="B48" s="133"/>
      <c r="C48" s="133"/>
      <c r="D48" s="25"/>
      <c r="E48" s="132"/>
      <c r="F48" s="226"/>
      <c r="G48" s="41"/>
      <c r="H48" s="133"/>
      <c r="I48" s="35">
        <v>0</v>
      </c>
      <c r="J48" s="202">
        <f t="shared" si="12"/>
        <v>0</v>
      </c>
      <c r="K48" s="225">
        <v>0</v>
      </c>
      <c r="L48" s="214"/>
      <c r="M48" s="35">
        <v>0</v>
      </c>
      <c r="N48" s="202">
        <f t="shared" si="13"/>
        <v>0</v>
      </c>
      <c r="O48" s="35">
        <v>0</v>
      </c>
      <c r="P48" s="202">
        <f t="shared" si="14"/>
        <v>0</v>
      </c>
      <c r="Q48" s="35">
        <v>0</v>
      </c>
      <c r="R48" s="202">
        <f t="shared" si="15"/>
        <v>0</v>
      </c>
    </row>
    <row r="49" spans="1:18" ht="13.5" thickBot="1" x14ac:dyDescent="0.25">
      <c r="A49" s="25"/>
      <c r="B49" s="25" t="s">
        <v>32</v>
      </c>
      <c r="C49" s="25"/>
      <c r="D49" s="25"/>
      <c r="E49" s="197"/>
      <c r="F49" s="21"/>
      <c r="G49" s="39">
        <v>0.08</v>
      </c>
      <c r="H49" s="215"/>
      <c r="I49" s="42">
        <v>5.5038134908223642</v>
      </c>
      <c r="J49" s="202">
        <f>+SUM(J17:J48)/2*H49</f>
        <v>0</v>
      </c>
      <c r="K49" s="86"/>
      <c r="L49" s="137"/>
      <c r="M49" s="42">
        <v>0</v>
      </c>
      <c r="N49" s="202">
        <f>+SUM(N17:N48)/2*L49</f>
        <v>0</v>
      </c>
      <c r="O49" s="42">
        <v>5.5038134908223642</v>
      </c>
      <c r="P49" s="202">
        <f>+SUM(P17:P48)/2*L49</f>
        <v>0</v>
      </c>
      <c r="Q49" s="42">
        <v>671.46524588032844</v>
      </c>
      <c r="R49" s="184">
        <f>+J49*E$7</f>
        <v>0</v>
      </c>
    </row>
    <row r="50" spans="1:18" ht="13.5" thickBot="1" x14ac:dyDescent="0.25">
      <c r="A50" s="25" t="s">
        <v>33</v>
      </c>
      <c r="B50" s="25"/>
      <c r="C50" s="25"/>
      <c r="D50" s="25"/>
      <c r="E50" s="200"/>
      <c r="F50" s="25"/>
      <c r="G50" s="25"/>
      <c r="H50" s="197"/>
      <c r="I50" s="87">
        <v>202.87786342229265</v>
      </c>
      <c r="J50" s="204">
        <f>SUM(J18:J49)</f>
        <v>0</v>
      </c>
      <c r="K50" s="35"/>
      <c r="L50" s="195"/>
      <c r="M50" s="87">
        <v>0</v>
      </c>
      <c r="N50" s="204">
        <f>SUM(N18:N49)</f>
        <v>0</v>
      </c>
      <c r="O50" s="87">
        <v>202.87786342229265</v>
      </c>
      <c r="P50" s="204">
        <f>SUM(P18:P49)</f>
        <v>0</v>
      </c>
      <c r="Q50" s="87">
        <v>24751.099337519707</v>
      </c>
      <c r="R50" s="204">
        <f>SUM(R18:R49)</f>
        <v>0</v>
      </c>
    </row>
    <row r="51" spans="1:18" ht="13.5" thickTop="1" x14ac:dyDescent="0.2">
      <c r="A51" s="25" t="s">
        <v>34</v>
      </c>
      <c r="B51" s="25"/>
      <c r="C51" s="25"/>
      <c r="D51" s="25"/>
      <c r="E51" s="200"/>
      <c r="F51" s="25"/>
      <c r="G51" s="25"/>
      <c r="H51" s="197"/>
      <c r="I51" s="35">
        <v>256.77213657770733</v>
      </c>
      <c r="J51" s="202">
        <f>+J13-J50</f>
        <v>0</v>
      </c>
      <c r="K51" s="35"/>
      <c r="L51" s="195"/>
      <c r="M51" s="35">
        <v>0</v>
      </c>
      <c r="N51" s="202">
        <f>+N13-N50</f>
        <v>0</v>
      </c>
      <c r="O51" s="35">
        <v>256.77213657770733</v>
      </c>
      <c r="P51" s="202">
        <f>+P13-P50</f>
        <v>0</v>
      </c>
      <c r="Q51" s="35">
        <v>31326.200662480289</v>
      </c>
      <c r="R51" s="202">
        <f>+R13-R50</f>
        <v>0</v>
      </c>
    </row>
    <row r="52" spans="1:18" x14ac:dyDescent="0.2">
      <c r="A52" s="25"/>
      <c r="B52" s="25" t="s">
        <v>35</v>
      </c>
      <c r="C52" s="25"/>
      <c r="D52" s="25"/>
      <c r="E52" s="210"/>
      <c r="F52" s="17"/>
      <c r="G52" s="40">
        <v>63.999326000723237</v>
      </c>
      <c r="H52" s="210" t="str">
        <f>IF(E10=0,"n/a",(YVarExp-(YTotExp+YTotRet-J10))/E10)</f>
        <v>n/a</v>
      </c>
      <c r="I52" s="25" t="s">
        <v>135</v>
      </c>
      <c r="J52" s="184"/>
      <c r="K52" s="25"/>
      <c r="L52" s="197"/>
      <c r="M52" s="25"/>
      <c r="N52" s="184"/>
      <c r="O52" s="25"/>
      <c r="P52" s="184"/>
      <c r="Q52" s="25"/>
      <c r="R52" s="184"/>
    </row>
    <row r="53" spans="1:18" x14ac:dyDescent="0.2">
      <c r="A53" s="25"/>
      <c r="B53" s="25"/>
      <c r="C53" s="25"/>
      <c r="D53" s="25"/>
      <c r="E53" s="178"/>
      <c r="F53" s="25"/>
      <c r="G53" s="25"/>
      <c r="H53" s="211"/>
      <c r="I53" s="25"/>
      <c r="J53" s="184"/>
      <c r="K53" s="25"/>
      <c r="L53" s="197"/>
      <c r="M53" s="25"/>
      <c r="N53" s="184"/>
      <c r="O53" s="25"/>
      <c r="P53" s="184"/>
      <c r="Q53" s="22" t="s">
        <v>19</v>
      </c>
      <c r="R53" s="184" t="s">
        <v>19</v>
      </c>
    </row>
    <row r="54" spans="1:18" x14ac:dyDescent="0.2">
      <c r="A54" s="23" t="s">
        <v>36</v>
      </c>
      <c r="B54" s="23"/>
      <c r="C54" s="23"/>
      <c r="D54" s="24" t="s">
        <v>2</v>
      </c>
      <c r="E54" s="196" t="s">
        <v>2</v>
      </c>
      <c r="F54" s="24" t="s">
        <v>21</v>
      </c>
      <c r="G54" s="24" t="s">
        <v>22</v>
      </c>
      <c r="H54" s="196" t="s">
        <v>22</v>
      </c>
      <c r="I54" s="24" t="s">
        <v>11</v>
      </c>
      <c r="J54" s="196" t="s">
        <v>11</v>
      </c>
      <c r="K54" s="24" t="s">
        <v>10</v>
      </c>
      <c r="L54" s="196" t="s">
        <v>10</v>
      </c>
      <c r="M54" s="24" t="s">
        <v>9</v>
      </c>
      <c r="N54" s="196" t="s">
        <v>9</v>
      </c>
      <c r="O54" s="24" t="s">
        <v>8</v>
      </c>
      <c r="P54" s="196" t="s">
        <v>8</v>
      </c>
      <c r="Q54" s="24" t="s">
        <v>11</v>
      </c>
      <c r="R54" s="208" t="s">
        <v>11</v>
      </c>
    </row>
    <row r="55" spans="1:18" x14ac:dyDescent="0.2">
      <c r="A55" s="25"/>
      <c r="B55" s="25" t="s">
        <v>106</v>
      </c>
      <c r="C55" s="25"/>
      <c r="D55" s="25"/>
      <c r="E55" s="178"/>
      <c r="F55" s="25"/>
      <c r="G55" s="25"/>
      <c r="H55" s="211"/>
      <c r="I55" s="186"/>
      <c r="J55" s="184"/>
      <c r="K55" s="225"/>
      <c r="L55" s="197"/>
      <c r="M55" s="25"/>
      <c r="N55" s="184"/>
      <c r="O55" s="25"/>
      <c r="P55" s="184"/>
      <c r="Q55" s="25"/>
      <c r="R55" s="184"/>
    </row>
    <row r="56" spans="1:18" x14ac:dyDescent="0.2">
      <c r="A56" s="25"/>
      <c r="B56" s="25"/>
      <c r="C56" s="25" t="s">
        <v>46</v>
      </c>
      <c r="D56" s="25">
        <v>1</v>
      </c>
      <c r="E56" s="132"/>
      <c r="F56" s="226" t="s">
        <v>42</v>
      </c>
      <c r="G56" s="41">
        <v>48.63725832786885</v>
      </c>
      <c r="H56" s="133"/>
      <c r="I56" s="35">
        <v>48.63725832786885</v>
      </c>
      <c r="J56" s="202">
        <f t="shared" ref="J56:J58" si="16">E56*H56</f>
        <v>0</v>
      </c>
      <c r="K56" s="225">
        <v>0</v>
      </c>
      <c r="L56" s="214"/>
      <c r="M56" s="35">
        <v>0</v>
      </c>
      <c r="N56" s="202">
        <f>J56*L56</f>
        <v>0</v>
      </c>
      <c r="O56" s="35">
        <v>48.63725832786885</v>
      </c>
      <c r="P56" s="202">
        <f t="shared" ref="P56:P58" si="17">+J56-N56</f>
        <v>0</v>
      </c>
      <c r="Q56" s="35">
        <v>5933.745516</v>
      </c>
      <c r="R56" s="202">
        <f t="shared" ref="R56:R58" si="18">+J56*E$7</f>
        <v>0</v>
      </c>
    </row>
    <row r="57" spans="1:18" x14ac:dyDescent="0.2">
      <c r="A57" s="25"/>
      <c r="B57" s="25"/>
      <c r="C57" s="25" t="s">
        <v>105</v>
      </c>
      <c r="D57" s="25">
        <v>1</v>
      </c>
      <c r="E57" s="132"/>
      <c r="F57" s="226" t="s">
        <v>42</v>
      </c>
      <c r="G57" s="41">
        <v>28.006269848403715</v>
      </c>
      <c r="H57" s="133"/>
      <c r="I57" s="35">
        <v>28.006269848403715</v>
      </c>
      <c r="J57" s="202">
        <f t="shared" si="16"/>
        <v>0</v>
      </c>
      <c r="K57" s="225">
        <v>0</v>
      </c>
      <c r="L57" s="214"/>
      <c r="M57" s="35">
        <v>0</v>
      </c>
      <c r="N57" s="202">
        <f>J57*L57</f>
        <v>0</v>
      </c>
      <c r="O57" s="35">
        <v>28.006269848403715</v>
      </c>
      <c r="P57" s="202">
        <f t="shared" si="17"/>
        <v>0</v>
      </c>
      <c r="Q57" s="35">
        <v>3416.7649215052534</v>
      </c>
      <c r="R57" s="202">
        <f t="shared" si="18"/>
        <v>0</v>
      </c>
    </row>
    <row r="58" spans="1:18" x14ac:dyDescent="0.2">
      <c r="A58" s="25"/>
      <c r="B58" s="25"/>
      <c r="C58" s="25" t="s">
        <v>4</v>
      </c>
      <c r="D58" s="25">
        <v>1</v>
      </c>
      <c r="E58" s="132"/>
      <c r="F58" s="226" t="s">
        <v>42</v>
      </c>
      <c r="G58" s="41">
        <v>4.3521491783527999</v>
      </c>
      <c r="H58" s="133"/>
      <c r="I58" s="35">
        <v>4.3521491783527999</v>
      </c>
      <c r="J58" s="202">
        <f t="shared" si="16"/>
        <v>0</v>
      </c>
      <c r="K58" s="225">
        <v>0</v>
      </c>
      <c r="L58" s="214"/>
      <c r="M58" s="35">
        <v>0</v>
      </c>
      <c r="N58" s="202">
        <f>J58*L58</f>
        <v>0</v>
      </c>
      <c r="O58" s="35">
        <v>4.3521491783527999</v>
      </c>
      <c r="P58" s="202">
        <f t="shared" si="17"/>
        <v>0</v>
      </c>
      <c r="Q58" s="35">
        <v>530.9621997590416</v>
      </c>
      <c r="R58" s="202">
        <f t="shared" si="18"/>
        <v>0</v>
      </c>
    </row>
    <row r="59" spans="1:18" x14ac:dyDescent="0.2">
      <c r="A59" s="25"/>
      <c r="B59" s="25" t="s">
        <v>89</v>
      </c>
      <c r="C59" s="25"/>
      <c r="D59" s="25"/>
      <c r="E59" s="197"/>
      <c r="F59" s="21"/>
      <c r="G59" s="41"/>
      <c r="H59" s="197"/>
      <c r="I59" s="186"/>
      <c r="J59" s="184"/>
      <c r="K59" s="225"/>
      <c r="L59" s="197"/>
      <c r="M59" s="35"/>
      <c r="N59" s="184"/>
      <c r="O59" s="35"/>
      <c r="P59" s="184"/>
      <c r="Q59" s="35"/>
      <c r="R59" s="184"/>
    </row>
    <row r="60" spans="1:18" x14ac:dyDescent="0.2">
      <c r="A60" s="25"/>
      <c r="B60" s="25"/>
      <c r="C60" s="25" t="s">
        <v>46</v>
      </c>
      <c r="D60" s="41">
        <v>364.77943745901632</v>
      </c>
      <c r="E60" s="132"/>
      <c r="F60" s="226" t="s">
        <v>100</v>
      </c>
      <c r="G60" s="39">
        <v>0.08</v>
      </c>
      <c r="H60" s="215"/>
      <c r="I60" s="35">
        <v>29.182354996721305</v>
      </c>
      <c r="J60" s="202">
        <f t="shared" ref="J60:J69" si="19">E60*H60</f>
        <v>0</v>
      </c>
      <c r="K60" s="225">
        <v>0</v>
      </c>
      <c r="L60" s="214"/>
      <c r="M60" s="35">
        <v>0</v>
      </c>
      <c r="N60" s="202">
        <f>J60*L60</f>
        <v>0</v>
      </c>
      <c r="O60" s="35">
        <v>29.182354996721305</v>
      </c>
      <c r="P60" s="202">
        <f t="shared" ref="P60:P62" si="20">+J60-N60</f>
        <v>0</v>
      </c>
      <c r="Q60" s="35">
        <v>3560.247309599999</v>
      </c>
      <c r="R60" s="202">
        <f t="shared" ref="R60:R62" si="21">+J60*E$7</f>
        <v>0</v>
      </c>
    </row>
    <row r="61" spans="1:18" x14ac:dyDescent="0.2">
      <c r="A61" s="25"/>
      <c r="B61" s="25"/>
      <c r="C61" s="25" t="s">
        <v>105</v>
      </c>
      <c r="D61" s="41">
        <v>204.27846273283873</v>
      </c>
      <c r="E61" s="132"/>
      <c r="F61" s="226" t="s">
        <v>100</v>
      </c>
      <c r="G61" s="39">
        <v>0.08</v>
      </c>
      <c r="H61" s="215"/>
      <c r="I61" s="35">
        <v>16.342277018627097</v>
      </c>
      <c r="J61" s="202">
        <f t="shared" si="19"/>
        <v>0</v>
      </c>
      <c r="K61" s="225">
        <v>0</v>
      </c>
      <c r="L61" s="214"/>
      <c r="M61" s="35">
        <v>0</v>
      </c>
      <c r="N61" s="202">
        <f>J61*L61</f>
        <v>0</v>
      </c>
      <c r="O61" s="35">
        <v>16.342277018627097</v>
      </c>
      <c r="P61" s="202">
        <f t="shared" si="20"/>
        <v>0</v>
      </c>
      <c r="Q61" s="35">
        <v>1993.7577962725059</v>
      </c>
      <c r="R61" s="202">
        <f t="shared" si="21"/>
        <v>0</v>
      </c>
    </row>
    <row r="62" spans="1:18" x14ac:dyDescent="0.2">
      <c r="A62" s="25"/>
      <c r="B62" s="25"/>
      <c r="C62" s="25" t="s">
        <v>4</v>
      </c>
      <c r="D62" s="41">
        <v>34.575701106070383</v>
      </c>
      <c r="E62" s="132"/>
      <c r="F62" s="226" t="s">
        <v>100</v>
      </c>
      <c r="G62" s="39">
        <v>0.08</v>
      </c>
      <c r="H62" s="215"/>
      <c r="I62" s="35">
        <v>2.7660560884856307</v>
      </c>
      <c r="J62" s="202">
        <f t="shared" si="19"/>
        <v>0</v>
      </c>
      <c r="K62" s="225">
        <v>0</v>
      </c>
      <c r="L62" s="214"/>
      <c r="M62" s="35">
        <v>0</v>
      </c>
      <c r="N62" s="202">
        <f>J62*L62</f>
        <v>0</v>
      </c>
      <c r="O62" s="35">
        <v>2.7660560884856307</v>
      </c>
      <c r="P62" s="202">
        <f t="shared" si="20"/>
        <v>0</v>
      </c>
      <c r="Q62" s="35">
        <v>337.45884279524694</v>
      </c>
      <c r="R62" s="202">
        <f t="shared" si="21"/>
        <v>0</v>
      </c>
    </row>
    <row r="63" spans="1:18" x14ac:dyDescent="0.2">
      <c r="A63" s="25"/>
      <c r="B63" s="25" t="s">
        <v>156</v>
      </c>
      <c r="C63" s="25"/>
      <c r="D63" s="25">
        <v>1</v>
      </c>
      <c r="E63" s="132"/>
      <c r="F63" s="226" t="s">
        <v>42</v>
      </c>
      <c r="G63" s="41">
        <v>0</v>
      </c>
      <c r="H63" s="133"/>
      <c r="I63" s="35">
        <v>0</v>
      </c>
      <c r="J63" s="202">
        <f t="shared" si="19"/>
        <v>0</v>
      </c>
      <c r="K63" s="225">
        <v>0</v>
      </c>
      <c r="L63" s="214"/>
      <c r="M63" s="35">
        <v>0</v>
      </c>
      <c r="N63" s="202">
        <f t="shared" ref="N63:N70" si="22">J63*L63</f>
        <v>0</v>
      </c>
      <c r="O63" s="35">
        <v>0</v>
      </c>
      <c r="P63" s="202">
        <f t="shared" ref="P63:P70" si="23">+J63-N63</f>
        <v>0</v>
      </c>
      <c r="Q63" s="35">
        <v>0</v>
      </c>
      <c r="R63" s="202">
        <f t="shared" ref="R63:R70" si="24">+J63*E$7</f>
        <v>0</v>
      </c>
    </row>
    <row r="64" spans="1:18" x14ac:dyDescent="0.2">
      <c r="A64" s="25"/>
      <c r="B64" s="25" t="s">
        <v>152</v>
      </c>
      <c r="C64" s="25"/>
      <c r="D64" s="25">
        <v>1</v>
      </c>
      <c r="E64" s="132"/>
      <c r="F64" s="226" t="s">
        <v>42</v>
      </c>
      <c r="G64" s="41">
        <v>0</v>
      </c>
      <c r="H64" s="133"/>
      <c r="I64" s="35">
        <v>0</v>
      </c>
      <c r="J64" s="202">
        <f t="shared" si="19"/>
        <v>0</v>
      </c>
      <c r="K64" s="225">
        <v>0</v>
      </c>
      <c r="L64" s="214"/>
      <c r="M64" s="35">
        <v>0</v>
      </c>
      <c r="N64" s="202">
        <f t="shared" si="22"/>
        <v>0</v>
      </c>
      <c r="O64" s="35">
        <v>0</v>
      </c>
      <c r="P64" s="202">
        <f t="shared" si="23"/>
        <v>0</v>
      </c>
      <c r="Q64" s="35">
        <v>0</v>
      </c>
      <c r="R64" s="202">
        <f t="shared" si="24"/>
        <v>0</v>
      </c>
    </row>
    <row r="65" spans="1:18" x14ac:dyDescent="0.2">
      <c r="A65" s="25"/>
      <c r="B65" s="25" t="s">
        <v>137</v>
      </c>
      <c r="C65" s="25"/>
      <c r="D65" s="25">
        <v>1</v>
      </c>
      <c r="E65" s="132"/>
      <c r="F65" s="226" t="s">
        <v>42</v>
      </c>
      <c r="G65" s="41">
        <v>47.705000000000005</v>
      </c>
      <c r="H65" s="133"/>
      <c r="I65" s="35">
        <v>47.705000000000005</v>
      </c>
      <c r="J65" s="202">
        <f t="shared" si="19"/>
        <v>0</v>
      </c>
      <c r="K65" s="225">
        <v>0</v>
      </c>
      <c r="L65" s="214"/>
      <c r="M65" s="35">
        <v>0</v>
      </c>
      <c r="N65" s="202">
        <f t="shared" si="22"/>
        <v>0</v>
      </c>
      <c r="O65" s="35">
        <v>47.705000000000005</v>
      </c>
      <c r="P65" s="202">
        <f t="shared" si="23"/>
        <v>0</v>
      </c>
      <c r="Q65" s="35">
        <v>5820.01</v>
      </c>
      <c r="R65" s="202">
        <f t="shared" si="24"/>
        <v>0</v>
      </c>
    </row>
    <row r="66" spans="1:18" x14ac:dyDescent="0.2">
      <c r="A66" s="25"/>
      <c r="B66" s="25" t="s">
        <v>453</v>
      </c>
      <c r="C66" s="25"/>
      <c r="D66" s="25">
        <v>1</v>
      </c>
      <c r="E66" s="132"/>
      <c r="F66" s="226" t="s">
        <v>42</v>
      </c>
      <c r="G66" s="41">
        <v>50</v>
      </c>
      <c r="H66" s="133"/>
      <c r="I66" s="35">
        <v>50</v>
      </c>
      <c r="J66" s="202">
        <f t="shared" si="19"/>
        <v>0</v>
      </c>
      <c r="K66" s="225">
        <v>0</v>
      </c>
      <c r="L66" s="214"/>
      <c r="M66" s="35">
        <v>0</v>
      </c>
      <c r="N66" s="202">
        <f t="shared" si="22"/>
        <v>0</v>
      </c>
      <c r="O66" s="35">
        <v>50</v>
      </c>
      <c r="P66" s="202">
        <f t="shared" si="23"/>
        <v>0</v>
      </c>
      <c r="Q66" s="35">
        <v>6100</v>
      </c>
      <c r="R66" s="202">
        <f t="shared" si="24"/>
        <v>0</v>
      </c>
    </row>
    <row r="67" spans="1:18" x14ac:dyDescent="0.2">
      <c r="A67" s="25"/>
      <c r="B67" s="25" t="s">
        <v>159</v>
      </c>
      <c r="C67" s="25"/>
      <c r="D67" s="25">
        <v>1</v>
      </c>
      <c r="E67" s="132"/>
      <c r="F67" s="226" t="s">
        <v>42</v>
      </c>
      <c r="G67" s="41">
        <v>0</v>
      </c>
      <c r="H67" s="133"/>
      <c r="I67" s="35">
        <v>0</v>
      </c>
      <c r="J67" s="202">
        <f t="shared" si="19"/>
        <v>0</v>
      </c>
      <c r="K67" s="225">
        <v>0</v>
      </c>
      <c r="L67" s="214"/>
      <c r="M67" s="35">
        <v>0</v>
      </c>
      <c r="N67" s="202">
        <f t="shared" si="22"/>
        <v>0</v>
      </c>
      <c r="O67" s="35">
        <v>0</v>
      </c>
      <c r="P67" s="202">
        <f t="shared" si="23"/>
        <v>0</v>
      </c>
      <c r="Q67" s="35">
        <v>0</v>
      </c>
      <c r="R67" s="202">
        <f t="shared" si="24"/>
        <v>0</v>
      </c>
    </row>
    <row r="68" spans="1:18" x14ac:dyDescent="0.2">
      <c r="A68" s="25"/>
      <c r="B68" s="25" t="s">
        <v>160</v>
      </c>
      <c r="C68" s="25"/>
      <c r="D68" s="25">
        <v>1</v>
      </c>
      <c r="E68" s="132"/>
      <c r="F68" s="226" t="s">
        <v>42</v>
      </c>
      <c r="G68" s="41">
        <v>0</v>
      </c>
      <c r="H68" s="133"/>
      <c r="I68" s="35">
        <v>0</v>
      </c>
      <c r="J68" s="202">
        <f t="shared" si="19"/>
        <v>0</v>
      </c>
      <c r="K68" s="225">
        <v>0</v>
      </c>
      <c r="L68" s="214"/>
      <c r="M68" s="35">
        <v>0</v>
      </c>
      <c r="N68" s="202">
        <f t="shared" si="22"/>
        <v>0</v>
      </c>
      <c r="O68" s="35">
        <v>0</v>
      </c>
      <c r="P68" s="202">
        <f t="shared" si="23"/>
        <v>0</v>
      </c>
      <c r="Q68" s="35">
        <v>0</v>
      </c>
      <c r="R68" s="202">
        <f t="shared" si="24"/>
        <v>0</v>
      </c>
    </row>
    <row r="69" spans="1:18" x14ac:dyDescent="0.2">
      <c r="A69" s="25"/>
      <c r="B69" s="133"/>
      <c r="C69" s="133"/>
      <c r="D69" s="25">
        <v>1</v>
      </c>
      <c r="E69" s="132"/>
      <c r="F69" s="226"/>
      <c r="G69" s="41">
        <v>0</v>
      </c>
      <c r="H69" s="133"/>
      <c r="I69" s="35">
        <v>0</v>
      </c>
      <c r="J69" s="202">
        <f t="shared" si="19"/>
        <v>0</v>
      </c>
      <c r="K69" s="225">
        <v>0</v>
      </c>
      <c r="L69" s="214"/>
      <c r="M69" s="35">
        <v>0</v>
      </c>
      <c r="N69" s="202">
        <f t="shared" si="22"/>
        <v>0</v>
      </c>
      <c r="O69" s="35">
        <v>0</v>
      </c>
      <c r="P69" s="202">
        <f t="shared" si="23"/>
        <v>0</v>
      </c>
      <c r="Q69" s="35">
        <v>0</v>
      </c>
      <c r="R69" s="202">
        <f t="shared" si="24"/>
        <v>0</v>
      </c>
    </row>
    <row r="70" spans="1:18" ht="13.5" thickBot="1" x14ac:dyDescent="0.25">
      <c r="A70" s="25"/>
      <c r="B70" s="133"/>
      <c r="C70" s="133"/>
      <c r="D70" s="25">
        <v>1</v>
      </c>
      <c r="E70" s="132"/>
      <c r="F70" s="226"/>
      <c r="G70" s="41">
        <v>0</v>
      </c>
      <c r="H70" s="133"/>
      <c r="I70" s="35">
        <v>0</v>
      </c>
      <c r="J70" s="202">
        <f>E70*H70</f>
        <v>0</v>
      </c>
      <c r="K70" s="225">
        <v>0</v>
      </c>
      <c r="L70" s="214"/>
      <c r="M70" s="35">
        <v>0</v>
      </c>
      <c r="N70" s="202">
        <f t="shared" si="22"/>
        <v>0</v>
      </c>
      <c r="O70" s="35">
        <v>0</v>
      </c>
      <c r="P70" s="202">
        <f t="shared" si="23"/>
        <v>0</v>
      </c>
      <c r="Q70" s="35">
        <v>0</v>
      </c>
      <c r="R70" s="202">
        <f t="shared" si="24"/>
        <v>0</v>
      </c>
    </row>
    <row r="71" spans="1:18" ht="13.5" thickBot="1" x14ac:dyDescent="0.25">
      <c r="A71" s="25" t="s">
        <v>37</v>
      </c>
      <c r="B71" s="25"/>
      <c r="C71" s="25"/>
      <c r="D71" s="25"/>
      <c r="E71" s="197"/>
      <c r="F71" s="25"/>
      <c r="G71" s="25"/>
      <c r="H71" s="197"/>
      <c r="I71" s="121">
        <v>226.99136545845943</v>
      </c>
      <c r="J71" s="204">
        <f>+SUM(J56:J70)</f>
        <v>0</v>
      </c>
      <c r="K71" s="35"/>
      <c r="L71" s="195"/>
      <c r="M71" s="121">
        <v>0</v>
      </c>
      <c r="N71" s="204">
        <f>+SUM(N56:N70)</f>
        <v>0</v>
      </c>
      <c r="O71" s="121">
        <v>226.99136545845943</v>
      </c>
      <c r="P71" s="204">
        <f>+SUM(P56:P70)</f>
        <v>0</v>
      </c>
      <c r="Q71" s="121">
        <v>27692.946585932048</v>
      </c>
      <c r="R71" s="204">
        <f>+SUM(R56:R70)</f>
        <v>0</v>
      </c>
    </row>
    <row r="72" spans="1:18" ht="14.25" thickTop="1" thickBot="1" x14ac:dyDescent="0.25">
      <c r="A72" s="25" t="s">
        <v>52</v>
      </c>
      <c r="B72" s="25"/>
      <c r="C72" s="25"/>
      <c r="D72" s="25"/>
      <c r="E72" s="197"/>
      <c r="F72" s="25"/>
      <c r="G72" s="25"/>
      <c r="H72" s="197"/>
      <c r="I72" s="87">
        <v>429.86922888075208</v>
      </c>
      <c r="J72" s="205">
        <f>+J50+J71</f>
        <v>0</v>
      </c>
      <c r="K72" s="35"/>
      <c r="L72" s="195"/>
      <c r="M72" s="87">
        <v>0</v>
      </c>
      <c r="N72" s="205">
        <f>+N50+N71</f>
        <v>0</v>
      </c>
      <c r="O72" s="87">
        <v>429.86922888075208</v>
      </c>
      <c r="P72" s="205">
        <f>+P50+P71</f>
        <v>0</v>
      </c>
      <c r="Q72" s="87">
        <v>52444.045923451755</v>
      </c>
      <c r="R72" s="205">
        <f>+R50+R71</f>
        <v>0</v>
      </c>
    </row>
    <row r="73" spans="1:18" ht="13.5" thickTop="1" x14ac:dyDescent="0.2">
      <c r="A73" s="25"/>
      <c r="B73" s="25"/>
      <c r="C73" s="25"/>
      <c r="D73" s="25"/>
      <c r="E73" s="197"/>
      <c r="F73" s="25"/>
      <c r="G73" s="25"/>
      <c r="H73" s="197"/>
      <c r="I73" s="35"/>
      <c r="J73" s="184"/>
      <c r="K73" s="35"/>
      <c r="L73" s="195"/>
      <c r="M73" s="35"/>
      <c r="N73" s="184"/>
      <c r="O73" s="35"/>
      <c r="P73" s="184"/>
      <c r="Q73" s="35"/>
      <c r="R73" s="184"/>
    </row>
    <row r="74" spans="1:18" x14ac:dyDescent="0.2">
      <c r="A74" s="25" t="s">
        <v>153</v>
      </c>
      <c r="B74" s="25"/>
      <c r="C74" s="25"/>
      <c r="D74" s="25"/>
      <c r="E74" s="197"/>
      <c r="F74" s="25"/>
      <c r="G74" s="25"/>
      <c r="H74" s="197"/>
      <c r="I74" s="35">
        <v>29.780771119247902</v>
      </c>
      <c r="J74" s="202">
        <f>+J13-J72</f>
        <v>0</v>
      </c>
      <c r="K74" s="35"/>
      <c r="L74" s="195"/>
      <c r="M74" s="35">
        <v>0</v>
      </c>
      <c r="N74" s="202">
        <f>+N13-N72</f>
        <v>0</v>
      </c>
      <c r="O74" s="35">
        <v>29.780771119247902</v>
      </c>
      <c r="P74" s="202">
        <f>+P13-P72</f>
        <v>0</v>
      </c>
      <c r="Q74" s="35">
        <v>3633.2540765482408</v>
      </c>
      <c r="R74" s="202">
        <f>+R13-R72</f>
        <v>0</v>
      </c>
    </row>
    <row r="75" spans="1:18" x14ac:dyDescent="0.2">
      <c r="A75" s="25"/>
      <c r="B75" s="25"/>
      <c r="C75" s="25"/>
      <c r="D75" s="25"/>
      <c r="E75" s="197"/>
      <c r="F75" s="25"/>
      <c r="G75" s="25"/>
      <c r="H75" s="197"/>
      <c r="I75" s="35"/>
      <c r="J75" s="206"/>
      <c r="K75" s="35"/>
      <c r="L75" s="195"/>
      <c r="M75" s="35"/>
      <c r="N75" s="195"/>
      <c r="O75" s="35"/>
      <c r="P75" s="195"/>
      <c r="Q75" s="35"/>
      <c r="R75" s="206"/>
    </row>
    <row r="76" spans="1:18" ht="13.5" thickBot="1" x14ac:dyDescent="0.25">
      <c r="A76" s="44" t="s">
        <v>38</v>
      </c>
      <c r="B76" s="44"/>
      <c r="C76" s="44"/>
      <c r="D76" s="44"/>
      <c r="E76" s="201"/>
      <c r="F76" s="44"/>
      <c r="G76" s="45">
        <v>135.60543497815524</v>
      </c>
      <c r="H76" s="212" t="str">
        <f>IF(E10=0,"n/a",(YTotExp-(YTotExp+YTotRet-J10))/E10)</f>
        <v>n/a</v>
      </c>
      <c r="I76" s="44" t="s">
        <v>135</v>
      </c>
      <c r="J76" s="207"/>
      <c r="K76" s="44"/>
      <c r="L76" s="201"/>
      <c r="M76" s="44"/>
      <c r="N76" s="201"/>
      <c r="O76" s="44"/>
      <c r="P76" s="201"/>
      <c r="Q76" s="44"/>
      <c r="R76" s="207"/>
    </row>
    <row r="77" spans="1:18" ht="13.5" thickTop="1" x14ac:dyDescent="0.2"/>
    <row r="78" spans="1:18" s="17" customFormat="1" ht="15.75" x14ac:dyDescent="0.25">
      <c r="A78"/>
      <c r="B78" s="88"/>
      <c r="C78" s="89"/>
      <c r="D78" s="234" t="s">
        <v>115</v>
      </c>
      <c r="E78" s="235"/>
      <c r="F78" s="235"/>
      <c r="G78" s="235"/>
      <c r="H78" s="235"/>
      <c r="I78" s="235"/>
      <c r="J78" s="99"/>
      <c r="K78" s="99"/>
      <c r="M78"/>
      <c r="N78"/>
    </row>
    <row r="79" spans="1:18" s="17" customFormat="1" ht="15.75" x14ac:dyDescent="0.25">
      <c r="A79"/>
      <c r="B79" s="19" t="s">
        <v>116</v>
      </c>
      <c r="C79" s="19" t="s">
        <v>116</v>
      </c>
      <c r="D79" s="126" t="s">
        <v>170</v>
      </c>
      <c r="E79" s="18"/>
      <c r="F79" s="18"/>
      <c r="G79" s="126" t="s">
        <v>170</v>
      </c>
      <c r="H79" s="18"/>
      <c r="I79" s="18"/>
      <c r="J79" s="18"/>
      <c r="K79" s="18"/>
      <c r="M79"/>
      <c r="N79"/>
    </row>
    <row r="80" spans="1:18" s="17" customFormat="1" x14ac:dyDescent="0.2">
      <c r="A80"/>
      <c r="B80" s="19" t="s">
        <v>81</v>
      </c>
      <c r="C80" s="19" t="s">
        <v>81</v>
      </c>
      <c r="D80" s="126" t="s">
        <v>157</v>
      </c>
      <c r="E80" s="122"/>
      <c r="F80" s="122"/>
      <c r="G80" s="126" t="s">
        <v>11</v>
      </c>
      <c r="H80" s="122"/>
      <c r="I80" s="122"/>
      <c r="J80" s="122"/>
      <c r="K80" s="122"/>
      <c r="M80"/>
      <c r="N80"/>
    </row>
    <row r="81" spans="1:18" s="17" customFormat="1" x14ac:dyDescent="0.2">
      <c r="A81"/>
      <c r="B81" s="19" t="s">
        <v>30</v>
      </c>
      <c r="C81" s="99" t="s">
        <v>135</v>
      </c>
      <c r="D81" s="126" t="s">
        <v>99</v>
      </c>
      <c r="E81" s="122"/>
      <c r="F81" s="122"/>
      <c r="G81" s="126" t="s">
        <v>99</v>
      </c>
      <c r="H81" s="19"/>
      <c r="I81" s="19"/>
      <c r="J81" s="19"/>
      <c r="K81" s="19"/>
      <c r="M81"/>
      <c r="N81"/>
    </row>
    <row r="82" spans="1:18" s="17" customFormat="1" x14ac:dyDescent="0.2">
      <c r="A82"/>
      <c r="B82" s="90">
        <v>0.75</v>
      </c>
      <c r="C82" s="91">
        <v>2.3774999999999999</v>
      </c>
      <c r="D82" s="92">
        <v>85.332434667630977</v>
      </c>
      <c r="E82" s="93"/>
      <c r="F82" s="94"/>
      <c r="G82" s="92">
        <v>180.80724663754032</v>
      </c>
      <c r="H82" s="93"/>
      <c r="I82" s="93"/>
      <c r="M82"/>
      <c r="N82"/>
    </row>
    <row r="83" spans="1:18" s="17" customFormat="1" x14ac:dyDescent="0.2">
      <c r="A83"/>
      <c r="B83" s="95">
        <v>0.9</v>
      </c>
      <c r="C83" s="96">
        <v>2.8530000000000002</v>
      </c>
      <c r="D83" s="97">
        <v>71.110362223025803</v>
      </c>
      <c r="E83" s="83"/>
      <c r="F83" s="98"/>
      <c r="G83" s="97">
        <v>150.67270553128358</v>
      </c>
      <c r="H83" s="83"/>
      <c r="I83" s="83"/>
      <c r="M83"/>
      <c r="N83"/>
    </row>
    <row r="84" spans="1:18" s="17" customFormat="1" x14ac:dyDescent="0.2">
      <c r="A84"/>
      <c r="B84" s="90">
        <v>1</v>
      </c>
      <c r="C84" s="91">
        <v>3.17</v>
      </c>
      <c r="D84" s="92">
        <v>63.999326000723237</v>
      </c>
      <c r="E84" s="93"/>
      <c r="F84" s="94"/>
      <c r="G84" s="92">
        <v>135.60543497815524</v>
      </c>
      <c r="H84" s="93"/>
      <c r="I84" s="93"/>
      <c r="M84"/>
      <c r="N84"/>
    </row>
    <row r="85" spans="1:18" s="17" customFormat="1" x14ac:dyDescent="0.2">
      <c r="A85"/>
      <c r="B85" s="95">
        <v>1.1000000000000001</v>
      </c>
      <c r="C85" s="96">
        <v>3.4870000000000001</v>
      </c>
      <c r="D85" s="97">
        <v>58.181205455202935</v>
      </c>
      <c r="E85" s="83"/>
      <c r="F85" s="98"/>
      <c r="G85" s="97">
        <v>123.2776681619593</v>
      </c>
      <c r="H85" s="83"/>
      <c r="I85" s="83"/>
      <c r="M85"/>
      <c r="N85"/>
    </row>
    <row r="86" spans="1:18" s="17" customFormat="1" x14ac:dyDescent="0.2">
      <c r="A86"/>
      <c r="B86" s="90">
        <v>1.25</v>
      </c>
      <c r="C86" s="91">
        <v>3.9624999999999999</v>
      </c>
      <c r="D86" s="92">
        <v>51.199460800578585</v>
      </c>
      <c r="E86" s="93"/>
      <c r="F86" s="94"/>
      <c r="G86" s="92">
        <v>108.48434798252418</v>
      </c>
      <c r="H86" s="93"/>
      <c r="I86" s="93"/>
      <c r="M86"/>
      <c r="N86"/>
    </row>
    <row r="87" spans="1:18" s="17" customFormat="1" x14ac:dyDescent="0.2">
      <c r="A87"/>
      <c r="M87"/>
      <c r="N87"/>
    </row>
    <row r="88" spans="1:18" x14ac:dyDescent="0.2">
      <c r="A88" s="25" t="s">
        <v>536</v>
      </c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28"/>
      <c r="K89" s="17"/>
      <c r="L89" s="17"/>
      <c r="M89" s="17"/>
      <c r="N89" s="17"/>
      <c r="O89" s="17"/>
      <c r="P89" s="17"/>
      <c r="Q89" s="17"/>
    </row>
    <row r="90" spans="1:18" ht="26.25" customHeight="1" x14ac:dyDescent="0.2">
      <c r="A90" s="236" t="s">
        <v>140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21"/>
      <c r="N90" s="221"/>
      <c r="O90" s="221"/>
      <c r="P90" s="221"/>
      <c r="Q90" s="221"/>
      <c r="R90" s="221"/>
    </row>
  </sheetData>
  <sheetProtection sheet="1" objects="1" scenarios="1"/>
  <mergeCells count="6">
    <mergeCell ref="D78:I78"/>
    <mergeCell ref="A90:L9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1">
    <tabColor rgb="FF92D050"/>
    <pageSetUpPr fitToPage="1"/>
  </sheetPr>
  <dimension ref="A1:S93"/>
  <sheetViews>
    <sheetView showGridLines="0" workbookViewId="0">
      <selection sqref="A1:L1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hidden="1" customWidth="1"/>
    <col min="17" max="17" width="15.5703125" customWidth="1"/>
    <col min="18" max="18" width="12.425781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2"/>
      <c r="N1" s="222"/>
      <c r="O1" s="222"/>
      <c r="P1" s="222"/>
      <c r="Q1" s="222"/>
      <c r="R1" s="222"/>
    </row>
    <row r="2" spans="1:19" x14ac:dyDescent="0.2">
      <c r="A2" s="239" t="s">
        <v>508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3"/>
      <c r="N2" s="223"/>
      <c r="O2" s="223"/>
      <c r="P2" s="223"/>
      <c r="Q2" s="223"/>
      <c r="R2" s="223"/>
    </row>
    <row r="3" spans="1:19" x14ac:dyDescent="0.2">
      <c r="A3" s="240" t="s">
        <v>457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4"/>
      <c r="N3" s="224"/>
      <c r="O3" s="224"/>
      <c r="P3" s="224"/>
      <c r="Q3" s="224"/>
      <c r="R3" s="224"/>
    </row>
    <row r="4" spans="1:19" x14ac:dyDescent="0.2">
      <c r="A4" s="241" t="s">
        <v>509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6"/>
      <c r="N4" s="106"/>
      <c r="O4" s="106"/>
      <c r="P4" s="106"/>
      <c r="Q4" s="106"/>
      <c r="R4" s="106"/>
    </row>
    <row r="5" spans="1:19" x14ac:dyDescent="0.2">
      <c r="A5" s="123" t="s">
        <v>506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6"/>
      <c r="B6" s="22"/>
      <c r="C6" s="22"/>
      <c r="D6" s="22"/>
      <c r="E6" s="190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3" t="s">
        <v>74</v>
      </c>
    </row>
    <row r="7" spans="1:19" x14ac:dyDescent="0.2">
      <c r="A7" s="85"/>
      <c r="B7" s="22"/>
      <c r="C7" s="85" t="s">
        <v>75</v>
      </c>
      <c r="D7" s="119">
        <v>122</v>
      </c>
      <c r="E7" s="213"/>
      <c r="F7" s="22"/>
      <c r="G7" s="22"/>
      <c r="H7" s="22"/>
      <c r="I7" s="22"/>
      <c r="J7" s="28"/>
      <c r="K7" s="22"/>
      <c r="L7" s="190" t="s">
        <v>74</v>
      </c>
      <c r="M7" s="84"/>
      <c r="N7" s="84"/>
      <c r="O7" s="84"/>
      <c r="P7" s="84"/>
      <c r="Q7" s="99" t="s">
        <v>19</v>
      </c>
      <c r="R7" s="192" t="s">
        <v>19</v>
      </c>
    </row>
    <row r="8" spans="1:19" x14ac:dyDescent="0.2">
      <c r="A8" s="25"/>
      <c r="B8" s="17"/>
      <c r="C8" s="25"/>
      <c r="D8" s="21"/>
      <c r="E8" s="190" t="s">
        <v>74</v>
      </c>
      <c r="F8" s="21"/>
      <c r="G8" s="21"/>
      <c r="H8" s="190" t="s">
        <v>74</v>
      </c>
      <c r="I8" s="114" t="s">
        <v>161</v>
      </c>
      <c r="J8" s="192" t="s">
        <v>74</v>
      </c>
      <c r="K8" s="21" t="s">
        <v>9</v>
      </c>
      <c r="L8" s="194" t="s">
        <v>9</v>
      </c>
      <c r="M8" s="21"/>
      <c r="N8" s="192" t="s">
        <v>74</v>
      </c>
      <c r="O8" s="21"/>
      <c r="P8" s="192" t="s">
        <v>74</v>
      </c>
      <c r="Q8" s="22" t="s">
        <v>11</v>
      </c>
      <c r="R8" s="190" t="s">
        <v>11</v>
      </c>
    </row>
    <row r="9" spans="1:19" x14ac:dyDescent="0.2">
      <c r="A9" s="23" t="s">
        <v>73</v>
      </c>
      <c r="B9" s="23"/>
      <c r="C9" s="23"/>
      <c r="D9" s="24" t="s">
        <v>2</v>
      </c>
      <c r="E9" s="191" t="s">
        <v>2</v>
      </c>
      <c r="F9" s="24" t="s">
        <v>21</v>
      </c>
      <c r="G9" s="24" t="s">
        <v>22</v>
      </c>
      <c r="H9" s="191" t="s">
        <v>22</v>
      </c>
      <c r="I9" s="24" t="s">
        <v>11</v>
      </c>
      <c r="J9" s="191" t="s">
        <v>11</v>
      </c>
      <c r="K9" s="24" t="s">
        <v>10</v>
      </c>
      <c r="L9" s="191" t="s">
        <v>10</v>
      </c>
      <c r="M9" s="24" t="s">
        <v>9</v>
      </c>
      <c r="N9" s="191" t="s">
        <v>9</v>
      </c>
      <c r="O9" s="24" t="s">
        <v>8</v>
      </c>
      <c r="P9" s="191" t="s">
        <v>8</v>
      </c>
      <c r="Q9" s="24" t="s">
        <v>510</v>
      </c>
      <c r="R9" s="191" t="str">
        <f>"(" &amp; E7 &amp; " acres)"</f>
        <v>( acres)</v>
      </c>
      <c r="S9" s="12"/>
    </row>
    <row r="10" spans="1:19" x14ac:dyDescent="0.2">
      <c r="A10" s="25"/>
      <c r="B10" s="102">
        <v>0</v>
      </c>
      <c r="C10" s="25"/>
      <c r="D10" s="50">
        <v>0</v>
      </c>
      <c r="E10" s="132"/>
      <c r="F10" s="226" t="s">
        <v>501</v>
      </c>
      <c r="G10" s="31">
        <v>0</v>
      </c>
      <c r="H10" s="133"/>
      <c r="I10" s="35">
        <v>0</v>
      </c>
      <c r="J10" s="202">
        <f t="shared" ref="J10:J12" si="0">E10*H10</f>
        <v>0</v>
      </c>
      <c r="K10" s="225">
        <v>0</v>
      </c>
      <c r="L10" s="214"/>
      <c r="M10" s="35">
        <v>0</v>
      </c>
      <c r="N10" s="202">
        <f t="shared" ref="N10:N12" si="1">J10*L10</f>
        <v>0</v>
      </c>
      <c r="O10" s="35">
        <v>0</v>
      </c>
      <c r="P10" s="202">
        <f t="shared" ref="P10:P12" si="2">+J10-N10</f>
        <v>0</v>
      </c>
      <c r="Q10" s="35">
        <v>0</v>
      </c>
      <c r="R10" s="202">
        <f t="shared" ref="R10:R12" si="3">+J10*E$7</f>
        <v>0</v>
      </c>
      <c r="S10" s="12"/>
    </row>
    <row r="11" spans="1:19" x14ac:dyDescent="0.2">
      <c r="A11" s="25"/>
      <c r="B11" s="133"/>
      <c r="C11" s="133"/>
      <c r="D11" s="50">
        <v>0</v>
      </c>
      <c r="E11" s="132"/>
      <c r="F11" s="226"/>
      <c r="G11" s="31">
        <v>0</v>
      </c>
      <c r="H11" s="133"/>
      <c r="I11" s="35">
        <v>0</v>
      </c>
      <c r="J11" s="202">
        <f t="shared" si="0"/>
        <v>0</v>
      </c>
      <c r="K11" s="225">
        <v>0</v>
      </c>
      <c r="L11" s="214"/>
      <c r="M11" s="35">
        <v>0</v>
      </c>
      <c r="N11" s="202">
        <f t="shared" si="1"/>
        <v>0</v>
      </c>
      <c r="O11" s="35">
        <v>0</v>
      </c>
      <c r="P11" s="202">
        <f t="shared" si="2"/>
        <v>0</v>
      </c>
      <c r="Q11" s="35">
        <v>0</v>
      </c>
      <c r="R11" s="202">
        <f t="shared" si="3"/>
        <v>0</v>
      </c>
    </row>
    <row r="12" spans="1:19" ht="13.5" thickBot="1" x14ac:dyDescent="0.25">
      <c r="A12" s="25"/>
      <c r="B12" s="133"/>
      <c r="C12" s="133"/>
      <c r="D12" s="50">
        <v>0</v>
      </c>
      <c r="E12" s="132"/>
      <c r="F12" s="226"/>
      <c r="G12" s="31">
        <v>0</v>
      </c>
      <c r="H12" s="133"/>
      <c r="I12" s="42">
        <v>0</v>
      </c>
      <c r="J12" s="202">
        <f t="shared" si="0"/>
        <v>0</v>
      </c>
      <c r="K12" s="225">
        <v>0</v>
      </c>
      <c r="L12" s="214"/>
      <c r="M12" s="42">
        <v>0</v>
      </c>
      <c r="N12" s="202">
        <f t="shared" si="1"/>
        <v>0</v>
      </c>
      <c r="O12" s="42">
        <v>0</v>
      </c>
      <c r="P12" s="202">
        <f t="shared" si="2"/>
        <v>0</v>
      </c>
      <c r="Q12" s="42">
        <v>0</v>
      </c>
      <c r="R12" s="184">
        <f t="shared" si="3"/>
        <v>0</v>
      </c>
    </row>
    <row r="13" spans="1:19" x14ac:dyDescent="0.2">
      <c r="A13" s="25" t="s">
        <v>24</v>
      </c>
      <c r="B13" s="25"/>
      <c r="C13" s="25"/>
      <c r="D13" s="25"/>
      <c r="E13" s="200"/>
      <c r="F13" s="25"/>
      <c r="G13" s="25"/>
      <c r="H13" s="197"/>
      <c r="I13" s="36">
        <v>0</v>
      </c>
      <c r="J13" s="203">
        <f>SUM(J10:J12)</f>
        <v>0</v>
      </c>
      <c r="K13" s="35"/>
      <c r="L13" s="195"/>
      <c r="M13" s="36">
        <v>0</v>
      </c>
      <c r="N13" s="203">
        <f>SUM(N10:N12)</f>
        <v>0</v>
      </c>
      <c r="O13" s="36">
        <v>0</v>
      </c>
      <c r="P13" s="203">
        <f>SUM(P10:P12)</f>
        <v>0</v>
      </c>
      <c r="Q13" s="36">
        <v>0</v>
      </c>
      <c r="R13" s="203">
        <f>SUM(R10:R12)</f>
        <v>0</v>
      </c>
    </row>
    <row r="14" spans="1:19" x14ac:dyDescent="0.2">
      <c r="A14" s="25"/>
      <c r="B14" s="25"/>
      <c r="C14" s="25"/>
      <c r="D14" s="25"/>
      <c r="E14" s="178"/>
      <c r="F14" s="25"/>
      <c r="G14" s="25"/>
      <c r="H14" s="211"/>
      <c r="I14" s="35"/>
      <c r="J14" s="184"/>
      <c r="K14" s="35"/>
      <c r="L14" s="195"/>
      <c r="M14" s="35"/>
      <c r="N14" s="184"/>
      <c r="O14" s="35"/>
      <c r="P14" s="184"/>
      <c r="Q14" s="22" t="s">
        <v>19</v>
      </c>
      <c r="R14" s="184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6" t="s">
        <v>2</v>
      </c>
      <c r="F15" s="24" t="s">
        <v>21</v>
      </c>
      <c r="G15" s="24" t="s">
        <v>22</v>
      </c>
      <c r="H15" s="196" t="s">
        <v>22</v>
      </c>
      <c r="I15" s="24" t="s">
        <v>11</v>
      </c>
      <c r="J15" s="196" t="s">
        <v>11</v>
      </c>
      <c r="K15" s="24" t="s">
        <v>10</v>
      </c>
      <c r="L15" s="196" t="s">
        <v>10</v>
      </c>
      <c r="M15" s="24" t="s">
        <v>9</v>
      </c>
      <c r="N15" s="196" t="s">
        <v>9</v>
      </c>
      <c r="O15" s="24" t="s">
        <v>8</v>
      </c>
      <c r="P15" s="196" t="s">
        <v>8</v>
      </c>
      <c r="Q15" s="24" t="s">
        <v>11</v>
      </c>
      <c r="R15" s="208" t="s">
        <v>11</v>
      </c>
    </row>
    <row r="16" spans="1:19" x14ac:dyDescent="0.2">
      <c r="A16" s="25" t="s">
        <v>26</v>
      </c>
      <c r="B16" s="25"/>
      <c r="C16" s="25"/>
      <c r="D16" s="25"/>
      <c r="E16" s="178"/>
      <c r="F16" s="25"/>
      <c r="G16" s="25"/>
      <c r="H16" s="211"/>
      <c r="I16" s="25"/>
      <c r="J16" s="184"/>
      <c r="K16" s="25"/>
      <c r="L16" s="197"/>
      <c r="M16" s="25"/>
      <c r="N16" s="184"/>
      <c r="O16" s="25"/>
      <c r="P16" s="184"/>
      <c r="Q16" s="25"/>
      <c r="R16" s="184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5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501</v>
      </c>
      <c r="C18" s="25" t="s">
        <v>379</v>
      </c>
      <c r="D18" s="25">
        <v>1</v>
      </c>
      <c r="E18" s="132"/>
      <c r="F18" s="226" t="s">
        <v>42</v>
      </c>
      <c r="G18" s="41">
        <v>6.39</v>
      </c>
      <c r="H18" s="133"/>
      <c r="I18" s="35">
        <v>6.39</v>
      </c>
      <c r="J18" s="202">
        <f t="shared" ref="J18:J26" si="4">E18*H18</f>
        <v>0</v>
      </c>
      <c r="K18" s="225">
        <v>0</v>
      </c>
      <c r="L18" s="214"/>
      <c r="M18" s="35">
        <v>0</v>
      </c>
      <c r="N18" s="202">
        <f t="shared" ref="N18:N26" si="5">J18*L18</f>
        <v>0</v>
      </c>
      <c r="O18" s="35">
        <v>6.39</v>
      </c>
      <c r="P18" s="202">
        <f t="shared" ref="P18:P26" si="6">+J18-N18</f>
        <v>0</v>
      </c>
      <c r="Q18" s="35">
        <v>779.57999999999993</v>
      </c>
      <c r="R18" s="202">
        <f t="shared" ref="R18:R26" si="7">+J18*E$7</f>
        <v>0</v>
      </c>
    </row>
    <row r="19" spans="1:18" x14ac:dyDescent="0.2">
      <c r="A19" s="25"/>
      <c r="B19" s="25" t="s">
        <v>0</v>
      </c>
      <c r="C19" s="25"/>
      <c r="D19" s="25"/>
      <c r="E19" s="25"/>
      <c r="F19" s="25"/>
      <c r="G19" s="25"/>
      <c r="H19" s="25"/>
      <c r="I19" s="25"/>
      <c r="J19" s="25"/>
      <c r="K19" s="225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501</v>
      </c>
      <c r="C20" s="25" t="s">
        <v>393</v>
      </c>
      <c r="D20" s="25">
        <v>38</v>
      </c>
      <c r="E20" s="132"/>
      <c r="F20" s="226" t="s">
        <v>83</v>
      </c>
      <c r="G20" s="41">
        <v>0.63</v>
      </c>
      <c r="H20" s="133"/>
      <c r="I20" s="35">
        <v>23.94</v>
      </c>
      <c r="J20" s="202">
        <f t="shared" si="4"/>
        <v>0</v>
      </c>
      <c r="K20" s="225">
        <v>0</v>
      </c>
      <c r="L20" s="214"/>
      <c r="M20" s="35">
        <v>0</v>
      </c>
      <c r="N20" s="202">
        <f t="shared" si="5"/>
        <v>0</v>
      </c>
      <c r="O20" s="35">
        <v>23.94</v>
      </c>
      <c r="P20" s="202">
        <f t="shared" si="6"/>
        <v>0</v>
      </c>
      <c r="Q20" s="35">
        <v>2920.6800000000003</v>
      </c>
      <c r="R20" s="202">
        <f t="shared" si="7"/>
        <v>0</v>
      </c>
    </row>
    <row r="21" spans="1:18" x14ac:dyDescent="0.2">
      <c r="A21" s="25"/>
      <c r="B21" s="25" t="s">
        <v>49</v>
      </c>
      <c r="C21" s="25"/>
      <c r="D21" s="25"/>
      <c r="E21" s="25"/>
      <c r="F21" s="25"/>
      <c r="G21" s="25"/>
      <c r="H21" s="25"/>
      <c r="I21" s="25"/>
      <c r="J21" s="25"/>
      <c r="K21" s="225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501</v>
      </c>
      <c r="C22" s="25" t="s">
        <v>399</v>
      </c>
      <c r="D22" s="25">
        <v>2</v>
      </c>
      <c r="E22" s="132"/>
      <c r="F22" s="226" t="s">
        <v>311</v>
      </c>
      <c r="G22" s="41">
        <v>2.125</v>
      </c>
      <c r="H22" s="133"/>
      <c r="I22" s="35">
        <v>4.25</v>
      </c>
      <c r="J22" s="202">
        <f t="shared" si="4"/>
        <v>0</v>
      </c>
      <c r="K22" s="225">
        <v>0</v>
      </c>
      <c r="L22" s="214"/>
      <c r="M22" s="35">
        <v>0</v>
      </c>
      <c r="N22" s="202">
        <f t="shared" si="5"/>
        <v>0</v>
      </c>
      <c r="O22" s="35">
        <v>4.25</v>
      </c>
      <c r="P22" s="202">
        <f t="shared" si="6"/>
        <v>0</v>
      </c>
      <c r="Q22" s="35">
        <v>518.5</v>
      </c>
      <c r="R22" s="202">
        <f t="shared" si="7"/>
        <v>0</v>
      </c>
    </row>
    <row r="23" spans="1:18" x14ac:dyDescent="0.2">
      <c r="A23" s="25"/>
      <c r="B23" s="25" t="s">
        <v>1</v>
      </c>
      <c r="C23" s="25"/>
      <c r="D23" s="25"/>
      <c r="E23" s="25"/>
      <c r="F23" s="25"/>
      <c r="G23" s="25"/>
      <c r="H23" s="25"/>
      <c r="I23" s="25"/>
      <c r="J23" s="25"/>
      <c r="K23" s="225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501</v>
      </c>
      <c r="C24" s="25" t="s">
        <v>365</v>
      </c>
      <c r="D24" s="25">
        <v>32</v>
      </c>
      <c r="E24" s="132"/>
      <c r="F24" s="226" t="s">
        <v>83</v>
      </c>
      <c r="G24" s="41">
        <v>8.5</v>
      </c>
      <c r="H24" s="133"/>
      <c r="I24" s="35">
        <v>272</v>
      </c>
      <c r="J24" s="202">
        <f t="shared" si="4"/>
        <v>0</v>
      </c>
      <c r="K24" s="225">
        <v>0</v>
      </c>
      <c r="L24" s="214"/>
      <c r="M24" s="35">
        <v>0</v>
      </c>
      <c r="N24" s="202">
        <f t="shared" si="5"/>
        <v>0</v>
      </c>
      <c r="O24" s="35">
        <v>272</v>
      </c>
      <c r="P24" s="202">
        <f t="shared" si="6"/>
        <v>0</v>
      </c>
      <c r="Q24" s="35">
        <v>33184</v>
      </c>
      <c r="R24" s="202">
        <f t="shared" si="7"/>
        <v>0</v>
      </c>
    </row>
    <row r="25" spans="1:18" x14ac:dyDescent="0.2">
      <c r="A25" s="25"/>
      <c r="B25" s="133"/>
      <c r="C25" s="133"/>
      <c r="D25" s="25">
        <v>0</v>
      </c>
      <c r="E25" s="132"/>
      <c r="F25" s="226"/>
      <c r="G25" s="41">
        <v>0</v>
      </c>
      <c r="H25" s="133"/>
      <c r="I25" s="35">
        <v>0</v>
      </c>
      <c r="J25" s="202">
        <f t="shared" si="4"/>
        <v>0</v>
      </c>
      <c r="K25" s="225">
        <v>0</v>
      </c>
      <c r="L25" s="214"/>
      <c r="M25" s="35">
        <v>0</v>
      </c>
      <c r="N25" s="202">
        <f t="shared" si="5"/>
        <v>0</v>
      </c>
      <c r="O25" s="35">
        <v>0</v>
      </c>
      <c r="P25" s="202">
        <f t="shared" si="6"/>
        <v>0</v>
      </c>
      <c r="Q25" s="35">
        <v>0</v>
      </c>
      <c r="R25" s="202">
        <f t="shared" si="7"/>
        <v>0</v>
      </c>
    </row>
    <row r="26" spans="1:18" x14ac:dyDescent="0.2">
      <c r="A26" s="25"/>
      <c r="B26" s="133"/>
      <c r="C26" s="133"/>
      <c r="D26" s="25">
        <v>0</v>
      </c>
      <c r="E26" s="132"/>
      <c r="F26" s="226"/>
      <c r="G26" s="41">
        <v>0</v>
      </c>
      <c r="H26" s="133"/>
      <c r="I26" s="35">
        <v>0</v>
      </c>
      <c r="J26" s="202">
        <f t="shared" si="4"/>
        <v>0</v>
      </c>
      <c r="K26" s="225">
        <v>0</v>
      </c>
      <c r="L26" s="214"/>
      <c r="M26" s="35">
        <v>0</v>
      </c>
      <c r="N26" s="202">
        <f t="shared" si="5"/>
        <v>0</v>
      </c>
      <c r="O26" s="35">
        <v>0</v>
      </c>
      <c r="P26" s="202">
        <f t="shared" si="6"/>
        <v>0</v>
      </c>
      <c r="Q26" s="35">
        <v>0</v>
      </c>
      <c r="R26" s="202">
        <f t="shared" si="7"/>
        <v>0</v>
      </c>
    </row>
    <row r="27" spans="1:18" x14ac:dyDescent="0.2">
      <c r="A27" s="25"/>
      <c r="B27" s="133"/>
      <c r="C27" s="133"/>
      <c r="D27" s="25">
        <v>0</v>
      </c>
      <c r="E27" s="132"/>
      <c r="F27" s="226"/>
      <c r="G27" s="41">
        <v>0</v>
      </c>
      <c r="H27" s="133"/>
      <c r="I27" s="35">
        <v>0</v>
      </c>
      <c r="J27" s="202">
        <f>E27*H27</f>
        <v>0</v>
      </c>
      <c r="K27" s="225">
        <v>0</v>
      </c>
      <c r="L27" s="214"/>
      <c r="M27" s="35">
        <v>0</v>
      </c>
      <c r="N27" s="202">
        <f>J27*L27</f>
        <v>0</v>
      </c>
      <c r="O27" s="35">
        <v>0</v>
      </c>
      <c r="P27" s="202">
        <f>+J27-N27</f>
        <v>0</v>
      </c>
      <c r="Q27" s="35">
        <v>0</v>
      </c>
      <c r="R27" s="202">
        <f>+J27*E$7</f>
        <v>0</v>
      </c>
    </row>
    <row r="28" spans="1:18" x14ac:dyDescent="0.2">
      <c r="A28" s="25"/>
      <c r="B28" s="25" t="s">
        <v>45</v>
      </c>
      <c r="C28" s="25"/>
      <c r="D28" s="25"/>
      <c r="E28" s="209"/>
      <c r="F28" s="21"/>
      <c r="G28" s="41"/>
      <c r="H28" s="198"/>
      <c r="I28" s="186"/>
      <c r="J28" s="184"/>
      <c r="K28" s="225"/>
      <c r="L28" s="198"/>
      <c r="M28" s="35"/>
      <c r="N28" s="184"/>
      <c r="O28" s="35"/>
      <c r="P28" s="184"/>
      <c r="Q28" s="35"/>
      <c r="R28" s="184"/>
    </row>
    <row r="29" spans="1:18" x14ac:dyDescent="0.2">
      <c r="A29" s="25"/>
      <c r="B29" s="25"/>
      <c r="C29" s="25" t="s">
        <v>146</v>
      </c>
      <c r="D29" s="34">
        <v>3.04</v>
      </c>
      <c r="E29" s="132"/>
      <c r="F29" s="226" t="s">
        <v>141</v>
      </c>
      <c r="G29" s="41">
        <v>4.7</v>
      </c>
      <c r="H29" s="133"/>
      <c r="I29" s="35">
        <v>14.288</v>
      </c>
      <c r="J29" s="202">
        <f t="shared" ref="J29:J30" si="8">E29*H29</f>
        <v>0</v>
      </c>
      <c r="K29" s="225">
        <v>0</v>
      </c>
      <c r="L29" s="214"/>
      <c r="M29" s="35">
        <v>0</v>
      </c>
      <c r="N29" s="202">
        <f t="shared" ref="N29:N30" si="9">J29*L29</f>
        <v>0</v>
      </c>
      <c r="O29" s="35">
        <v>14.288</v>
      </c>
      <c r="P29" s="202">
        <f t="shared" ref="P29:P30" si="10">+J29-N29</f>
        <v>0</v>
      </c>
      <c r="Q29" s="35">
        <v>1743.136</v>
      </c>
      <c r="R29" s="202">
        <f t="shared" ref="R29:R30" si="11">+J29*E$7</f>
        <v>0</v>
      </c>
    </row>
    <row r="30" spans="1:18" x14ac:dyDescent="0.2">
      <c r="A30" s="25"/>
      <c r="B30" s="25"/>
      <c r="C30" s="25" t="s">
        <v>136</v>
      </c>
      <c r="D30" s="34">
        <v>1.7600000000000001E-2</v>
      </c>
      <c r="E30" s="132"/>
      <c r="F30" s="226" t="s">
        <v>44</v>
      </c>
      <c r="G30" s="41">
        <v>17.5</v>
      </c>
      <c r="H30" s="133"/>
      <c r="I30" s="35">
        <v>0.308</v>
      </c>
      <c r="J30" s="202">
        <f t="shared" si="8"/>
        <v>0</v>
      </c>
      <c r="K30" s="225">
        <v>0</v>
      </c>
      <c r="L30" s="214"/>
      <c r="M30" s="35">
        <v>0</v>
      </c>
      <c r="N30" s="202">
        <f t="shared" si="9"/>
        <v>0</v>
      </c>
      <c r="O30" s="35">
        <v>0.308</v>
      </c>
      <c r="P30" s="202">
        <f t="shared" si="10"/>
        <v>0</v>
      </c>
      <c r="Q30" s="35">
        <v>37.576000000000001</v>
      </c>
      <c r="R30" s="202">
        <f t="shared" si="11"/>
        <v>0</v>
      </c>
    </row>
    <row r="31" spans="1:18" x14ac:dyDescent="0.2">
      <c r="A31" s="25"/>
      <c r="B31" s="25" t="s">
        <v>108</v>
      </c>
      <c r="C31" s="25"/>
      <c r="D31" s="25"/>
      <c r="E31" s="105"/>
      <c r="H31" s="105"/>
      <c r="I31" s="124"/>
      <c r="J31" s="105"/>
      <c r="K31" s="225"/>
      <c r="L31" s="105"/>
      <c r="N31" s="105"/>
      <c r="P31" s="105"/>
      <c r="R31" s="105"/>
    </row>
    <row r="32" spans="1:18" x14ac:dyDescent="0.2">
      <c r="A32" s="25"/>
      <c r="B32" s="25"/>
      <c r="C32" s="25" t="s">
        <v>105</v>
      </c>
      <c r="D32" s="25">
        <v>0.4</v>
      </c>
      <c r="E32" s="132"/>
      <c r="F32" s="226" t="s">
        <v>44</v>
      </c>
      <c r="G32" s="41">
        <v>17.21</v>
      </c>
      <c r="H32" s="133"/>
      <c r="I32" s="35">
        <v>6.8840000000000003</v>
      </c>
      <c r="J32" s="202">
        <f>E32*H32</f>
        <v>0</v>
      </c>
      <c r="K32" s="225">
        <v>0</v>
      </c>
      <c r="L32" s="214"/>
      <c r="M32" s="35">
        <v>0</v>
      </c>
      <c r="N32" s="202">
        <f>J32*L32</f>
        <v>0</v>
      </c>
      <c r="O32" s="35">
        <v>6.8840000000000003</v>
      </c>
      <c r="P32" s="202">
        <f>+J32-N32</f>
        <v>0</v>
      </c>
      <c r="Q32" s="35">
        <v>839.84800000000007</v>
      </c>
      <c r="R32" s="202">
        <f>+J32*E$7</f>
        <v>0</v>
      </c>
    </row>
    <row r="33" spans="1:18" x14ac:dyDescent="0.2">
      <c r="A33" s="25"/>
      <c r="B33" s="25"/>
      <c r="C33" s="25" t="s">
        <v>107</v>
      </c>
      <c r="D33" s="25">
        <v>0</v>
      </c>
      <c r="E33" s="132"/>
      <c r="F33" s="226" t="s">
        <v>44</v>
      </c>
      <c r="G33" s="41">
        <v>17.21</v>
      </c>
      <c r="H33" s="133"/>
      <c r="I33" s="35">
        <v>0</v>
      </c>
      <c r="J33" s="202">
        <f>E33*H33</f>
        <v>0</v>
      </c>
      <c r="K33" s="225">
        <v>0</v>
      </c>
      <c r="L33" s="214"/>
      <c r="M33" s="35">
        <v>0</v>
      </c>
      <c r="N33" s="202">
        <f>J33*L33</f>
        <v>0</v>
      </c>
      <c r="O33" s="35">
        <v>0</v>
      </c>
      <c r="P33" s="202">
        <f>+J33-N33</f>
        <v>0</v>
      </c>
      <c r="Q33" s="35">
        <v>0</v>
      </c>
      <c r="R33" s="202">
        <f>+J33*E$7</f>
        <v>0</v>
      </c>
    </row>
    <row r="34" spans="1:18" x14ac:dyDescent="0.2">
      <c r="A34" s="25"/>
      <c r="B34" s="25"/>
      <c r="C34" s="25"/>
      <c r="D34" s="25"/>
      <c r="E34" s="209"/>
      <c r="F34" s="21"/>
      <c r="G34" s="41"/>
      <c r="H34" s="198"/>
      <c r="I34" s="35"/>
      <c r="J34" s="184"/>
      <c r="K34" s="225"/>
      <c r="L34" s="198"/>
      <c r="M34" s="35"/>
      <c r="N34" s="184"/>
      <c r="O34" s="35"/>
      <c r="P34" s="184"/>
      <c r="Q34" s="35"/>
      <c r="R34" s="184"/>
    </row>
    <row r="35" spans="1:18" x14ac:dyDescent="0.2">
      <c r="A35" s="25"/>
      <c r="B35" s="25" t="s">
        <v>51</v>
      </c>
      <c r="C35" s="25"/>
      <c r="D35" s="25"/>
      <c r="E35" s="209"/>
      <c r="F35" s="21"/>
      <c r="G35" s="41"/>
      <c r="H35" s="198"/>
      <c r="I35" s="186"/>
      <c r="J35" s="184"/>
      <c r="K35" s="225"/>
      <c r="L35" s="198"/>
      <c r="M35" s="35"/>
      <c r="N35" s="184"/>
      <c r="O35" s="35"/>
      <c r="P35" s="184"/>
      <c r="Q35" s="35"/>
      <c r="R35" s="184"/>
    </row>
    <row r="36" spans="1:18" x14ac:dyDescent="0.2">
      <c r="A36" s="25"/>
      <c r="B36" s="25"/>
      <c r="C36" s="25" t="s">
        <v>104</v>
      </c>
      <c r="D36" s="25">
        <v>1</v>
      </c>
      <c r="E36" s="132"/>
      <c r="F36" s="226" t="s">
        <v>42</v>
      </c>
      <c r="G36" s="41">
        <v>0</v>
      </c>
      <c r="H36" s="133"/>
      <c r="I36" s="35">
        <v>0</v>
      </c>
      <c r="J36" s="202">
        <f>E36*H36</f>
        <v>0</v>
      </c>
      <c r="K36" s="225">
        <v>0</v>
      </c>
      <c r="L36" s="214"/>
      <c r="M36" s="35">
        <v>0</v>
      </c>
      <c r="N36" s="202">
        <f>J36*L36</f>
        <v>0</v>
      </c>
      <c r="O36" s="35">
        <v>0</v>
      </c>
      <c r="P36" s="202">
        <f>+J36-N36</f>
        <v>0</v>
      </c>
      <c r="Q36" s="35">
        <v>0</v>
      </c>
      <c r="R36" s="202">
        <f>+J36*E$7</f>
        <v>0</v>
      </c>
    </row>
    <row r="37" spans="1:18" x14ac:dyDescent="0.2">
      <c r="A37" s="25"/>
      <c r="B37" s="25"/>
      <c r="C37" s="25" t="s">
        <v>105</v>
      </c>
      <c r="D37" s="25">
        <v>3.91</v>
      </c>
      <c r="E37" s="132"/>
      <c r="F37" s="226" t="s">
        <v>79</v>
      </c>
      <c r="G37" s="41">
        <v>3.6</v>
      </c>
      <c r="H37" s="133"/>
      <c r="I37" s="35">
        <v>14.076000000000001</v>
      </c>
      <c r="J37" s="202">
        <f>E37*H37</f>
        <v>0</v>
      </c>
      <c r="K37" s="225">
        <v>0</v>
      </c>
      <c r="L37" s="214"/>
      <c r="M37" s="35">
        <v>0</v>
      </c>
      <c r="N37" s="202">
        <f>J37*L37</f>
        <v>0</v>
      </c>
      <c r="O37" s="35">
        <v>14.076000000000001</v>
      </c>
      <c r="P37" s="202">
        <f>+J37-N37</f>
        <v>0</v>
      </c>
      <c r="Q37" s="35">
        <v>1717.2720000000002</v>
      </c>
      <c r="R37" s="202">
        <f>+J37*E$7</f>
        <v>0</v>
      </c>
    </row>
    <row r="38" spans="1:18" x14ac:dyDescent="0.2">
      <c r="A38" s="25"/>
      <c r="B38" s="25"/>
      <c r="C38" s="25"/>
      <c r="D38" s="25"/>
      <c r="E38" s="209"/>
      <c r="F38" s="21"/>
      <c r="G38" s="41"/>
      <c r="H38" s="198"/>
      <c r="I38" s="35"/>
      <c r="J38" s="184"/>
      <c r="K38" s="225"/>
      <c r="L38" s="198"/>
      <c r="M38" s="35"/>
      <c r="N38" s="184"/>
      <c r="O38" s="35"/>
      <c r="P38" s="184"/>
      <c r="Q38" s="35"/>
      <c r="R38" s="184"/>
    </row>
    <row r="39" spans="1:18" x14ac:dyDescent="0.2">
      <c r="A39" s="25"/>
      <c r="B39" s="25" t="s">
        <v>29</v>
      </c>
      <c r="C39" s="25"/>
      <c r="D39" s="25"/>
      <c r="E39" s="209"/>
      <c r="F39" s="21"/>
      <c r="G39" s="41"/>
      <c r="H39" s="198"/>
      <c r="I39" s="186"/>
      <c r="J39" s="184"/>
      <c r="K39" s="225"/>
      <c r="L39" s="198"/>
      <c r="M39" s="35"/>
      <c r="N39" s="184"/>
      <c r="O39" s="35"/>
      <c r="P39" s="184"/>
      <c r="Q39" s="35"/>
      <c r="R39" s="184"/>
    </row>
    <row r="40" spans="1:18" x14ac:dyDescent="0.2">
      <c r="A40" s="25"/>
      <c r="B40" s="25"/>
      <c r="C40" s="25" t="s">
        <v>104</v>
      </c>
      <c r="D40" s="25">
        <v>1</v>
      </c>
      <c r="E40" s="132"/>
      <c r="F40" s="226" t="s">
        <v>42</v>
      </c>
      <c r="G40" s="41">
        <v>5.0658196721311475</v>
      </c>
      <c r="H40" s="133"/>
      <c r="I40" s="35">
        <v>5.0658196721311475</v>
      </c>
      <c r="J40" s="202">
        <f>E40*H40</f>
        <v>0</v>
      </c>
      <c r="K40" s="225">
        <v>0</v>
      </c>
      <c r="L40" s="214"/>
      <c r="M40" s="35">
        <v>0</v>
      </c>
      <c r="N40" s="202">
        <f>J40*L40</f>
        <v>0</v>
      </c>
      <c r="O40" s="35">
        <v>5.0658196721311475</v>
      </c>
      <c r="P40" s="202">
        <f>+J40-N40</f>
        <v>0</v>
      </c>
      <c r="Q40" s="35">
        <v>618.03</v>
      </c>
      <c r="R40" s="202">
        <f>+J40*E$7</f>
        <v>0</v>
      </c>
    </row>
    <row r="41" spans="1:18" x14ac:dyDescent="0.2">
      <c r="A41" s="25"/>
      <c r="B41" s="25"/>
      <c r="C41" s="25" t="s">
        <v>105</v>
      </c>
      <c r="D41" s="25">
        <v>0</v>
      </c>
      <c r="E41" s="132"/>
      <c r="F41" s="226" t="s">
        <v>79</v>
      </c>
      <c r="G41" s="41">
        <v>3.15</v>
      </c>
      <c r="H41" s="133"/>
      <c r="I41" s="35">
        <v>0</v>
      </c>
      <c r="J41" s="202">
        <f>E41*H41</f>
        <v>0</v>
      </c>
      <c r="K41" s="225">
        <v>0</v>
      </c>
      <c r="L41" s="214"/>
      <c r="M41" s="35">
        <v>0</v>
      </c>
      <c r="N41" s="202">
        <f>J41*L41</f>
        <v>0</v>
      </c>
      <c r="O41" s="35">
        <v>0</v>
      </c>
      <c r="P41" s="202">
        <f>+J41-N41</f>
        <v>0</v>
      </c>
      <c r="Q41" s="35">
        <v>0</v>
      </c>
      <c r="R41" s="202">
        <f>+J41*E$7</f>
        <v>0</v>
      </c>
    </row>
    <row r="42" spans="1:18" x14ac:dyDescent="0.2">
      <c r="A42" s="25"/>
      <c r="B42" s="25"/>
      <c r="C42" s="25"/>
      <c r="D42" s="25"/>
      <c r="E42" s="209"/>
      <c r="F42" s="21"/>
      <c r="G42" s="41"/>
      <c r="H42" s="198"/>
      <c r="I42" s="35"/>
      <c r="J42" s="184"/>
      <c r="K42" s="225"/>
      <c r="L42" s="198"/>
      <c r="M42" s="35"/>
      <c r="N42" s="184"/>
      <c r="O42" s="35"/>
      <c r="P42" s="184"/>
      <c r="Q42" s="35"/>
      <c r="R42" s="184"/>
    </row>
    <row r="43" spans="1:18" x14ac:dyDescent="0.2">
      <c r="A43" s="25"/>
      <c r="B43" s="25" t="s">
        <v>47</v>
      </c>
      <c r="C43" s="25"/>
      <c r="D43" s="25"/>
      <c r="E43" s="209"/>
      <c r="F43" s="21"/>
      <c r="G43" s="41"/>
      <c r="H43" s="199"/>
      <c r="I43" s="186"/>
      <c r="J43" s="184"/>
      <c r="K43" s="225"/>
      <c r="L43" s="199"/>
      <c r="M43" s="35"/>
      <c r="N43" s="184"/>
      <c r="O43" s="35"/>
      <c r="P43" s="184"/>
      <c r="Q43" s="35"/>
      <c r="R43" s="184"/>
    </row>
    <row r="44" spans="1:18" x14ac:dyDescent="0.2">
      <c r="A44" s="25"/>
      <c r="B44" s="25"/>
      <c r="C44" s="25" t="s">
        <v>104</v>
      </c>
      <c r="D44" s="25">
        <v>1</v>
      </c>
      <c r="E44" s="132"/>
      <c r="F44" s="226" t="s">
        <v>42</v>
      </c>
      <c r="G44" s="41">
        <v>0.80409836065573781</v>
      </c>
      <c r="H44" s="133"/>
      <c r="I44" s="35">
        <v>0.80409836065573781</v>
      </c>
      <c r="J44" s="202">
        <f t="shared" ref="J44:J49" si="12">E44*H44</f>
        <v>0</v>
      </c>
      <c r="K44" s="225">
        <v>0</v>
      </c>
      <c r="L44" s="214"/>
      <c r="M44" s="35">
        <v>0</v>
      </c>
      <c r="N44" s="202">
        <f t="shared" ref="N44:N49" si="13">J44*L44</f>
        <v>0</v>
      </c>
      <c r="O44" s="35">
        <v>0.80409836065573781</v>
      </c>
      <c r="P44" s="202">
        <f t="shared" ref="P44:P49" si="14">+J44-N44</f>
        <v>0</v>
      </c>
      <c r="Q44" s="35">
        <v>98.100000000000009</v>
      </c>
      <c r="R44" s="202">
        <f t="shared" ref="R44:R47" si="15">+J44*E$7</f>
        <v>0</v>
      </c>
    </row>
    <row r="45" spans="1:18" x14ac:dyDescent="0.2">
      <c r="A45" s="25"/>
      <c r="B45" s="25"/>
      <c r="C45" s="25" t="s">
        <v>46</v>
      </c>
      <c r="D45" s="25">
        <v>1</v>
      </c>
      <c r="E45" s="132"/>
      <c r="F45" s="226" t="s">
        <v>42</v>
      </c>
      <c r="G45" s="41">
        <v>8.0113120000000002</v>
      </c>
      <c r="H45" s="133"/>
      <c r="I45" s="35">
        <v>8.0113120000000002</v>
      </c>
      <c r="J45" s="202">
        <f t="shared" si="12"/>
        <v>0</v>
      </c>
      <c r="K45" s="225">
        <v>0</v>
      </c>
      <c r="L45" s="214"/>
      <c r="M45" s="35">
        <v>0</v>
      </c>
      <c r="N45" s="202">
        <f t="shared" si="13"/>
        <v>0</v>
      </c>
      <c r="O45" s="35">
        <v>8.0113120000000002</v>
      </c>
      <c r="P45" s="202">
        <f t="shared" si="14"/>
        <v>0</v>
      </c>
      <c r="Q45" s="35">
        <v>977.38006400000006</v>
      </c>
      <c r="R45" s="202">
        <f t="shared" si="15"/>
        <v>0</v>
      </c>
    </row>
    <row r="46" spans="1:18" x14ac:dyDescent="0.2">
      <c r="A46" s="25"/>
      <c r="B46" s="25"/>
      <c r="C46" s="25" t="s">
        <v>105</v>
      </c>
      <c r="D46" s="25">
        <v>1</v>
      </c>
      <c r="E46" s="132"/>
      <c r="F46" s="226" t="s">
        <v>42</v>
      </c>
      <c r="G46" s="41">
        <v>9.9994955851567831</v>
      </c>
      <c r="H46" s="133"/>
      <c r="I46" s="35">
        <v>9.9994955851567831</v>
      </c>
      <c r="J46" s="202">
        <f t="shared" si="12"/>
        <v>0</v>
      </c>
      <c r="K46" s="225">
        <v>0</v>
      </c>
      <c r="L46" s="214"/>
      <c r="M46" s="35">
        <v>0</v>
      </c>
      <c r="N46" s="202">
        <f t="shared" si="13"/>
        <v>0</v>
      </c>
      <c r="O46" s="35">
        <v>9.9994955851567831</v>
      </c>
      <c r="P46" s="202">
        <f t="shared" si="14"/>
        <v>0</v>
      </c>
      <c r="Q46" s="35">
        <v>1219.9384613891275</v>
      </c>
      <c r="R46" s="202">
        <f t="shared" si="15"/>
        <v>0</v>
      </c>
    </row>
    <row r="47" spans="1:18" x14ac:dyDescent="0.2">
      <c r="A47" s="25"/>
      <c r="B47" s="25"/>
      <c r="C47" s="25" t="s">
        <v>4</v>
      </c>
      <c r="D47" s="25">
        <v>1</v>
      </c>
      <c r="E47" s="132"/>
      <c r="F47" s="226" t="s">
        <v>42</v>
      </c>
      <c r="G47" s="41">
        <v>12.499624785895477</v>
      </c>
      <c r="H47" s="133"/>
      <c r="I47" s="35">
        <v>12.499624785895477</v>
      </c>
      <c r="J47" s="202">
        <f t="shared" si="12"/>
        <v>0</v>
      </c>
      <c r="K47" s="225">
        <v>0</v>
      </c>
      <c r="L47" s="214"/>
      <c r="M47" s="35">
        <v>0</v>
      </c>
      <c r="N47" s="202">
        <f t="shared" si="13"/>
        <v>0</v>
      </c>
      <c r="O47" s="35">
        <v>12.499624785895477</v>
      </c>
      <c r="P47" s="202">
        <f t="shared" si="14"/>
        <v>0</v>
      </c>
      <c r="Q47" s="35">
        <v>1524.9542238792483</v>
      </c>
      <c r="R47" s="202">
        <f t="shared" si="15"/>
        <v>0</v>
      </c>
    </row>
    <row r="48" spans="1:18" x14ac:dyDescent="0.2">
      <c r="A48" s="25"/>
      <c r="B48" s="133"/>
      <c r="C48" s="133"/>
      <c r="D48" s="25"/>
      <c r="E48" s="132"/>
      <c r="F48" s="226"/>
      <c r="G48" s="41"/>
      <c r="H48" s="133"/>
      <c r="I48" s="35">
        <v>0</v>
      </c>
      <c r="J48" s="202">
        <f t="shared" si="12"/>
        <v>0</v>
      </c>
      <c r="K48" s="225">
        <v>0</v>
      </c>
      <c r="L48" s="214"/>
      <c r="M48" s="35">
        <v>0</v>
      </c>
      <c r="N48" s="202">
        <f t="shared" si="13"/>
        <v>0</v>
      </c>
      <c r="O48" s="35">
        <v>0</v>
      </c>
      <c r="P48" s="202">
        <f t="shared" si="14"/>
        <v>0</v>
      </c>
      <c r="Q48" s="35">
        <v>0</v>
      </c>
      <c r="R48" s="202">
        <f t="shared" ref="R48:R49" si="16">+J48*E$7</f>
        <v>0</v>
      </c>
    </row>
    <row r="49" spans="1:18" x14ac:dyDescent="0.2">
      <c r="A49" s="25"/>
      <c r="B49" s="133"/>
      <c r="C49" s="133"/>
      <c r="D49" s="25"/>
      <c r="E49" s="132"/>
      <c r="F49" s="226"/>
      <c r="G49" s="41"/>
      <c r="H49" s="133"/>
      <c r="I49" s="35">
        <v>0</v>
      </c>
      <c r="J49" s="202">
        <f t="shared" si="12"/>
        <v>0</v>
      </c>
      <c r="K49" s="225">
        <v>0</v>
      </c>
      <c r="L49" s="214"/>
      <c r="M49" s="35">
        <v>0</v>
      </c>
      <c r="N49" s="202">
        <f t="shared" si="13"/>
        <v>0</v>
      </c>
      <c r="O49" s="35">
        <v>0</v>
      </c>
      <c r="P49" s="202">
        <f t="shared" si="14"/>
        <v>0</v>
      </c>
      <c r="Q49" s="35">
        <v>0</v>
      </c>
      <c r="R49" s="202">
        <f t="shared" si="16"/>
        <v>0</v>
      </c>
    </row>
    <row r="50" spans="1:18" ht="13.5" thickBot="1" x14ac:dyDescent="0.25">
      <c r="A50" s="25"/>
      <c r="B50" s="25" t="s">
        <v>32</v>
      </c>
      <c r="C50" s="25"/>
      <c r="D50" s="25"/>
      <c r="E50" s="197"/>
      <c r="F50" s="21"/>
      <c r="G50" s="39">
        <v>0.08</v>
      </c>
      <c r="H50" s="215"/>
      <c r="I50" s="42">
        <v>10.401836110222918</v>
      </c>
      <c r="J50" s="202">
        <f>+SUM(J17:J49)/2*H50</f>
        <v>0</v>
      </c>
      <c r="K50" s="86"/>
      <c r="L50" s="137"/>
      <c r="M50" s="42">
        <v>0</v>
      </c>
      <c r="N50" s="202">
        <f>+SUM(N17:N49)/2*L50</f>
        <v>0</v>
      </c>
      <c r="O50" s="42">
        <v>10.401836110222918</v>
      </c>
      <c r="P50" s="202">
        <f>+SUM(P17:P49)/2*L50</f>
        <v>0</v>
      </c>
      <c r="Q50" s="42">
        <v>1269.024005447196</v>
      </c>
      <c r="R50" s="184">
        <f>+J50*E$7</f>
        <v>0</v>
      </c>
    </row>
    <row r="51" spans="1:18" ht="13.5" thickBot="1" x14ac:dyDescent="0.25">
      <c r="A51" s="25" t="s">
        <v>33</v>
      </c>
      <c r="B51" s="25"/>
      <c r="C51" s="25"/>
      <c r="D51" s="25"/>
      <c r="E51" s="200"/>
      <c r="F51" s="25"/>
      <c r="G51" s="25"/>
      <c r="H51" s="197"/>
      <c r="I51" s="87">
        <v>388.91818651406214</v>
      </c>
      <c r="J51" s="204">
        <f>SUM(J18:J50)</f>
        <v>0</v>
      </c>
      <c r="K51" s="35"/>
      <c r="L51" s="195"/>
      <c r="M51" s="87">
        <v>0</v>
      </c>
      <c r="N51" s="204">
        <f>SUM(N18:N50)</f>
        <v>0</v>
      </c>
      <c r="O51" s="87">
        <v>388.91818651406214</v>
      </c>
      <c r="P51" s="204">
        <f>SUM(P18:P50)</f>
        <v>0</v>
      </c>
      <c r="Q51" s="87">
        <v>47448.018754715566</v>
      </c>
      <c r="R51" s="204">
        <f>SUM(R18:R50)</f>
        <v>0</v>
      </c>
    </row>
    <row r="52" spans="1:18" ht="13.5" thickTop="1" x14ac:dyDescent="0.2">
      <c r="A52" s="25" t="s">
        <v>34</v>
      </c>
      <c r="B52" s="25"/>
      <c r="C52" s="25"/>
      <c r="D52" s="25"/>
      <c r="E52" s="200"/>
      <c r="F52" s="25"/>
      <c r="G52" s="25"/>
      <c r="H52" s="197"/>
      <c r="I52" s="35">
        <v>-388.91818651406214</v>
      </c>
      <c r="J52" s="202">
        <f>+J13-J51</f>
        <v>0</v>
      </c>
      <c r="K52" s="35"/>
      <c r="L52" s="195"/>
      <c r="M52" s="35">
        <v>0</v>
      </c>
      <c r="N52" s="202">
        <f>+N13-N51</f>
        <v>0</v>
      </c>
      <c r="O52" s="35">
        <v>-388.91818651406214</v>
      </c>
      <c r="P52" s="202">
        <f>+P13-P51</f>
        <v>0</v>
      </c>
      <c r="Q52" s="35">
        <v>-47448.018754715566</v>
      </c>
      <c r="R52" s="202">
        <f>+R13-R51</f>
        <v>0</v>
      </c>
    </row>
    <row r="53" spans="1:18" x14ac:dyDescent="0.2">
      <c r="A53" s="25"/>
      <c r="B53" s="25" t="s">
        <v>35</v>
      </c>
      <c r="C53" s="25"/>
      <c r="D53" s="25"/>
      <c r="E53" s="210"/>
      <c r="F53" s="17"/>
      <c r="G53" s="40" t="s">
        <v>303</v>
      </c>
      <c r="H53" s="210" t="str">
        <f>IF(E10=0,"n/a",(YVarExp-(YTotExp+YTotRet-J10))/E10)</f>
        <v>n/a</v>
      </c>
      <c r="I53" s="25" t="s">
        <v>501</v>
      </c>
      <c r="J53" s="184"/>
      <c r="K53" s="25"/>
      <c r="L53" s="197"/>
      <c r="M53" s="25"/>
      <c r="N53" s="184"/>
      <c r="O53" s="25"/>
      <c r="P53" s="184"/>
      <c r="Q53" s="25"/>
      <c r="R53" s="184"/>
    </row>
    <row r="54" spans="1:18" x14ac:dyDescent="0.2">
      <c r="A54" s="25"/>
      <c r="B54" s="25"/>
      <c r="C54" s="25"/>
      <c r="D54" s="25"/>
      <c r="E54" s="178"/>
      <c r="F54" s="25"/>
      <c r="G54" s="25"/>
      <c r="H54" s="211"/>
      <c r="I54" s="25"/>
      <c r="J54" s="184"/>
      <c r="K54" s="25"/>
      <c r="L54" s="197"/>
      <c r="M54" s="25"/>
      <c r="N54" s="184"/>
      <c r="O54" s="25"/>
      <c r="P54" s="184"/>
      <c r="Q54" s="22" t="s">
        <v>19</v>
      </c>
      <c r="R54" s="184" t="s">
        <v>19</v>
      </c>
    </row>
    <row r="55" spans="1:18" x14ac:dyDescent="0.2">
      <c r="A55" s="23" t="s">
        <v>36</v>
      </c>
      <c r="B55" s="23"/>
      <c r="C55" s="23"/>
      <c r="D55" s="24" t="s">
        <v>2</v>
      </c>
      <c r="E55" s="196" t="s">
        <v>2</v>
      </c>
      <c r="F55" s="24" t="s">
        <v>21</v>
      </c>
      <c r="G55" s="24" t="s">
        <v>22</v>
      </c>
      <c r="H55" s="196" t="s">
        <v>22</v>
      </c>
      <c r="I55" s="24"/>
      <c r="J55" s="196" t="s">
        <v>11</v>
      </c>
      <c r="K55" s="24" t="s">
        <v>10</v>
      </c>
      <c r="L55" s="196" t="s">
        <v>10</v>
      </c>
      <c r="M55" s="24" t="s">
        <v>9</v>
      </c>
      <c r="N55" s="196" t="s">
        <v>9</v>
      </c>
      <c r="O55" s="24" t="s">
        <v>8</v>
      </c>
      <c r="P55" s="196" t="s">
        <v>8</v>
      </c>
      <c r="Q55" s="24" t="s">
        <v>11</v>
      </c>
      <c r="R55" s="208" t="s">
        <v>11</v>
      </c>
    </row>
    <row r="56" spans="1:18" x14ac:dyDescent="0.2">
      <c r="A56" s="25"/>
      <c r="B56" s="25" t="s">
        <v>106</v>
      </c>
      <c r="C56" s="25"/>
      <c r="D56" s="25"/>
      <c r="E56" s="178"/>
      <c r="F56" s="25"/>
      <c r="G56" s="25"/>
      <c r="H56" s="211"/>
      <c r="I56" s="186"/>
      <c r="J56" s="184"/>
      <c r="K56" s="225"/>
      <c r="L56" s="197"/>
      <c r="M56" s="25"/>
      <c r="N56" s="184"/>
      <c r="O56" s="25"/>
      <c r="P56" s="184"/>
      <c r="Q56" s="25"/>
      <c r="R56" s="184"/>
    </row>
    <row r="57" spans="1:18" x14ac:dyDescent="0.2">
      <c r="A57" s="25"/>
      <c r="B57" s="25"/>
      <c r="C57" s="25" t="s">
        <v>104</v>
      </c>
      <c r="D57" s="25">
        <v>1</v>
      </c>
      <c r="E57" s="132"/>
      <c r="F57" s="226" t="s">
        <v>42</v>
      </c>
      <c r="G57" s="41">
        <v>3.0153688524590163</v>
      </c>
      <c r="H57" s="133"/>
      <c r="I57" s="35">
        <v>3.0153688524590163</v>
      </c>
      <c r="J57" s="202">
        <f t="shared" ref="J57:J60" si="17">E57*H57</f>
        <v>0</v>
      </c>
      <c r="K57" s="225">
        <v>0</v>
      </c>
      <c r="L57" s="214"/>
      <c r="M57" s="35">
        <v>0</v>
      </c>
      <c r="N57" s="202">
        <f>J57*L57</f>
        <v>0</v>
      </c>
      <c r="O57" s="35">
        <v>3.0153688524590163</v>
      </c>
      <c r="P57" s="202">
        <f t="shared" ref="P57:P60" si="18">+J57-N57</f>
        <v>0</v>
      </c>
      <c r="Q57" s="35">
        <v>367.875</v>
      </c>
      <c r="R57" s="202">
        <f t="shared" ref="R57:R60" si="19">+J57*E$7</f>
        <v>0</v>
      </c>
    </row>
    <row r="58" spans="1:18" x14ac:dyDescent="0.2">
      <c r="A58" s="25"/>
      <c r="B58" s="25"/>
      <c r="C58" s="25" t="s">
        <v>46</v>
      </c>
      <c r="D58" s="25">
        <v>1</v>
      </c>
      <c r="E58" s="132"/>
      <c r="F58" s="226" t="s">
        <v>42</v>
      </c>
      <c r="G58" s="41">
        <v>45.014426229508196</v>
      </c>
      <c r="H58" s="133"/>
      <c r="I58" s="35">
        <v>45.014426229508196</v>
      </c>
      <c r="J58" s="202">
        <f t="shared" si="17"/>
        <v>0</v>
      </c>
      <c r="K58" s="225">
        <v>0</v>
      </c>
      <c r="L58" s="214"/>
      <c r="M58" s="35">
        <v>0</v>
      </c>
      <c r="N58" s="202">
        <f>J58*L58</f>
        <v>0</v>
      </c>
      <c r="O58" s="35">
        <v>45.014426229508196</v>
      </c>
      <c r="P58" s="202">
        <f t="shared" si="18"/>
        <v>0</v>
      </c>
      <c r="Q58" s="35">
        <v>5491.76</v>
      </c>
      <c r="R58" s="202">
        <f t="shared" si="19"/>
        <v>0</v>
      </c>
    </row>
    <row r="59" spans="1:18" x14ac:dyDescent="0.2">
      <c r="A59" s="25"/>
      <c r="B59" s="25"/>
      <c r="C59" s="25" t="s">
        <v>105</v>
      </c>
      <c r="D59" s="25">
        <v>1</v>
      </c>
      <c r="E59" s="132"/>
      <c r="F59" s="226" t="s">
        <v>42</v>
      </c>
      <c r="G59" s="41">
        <v>11.418515806471648</v>
      </c>
      <c r="H59" s="133"/>
      <c r="I59" s="35">
        <v>11.418515806471648</v>
      </c>
      <c r="J59" s="202">
        <f t="shared" si="17"/>
        <v>0</v>
      </c>
      <c r="K59" s="225">
        <v>0</v>
      </c>
      <c r="L59" s="214"/>
      <c r="M59" s="35">
        <v>0</v>
      </c>
      <c r="N59" s="202">
        <f>J59*L59</f>
        <v>0</v>
      </c>
      <c r="O59" s="35">
        <v>11.418515806471648</v>
      </c>
      <c r="P59" s="202">
        <f t="shared" si="18"/>
        <v>0</v>
      </c>
      <c r="Q59" s="35">
        <v>1393.0589283895411</v>
      </c>
      <c r="R59" s="202">
        <f t="shared" si="19"/>
        <v>0</v>
      </c>
    </row>
    <row r="60" spans="1:18" x14ac:dyDescent="0.2">
      <c r="A60" s="25"/>
      <c r="B60" s="25"/>
      <c r="C60" s="25" t="s">
        <v>4</v>
      </c>
      <c r="D60" s="25">
        <v>1</v>
      </c>
      <c r="E60" s="132"/>
      <c r="F60" s="226" t="s">
        <v>42</v>
      </c>
      <c r="G60" s="41">
        <v>15.644928254457895</v>
      </c>
      <c r="H60" s="133"/>
      <c r="I60" s="35">
        <v>15.644928254457895</v>
      </c>
      <c r="J60" s="202">
        <f t="shared" si="17"/>
        <v>0</v>
      </c>
      <c r="K60" s="225">
        <v>0</v>
      </c>
      <c r="L60" s="214"/>
      <c r="M60" s="35">
        <v>0</v>
      </c>
      <c r="N60" s="202">
        <f>J60*L60</f>
        <v>0</v>
      </c>
      <c r="O60" s="35">
        <v>15.644928254457895</v>
      </c>
      <c r="P60" s="202">
        <f t="shared" si="18"/>
        <v>0</v>
      </c>
      <c r="Q60" s="35">
        <v>1908.6812470438631</v>
      </c>
      <c r="R60" s="202">
        <f t="shared" si="19"/>
        <v>0</v>
      </c>
    </row>
    <row r="61" spans="1:18" x14ac:dyDescent="0.2">
      <c r="A61" s="25"/>
      <c r="B61" s="25" t="s">
        <v>89</v>
      </c>
      <c r="C61" s="25"/>
      <c r="D61" s="25"/>
      <c r="E61" s="197"/>
      <c r="F61" s="21"/>
      <c r="G61" s="41"/>
      <c r="H61" s="197"/>
      <c r="I61" s="186"/>
      <c r="J61" s="184"/>
      <c r="K61" s="225"/>
      <c r="L61" s="197"/>
      <c r="M61" s="35"/>
      <c r="N61" s="184"/>
      <c r="O61" s="35"/>
      <c r="P61" s="184"/>
      <c r="Q61" s="35"/>
      <c r="R61" s="184"/>
    </row>
    <row r="62" spans="1:18" x14ac:dyDescent="0.2">
      <c r="A62" s="25"/>
      <c r="B62" s="25"/>
      <c r="C62" s="25" t="s">
        <v>104</v>
      </c>
      <c r="D62" s="41">
        <v>12.564036885245901</v>
      </c>
      <c r="E62" s="132"/>
      <c r="F62" s="226" t="s">
        <v>100</v>
      </c>
      <c r="G62" s="39">
        <v>0.08</v>
      </c>
      <c r="H62" s="215"/>
      <c r="I62" s="35">
        <v>1.0051229508196722</v>
      </c>
      <c r="J62" s="202">
        <f t="shared" ref="J62:J69" si="20">E62*H62</f>
        <v>0</v>
      </c>
      <c r="K62" s="225">
        <v>0</v>
      </c>
      <c r="L62" s="214"/>
      <c r="M62" s="35">
        <v>0</v>
      </c>
      <c r="N62" s="202">
        <f>J62*L62</f>
        <v>0</v>
      </c>
      <c r="O62" s="35">
        <v>1.0051229508196722</v>
      </c>
      <c r="P62" s="202">
        <f t="shared" ref="P62:P65" si="21">+J62-N62</f>
        <v>0</v>
      </c>
      <c r="Q62" s="35">
        <v>122.625</v>
      </c>
      <c r="R62" s="202">
        <f t="shared" ref="R62:R65" si="22">+J62*E$7</f>
        <v>0</v>
      </c>
    </row>
    <row r="63" spans="1:18" x14ac:dyDescent="0.2">
      <c r="A63" s="25"/>
      <c r="B63" s="25"/>
      <c r="C63" s="25" t="s">
        <v>46</v>
      </c>
      <c r="D63" s="41">
        <v>337.60819672131146</v>
      </c>
      <c r="E63" s="132"/>
      <c r="F63" s="226" t="s">
        <v>100</v>
      </c>
      <c r="G63" s="39">
        <v>0.08</v>
      </c>
      <c r="H63" s="215"/>
      <c r="I63" s="35">
        <v>27.008655737704917</v>
      </c>
      <c r="J63" s="202">
        <f t="shared" si="20"/>
        <v>0</v>
      </c>
      <c r="K63" s="225">
        <v>0</v>
      </c>
      <c r="L63" s="214"/>
      <c r="M63" s="35">
        <v>0</v>
      </c>
      <c r="N63" s="202">
        <f>J63*L63</f>
        <v>0</v>
      </c>
      <c r="O63" s="35">
        <v>27.008655737704917</v>
      </c>
      <c r="P63" s="202">
        <f t="shared" si="21"/>
        <v>0</v>
      </c>
      <c r="Q63" s="35">
        <v>3295.056</v>
      </c>
      <c r="R63" s="202">
        <f t="shared" si="22"/>
        <v>0</v>
      </c>
    </row>
    <row r="64" spans="1:18" x14ac:dyDescent="0.2">
      <c r="A64" s="25"/>
      <c r="B64" s="25"/>
      <c r="C64" s="25" t="s">
        <v>105</v>
      </c>
      <c r="D64" s="41">
        <v>88.449466120099217</v>
      </c>
      <c r="E64" s="132"/>
      <c r="F64" s="226" t="s">
        <v>100</v>
      </c>
      <c r="G64" s="39">
        <v>0.08</v>
      </c>
      <c r="H64" s="215"/>
      <c r="I64" s="35">
        <v>7.0759572896079375</v>
      </c>
      <c r="J64" s="202">
        <f t="shared" si="20"/>
        <v>0</v>
      </c>
      <c r="K64" s="225">
        <v>0</v>
      </c>
      <c r="L64" s="214"/>
      <c r="M64" s="35">
        <v>0</v>
      </c>
      <c r="N64" s="202">
        <f>J64*L64</f>
        <v>0</v>
      </c>
      <c r="O64" s="35">
        <v>7.0759572896079375</v>
      </c>
      <c r="P64" s="202">
        <f t="shared" si="21"/>
        <v>0</v>
      </c>
      <c r="Q64" s="35">
        <v>863.2667893321684</v>
      </c>
      <c r="R64" s="202">
        <f t="shared" si="22"/>
        <v>0</v>
      </c>
    </row>
    <row r="65" spans="1:18" x14ac:dyDescent="0.2">
      <c r="A65" s="25"/>
      <c r="B65" s="25"/>
      <c r="C65" s="25" t="s">
        <v>4</v>
      </c>
      <c r="D65" s="41">
        <v>66.925526421847664</v>
      </c>
      <c r="E65" s="132"/>
      <c r="F65" s="226" t="s">
        <v>100</v>
      </c>
      <c r="G65" s="39">
        <v>0.08</v>
      </c>
      <c r="H65" s="215"/>
      <c r="I65" s="35">
        <v>5.3540421137478136</v>
      </c>
      <c r="J65" s="202">
        <f t="shared" si="20"/>
        <v>0</v>
      </c>
      <c r="K65" s="225">
        <v>0</v>
      </c>
      <c r="L65" s="214"/>
      <c r="M65" s="35">
        <v>0</v>
      </c>
      <c r="N65" s="202">
        <f>J65*L65</f>
        <v>0</v>
      </c>
      <c r="O65" s="35">
        <v>5.3540421137478136</v>
      </c>
      <c r="P65" s="202">
        <f t="shared" si="21"/>
        <v>0</v>
      </c>
      <c r="Q65" s="35">
        <v>653.19313787723331</v>
      </c>
      <c r="R65" s="202">
        <f t="shared" si="22"/>
        <v>0</v>
      </c>
    </row>
    <row r="66" spans="1:18" x14ac:dyDescent="0.2">
      <c r="A66" s="25"/>
      <c r="B66" s="25" t="s">
        <v>156</v>
      </c>
      <c r="C66" s="25"/>
      <c r="D66" s="25">
        <v>1</v>
      </c>
      <c r="E66" s="132"/>
      <c r="F66" s="226" t="s">
        <v>42</v>
      </c>
      <c r="G66" s="41">
        <v>0</v>
      </c>
      <c r="H66" s="133"/>
      <c r="I66" s="35">
        <v>0</v>
      </c>
      <c r="J66" s="202">
        <f t="shared" si="20"/>
        <v>0</v>
      </c>
      <c r="K66" s="225">
        <v>0</v>
      </c>
      <c r="L66" s="214"/>
      <c r="M66" s="35">
        <v>0</v>
      </c>
      <c r="N66" s="202">
        <f t="shared" ref="N66:N73" si="23">J66*L66</f>
        <v>0</v>
      </c>
      <c r="O66" s="35">
        <v>0</v>
      </c>
      <c r="P66" s="202">
        <f t="shared" ref="P66:P73" si="24">+J66-N66</f>
        <v>0</v>
      </c>
      <c r="Q66" s="35">
        <v>0</v>
      </c>
      <c r="R66" s="202">
        <f t="shared" ref="R66:R69" si="25">+J66*E$7</f>
        <v>0</v>
      </c>
    </row>
    <row r="67" spans="1:18" x14ac:dyDescent="0.2">
      <c r="A67" s="25"/>
      <c r="B67" s="25" t="s">
        <v>152</v>
      </c>
      <c r="C67" s="25"/>
      <c r="D67" s="25">
        <v>1</v>
      </c>
      <c r="E67" s="132"/>
      <c r="F67" s="226" t="s">
        <v>42</v>
      </c>
      <c r="G67" s="41">
        <v>0</v>
      </c>
      <c r="H67" s="133"/>
      <c r="I67" s="35">
        <v>0</v>
      </c>
      <c r="J67" s="202">
        <f t="shared" si="20"/>
        <v>0</v>
      </c>
      <c r="K67" s="225">
        <v>0</v>
      </c>
      <c r="L67" s="214"/>
      <c r="M67" s="35">
        <v>0</v>
      </c>
      <c r="N67" s="202">
        <f t="shared" si="23"/>
        <v>0</v>
      </c>
      <c r="O67" s="35">
        <v>0</v>
      </c>
      <c r="P67" s="202">
        <f t="shared" si="24"/>
        <v>0</v>
      </c>
      <c r="Q67" s="35">
        <v>0</v>
      </c>
      <c r="R67" s="202">
        <f t="shared" si="25"/>
        <v>0</v>
      </c>
    </row>
    <row r="68" spans="1:18" x14ac:dyDescent="0.2">
      <c r="A68" s="25"/>
      <c r="B68" s="25" t="s">
        <v>137</v>
      </c>
      <c r="C68" s="25"/>
      <c r="D68" s="25">
        <v>1</v>
      </c>
      <c r="E68" s="132"/>
      <c r="F68" s="226" t="s">
        <v>42</v>
      </c>
      <c r="G68" s="41">
        <v>0</v>
      </c>
      <c r="H68" s="133"/>
      <c r="I68" s="35">
        <v>0</v>
      </c>
      <c r="J68" s="202">
        <f t="shared" si="20"/>
        <v>0</v>
      </c>
      <c r="K68" s="225">
        <v>0</v>
      </c>
      <c r="L68" s="214"/>
      <c r="M68" s="35">
        <v>0</v>
      </c>
      <c r="N68" s="202">
        <f t="shared" si="23"/>
        <v>0</v>
      </c>
      <c r="O68" s="35">
        <v>0</v>
      </c>
      <c r="P68" s="202">
        <f t="shared" si="24"/>
        <v>0</v>
      </c>
      <c r="Q68" s="35">
        <v>0</v>
      </c>
      <c r="R68" s="202">
        <f t="shared" si="25"/>
        <v>0</v>
      </c>
    </row>
    <row r="69" spans="1:18" x14ac:dyDescent="0.2">
      <c r="A69" s="25"/>
      <c r="B69" s="25" t="s">
        <v>138</v>
      </c>
      <c r="C69" s="25"/>
      <c r="D69" s="25">
        <v>1</v>
      </c>
      <c r="E69" s="132"/>
      <c r="F69" s="226" t="s">
        <v>42</v>
      </c>
      <c r="G69" s="41">
        <v>0</v>
      </c>
      <c r="H69" s="133"/>
      <c r="I69" s="35">
        <v>0</v>
      </c>
      <c r="J69" s="202">
        <f t="shared" si="20"/>
        <v>0</v>
      </c>
      <c r="K69" s="225">
        <v>0</v>
      </c>
      <c r="L69" s="214"/>
      <c r="M69" s="35">
        <v>0</v>
      </c>
      <c r="N69" s="202">
        <f t="shared" si="23"/>
        <v>0</v>
      </c>
      <c r="O69" s="35">
        <v>0</v>
      </c>
      <c r="P69" s="202">
        <f t="shared" si="24"/>
        <v>0</v>
      </c>
      <c r="Q69" s="35">
        <v>0</v>
      </c>
      <c r="R69" s="202">
        <f t="shared" si="25"/>
        <v>0</v>
      </c>
    </row>
    <row r="70" spans="1:18" x14ac:dyDescent="0.2">
      <c r="A70" s="25"/>
      <c r="B70" s="25" t="s">
        <v>159</v>
      </c>
      <c r="C70" s="25"/>
      <c r="D70" s="25">
        <v>1</v>
      </c>
      <c r="E70" s="132"/>
      <c r="F70" s="226" t="s">
        <v>42</v>
      </c>
      <c r="G70" s="41">
        <v>0</v>
      </c>
      <c r="H70" s="133"/>
      <c r="I70" s="35">
        <v>0</v>
      </c>
      <c r="J70" s="202">
        <f t="shared" ref="J70:J73" si="26">E70*H70</f>
        <v>0</v>
      </c>
      <c r="K70" s="225">
        <v>0</v>
      </c>
      <c r="L70" s="214"/>
      <c r="M70" s="35">
        <v>0</v>
      </c>
      <c r="N70" s="202">
        <f t="shared" si="23"/>
        <v>0</v>
      </c>
      <c r="O70" s="35">
        <v>0</v>
      </c>
      <c r="P70" s="202">
        <f t="shared" si="24"/>
        <v>0</v>
      </c>
      <c r="Q70" s="35">
        <v>0</v>
      </c>
      <c r="R70" s="202">
        <f t="shared" ref="R70:R73" si="27">+J70*E$7</f>
        <v>0</v>
      </c>
    </row>
    <row r="71" spans="1:18" x14ac:dyDescent="0.2">
      <c r="A71" s="25"/>
      <c r="B71" s="25" t="s">
        <v>160</v>
      </c>
      <c r="C71" s="25"/>
      <c r="D71" s="25">
        <v>1</v>
      </c>
      <c r="E71" s="132"/>
      <c r="F71" s="226" t="s">
        <v>42</v>
      </c>
      <c r="G71" s="41">
        <v>0</v>
      </c>
      <c r="H71" s="133"/>
      <c r="I71" s="35">
        <v>0</v>
      </c>
      <c r="J71" s="202">
        <f t="shared" si="26"/>
        <v>0</v>
      </c>
      <c r="K71" s="225">
        <v>0</v>
      </c>
      <c r="L71" s="214"/>
      <c r="M71" s="35">
        <v>0</v>
      </c>
      <c r="N71" s="202">
        <f t="shared" si="23"/>
        <v>0</v>
      </c>
      <c r="O71" s="35">
        <v>0</v>
      </c>
      <c r="P71" s="202">
        <f t="shared" si="24"/>
        <v>0</v>
      </c>
      <c r="Q71" s="35">
        <v>0</v>
      </c>
      <c r="R71" s="202">
        <f t="shared" si="27"/>
        <v>0</v>
      </c>
    </row>
    <row r="72" spans="1:18" x14ac:dyDescent="0.2">
      <c r="A72" s="25"/>
      <c r="B72" s="133"/>
      <c r="C72" s="133"/>
      <c r="D72" s="25">
        <v>1</v>
      </c>
      <c r="E72" s="132"/>
      <c r="F72" s="226"/>
      <c r="G72" s="41">
        <v>0</v>
      </c>
      <c r="H72" s="133"/>
      <c r="I72" s="35">
        <v>0</v>
      </c>
      <c r="J72" s="202">
        <f t="shared" si="26"/>
        <v>0</v>
      </c>
      <c r="K72" s="225">
        <v>0</v>
      </c>
      <c r="L72" s="214"/>
      <c r="M72" s="35">
        <v>0</v>
      </c>
      <c r="N72" s="202">
        <f t="shared" si="23"/>
        <v>0</v>
      </c>
      <c r="O72" s="35">
        <v>0</v>
      </c>
      <c r="P72" s="202">
        <f t="shared" si="24"/>
        <v>0</v>
      </c>
      <c r="Q72" s="35">
        <v>0</v>
      </c>
      <c r="R72" s="202">
        <f t="shared" si="27"/>
        <v>0</v>
      </c>
    </row>
    <row r="73" spans="1:18" ht="13.5" thickBot="1" x14ac:dyDescent="0.25">
      <c r="A73" s="25"/>
      <c r="B73" s="133"/>
      <c r="C73" s="133"/>
      <c r="D73" s="25">
        <v>1</v>
      </c>
      <c r="E73" s="132"/>
      <c r="F73" s="226"/>
      <c r="G73" s="41">
        <v>0</v>
      </c>
      <c r="H73" s="133"/>
      <c r="I73" s="35">
        <v>0</v>
      </c>
      <c r="J73" s="202">
        <f t="shared" si="26"/>
        <v>0</v>
      </c>
      <c r="K73" s="225">
        <v>0</v>
      </c>
      <c r="L73" s="214"/>
      <c r="M73" s="35">
        <v>0</v>
      </c>
      <c r="N73" s="202">
        <f t="shared" si="23"/>
        <v>0</v>
      </c>
      <c r="O73" s="35">
        <v>0</v>
      </c>
      <c r="P73" s="202">
        <f t="shared" si="24"/>
        <v>0</v>
      </c>
      <c r="Q73" s="35">
        <v>0</v>
      </c>
      <c r="R73" s="202">
        <f t="shared" si="27"/>
        <v>0</v>
      </c>
    </row>
    <row r="74" spans="1:18" ht="13.5" thickBot="1" x14ac:dyDescent="0.25">
      <c r="A74" s="25" t="s">
        <v>37</v>
      </c>
      <c r="B74" s="25"/>
      <c r="C74" s="25"/>
      <c r="D74" s="25"/>
      <c r="E74" s="197"/>
      <c r="F74" s="25"/>
      <c r="G74" s="25"/>
      <c r="H74" s="197"/>
      <c r="I74" s="121">
        <v>115.53701723477708</v>
      </c>
      <c r="J74" s="204">
        <f>+SUM(J57:J73)</f>
        <v>0</v>
      </c>
      <c r="K74" s="35"/>
      <c r="L74" s="195"/>
      <c r="M74" s="121">
        <v>0</v>
      </c>
      <c r="N74" s="204">
        <f>+SUM(N57:N73)</f>
        <v>0</v>
      </c>
      <c r="O74" s="121">
        <v>115.53701723477708</v>
      </c>
      <c r="P74" s="204">
        <f>+SUM(P57:P73)</f>
        <v>0</v>
      </c>
      <c r="Q74" s="121">
        <v>14095.516102642807</v>
      </c>
      <c r="R74" s="204">
        <f>+SUM(R57:R73)</f>
        <v>0</v>
      </c>
    </row>
    <row r="75" spans="1:18" ht="14.25" thickTop="1" thickBot="1" x14ac:dyDescent="0.25">
      <c r="A75" s="25" t="s">
        <v>52</v>
      </c>
      <c r="B75" s="25"/>
      <c r="C75" s="25"/>
      <c r="D75" s="25"/>
      <c r="E75" s="197"/>
      <c r="F75" s="25"/>
      <c r="G75" s="25"/>
      <c r="H75" s="197"/>
      <c r="I75" s="87">
        <v>504.45520374883921</v>
      </c>
      <c r="J75" s="205">
        <f>+J51+J74</f>
        <v>0</v>
      </c>
      <c r="K75" s="35"/>
      <c r="L75" s="195"/>
      <c r="M75" s="87">
        <v>0</v>
      </c>
      <c r="N75" s="205">
        <f>+N51+N74</f>
        <v>0</v>
      </c>
      <c r="O75" s="87">
        <v>504.45520374883921</v>
      </c>
      <c r="P75" s="205">
        <f>+P51+P74</f>
        <v>0</v>
      </c>
      <c r="Q75" s="87">
        <v>61543.534857358376</v>
      </c>
      <c r="R75" s="205">
        <f>+R51+R74</f>
        <v>0</v>
      </c>
    </row>
    <row r="76" spans="1:18" ht="13.5" thickTop="1" x14ac:dyDescent="0.2">
      <c r="A76" s="25"/>
      <c r="B76" s="25"/>
      <c r="C76" s="25"/>
      <c r="D76" s="25"/>
      <c r="E76" s="197"/>
      <c r="F76" s="25"/>
      <c r="G76" s="25"/>
      <c r="H76" s="197"/>
      <c r="I76" s="35"/>
      <c r="J76" s="184"/>
      <c r="K76" s="35"/>
      <c r="L76" s="195"/>
      <c r="M76" s="35"/>
      <c r="N76" s="184"/>
      <c r="O76" s="35"/>
      <c r="P76" s="184"/>
      <c r="Q76" s="35"/>
      <c r="R76" s="184"/>
    </row>
    <row r="77" spans="1:18" x14ac:dyDescent="0.2">
      <c r="A77" s="25" t="s">
        <v>153</v>
      </c>
      <c r="B77" s="25"/>
      <c r="C77" s="25"/>
      <c r="D77" s="25"/>
      <c r="E77" s="197"/>
      <c r="F77" s="25"/>
      <c r="G77" s="25"/>
      <c r="H77" s="197"/>
      <c r="I77" s="35">
        <v>-504.45520374883921</v>
      </c>
      <c r="J77" s="202">
        <f>+J13-J75</f>
        <v>0</v>
      </c>
      <c r="K77" s="35"/>
      <c r="L77" s="195"/>
      <c r="M77" s="35">
        <v>0</v>
      </c>
      <c r="N77" s="202">
        <f>+N13-N75</f>
        <v>0</v>
      </c>
      <c r="O77" s="35">
        <v>-504.45520374883921</v>
      </c>
      <c r="P77" s="202">
        <f>+P13-P75</f>
        <v>0</v>
      </c>
      <c r="Q77" s="35">
        <v>-61543.534857358376</v>
      </c>
      <c r="R77" s="202">
        <f>+R13-R75</f>
        <v>0</v>
      </c>
    </row>
    <row r="78" spans="1:18" x14ac:dyDescent="0.2">
      <c r="A78" s="25"/>
      <c r="B78" s="25"/>
      <c r="C78" s="25"/>
      <c r="D78" s="25"/>
      <c r="E78" s="197"/>
      <c r="F78" s="25"/>
      <c r="G78" s="25"/>
      <c r="H78" s="197"/>
      <c r="I78" s="35"/>
      <c r="J78" s="206"/>
      <c r="K78" s="35"/>
      <c r="L78" s="195"/>
      <c r="M78" s="35"/>
      <c r="N78" s="195"/>
      <c r="O78" s="35"/>
      <c r="P78" s="195"/>
      <c r="Q78" s="35"/>
      <c r="R78" s="206"/>
    </row>
    <row r="79" spans="1:18" ht="13.5" thickBot="1" x14ac:dyDescent="0.25">
      <c r="A79" s="44" t="s">
        <v>38</v>
      </c>
      <c r="B79" s="44"/>
      <c r="C79" s="44"/>
      <c r="D79" s="44"/>
      <c r="E79" s="201"/>
      <c r="F79" s="44"/>
      <c r="G79" s="45" t="s">
        <v>303</v>
      </c>
      <c r="H79" s="212" t="str">
        <f>IF(E10=0,"n/a",(YTotExp-(YTotExp+YTotRet-J10))/E10)</f>
        <v>n/a</v>
      </c>
      <c r="I79" s="44" t="s">
        <v>501</v>
      </c>
      <c r="J79" s="207"/>
      <c r="K79" s="44"/>
      <c r="L79" s="201"/>
      <c r="M79" s="44"/>
      <c r="N79" s="201"/>
      <c r="O79" s="44"/>
      <c r="P79" s="201"/>
      <c r="Q79" s="44"/>
      <c r="R79" s="207"/>
    </row>
    <row r="80" spans="1:18" ht="13.5" thickTop="1" x14ac:dyDescent="0.2"/>
    <row r="81" spans="1:18" s="17" customFormat="1" ht="15.75" x14ac:dyDescent="0.25">
      <c r="A81"/>
      <c r="B81" s="88"/>
      <c r="C81" s="89"/>
      <c r="D81" s="234" t="s">
        <v>115</v>
      </c>
      <c r="E81" s="235"/>
      <c r="F81" s="235"/>
      <c r="G81" s="235"/>
      <c r="H81" s="235"/>
      <c r="I81" s="235"/>
      <c r="J81" s="99"/>
      <c r="K81" s="99"/>
      <c r="M81"/>
      <c r="N81"/>
    </row>
    <row r="82" spans="1:18" s="17" customFormat="1" ht="15.75" x14ac:dyDescent="0.25">
      <c r="A82"/>
      <c r="B82" s="19" t="s">
        <v>116</v>
      </c>
      <c r="C82" s="19" t="s">
        <v>116</v>
      </c>
      <c r="D82" s="126" t="s">
        <v>170</v>
      </c>
      <c r="E82" s="18"/>
      <c r="F82" s="18"/>
      <c r="G82" s="126" t="s">
        <v>170</v>
      </c>
      <c r="H82" s="18"/>
      <c r="I82" s="18"/>
      <c r="J82" s="18"/>
      <c r="K82" s="18"/>
      <c r="M82"/>
      <c r="N82"/>
    </row>
    <row r="83" spans="1:18" s="17" customFormat="1" x14ac:dyDescent="0.2">
      <c r="A83"/>
      <c r="B83" s="19" t="s">
        <v>81</v>
      </c>
      <c r="C83" s="19" t="s">
        <v>81</v>
      </c>
      <c r="D83" s="126" t="s">
        <v>157</v>
      </c>
      <c r="E83" s="122"/>
      <c r="F83" s="122"/>
      <c r="G83" s="126" t="s">
        <v>11</v>
      </c>
      <c r="H83" s="122"/>
      <c r="I83" s="122"/>
      <c r="J83" s="122"/>
      <c r="K83" s="122"/>
      <c r="M83"/>
      <c r="N83"/>
    </row>
    <row r="84" spans="1:18" s="17" customFormat="1" x14ac:dyDescent="0.2">
      <c r="A84"/>
      <c r="B84" s="19" t="s">
        <v>30</v>
      </c>
      <c r="C84" s="99" t="s">
        <v>501</v>
      </c>
      <c r="D84" s="126" t="s">
        <v>99</v>
      </c>
      <c r="E84" s="122"/>
      <c r="F84" s="122"/>
      <c r="G84" s="126" t="s">
        <v>99</v>
      </c>
      <c r="H84" s="19"/>
      <c r="I84" s="19"/>
      <c r="J84" s="19"/>
      <c r="K84" s="19"/>
      <c r="M84"/>
      <c r="N84"/>
    </row>
    <row r="85" spans="1:18" s="17" customFormat="1" x14ac:dyDescent="0.2">
      <c r="A85"/>
      <c r="B85" s="90">
        <v>0.75</v>
      </c>
      <c r="C85" s="91">
        <v>0</v>
      </c>
      <c r="D85" s="92">
        <v>0</v>
      </c>
      <c r="E85" s="93"/>
      <c r="F85" s="94"/>
      <c r="G85" s="92">
        <v>0</v>
      </c>
      <c r="H85" s="93"/>
      <c r="I85" s="93"/>
      <c r="M85"/>
      <c r="N85"/>
    </row>
    <row r="86" spans="1:18" s="17" customFormat="1" x14ac:dyDescent="0.2">
      <c r="A86"/>
      <c r="B86" s="95">
        <v>0.9</v>
      </c>
      <c r="C86" s="96">
        <v>0</v>
      </c>
      <c r="D86" s="97">
        <v>0</v>
      </c>
      <c r="E86" s="83"/>
      <c r="F86" s="98"/>
      <c r="G86" s="97">
        <v>0</v>
      </c>
      <c r="H86" s="83"/>
      <c r="I86" s="83"/>
      <c r="M86"/>
      <c r="N86"/>
    </row>
    <row r="87" spans="1:18" s="17" customFormat="1" x14ac:dyDescent="0.2">
      <c r="A87"/>
      <c r="B87" s="90">
        <v>1</v>
      </c>
      <c r="C87" s="91">
        <v>0</v>
      </c>
      <c r="D87" s="92">
        <v>0</v>
      </c>
      <c r="E87" s="93"/>
      <c r="F87" s="94"/>
      <c r="G87" s="92">
        <v>0</v>
      </c>
      <c r="H87" s="93"/>
      <c r="I87" s="93"/>
      <c r="M87"/>
      <c r="N87"/>
    </row>
    <row r="88" spans="1:18" s="17" customFormat="1" x14ac:dyDescent="0.2">
      <c r="A88"/>
      <c r="B88" s="95">
        <v>1.1000000000000001</v>
      </c>
      <c r="C88" s="96">
        <v>0</v>
      </c>
      <c r="D88" s="97">
        <v>0</v>
      </c>
      <c r="E88" s="83"/>
      <c r="F88" s="98"/>
      <c r="G88" s="97">
        <v>0</v>
      </c>
      <c r="H88" s="83"/>
      <c r="I88" s="83"/>
      <c r="M88"/>
      <c r="N88"/>
    </row>
    <row r="89" spans="1:18" s="17" customFormat="1" x14ac:dyDescent="0.2">
      <c r="A89"/>
      <c r="B89" s="90">
        <v>1.25</v>
      </c>
      <c r="C89" s="91">
        <v>0</v>
      </c>
      <c r="D89" s="92">
        <v>0</v>
      </c>
      <c r="E89" s="93"/>
      <c r="F89" s="94"/>
      <c r="G89" s="92">
        <v>0</v>
      </c>
      <c r="H89" s="93"/>
      <c r="I89" s="93"/>
      <c r="M89"/>
      <c r="N89"/>
    </row>
    <row r="90" spans="1:18" s="17" customFormat="1" x14ac:dyDescent="0.2">
      <c r="A90"/>
      <c r="M90"/>
      <c r="N90"/>
    </row>
    <row r="91" spans="1:18" x14ac:dyDescent="0.2">
      <c r="A91" s="25" t="s">
        <v>536</v>
      </c>
      <c r="B91" s="17"/>
      <c r="C91" s="17"/>
      <c r="D91" s="17"/>
      <c r="E91" s="17"/>
      <c r="F91" s="17"/>
      <c r="G91" s="17"/>
      <c r="H91" s="17"/>
      <c r="I91" s="17"/>
      <c r="J91" s="28"/>
      <c r="K91" s="17"/>
      <c r="L91" s="17"/>
      <c r="M91" s="17"/>
      <c r="N91" s="17"/>
      <c r="O91" s="17"/>
      <c r="P91" s="17"/>
      <c r="Q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28"/>
      <c r="K92" s="17"/>
      <c r="L92" s="17"/>
      <c r="M92" s="17"/>
      <c r="N92" s="17"/>
      <c r="O92" s="17"/>
      <c r="P92" s="17"/>
      <c r="Q92" s="17"/>
    </row>
    <row r="93" spans="1:18" ht="26.25" customHeight="1" x14ac:dyDescent="0.2">
      <c r="A93" s="236" t="s">
        <v>140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21"/>
      <c r="N93" s="221"/>
      <c r="O93" s="221"/>
      <c r="P93" s="221"/>
      <c r="Q93" s="221"/>
      <c r="R93" s="221"/>
    </row>
  </sheetData>
  <sheetProtection sheet="1" objects="1" scenarios="1"/>
  <mergeCells count="6">
    <mergeCell ref="D81:I81"/>
    <mergeCell ref="A93:L93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3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821</vt:i4>
      </vt:variant>
    </vt:vector>
  </HeadingPairs>
  <TitlesOfParts>
    <vt:vector size="860" baseType="lpstr">
      <vt:lpstr>Menu</vt:lpstr>
      <vt:lpstr>Links</vt:lpstr>
      <vt:lpstr>Pecans</vt:lpstr>
      <vt:lpstr>RedChile</vt:lpstr>
      <vt:lpstr>Onions</vt:lpstr>
      <vt:lpstr>SwitchgrassEstablish</vt:lpstr>
      <vt:lpstr>SwitchgrassGraze</vt:lpstr>
      <vt:lpstr>SwitchgrassHay</vt:lpstr>
      <vt:lpstr>AlfalfaEstablish</vt:lpstr>
      <vt:lpstr>AlfalfaHayPivot</vt:lpstr>
      <vt:lpstr>AlfalfaHayFlood</vt:lpstr>
      <vt:lpstr>AlfalfaPivotDell</vt:lpstr>
      <vt:lpstr>AlfalfaFloodDell</vt:lpstr>
      <vt:lpstr>AlfalfaElPaso</vt:lpstr>
      <vt:lpstr>SLCottonDrip</vt:lpstr>
      <vt:lpstr>SLXFCottonDrip</vt:lpstr>
      <vt:lpstr>SLCottonDrylandGM</vt:lpstr>
      <vt:lpstr>SLXFCottonDryland</vt:lpstr>
      <vt:lpstr>SLGSDrip</vt:lpstr>
      <vt:lpstr>TPCottonFurrow</vt:lpstr>
      <vt:lpstr>TPCottonPivot</vt:lpstr>
      <vt:lpstr>ElPasoCotton</vt:lpstr>
      <vt:lpstr>WheatDryland</vt:lpstr>
      <vt:lpstr>WheatIrrigated</vt:lpstr>
      <vt:lpstr>SorghumHayDryland</vt:lpstr>
      <vt:lpstr>SorghumHayIrrigated</vt:lpstr>
      <vt:lpstr>CowCalfNative</vt:lpstr>
      <vt:lpstr>StockersSummer</vt:lpstr>
      <vt:lpstr>StockerWinter</vt:lpstr>
      <vt:lpstr>MeatGoats</vt:lpstr>
      <vt:lpstr>Angoras</vt:lpstr>
      <vt:lpstr>SheepWool</vt:lpstr>
      <vt:lpstr>SheepHair</vt:lpstr>
      <vt:lpstr>Livestock Budget</vt:lpstr>
      <vt:lpstr>Crop Budget</vt:lpstr>
      <vt:lpstr>Comparative Returns - Cash Rent</vt:lpstr>
      <vt:lpstr>Comparative Returns-Share Rent</vt:lpstr>
      <vt:lpstr>Your Returns - Cash Rent</vt:lpstr>
      <vt:lpstr>Your Returns-Share Rent</vt:lpstr>
      <vt:lpstr>AlfalfaElPaso!LTotExp</vt:lpstr>
      <vt:lpstr>AlfalfaEstablish!LTotExp</vt:lpstr>
      <vt:lpstr>AlfalfaFloodDell!LTotExp</vt:lpstr>
      <vt:lpstr>AlfalfaHayFlood!LTotExp</vt:lpstr>
      <vt:lpstr>AlfalfaHayPivot!LTotExp</vt:lpstr>
      <vt:lpstr>AlfalfaPivotDell!LTotExp</vt:lpstr>
      <vt:lpstr>ElPasoCotton!LTotExp</vt:lpstr>
      <vt:lpstr>Onions!LTotExp</vt:lpstr>
      <vt:lpstr>Pecans!LTotExp</vt:lpstr>
      <vt:lpstr>RedChile!LTotExp</vt:lpstr>
      <vt:lpstr>SLCottonDrip!LTotExp</vt:lpstr>
      <vt:lpstr>SLCottonDrylandGM!LTotExp</vt:lpstr>
      <vt:lpstr>SLGSDrip!LTotExp</vt:lpstr>
      <vt:lpstr>SLXFCottonDrip!LTotExp</vt:lpstr>
      <vt:lpstr>SLXFCottonDryland!LTotExp</vt:lpstr>
      <vt:lpstr>SorghumHayDryland!LTotExp</vt:lpstr>
      <vt:lpstr>SorghumHayIrrigated!LTotExp</vt:lpstr>
      <vt:lpstr>SwitchgrassEstablish!LTotExp</vt:lpstr>
      <vt:lpstr>SwitchgrassGraze!LTotExp</vt:lpstr>
      <vt:lpstr>SwitchgrassHay!LTotExp</vt:lpstr>
      <vt:lpstr>TPCottonFurrow!LTotExp</vt:lpstr>
      <vt:lpstr>TPCottonPivot!LTotExp</vt:lpstr>
      <vt:lpstr>WheatDryland!LTotExp</vt:lpstr>
      <vt:lpstr>WheatIrrigated!LTotExp</vt:lpstr>
      <vt:lpstr>AlfalfaElPaso!LTotRet</vt:lpstr>
      <vt:lpstr>AlfalfaEstablish!LTotRet</vt:lpstr>
      <vt:lpstr>AlfalfaFloodDell!LTotRet</vt:lpstr>
      <vt:lpstr>AlfalfaHayFlood!LTotRet</vt:lpstr>
      <vt:lpstr>AlfalfaHayPivot!LTotRet</vt:lpstr>
      <vt:lpstr>AlfalfaPivotDell!LTotRet</vt:lpstr>
      <vt:lpstr>ElPasoCotton!LTotRet</vt:lpstr>
      <vt:lpstr>Onions!LTotRet</vt:lpstr>
      <vt:lpstr>Pecans!LTotRet</vt:lpstr>
      <vt:lpstr>RedChile!LTotRet</vt:lpstr>
      <vt:lpstr>SLCottonDrip!LTotRet</vt:lpstr>
      <vt:lpstr>SLCottonDrylandGM!LTotRet</vt:lpstr>
      <vt:lpstr>SLGSDrip!LTotRet</vt:lpstr>
      <vt:lpstr>SLXFCottonDrip!LTotRet</vt:lpstr>
      <vt:lpstr>SLXFCottonDryland!LTotRet</vt:lpstr>
      <vt:lpstr>SorghumHayDryland!LTotRet</vt:lpstr>
      <vt:lpstr>SorghumHayIrrigated!LTotRet</vt:lpstr>
      <vt:lpstr>SwitchgrassEstablish!LTotRet</vt:lpstr>
      <vt:lpstr>SwitchgrassGraze!LTotRet</vt:lpstr>
      <vt:lpstr>SwitchgrassHay!LTotRet</vt:lpstr>
      <vt:lpstr>TPCottonFurrow!LTotRet</vt:lpstr>
      <vt:lpstr>TPCottonPivot!LTotRet</vt:lpstr>
      <vt:lpstr>WheatDryland!LTotRet</vt:lpstr>
      <vt:lpstr>WheatIrrigated!LTotRet</vt:lpstr>
      <vt:lpstr>AlfalfaElPaso!LVarExp</vt:lpstr>
      <vt:lpstr>AlfalfaEstablish!LVarExp</vt:lpstr>
      <vt:lpstr>AlfalfaFloodDell!LVarExp</vt:lpstr>
      <vt:lpstr>AlfalfaHayFlood!LVarExp</vt:lpstr>
      <vt:lpstr>AlfalfaHayPivot!LVarExp</vt:lpstr>
      <vt:lpstr>AlfalfaPivotDell!LVarExp</vt:lpstr>
      <vt:lpstr>ElPasoCotton!LVarExp</vt:lpstr>
      <vt:lpstr>Onions!LVarExp</vt:lpstr>
      <vt:lpstr>Pecans!LVarExp</vt:lpstr>
      <vt:lpstr>RedChile!LVarExp</vt:lpstr>
      <vt:lpstr>SLCottonDrip!LVarExp</vt:lpstr>
      <vt:lpstr>SLCottonDrylandGM!LVarExp</vt:lpstr>
      <vt:lpstr>SLGSDrip!LVarExp</vt:lpstr>
      <vt:lpstr>SLXFCottonDrip!LVarExp</vt:lpstr>
      <vt:lpstr>SLXFCottonDryland!LVarExp</vt:lpstr>
      <vt:lpstr>SorghumHayDryland!LVarExp</vt:lpstr>
      <vt:lpstr>SorghumHayIrrigated!LVarExp</vt:lpstr>
      <vt:lpstr>SwitchgrassEstablish!LVarExp</vt:lpstr>
      <vt:lpstr>SwitchgrassGraze!LVarExp</vt:lpstr>
      <vt:lpstr>SwitchgrassHay!LVarExp</vt:lpstr>
      <vt:lpstr>TPCottonFurrow!LVarExp</vt:lpstr>
      <vt:lpstr>TPCottonPivot!LVarExp</vt:lpstr>
      <vt:lpstr>WheatDryland!LVarExp</vt:lpstr>
      <vt:lpstr>WheatIrrigated!LVarExp</vt:lpstr>
      <vt:lpstr>AlfalfaElPaso!LVarRet</vt:lpstr>
      <vt:lpstr>AlfalfaEstablish!LVarRet</vt:lpstr>
      <vt:lpstr>AlfalfaFloodDell!LVarRet</vt:lpstr>
      <vt:lpstr>AlfalfaHayFlood!LVarRet</vt:lpstr>
      <vt:lpstr>AlfalfaHayPivot!LVarRet</vt:lpstr>
      <vt:lpstr>AlfalfaPivotDell!LVarRet</vt:lpstr>
      <vt:lpstr>ElPasoCotton!LVarRet</vt:lpstr>
      <vt:lpstr>Onions!LVarRet</vt:lpstr>
      <vt:lpstr>Pecans!LVarRet</vt:lpstr>
      <vt:lpstr>RedChile!LVarRet</vt:lpstr>
      <vt:lpstr>SLCottonDrip!LVarRet</vt:lpstr>
      <vt:lpstr>SLCottonDrylandGM!LVarRet</vt:lpstr>
      <vt:lpstr>SLGSDrip!LVarRet</vt:lpstr>
      <vt:lpstr>SLXFCottonDrip!LVarRet</vt:lpstr>
      <vt:lpstr>SLXFCottonDryland!LVarRet</vt:lpstr>
      <vt:lpstr>SorghumHayDryland!LVarRet</vt:lpstr>
      <vt:lpstr>SorghumHayIrrigated!LVarRet</vt:lpstr>
      <vt:lpstr>SwitchgrassEstablish!LVarRet</vt:lpstr>
      <vt:lpstr>SwitchgrassGraze!LVarRet</vt:lpstr>
      <vt:lpstr>SwitchgrassHay!LVarRet</vt:lpstr>
      <vt:lpstr>TPCottonFurrow!LVarRet</vt:lpstr>
      <vt:lpstr>TPCottonPivot!LVarRet</vt:lpstr>
      <vt:lpstr>WheatDryland!LVarRet</vt:lpstr>
      <vt:lpstr>WheatIrrigated!LVarRet</vt:lpstr>
      <vt:lpstr>AlfalfaElPaso!Price</vt:lpstr>
      <vt:lpstr>AlfalfaEstablish!Price</vt:lpstr>
      <vt:lpstr>AlfalfaFloodDell!Price</vt:lpstr>
      <vt:lpstr>AlfalfaHayFlood!Price</vt:lpstr>
      <vt:lpstr>AlfalfaHayPivot!Price</vt:lpstr>
      <vt:lpstr>AlfalfaPivotDell!Price</vt:lpstr>
      <vt:lpstr>Angoras!Price</vt:lpstr>
      <vt:lpstr>CowCalfNative!Price</vt:lpstr>
      <vt:lpstr>ElPasoCotton!Price</vt:lpstr>
      <vt:lpstr>MeatGoats!Price</vt:lpstr>
      <vt:lpstr>Onions!Price</vt:lpstr>
      <vt:lpstr>Pecans!Price</vt:lpstr>
      <vt:lpstr>RedChile!Price</vt:lpstr>
      <vt:lpstr>SheepHair!Price</vt:lpstr>
      <vt:lpstr>SheepWool!Price</vt:lpstr>
      <vt:lpstr>SLCottonDrip!Price</vt:lpstr>
      <vt:lpstr>SLCottonDrylandGM!Price</vt:lpstr>
      <vt:lpstr>SLGSDrip!Price</vt:lpstr>
      <vt:lpstr>SLXFCottonDrip!Price</vt:lpstr>
      <vt:lpstr>SLXFCottonDryland!Price</vt:lpstr>
      <vt:lpstr>SorghumHayDryland!Price</vt:lpstr>
      <vt:lpstr>SorghumHayIrrigated!Price</vt:lpstr>
      <vt:lpstr>StockersSummer!Price</vt:lpstr>
      <vt:lpstr>StockerWinter!Price</vt:lpstr>
      <vt:lpstr>SwitchgrassEstablish!Price</vt:lpstr>
      <vt:lpstr>SwitchgrassGraze!Price</vt:lpstr>
      <vt:lpstr>SwitchgrassHay!Price</vt:lpstr>
      <vt:lpstr>TPCottonFurrow!Price</vt:lpstr>
      <vt:lpstr>TPCottonPivot!Price</vt:lpstr>
      <vt:lpstr>WheatDryland!Price</vt:lpstr>
      <vt:lpstr>WheatIrrigated!Price</vt:lpstr>
      <vt:lpstr>AlfalfaElPaso!Print_Area</vt:lpstr>
      <vt:lpstr>AlfalfaEstablish!Print_Area</vt:lpstr>
      <vt:lpstr>AlfalfaFloodDell!Print_Area</vt:lpstr>
      <vt:lpstr>AlfalfaHayFlood!Print_Area</vt:lpstr>
      <vt:lpstr>AlfalfaHayPivot!Print_Area</vt:lpstr>
      <vt:lpstr>AlfalfaPivotDell!Print_Area</vt:lpstr>
      <vt:lpstr>Angoras!Print_Area</vt:lpstr>
      <vt:lpstr>'Comparative Returns - Cash Rent'!Print_Area</vt:lpstr>
      <vt:lpstr>'Comparative Returns-Share Rent'!Print_Area</vt:lpstr>
      <vt:lpstr>CowCalfNative!Print_Area</vt:lpstr>
      <vt:lpstr>ElPasoCotton!Print_Area</vt:lpstr>
      <vt:lpstr>Links!Print_Area</vt:lpstr>
      <vt:lpstr>MeatGoats!Print_Area</vt:lpstr>
      <vt:lpstr>Onions!Print_Area</vt:lpstr>
      <vt:lpstr>Pecans!Print_Area</vt:lpstr>
      <vt:lpstr>RedChile!Print_Area</vt:lpstr>
      <vt:lpstr>SheepHair!Print_Area</vt:lpstr>
      <vt:lpstr>SheepWool!Print_Area</vt:lpstr>
      <vt:lpstr>SLCottonDrip!Print_Area</vt:lpstr>
      <vt:lpstr>SLCottonDrylandGM!Print_Area</vt:lpstr>
      <vt:lpstr>SLGSDrip!Print_Area</vt:lpstr>
      <vt:lpstr>SLXFCottonDrip!Print_Area</vt:lpstr>
      <vt:lpstr>SLXFCottonDryland!Print_Area</vt:lpstr>
      <vt:lpstr>SorghumHayDryland!Print_Area</vt:lpstr>
      <vt:lpstr>SorghumHayIrrigated!Print_Area</vt:lpstr>
      <vt:lpstr>StockersSummer!Print_Area</vt:lpstr>
      <vt:lpstr>StockerWinter!Print_Area</vt:lpstr>
      <vt:lpstr>SwitchgrassEstablish!Print_Area</vt:lpstr>
      <vt:lpstr>SwitchgrassGraze!Print_Area</vt:lpstr>
      <vt:lpstr>SwitchgrassHay!Print_Area</vt:lpstr>
      <vt:lpstr>TPCottonFurrow!Print_Area</vt:lpstr>
      <vt:lpstr>TPCottonPivot!Print_Area</vt:lpstr>
      <vt:lpstr>WheatDryland!Print_Area</vt:lpstr>
      <vt:lpstr>WheatIrrigated!Print_Area</vt:lpstr>
      <vt:lpstr>'Your Returns - Cash Rent'!Print_Area</vt:lpstr>
      <vt:lpstr>'Your Returns-Share Rent'!Print_Area</vt:lpstr>
      <vt:lpstr>'Comparative Returns - Cash Rent'!Print_Titles</vt:lpstr>
      <vt:lpstr>'Comparative Returns-Share Rent'!Print_Titles</vt:lpstr>
      <vt:lpstr>'Your Returns - Cash Rent'!Print_Titles</vt:lpstr>
      <vt:lpstr>'Your Returns-Share Rent'!Print_Titles</vt:lpstr>
      <vt:lpstr>AlfalfaElPaso!TotExp</vt:lpstr>
      <vt:lpstr>AlfalfaEstablish!TotExp</vt:lpstr>
      <vt:lpstr>AlfalfaFloodDell!TotExp</vt:lpstr>
      <vt:lpstr>AlfalfaHayFlood!TotExp</vt:lpstr>
      <vt:lpstr>AlfalfaHayPivot!TotExp</vt:lpstr>
      <vt:lpstr>AlfalfaPivotDell!TotExp</vt:lpstr>
      <vt:lpstr>Angoras!TotExp</vt:lpstr>
      <vt:lpstr>CowCalfNative!TotExp</vt:lpstr>
      <vt:lpstr>ElPasoCotton!TotExp</vt:lpstr>
      <vt:lpstr>MeatGoats!TotExp</vt:lpstr>
      <vt:lpstr>Onions!TotExp</vt:lpstr>
      <vt:lpstr>Pecans!TotExp</vt:lpstr>
      <vt:lpstr>RedChile!TotExp</vt:lpstr>
      <vt:lpstr>SheepHair!TotExp</vt:lpstr>
      <vt:lpstr>SheepWool!TotExp</vt:lpstr>
      <vt:lpstr>SLCottonDrip!TotExp</vt:lpstr>
      <vt:lpstr>SLCottonDrylandGM!TotExp</vt:lpstr>
      <vt:lpstr>SLGSDrip!TotExp</vt:lpstr>
      <vt:lpstr>SLXFCottonDrip!TotExp</vt:lpstr>
      <vt:lpstr>SLXFCottonDryland!TotExp</vt:lpstr>
      <vt:lpstr>SorghumHayDryland!TotExp</vt:lpstr>
      <vt:lpstr>SorghumHayIrrigated!TotExp</vt:lpstr>
      <vt:lpstr>StockersSummer!TotExp</vt:lpstr>
      <vt:lpstr>StockerWinter!TotExp</vt:lpstr>
      <vt:lpstr>SwitchgrassEstablish!TotExp</vt:lpstr>
      <vt:lpstr>SwitchgrassGraze!TotExp</vt:lpstr>
      <vt:lpstr>SwitchgrassHay!TotExp</vt:lpstr>
      <vt:lpstr>TPCottonFurrow!TotExp</vt:lpstr>
      <vt:lpstr>TPCottonPivot!TotExp</vt:lpstr>
      <vt:lpstr>WheatDryland!TotExp</vt:lpstr>
      <vt:lpstr>WheatIrrigated!TotExp</vt:lpstr>
      <vt:lpstr>AlfalfaElPaso!TotRet</vt:lpstr>
      <vt:lpstr>AlfalfaEstablish!TotRet</vt:lpstr>
      <vt:lpstr>AlfalfaFloodDell!TotRet</vt:lpstr>
      <vt:lpstr>AlfalfaHayFlood!TotRet</vt:lpstr>
      <vt:lpstr>AlfalfaHayPivot!TotRet</vt:lpstr>
      <vt:lpstr>AlfalfaPivotDell!TotRet</vt:lpstr>
      <vt:lpstr>Angoras!TotRet</vt:lpstr>
      <vt:lpstr>CowCalfNative!TotRet</vt:lpstr>
      <vt:lpstr>ElPasoCotton!TotRet</vt:lpstr>
      <vt:lpstr>MeatGoats!TotRet</vt:lpstr>
      <vt:lpstr>Onions!TotRet</vt:lpstr>
      <vt:lpstr>Pecans!TotRet</vt:lpstr>
      <vt:lpstr>RedChile!TotRet</vt:lpstr>
      <vt:lpstr>SheepHair!TotRet</vt:lpstr>
      <vt:lpstr>SheepWool!TotRet</vt:lpstr>
      <vt:lpstr>SLCottonDrip!TotRet</vt:lpstr>
      <vt:lpstr>SLCottonDrylandGM!TotRet</vt:lpstr>
      <vt:lpstr>SLGSDrip!TotRet</vt:lpstr>
      <vt:lpstr>SLXFCottonDrip!TotRet</vt:lpstr>
      <vt:lpstr>SLXFCottonDryland!TotRet</vt:lpstr>
      <vt:lpstr>SorghumHayDryland!TotRet</vt:lpstr>
      <vt:lpstr>SorghumHayIrrigated!TotRet</vt:lpstr>
      <vt:lpstr>StockersSummer!TotRet</vt:lpstr>
      <vt:lpstr>StockerWinter!TotRet</vt:lpstr>
      <vt:lpstr>SwitchgrassEstablish!TotRet</vt:lpstr>
      <vt:lpstr>SwitchgrassGraze!TotRet</vt:lpstr>
      <vt:lpstr>SwitchgrassHay!TotRet</vt:lpstr>
      <vt:lpstr>TPCottonFurrow!TotRet</vt:lpstr>
      <vt:lpstr>TPCottonPivot!TotRet</vt:lpstr>
      <vt:lpstr>WheatDryland!TotRet</vt:lpstr>
      <vt:lpstr>WheatIrrigated!TotRet</vt:lpstr>
      <vt:lpstr>AlfalfaElPaso!TTotExp</vt:lpstr>
      <vt:lpstr>AlfalfaEstablish!TTotExp</vt:lpstr>
      <vt:lpstr>AlfalfaFloodDell!TTotExp</vt:lpstr>
      <vt:lpstr>AlfalfaHayFlood!TTotExp</vt:lpstr>
      <vt:lpstr>AlfalfaHayPivot!TTotExp</vt:lpstr>
      <vt:lpstr>AlfalfaPivotDell!TTotExp</vt:lpstr>
      <vt:lpstr>ElPasoCotton!TTotExp</vt:lpstr>
      <vt:lpstr>Onions!TTotExp</vt:lpstr>
      <vt:lpstr>Pecans!TTotExp</vt:lpstr>
      <vt:lpstr>RedChile!TTotExp</vt:lpstr>
      <vt:lpstr>SLCottonDrip!TTotExp</vt:lpstr>
      <vt:lpstr>SLCottonDrylandGM!TTotExp</vt:lpstr>
      <vt:lpstr>SLGSDrip!TTotExp</vt:lpstr>
      <vt:lpstr>SLXFCottonDrip!TTotExp</vt:lpstr>
      <vt:lpstr>SLXFCottonDryland!TTotExp</vt:lpstr>
      <vt:lpstr>SorghumHayDryland!TTotExp</vt:lpstr>
      <vt:lpstr>SorghumHayIrrigated!TTotExp</vt:lpstr>
      <vt:lpstr>SwitchgrassEstablish!TTotExp</vt:lpstr>
      <vt:lpstr>SwitchgrassGraze!TTotExp</vt:lpstr>
      <vt:lpstr>SwitchgrassHay!TTotExp</vt:lpstr>
      <vt:lpstr>TPCottonFurrow!TTotExp</vt:lpstr>
      <vt:lpstr>TPCottonPivot!TTotExp</vt:lpstr>
      <vt:lpstr>WheatDryland!TTotExp</vt:lpstr>
      <vt:lpstr>WheatIrrigated!TTotExp</vt:lpstr>
      <vt:lpstr>AlfalfaElPaso!TTotRet</vt:lpstr>
      <vt:lpstr>AlfalfaEstablish!TTotRet</vt:lpstr>
      <vt:lpstr>AlfalfaFloodDell!TTotRet</vt:lpstr>
      <vt:lpstr>AlfalfaHayFlood!TTotRet</vt:lpstr>
      <vt:lpstr>AlfalfaHayPivot!TTotRet</vt:lpstr>
      <vt:lpstr>AlfalfaPivotDell!TTotRet</vt:lpstr>
      <vt:lpstr>ElPasoCotton!TTotRet</vt:lpstr>
      <vt:lpstr>Onions!TTotRet</vt:lpstr>
      <vt:lpstr>Pecans!TTotRet</vt:lpstr>
      <vt:lpstr>RedChile!TTotRet</vt:lpstr>
      <vt:lpstr>SLCottonDrip!TTotRet</vt:lpstr>
      <vt:lpstr>SLCottonDrylandGM!TTotRet</vt:lpstr>
      <vt:lpstr>SLGSDrip!TTotRet</vt:lpstr>
      <vt:lpstr>SLXFCottonDrip!TTotRet</vt:lpstr>
      <vt:lpstr>SLXFCottonDryland!TTotRet</vt:lpstr>
      <vt:lpstr>SorghumHayDryland!TTotRet</vt:lpstr>
      <vt:lpstr>SorghumHayIrrigated!TTotRet</vt:lpstr>
      <vt:lpstr>SwitchgrassEstablish!TTotRet</vt:lpstr>
      <vt:lpstr>SwitchgrassGraze!TTotRet</vt:lpstr>
      <vt:lpstr>SwitchgrassHay!TTotRet</vt:lpstr>
      <vt:lpstr>TPCottonFurrow!TTotRet</vt:lpstr>
      <vt:lpstr>TPCottonPivot!TTotRet</vt:lpstr>
      <vt:lpstr>WheatDryland!TTotRet</vt:lpstr>
      <vt:lpstr>WheatIrrigated!TTotRet</vt:lpstr>
      <vt:lpstr>AlfalfaElPaso!TVarExp</vt:lpstr>
      <vt:lpstr>AlfalfaEstablish!TVarExp</vt:lpstr>
      <vt:lpstr>AlfalfaFloodDell!TVarExp</vt:lpstr>
      <vt:lpstr>AlfalfaHayFlood!TVarExp</vt:lpstr>
      <vt:lpstr>AlfalfaHayPivot!TVarExp</vt:lpstr>
      <vt:lpstr>AlfalfaPivotDell!TVarExp</vt:lpstr>
      <vt:lpstr>ElPasoCotton!TVarExp</vt:lpstr>
      <vt:lpstr>Onions!TVarExp</vt:lpstr>
      <vt:lpstr>Pecans!TVarExp</vt:lpstr>
      <vt:lpstr>RedChile!TVarExp</vt:lpstr>
      <vt:lpstr>SLCottonDrip!TVarExp</vt:lpstr>
      <vt:lpstr>SLCottonDrylandGM!TVarExp</vt:lpstr>
      <vt:lpstr>SLGSDrip!TVarExp</vt:lpstr>
      <vt:lpstr>SLXFCottonDrip!TVarExp</vt:lpstr>
      <vt:lpstr>SLXFCottonDryland!TVarExp</vt:lpstr>
      <vt:lpstr>SorghumHayDryland!TVarExp</vt:lpstr>
      <vt:lpstr>SorghumHayIrrigated!TVarExp</vt:lpstr>
      <vt:lpstr>SwitchgrassEstablish!TVarExp</vt:lpstr>
      <vt:lpstr>SwitchgrassGraze!TVarExp</vt:lpstr>
      <vt:lpstr>SwitchgrassHay!TVarExp</vt:lpstr>
      <vt:lpstr>TPCottonFurrow!TVarExp</vt:lpstr>
      <vt:lpstr>TPCottonPivot!TVarExp</vt:lpstr>
      <vt:lpstr>WheatDryland!TVarExp</vt:lpstr>
      <vt:lpstr>WheatIrrigated!TVarExp</vt:lpstr>
      <vt:lpstr>AlfalfaElPaso!TVarRet</vt:lpstr>
      <vt:lpstr>AlfalfaEstablish!TVarRet</vt:lpstr>
      <vt:lpstr>AlfalfaFloodDell!TVarRet</vt:lpstr>
      <vt:lpstr>AlfalfaHayFlood!TVarRet</vt:lpstr>
      <vt:lpstr>AlfalfaHayPivot!TVarRet</vt:lpstr>
      <vt:lpstr>AlfalfaPivotDell!TVarRet</vt:lpstr>
      <vt:lpstr>ElPasoCotton!TVarRet</vt:lpstr>
      <vt:lpstr>Onions!TVarRet</vt:lpstr>
      <vt:lpstr>Pecans!TVarRet</vt:lpstr>
      <vt:lpstr>RedChile!TVarRet</vt:lpstr>
      <vt:lpstr>SLCottonDrip!TVarRet</vt:lpstr>
      <vt:lpstr>SLCottonDrylandGM!TVarRet</vt:lpstr>
      <vt:lpstr>SLGSDrip!TVarRet</vt:lpstr>
      <vt:lpstr>SLXFCottonDrip!TVarRet</vt:lpstr>
      <vt:lpstr>SLXFCottonDryland!TVarRet</vt:lpstr>
      <vt:lpstr>SorghumHayDryland!TVarRet</vt:lpstr>
      <vt:lpstr>SorghumHayIrrigated!TVarRet</vt:lpstr>
      <vt:lpstr>SwitchgrassEstablish!TVarRet</vt:lpstr>
      <vt:lpstr>SwitchgrassGraze!TVarRet</vt:lpstr>
      <vt:lpstr>SwitchgrassHay!TVarRet</vt:lpstr>
      <vt:lpstr>TPCottonFurrow!TVarRet</vt:lpstr>
      <vt:lpstr>TPCottonPivot!TVarRet</vt:lpstr>
      <vt:lpstr>WheatDryland!TVarRet</vt:lpstr>
      <vt:lpstr>WheatIrrigated!TVarRet</vt:lpstr>
      <vt:lpstr>AlfalfaElPaso!Unit</vt:lpstr>
      <vt:lpstr>AlfalfaEstablish!Unit</vt:lpstr>
      <vt:lpstr>AlfalfaFloodDell!Unit</vt:lpstr>
      <vt:lpstr>AlfalfaHayFlood!Unit</vt:lpstr>
      <vt:lpstr>AlfalfaHayPivot!Unit</vt:lpstr>
      <vt:lpstr>AlfalfaPivotDell!Unit</vt:lpstr>
      <vt:lpstr>Angoras!Unit</vt:lpstr>
      <vt:lpstr>CowCalfNative!Unit</vt:lpstr>
      <vt:lpstr>'Crop Budget'!Unit</vt:lpstr>
      <vt:lpstr>ElPasoCotton!Unit</vt:lpstr>
      <vt:lpstr>'Livestock Budget'!Unit</vt:lpstr>
      <vt:lpstr>MeatGoats!Unit</vt:lpstr>
      <vt:lpstr>Onions!Unit</vt:lpstr>
      <vt:lpstr>Pecans!Unit</vt:lpstr>
      <vt:lpstr>RedChile!Unit</vt:lpstr>
      <vt:lpstr>SheepHair!Unit</vt:lpstr>
      <vt:lpstr>SheepWool!Unit</vt:lpstr>
      <vt:lpstr>SLCottonDrip!Unit</vt:lpstr>
      <vt:lpstr>SLCottonDrylandGM!Unit</vt:lpstr>
      <vt:lpstr>SLGSDrip!Unit</vt:lpstr>
      <vt:lpstr>SLXFCottonDrip!Unit</vt:lpstr>
      <vt:lpstr>SLXFCottonDryland!Unit</vt:lpstr>
      <vt:lpstr>SorghumHayDryland!Unit</vt:lpstr>
      <vt:lpstr>SorghumHayIrrigated!Unit</vt:lpstr>
      <vt:lpstr>StockersSummer!Unit</vt:lpstr>
      <vt:lpstr>StockerWinter!Unit</vt:lpstr>
      <vt:lpstr>SwitchgrassEstablish!Unit</vt:lpstr>
      <vt:lpstr>SwitchgrassGraze!Unit</vt:lpstr>
      <vt:lpstr>SwitchgrassHay!Unit</vt:lpstr>
      <vt:lpstr>TPCottonFurrow!Unit</vt:lpstr>
      <vt:lpstr>TPCottonPivot!Unit</vt:lpstr>
      <vt:lpstr>WheatDryland!Unit</vt:lpstr>
      <vt:lpstr>WheatIrrigated!Unit</vt:lpstr>
      <vt:lpstr>AlfalfaElPaso!VarExp</vt:lpstr>
      <vt:lpstr>AlfalfaEstablish!VarExp</vt:lpstr>
      <vt:lpstr>AlfalfaFloodDell!VarExp</vt:lpstr>
      <vt:lpstr>AlfalfaHayFlood!VarExp</vt:lpstr>
      <vt:lpstr>AlfalfaHayPivot!VarExp</vt:lpstr>
      <vt:lpstr>AlfalfaPivotDell!VarExp</vt:lpstr>
      <vt:lpstr>Angoras!VarExp</vt:lpstr>
      <vt:lpstr>CowCalfNative!VarExp</vt:lpstr>
      <vt:lpstr>ElPasoCotton!VarExp</vt:lpstr>
      <vt:lpstr>MeatGoats!VarExp</vt:lpstr>
      <vt:lpstr>Onions!VarExp</vt:lpstr>
      <vt:lpstr>Pecans!VarExp</vt:lpstr>
      <vt:lpstr>RedChile!VarExp</vt:lpstr>
      <vt:lpstr>SheepHair!VarExp</vt:lpstr>
      <vt:lpstr>SheepWool!VarExp</vt:lpstr>
      <vt:lpstr>SLCottonDrip!VarExp</vt:lpstr>
      <vt:lpstr>SLCottonDrylandGM!VarExp</vt:lpstr>
      <vt:lpstr>SLGSDrip!VarExp</vt:lpstr>
      <vt:lpstr>SLXFCottonDrip!VarExp</vt:lpstr>
      <vt:lpstr>SLXFCottonDryland!VarExp</vt:lpstr>
      <vt:lpstr>SorghumHayDryland!VarExp</vt:lpstr>
      <vt:lpstr>SorghumHayIrrigated!VarExp</vt:lpstr>
      <vt:lpstr>StockersSummer!VarExp</vt:lpstr>
      <vt:lpstr>StockerWinter!VarExp</vt:lpstr>
      <vt:lpstr>SwitchgrassEstablish!VarExp</vt:lpstr>
      <vt:lpstr>SwitchgrassGraze!VarExp</vt:lpstr>
      <vt:lpstr>SwitchgrassHay!VarExp</vt:lpstr>
      <vt:lpstr>TPCottonFurrow!VarExp</vt:lpstr>
      <vt:lpstr>TPCottonPivot!VarExp</vt:lpstr>
      <vt:lpstr>WheatDryland!VarExp</vt:lpstr>
      <vt:lpstr>WheatIrrigated!VarExp</vt:lpstr>
      <vt:lpstr>AlfalfaElPaso!VarRet</vt:lpstr>
      <vt:lpstr>AlfalfaEstablish!VarRet</vt:lpstr>
      <vt:lpstr>AlfalfaFloodDell!VarRet</vt:lpstr>
      <vt:lpstr>AlfalfaHayFlood!VarRet</vt:lpstr>
      <vt:lpstr>AlfalfaHayPivot!VarRet</vt:lpstr>
      <vt:lpstr>AlfalfaPivotDell!VarRet</vt:lpstr>
      <vt:lpstr>Angoras!VarRet</vt:lpstr>
      <vt:lpstr>CowCalfNative!VarRet</vt:lpstr>
      <vt:lpstr>ElPasoCotton!VarRet</vt:lpstr>
      <vt:lpstr>MeatGoats!VarRet</vt:lpstr>
      <vt:lpstr>Onions!VarRet</vt:lpstr>
      <vt:lpstr>Pecans!VarRet</vt:lpstr>
      <vt:lpstr>RedChile!VarRet</vt:lpstr>
      <vt:lpstr>SheepHair!VarRet</vt:lpstr>
      <vt:lpstr>SheepWool!VarRet</vt:lpstr>
      <vt:lpstr>SLCottonDrip!VarRet</vt:lpstr>
      <vt:lpstr>SLCottonDrylandGM!VarRet</vt:lpstr>
      <vt:lpstr>SLGSDrip!VarRet</vt:lpstr>
      <vt:lpstr>SLXFCottonDrip!VarRet</vt:lpstr>
      <vt:lpstr>SLXFCottonDryland!VarRet</vt:lpstr>
      <vt:lpstr>SorghumHayDryland!VarRet</vt:lpstr>
      <vt:lpstr>SorghumHayIrrigated!VarRet</vt:lpstr>
      <vt:lpstr>StockersSummer!VarRet</vt:lpstr>
      <vt:lpstr>StockerWinter!VarRet</vt:lpstr>
      <vt:lpstr>SwitchgrassEstablish!VarRet</vt:lpstr>
      <vt:lpstr>SwitchgrassGraze!VarRet</vt:lpstr>
      <vt:lpstr>SwitchgrassHay!VarRet</vt:lpstr>
      <vt:lpstr>TPCottonFurrow!VarRet</vt:lpstr>
      <vt:lpstr>TPCottonPivot!VarRet</vt:lpstr>
      <vt:lpstr>WheatDryland!VarRet</vt:lpstr>
      <vt:lpstr>WheatIrrigated!VarRet</vt:lpstr>
      <vt:lpstr>AlfalfaElPaso!YBT</vt:lpstr>
      <vt:lpstr>AlfalfaEstablish!YBT</vt:lpstr>
      <vt:lpstr>AlfalfaFloodDell!YBT</vt:lpstr>
      <vt:lpstr>AlfalfaHayFlood!YBT</vt:lpstr>
      <vt:lpstr>AlfalfaHayPivot!YBT</vt:lpstr>
      <vt:lpstr>AlfalfaPivotDell!YBT</vt:lpstr>
      <vt:lpstr>ElPasoCotton!YBT</vt:lpstr>
      <vt:lpstr>Onions!YBT</vt:lpstr>
      <vt:lpstr>Pecans!YBT</vt:lpstr>
      <vt:lpstr>RedChile!YBT</vt:lpstr>
      <vt:lpstr>SLCottonDrip!YBT</vt:lpstr>
      <vt:lpstr>SLCottonDrylandGM!YBT</vt:lpstr>
      <vt:lpstr>SLGSDrip!YBT</vt:lpstr>
      <vt:lpstr>SLXFCottonDrip!YBT</vt:lpstr>
      <vt:lpstr>SLXFCottonDryland!YBT</vt:lpstr>
      <vt:lpstr>SorghumHayDryland!YBT</vt:lpstr>
      <vt:lpstr>SorghumHayIrrigated!YBT</vt:lpstr>
      <vt:lpstr>SwitchgrassEstablish!YBT</vt:lpstr>
      <vt:lpstr>SwitchgrassGraze!YBT</vt:lpstr>
      <vt:lpstr>SwitchgrassHay!YBT</vt:lpstr>
      <vt:lpstr>TPCottonFurrow!YBT</vt:lpstr>
      <vt:lpstr>TPCottonPivot!YBT</vt:lpstr>
      <vt:lpstr>WheatDryland!YBT</vt:lpstr>
      <vt:lpstr>WheatIrrigated!YBT</vt:lpstr>
      <vt:lpstr>AlfalfaElPaso!YBV</vt:lpstr>
      <vt:lpstr>AlfalfaEstablish!YBV</vt:lpstr>
      <vt:lpstr>AlfalfaFloodDell!YBV</vt:lpstr>
      <vt:lpstr>AlfalfaHayFlood!YBV</vt:lpstr>
      <vt:lpstr>AlfalfaHayPivot!YBV</vt:lpstr>
      <vt:lpstr>AlfalfaPivotDell!YBV</vt:lpstr>
      <vt:lpstr>ElPasoCotton!YBV</vt:lpstr>
      <vt:lpstr>Onions!YBV</vt:lpstr>
      <vt:lpstr>Pecans!YBV</vt:lpstr>
      <vt:lpstr>RedChile!YBV</vt:lpstr>
      <vt:lpstr>SLCottonDrip!YBV</vt:lpstr>
      <vt:lpstr>SLCottonDrylandGM!YBV</vt:lpstr>
      <vt:lpstr>SLGSDrip!YBV</vt:lpstr>
      <vt:lpstr>SLXFCottonDrip!YBV</vt:lpstr>
      <vt:lpstr>SLXFCottonDryland!YBV</vt:lpstr>
      <vt:lpstr>SorghumHayDryland!YBV</vt:lpstr>
      <vt:lpstr>SorghumHayIrrigated!YBV</vt:lpstr>
      <vt:lpstr>SwitchgrassEstablish!YBV</vt:lpstr>
      <vt:lpstr>SwitchgrassGraze!YBV</vt:lpstr>
      <vt:lpstr>SwitchgrassHay!YBV</vt:lpstr>
      <vt:lpstr>TPCottonFurrow!YBV</vt:lpstr>
      <vt:lpstr>TPCottonPivot!YBV</vt:lpstr>
      <vt:lpstr>WheatDryland!YBV</vt:lpstr>
      <vt:lpstr>WheatIrrigated!YBV</vt:lpstr>
      <vt:lpstr>'Crop Budget'!Yeild3</vt:lpstr>
      <vt:lpstr>AlfalfaElPaso!YLTotExp</vt:lpstr>
      <vt:lpstr>AlfalfaEstablish!YLTotExp</vt:lpstr>
      <vt:lpstr>AlfalfaFloodDell!YLTotExp</vt:lpstr>
      <vt:lpstr>AlfalfaHayFlood!YLTotExp</vt:lpstr>
      <vt:lpstr>AlfalfaHayPivot!YLTotExp</vt:lpstr>
      <vt:lpstr>AlfalfaPivotDell!YLTotExp</vt:lpstr>
      <vt:lpstr>ElPasoCotton!YLTotExp</vt:lpstr>
      <vt:lpstr>Onions!YLTotExp</vt:lpstr>
      <vt:lpstr>Pecans!YLTotExp</vt:lpstr>
      <vt:lpstr>RedChile!YLTotExp</vt:lpstr>
      <vt:lpstr>SLCottonDrip!YLTotExp</vt:lpstr>
      <vt:lpstr>SLCottonDrylandGM!YLTotExp</vt:lpstr>
      <vt:lpstr>SLGSDrip!YLTotExp</vt:lpstr>
      <vt:lpstr>SLXFCottonDrip!YLTotExp</vt:lpstr>
      <vt:lpstr>SLXFCottonDryland!YLTotExp</vt:lpstr>
      <vt:lpstr>SorghumHayDryland!YLTotExp</vt:lpstr>
      <vt:lpstr>SorghumHayIrrigated!YLTotExp</vt:lpstr>
      <vt:lpstr>SwitchgrassEstablish!YLTotExp</vt:lpstr>
      <vt:lpstr>SwitchgrassGraze!YLTotExp</vt:lpstr>
      <vt:lpstr>SwitchgrassHay!YLTotExp</vt:lpstr>
      <vt:lpstr>TPCottonFurrow!YLTotExp</vt:lpstr>
      <vt:lpstr>TPCottonPivot!YLTotExp</vt:lpstr>
      <vt:lpstr>WheatDryland!YLTotExp</vt:lpstr>
      <vt:lpstr>WheatIrrigated!YLTotExp</vt:lpstr>
      <vt:lpstr>AlfalfaElPaso!YLTotRet</vt:lpstr>
      <vt:lpstr>AlfalfaEstablish!YLTotRet</vt:lpstr>
      <vt:lpstr>AlfalfaFloodDell!YLTotRet</vt:lpstr>
      <vt:lpstr>AlfalfaHayFlood!YLTotRet</vt:lpstr>
      <vt:lpstr>AlfalfaHayPivot!YLTotRet</vt:lpstr>
      <vt:lpstr>AlfalfaPivotDell!YLTotRet</vt:lpstr>
      <vt:lpstr>ElPasoCotton!YLTotRet</vt:lpstr>
      <vt:lpstr>Onions!YLTotRet</vt:lpstr>
      <vt:lpstr>Pecans!YLTotRet</vt:lpstr>
      <vt:lpstr>RedChile!YLTotRet</vt:lpstr>
      <vt:lpstr>SLCottonDrip!YLTotRet</vt:lpstr>
      <vt:lpstr>SLCottonDrylandGM!YLTotRet</vt:lpstr>
      <vt:lpstr>SLGSDrip!YLTotRet</vt:lpstr>
      <vt:lpstr>SLXFCottonDrip!YLTotRet</vt:lpstr>
      <vt:lpstr>SLXFCottonDryland!YLTotRet</vt:lpstr>
      <vt:lpstr>SorghumHayDryland!YLTotRet</vt:lpstr>
      <vt:lpstr>SorghumHayIrrigated!YLTotRet</vt:lpstr>
      <vt:lpstr>SwitchgrassEstablish!YLTotRet</vt:lpstr>
      <vt:lpstr>SwitchgrassGraze!YLTotRet</vt:lpstr>
      <vt:lpstr>SwitchgrassHay!YLTotRet</vt:lpstr>
      <vt:lpstr>TPCottonFurrow!YLTotRet</vt:lpstr>
      <vt:lpstr>TPCottonPivot!YLTotRet</vt:lpstr>
      <vt:lpstr>WheatDryland!YLTotRet</vt:lpstr>
      <vt:lpstr>WheatIrrigated!YLTotRet</vt:lpstr>
      <vt:lpstr>AlfalfaElPaso!YLVarExp</vt:lpstr>
      <vt:lpstr>AlfalfaEstablish!YLVarExp</vt:lpstr>
      <vt:lpstr>AlfalfaFloodDell!YLVarExp</vt:lpstr>
      <vt:lpstr>AlfalfaHayFlood!YLVarExp</vt:lpstr>
      <vt:lpstr>AlfalfaHayPivot!YLVarExp</vt:lpstr>
      <vt:lpstr>AlfalfaPivotDell!YLVarExp</vt:lpstr>
      <vt:lpstr>ElPasoCotton!YLVarExp</vt:lpstr>
      <vt:lpstr>Onions!YLVarExp</vt:lpstr>
      <vt:lpstr>Pecans!YLVarExp</vt:lpstr>
      <vt:lpstr>RedChile!YLVarExp</vt:lpstr>
      <vt:lpstr>SLCottonDrip!YLVarExp</vt:lpstr>
      <vt:lpstr>SLCottonDrylandGM!YLVarExp</vt:lpstr>
      <vt:lpstr>SLGSDrip!YLVarExp</vt:lpstr>
      <vt:lpstr>SLXFCottonDrip!YLVarExp</vt:lpstr>
      <vt:lpstr>SLXFCottonDryland!YLVarExp</vt:lpstr>
      <vt:lpstr>SorghumHayDryland!YLVarExp</vt:lpstr>
      <vt:lpstr>SorghumHayIrrigated!YLVarExp</vt:lpstr>
      <vt:lpstr>SwitchgrassEstablish!YLVarExp</vt:lpstr>
      <vt:lpstr>SwitchgrassGraze!YLVarExp</vt:lpstr>
      <vt:lpstr>SwitchgrassHay!YLVarExp</vt:lpstr>
      <vt:lpstr>TPCottonFurrow!YLVarExp</vt:lpstr>
      <vt:lpstr>TPCottonPivot!YLVarExp</vt:lpstr>
      <vt:lpstr>WheatDryland!YLVarExp</vt:lpstr>
      <vt:lpstr>WheatIrrigated!YLVarExp</vt:lpstr>
      <vt:lpstr>AlfalfaElPaso!YLVarRet</vt:lpstr>
      <vt:lpstr>AlfalfaEstablish!YLVarRet</vt:lpstr>
      <vt:lpstr>AlfalfaFloodDell!YLVarRet</vt:lpstr>
      <vt:lpstr>AlfalfaHayFlood!YLVarRet</vt:lpstr>
      <vt:lpstr>AlfalfaHayPivot!YLVarRet</vt:lpstr>
      <vt:lpstr>AlfalfaPivotDell!YLVarRet</vt:lpstr>
      <vt:lpstr>ElPasoCotton!YLVarRet</vt:lpstr>
      <vt:lpstr>Onions!YLVarRet</vt:lpstr>
      <vt:lpstr>Pecans!YLVarRet</vt:lpstr>
      <vt:lpstr>RedChile!YLVarRet</vt:lpstr>
      <vt:lpstr>SLCottonDrip!YLVarRet</vt:lpstr>
      <vt:lpstr>SLCottonDrylandGM!YLVarRet</vt:lpstr>
      <vt:lpstr>SLGSDrip!YLVarRet</vt:lpstr>
      <vt:lpstr>SLXFCottonDrip!YLVarRet</vt:lpstr>
      <vt:lpstr>SLXFCottonDryland!YLVarRet</vt:lpstr>
      <vt:lpstr>SorghumHayDryland!YLVarRet</vt:lpstr>
      <vt:lpstr>SorghumHayIrrigated!YLVarRet</vt:lpstr>
      <vt:lpstr>SwitchgrassEstablish!YLVarRet</vt:lpstr>
      <vt:lpstr>SwitchgrassGraze!YLVarRet</vt:lpstr>
      <vt:lpstr>SwitchgrassHay!YLVarRet</vt:lpstr>
      <vt:lpstr>TPCottonFurrow!YLVarRet</vt:lpstr>
      <vt:lpstr>TPCottonPivot!YLVarRet</vt:lpstr>
      <vt:lpstr>WheatDryland!YLVarRet</vt:lpstr>
      <vt:lpstr>WheatIrrigated!YLVarRet</vt:lpstr>
      <vt:lpstr>AlfalfaElPaso!YPrice</vt:lpstr>
      <vt:lpstr>AlfalfaEstablish!YPrice</vt:lpstr>
      <vt:lpstr>AlfalfaFloodDell!YPrice</vt:lpstr>
      <vt:lpstr>AlfalfaHayFlood!YPrice</vt:lpstr>
      <vt:lpstr>AlfalfaHayPivot!YPrice</vt:lpstr>
      <vt:lpstr>AlfalfaPivotDell!YPrice</vt:lpstr>
      <vt:lpstr>'Crop Budget'!YPrice</vt:lpstr>
      <vt:lpstr>ElPasoCotton!YPrice</vt:lpstr>
      <vt:lpstr>'Livestock Budget'!YPrice</vt:lpstr>
      <vt:lpstr>Onions!YPrice</vt:lpstr>
      <vt:lpstr>Pecans!YPrice</vt:lpstr>
      <vt:lpstr>RedChile!YPrice</vt:lpstr>
      <vt:lpstr>SLCottonDrip!YPrice</vt:lpstr>
      <vt:lpstr>SLCottonDrylandGM!YPrice</vt:lpstr>
      <vt:lpstr>SLGSDrip!YPrice</vt:lpstr>
      <vt:lpstr>SLXFCottonDrip!YPrice</vt:lpstr>
      <vt:lpstr>SLXFCottonDryland!YPrice</vt:lpstr>
      <vt:lpstr>SorghumHayDryland!YPrice</vt:lpstr>
      <vt:lpstr>SorghumHayIrrigated!YPrice</vt:lpstr>
      <vt:lpstr>StockersSummer!YPrice</vt:lpstr>
      <vt:lpstr>StockerWinter!YPrice</vt:lpstr>
      <vt:lpstr>SwitchgrassEstablish!YPrice</vt:lpstr>
      <vt:lpstr>SwitchgrassGraze!YPrice</vt:lpstr>
      <vt:lpstr>SwitchgrassHay!YPrice</vt:lpstr>
      <vt:lpstr>TPCottonFurrow!YPrice</vt:lpstr>
      <vt:lpstr>TPCottonPivot!YPrice</vt:lpstr>
      <vt:lpstr>WheatDryland!YPrice</vt:lpstr>
      <vt:lpstr>WheatIrrigated!YPrice</vt:lpstr>
      <vt:lpstr>AlfalfaElPaso!YTotExp</vt:lpstr>
      <vt:lpstr>AlfalfaEstablish!YTotExp</vt:lpstr>
      <vt:lpstr>AlfalfaFloodDell!YTotExp</vt:lpstr>
      <vt:lpstr>AlfalfaHayFlood!YTotExp</vt:lpstr>
      <vt:lpstr>AlfalfaHayPivot!YTotExp</vt:lpstr>
      <vt:lpstr>AlfalfaPivotDell!YTotExp</vt:lpstr>
      <vt:lpstr>Angoras!YTotExp</vt:lpstr>
      <vt:lpstr>CowCalfNative!YTotExp</vt:lpstr>
      <vt:lpstr>'Crop Budget'!YTotExp</vt:lpstr>
      <vt:lpstr>ElPasoCotton!YTotExp</vt:lpstr>
      <vt:lpstr>'Livestock Budget'!YTotExp</vt:lpstr>
      <vt:lpstr>MeatGoats!YTotExp</vt:lpstr>
      <vt:lpstr>Onions!YTotExp</vt:lpstr>
      <vt:lpstr>Pecans!YTotExp</vt:lpstr>
      <vt:lpstr>RedChile!YTotExp</vt:lpstr>
      <vt:lpstr>SheepHair!YTotExp</vt:lpstr>
      <vt:lpstr>SheepWool!YTotExp</vt:lpstr>
      <vt:lpstr>SLCottonDrip!YTotExp</vt:lpstr>
      <vt:lpstr>SLCottonDrylandGM!YTotExp</vt:lpstr>
      <vt:lpstr>SLGSDrip!YTotExp</vt:lpstr>
      <vt:lpstr>SLXFCottonDrip!YTotExp</vt:lpstr>
      <vt:lpstr>SLXFCottonDryland!YTotExp</vt:lpstr>
      <vt:lpstr>SorghumHayDryland!YTotExp</vt:lpstr>
      <vt:lpstr>SorghumHayIrrigated!YTotExp</vt:lpstr>
      <vt:lpstr>StockersSummer!YTotExp</vt:lpstr>
      <vt:lpstr>StockerWinter!YTotExp</vt:lpstr>
      <vt:lpstr>SwitchgrassEstablish!YTotExp</vt:lpstr>
      <vt:lpstr>SwitchgrassGraze!YTotExp</vt:lpstr>
      <vt:lpstr>SwitchgrassHay!YTotExp</vt:lpstr>
      <vt:lpstr>TPCottonFurrow!YTotExp</vt:lpstr>
      <vt:lpstr>TPCottonPivot!YTotExp</vt:lpstr>
      <vt:lpstr>WheatDryland!YTotExp</vt:lpstr>
      <vt:lpstr>WheatIrrigated!YTotExp</vt:lpstr>
      <vt:lpstr>AlfalfaElPaso!YTotRet</vt:lpstr>
      <vt:lpstr>AlfalfaEstablish!YTotRet</vt:lpstr>
      <vt:lpstr>AlfalfaFloodDell!YTotRet</vt:lpstr>
      <vt:lpstr>AlfalfaHayFlood!YTotRet</vt:lpstr>
      <vt:lpstr>AlfalfaHayPivot!YTotRet</vt:lpstr>
      <vt:lpstr>AlfalfaPivotDell!YTotRet</vt:lpstr>
      <vt:lpstr>Angoras!YTotRet</vt:lpstr>
      <vt:lpstr>CowCalfNative!YTotRet</vt:lpstr>
      <vt:lpstr>'Crop Budget'!YTotRet</vt:lpstr>
      <vt:lpstr>ElPasoCotton!YTotRet</vt:lpstr>
      <vt:lpstr>'Livestock Budget'!YTotRet</vt:lpstr>
      <vt:lpstr>MeatGoats!YTotRet</vt:lpstr>
      <vt:lpstr>Onions!YTotRet</vt:lpstr>
      <vt:lpstr>Pecans!YTotRet</vt:lpstr>
      <vt:lpstr>RedChile!YTotRet</vt:lpstr>
      <vt:lpstr>SheepHair!YTotRet</vt:lpstr>
      <vt:lpstr>SheepWool!YTotRet</vt:lpstr>
      <vt:lpstr>SLCottonDrip!YTotRet</vt:lpstr>
      <vt:lpstr>SLCottonDrylandGM!YTotRet</vt:lpstr>
      <vt:lpstr>SLGSDrip!YTotRet</vt:lpstr>
      <vt:lpstr>SLXFCottonDrip!YTotRet</vt:lpstr>
      <vt:lpstr>SLXFCottonDryland!YTotRet</vt:lpstr>
      <vt:lpstr>SorghumHayDryland!YTotRet</vt:lpstr>
      <vt:lpstr>SorghumHayIrrigated!YTotRet</vt:lpstr>
      <vt:lpstr>StockersSummer!YTotRet</vt:lpstr>
      <vt:lpstr>StockerWinter!YTotRet</vt:lpstr>
      <vt:lpstr>SwitchgrassEstablish!YTotRet</vt:lpstr>
      <vt:lpstr>SwitchgrassGraze!YTotRet</vt:lpstr>
      <vt:lpstr>SwitchgrassHay!YTotRet</vt:lpstr>
      <vt:lpstr>TPCottonFurrow!YTotRet</vt:lpstr>
      <vt:lpstr>TPCottonPivot!YTotRet</vt:lpstr>
      <vt:lpstr>WheatDryland!YTotRet</vt:lpstr>
      <vt:lpstr>WheatIrrigated!YTotRet</vt:lpstr>
      <vt:lpstr>AlfalfaElPaso!YTTotExp</vt:lpstr>
      <vt:lpstr>AlfalfaEstablish!YTTotExp</vt:lpstr>
      <vt:lpstr>AlfalfaFloodDell!YTTotExp</vt:lpstr>
      <vt:lpstr>AlfalfaHayFlood!YTTotExp</vt:lpstr>
      <vt:lpstr>AlfalfaHayPivot!YTTotExp</vt:lpstr>
      <vt:lpstr>AlfalfaPivotDell!YTTotExp</vt:lpstr>
      <vt:lpstr>ElPasoCotton!YTTotExp</vt:lpstr>
      <vt:lpstr>Onions!YTTotExp</vt:lpstr>
      <vt:lpstr>Pecans!YTTotExp</vt:lpstr>
      <vt:lpstr>RedChile!YTTotExp</vt:lpstr>
      <vt:lpstr>SLCottonDrip!YTTotExp</vt:lpstr>
      <vt:lpstr>SLCottonDrylandGM!YTTotExp</vt:lpstr>
      <vt:lpstr>SLGSDrip!YTTotExp</vt:lpstr>
      <vt:lpstr>SLXFCottonDrip!YTTotExp</vt:lpstr>
      <vt:lpstr>SLXFCottonDryland!YTTotExp</vt:lpstr>
      <vt:lpstr>SorghumHayDryland!YTTotExp</vt:lpstr>
      <vt:lpstr>SorghumHayIrrigated!YTTotExp</vt:lpstr>
      <vt:lpstr>SwitchgrassEstablish!YTTotExp</vt:lpstr>
      <vt:lpstr>SwitchgrassGraze!YTTotExp</vt:lpstr>
      <vt:lpstr>SwitchgrassHay!YTTotExp</vt:lpstr>
      <vt:lpstr>TPCottonFurrow!YTTotExp</vt:lpstr>
      <vt:lpstr>TPCottonPivot!YTTotExp</vt:lpstr>
      <vt:lpstr>WheatDryland!YTTotExp</vt:lpstr>
      <vt:lpstr>WheatIrrigated!YTTotExp</vt:lpstr>
      <vt:lpstr>AlfalfaElPaso!YTTotRet</vt:lpstr>
      <vt:lpstr>AlfalfaEstablish!YTTotRet</vt:lpstr>
      <vt:lpstr>AlfalfaFloodDell!YTTotRet</vt:lpstr>
      <vt:lpstr>AlfalfaHayFlood!YTTotRet</vt:lpstr>
      <vt:lpstr>AlfalfaHayPivot!YTTotRet</vt:lpstr>
      <vt:lpstr>AlfalfaPivotDell!YTTotRet</vt:lpstr>
      <vt:lpstr>ElPasoCotton!YTTotRet</vt:lpstr>
      <vt:lpstr>Onions!YTTotRet</vt:lpstr>
      <vt:lpstr>Pecans!YTTotRet</vt:lpstr>
      <vt:lpstr>RedChile!YTTotRet</vt:lpstr>
      <vt:lpstr>SLCottonDrip!YTTotRet</vt:lpstr>
      <vt:lpstr>SLCottonDrylandGM!YTTotRet</vt:lpstr>
      <vt:lpstr>SLGSDrip!YTTotRet</vt:lpstr>
      <vt:lpstr>SLXFCottonDrip!YTTotRet</vt:lpstr>
      <vt:lpstr>SLXFCottonDryland!YTTotRet</vt:lpstr>
      <vt:lpstr>SorghumHayDryland!YTTotRet</vt:lpstr>
      <vt:lpstr>SorghumHayIrrigated!YTTotRet</vt:lpstr>
      <vt:lpstr>SwitchgrassEstablish!YTTotRet</vt:lpstr>
      <vt:lpstr>SwitchgrassGraze!YTTotRet</vt:lpstr>
      <vt:lpstr>SwitchgrassHay!YTTotRet</vt:lpstr>
      <vt:lpstr>TPCottonFurrow!YTTotRet</vt:lpstr>
      <vt:lpstr>TPCottonPivot!YTTotRet</vt:lpstr>
      <vt:lpstr>WheatDryland!YTTotRet</vt:lpstr>
      <vt:lpstr>WheatIrrigated!YTTotRet</vt:lpstr>
      <vt:lpstr>AlfalfaElPaso!YTVarExp</vt:lpstr>
      <vt:lpstr>AlfalfaEstablish!YTVarExp</vt:lpstr>
      <vt:lpstr>AlfalfaFloodDell!YTVarExp</vt:lpstr>
      <vt:lpstr>AlfalfaHayFlood!YTVarExp</vt:lpstr>
      <vt:lpstr>AlfalfaHayPivot!YTVarExp</vt:lpstr>
      <vt:lpstr>AlfalfaPivotDell!YTVarExp</vt:lpstr>
      <vt:lpstr>ElPasoCotton!YTVarExp</vt:lpstr>
      <vt:lpstr>Onions!YTVarExp</vt:lpstr>
      <vt:lpstr>Pecans!YTVarExp</vt:lpstr>
      <vt:lpstr>RedChile!YTVarExp</vt:lpstr>
      <vt:lpstr>SLCottonDrip!YTVarExp</vt:lpstr>
      <vt:lpstr>SLCottonDrylandGM!YTVarExp</vt:lpstr>
      <vt:lpstr>SLGSDrip!YTVarExp</vt:lpstr>
      <vt:lpstr>SLXFCottonDrip!YTVarExp</vt:lpstr>
      <vt:lpstr>SLXFCottonDryland!YTVarExp</vt:lpstr>
      <vt:lpstr>SorghumHayDryland!YTVarExp</vt:lpstr>
      <vt:lpstr>SorghumHayIrrigated!YTVarExp</vt:lpstr>
      <vt:lpstr>SwitchgrassEstablish!YTVarExp</vt:lpstr>
      <vt:lpstr>SwitchgrassGraze!YTVarExp</vt:lpstr>
      <vt:lpstr>SwitchgrassHay!YTVarExp</vt:lpstr>
      <vt:lpstr>TPCottonFurrow!YTVarExp</vt:lpstr>
      <vt:lpstr>TPCottonPivot!YTVarExp</vt:lpstr>
      <vt:lpstr>WheatDryland!YTVarExp</vt:lpstr>
      <vt:lpstr>WheatIrrigated!YTVarExp</vt:lpstr>
      <vt:lpstr>AlfalfaElPaso!YTVarRet</vt:lpstr>
      <vt:lpstr>AlfalfaEstablish!YTVarRet</vt:lpstr>
      <vt:lpstr>AlfalfaFloodDell!YTVarRet</vt:lpstr>
      <vt:lpstr>AlfalfaHayFlood!YTVarRet</vt:lpstr>
      <vt:lpstr>AlfalfaHayPivot!YTVarRet</vt:lpstr>
      <vt:lpstr>AlfalfaPivotDell!YTVarRet</vt:lpstr>
      <vt:lpstr>ElPasoCotton!YTVarRet</vt:lpstr>
      <vt:lpstr>Onions!YTVarRet</vt:lpstr>
      <vt:lpstr>Pecans!YTVarRet</vt:lpstr>
      <vt:lpstr>RedChile!YTVarRet</vt:lpstr>
      <vt:lpstr>SLCottonDrip!YTVarRet</vt:lpstr>
      <vt:lpstr>SLCottonDrylandGM!YTVarRet</vt:lpstr>
      <vt:lpstr>SLGSDrip!YTVarRet</vt:lpstr>
      <vt:lpstr>SLXFCottonDrip!YTVarRet</vt:lpstr>
      <vt:lpstr>SLXFCottonDryland!YTVarRet</vt:lpstr>
      <vt:lpstr>SorghumHayDryland!YTVarRet</vt:lpstr>
      <vt:lpstr>SorghumHayIrrigated!YTVarRet</vt:lpstr>
      <vt:lpstr>SwitchgrassEstablish!YTVarRet</vt:lpstr>
      <vt:lpstr>SwitchgrassGraze!YTVarRet</vt:lpstr>
      <vt:lpstr>SwitchgrassHay!YTVarRet</vt:lpstr>
      <vt:lpstr>TPCottonFurrow!YTVarRet</vt:lpstr>
      <vt:lpstr>TPCottonPivot!YTVarRet</vt:lpstr>
      <vt:lpstr>WheatDryland!YTVarRet</vt:lpstr>
      <vt:lpstr>WheatIrrigated!YTVarRet</vt:lpstr>
      <vt:lpstr>AlfalfaElPaso!YVarExp</vt:lpstr>
      <vt:lpstr>AlfalfaEstablish!YVarExp</vt:lpstr>
      <vt:lpstr>AlfalfaFloodDell!YVarExp</vt:lpstr>
      <vt:lpstr>AlfalfaHayFlood!YVarExp</vt:lpstr>
      <vt:lpstr>AlfalfaHayPivot!YVarExp</vt:lpstr>
      <vt:lpstr>AlfalfaPivotDell!YVarExp</vt:lpstr>
      <vt:lpstr>Angoras!YVarExp</vt:lpstr>
      <vt:lpstr>CowCalfNative!YVarExp</vt:lpstr>
      <vt:lpstr>'Crop Budget'!YVarExp</vt:lpstr>
      <vt:lpstr>ElPasoCotton!YVarExp</vt:lpstr>
      <vt:lpstr>'Livestock Budget'!YVarExp</vt:lpstr>
      <vt:lpstr>MeatGoats!YVarExp</vt:lpstr>
      <vt:lpstr>Onions!YVarExp</vt:lpstr>
      <vt:lpstr>Pecans!YVarExp</vt:lpstr>
      <vt:lpstr>RedChile!YVarExp</vt:lpstr>
      <vt:lpstr>SheepHair!YVarExp</vt:lpstr>
      <vt:lpstr>SheepWool!YVarExp</vt:lpstr>
      <vt:lpstr>SLCottonDrip!YVarExp</vt:lpstr>
      <vt:lpstr>SLCottonDrylandGM!YVarExp</vt:lpstr>
      <vt:lpstr>SLGSDrip!YVarExp</vt:lpstr>
      <vt:lpstr>SLXFCottonDrip!YVarExp</vt:lpstr>
      <vt:lpstr>SLXFCottonDryland!YVarExp</vt:lpstr>
      <vt:lpstr>SorghumHayDryland!YVarExp</vt:lpstr>
      <vt:lpstr>SorghumHayIrrigated!YVarExp</vt:lpstr>
      <vt:lpstr>StockersSummer!YVarExp</vt:lpstr>
      <vt:lpstr>StockerWinter!YVarExp</vt:lpstr>
      <vt:lpstr>SwitchgrassEstablish!YVarExp</vt:lpstr>
      <vt:lpstr>SwitchgrassGraze!YVarExp</vt:lpstr>
      <vt:lpstr>SwitchgrassHay!YVarExp</vt:lpstr>
      <vt:lpstr>TPCottonFurrow!YVarExp</vt:lpstr>
      <vt:lpstr>TPCottonPivot!YVarExp</vt:lpstr>
      <vt:lpstr>WheatDryland!YVarExp</vt:lpstr>
      <vt:lpstr>WheatIrrigated!YVarExp</vt:lpstr>
      <vt:lpstr>AlfalfaElPaso!YVarRet</vt:lpstr>
      <vt:lpstr>AlfalfaEstablish!YVarRet</vt:lpstr>
      <vt:lpstr>AlfalfaFloodDell!YVarRet</vt:lpstr>
      <vt:lpstr>AlfalfaHayFlood!YVarRet</vt:lpstr>
      <vt:lpstr>AlfalfaHayPivot!YVarRet</vt:lpstr>
      <vt:lpstr>AlfalfaPivotDell!YVarRet</vt:lpstr>
      <vt:lpstr>Angoras!YVarRet</vt:lpstr>
      <vt:lpstr>CowCalfNative!YVarRet</vt:lpstr>
      <vt:lpstr>'Crop Budget'!YVarRet</vt:lpstr>
      <vt:lpstr>ElPasoCotton!YVarRet</vt:lpstr>
      <vt:lpstr>'Livestock Budget'!YVarRet</vt:lpstr>
      <vt:lpstr>MeatGoats!YVarRet</vt:lpstr>
      <vt:lpstr>Onions!YVarRet</vt:lpstr>
      <vt:lpstr>Pecans!YVarRet</vt:lpstr>
      <vt:lpstr>RedChile!YVarRet</vt:lpstr>
      <vt:lpstr>SheepHair!YVarRet</vt:lpstr>
      <vt:lpstr>SheepWool!YVarRet</vt:lpstr>
      <vt:lpstr>SLCottonDrip!YVarRet</vt:lpstr>
      <vt:lpstr>SLCottonDrylandGM!YVarRet</vt:lpstr>
      <vt:lpstr>SLGSDrip!YVarRet</vt:lpstr>
      <vt:lpstr>SLXFCottonDrip!YVarRet</vt:lpstr>
      <vt:lpstr>SLXFCottonDryland!YVarRet</vt:lpstr>
      <vt:lpstr>SorghumHayDryland!YVarRet</vt:lpstr>
      <vt:lpstr>SorghumHayIrrigated!YVarRet</vt:lpstr>
      <vt:lpstr>StockersSummer!YVarRet</vt:lpstr>
      <vt:lpstr>StockerWinter!YVarRet</vt:lpstr>
      <vt:lpstr>SwitchgrassEstablish!YVarRet</vt:lpstr>
      <vt:lpstr>SwitchgrassGraze!YVarRet</vt:lpstr>
      <vt:lpstr>SwitchgrassHay!YVarRet</vt:lpstr>
      <vt:lpstr>TPCottonFurrow!YVarRet</vt:lpstr>
      <vt:lpstr>TPCottonPivot!YVarRet</vt:lpstr>
      <vt:lpstr>WheatDryland!YVarRet</vt:lpstr>
      <vt:lpstr>WheatIrrigated!YVarRet</vt:lpstr>
    </vt:vector>
  </TitlesOfParts>
  <Company>Texas AgriLIFE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Texas A&amp;M AgriLife Extension Service</dc:title>
  <dc:subject>Version 01.02.2012</dc:subject>
  <dc:creator>Cornforth, Gerald C</dc:creator>
  <cp:lastModifiedBy>Natalie A. Outlaw</cp:lastModifiedBy>
  <cp:lastPrinted>2020-08-20T17:38:09Z</cp:lastPrinted>
  <dcterms:created xsi:type="dcterms:W3CDTF">2005-09-27T19:38:29Z</dcterms:created>
  <dcterms:modified xsi:type="dcterms:W3CDTF">2024-04-16T20:25:04Z</dcterms:modified>
</cp:coreProperties>
</file>