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drawings/drawing3.xml" ContentType="application/vnd.openxmlformats-officedocument.drawing+xml"/>
  <Override PartName="/xl/comments34.xml" ContentType="application/vnd.openxmlformats-officedocument.spreadsheetml.comments+xml"/>
  <Override PartName="/xl/drawings/drawing4.xml" ContentType="application/vnd.openxmlformats-officedocument.drawing+xml"/>
  <Override PartName="/xl/comments35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My Drive\Extension Web\budgets\2024\D3\"/>
    </mc:Choice>
  </mc:AlternateContent>
  <xr:revisionPtr revIDLastSave="0" documentId="13_ncr:1_{89DE7DBB-13A0-457C-BD45-BBD21B18C621}" xr6:coauthVersionLast="47" xr6:coauthVersionMax="47" xr10:uidLastSave="{00000000-0000-0000-0000-000000000000}"/>
  <bookViews>
    <workbookView xWindow="11325" yWindow="1635" windowWidth="28800" windowHeight="18360" tabRatio="691" xr2:uid="{00000000-000D-0000-FFFF-FFFF00000000}"/>
  </bookViews>
  <sheets>
    <sheet name="Menu" sheetId="36" r:id="rId1"/>
    <sheet name="Links" sheetId="31" r:id="rId2"/>
    <sheet name="AlfalfaDrylandEstablish" sheetId="371" r:id="rId3"/>
    <sheet name="CoastalEstab" sheetId="563" r:id="rId4"/>
    <sheet name="AlfalfaHayDryland" sheetId="477" r:id="rId5"/>
    <sheet name="CoastalDryland" sheetId="565" r:id="rId6"/>
    <sheet name="AlfalfaIrrigatedEstablish" sheetId="426" r:id="rId7"/>
    <sheet name="AlfalfaHayIrrigated" sheetId="428" r:id="rId8"/>
    <sheet name="CottonDryland2X1" sheetId="430" r:id="rId9"/>
    <sheet name="CottonDrylandSolid" sheetId="436" r:id="rId10"/>
    <sheet name="Red Till Irrig Cotton" sheetId="539" r:id="rId11"/>
    <sheet name="Conv M Irrig Cotton" sheetId="543" r:id="rId12"/>
    <sheet name="Conv L Irrig Cotton" sheetId="545" r:id="rId13"/>
    <sheet name="Red Till L Irrig Cotton" sheetId="541" r:id="rId14"/>
    <sheet name="No Till Dryland Cotton" sheetId="525" r:id="rId15"/>
    <sheet name="NT Irrig M Cotton" sheetId="529" r:id="rId16"/>
    <sheet name="NT-CC2 Irr M Cotton" sheetId="547" r:id="rId17"/>
    <sheet name="NT-CC Irrig M Cotton" sheetId="533" r:id="rId18"/>
    <sheet name="NT-CC Irrig L Cotton" sheetId="535" r:id="rId19"/>
    <sheet name="NT Irrig L Cotton" sheetId="531" r:id="rId20"/>
    <sheet name="CottonIrrigated" sheetId="438" r:id="rId21"/>
    <sheet name="Peanuts" sheetId="432" r:id="rId22"/>
    <sheet name="SorghumDryland" sheetId="446" r:id="rId23"/>
    <sheet name="WheatDryland" sheetId="460" r:id="rId24"/>
    <sheet name="NoTill Wheat Dryland" sheetId="559" r:id="rId25"/>
    <sheet name="Wheat Irrigated" sheetId="557" r:id="rId26"/>
    <sheet name="OrganicDrylandWheat" sheetId="551" r:id="rId27"/>
    <sheet name="OrganicWheat Year 3" sheetId="553" r:id="rId28"/>
    <sheet name="Organic Summer HayCrop" sheetId="555" r:id="rId29"/>
    <sheet name="SmallGrain" sheetId="440" r:id="rId30"/>
    <sheet name="SD Fescue" sheetId="549" r:id="rId31"/>
    <sheet name="CanolaDryland" sheetId="442" r:id="rId32"/>
    <sheet name="CowCalf" sheetId="293" r:id="rId33"/>
    <sheet name="StockersMar1" sheetId="353" r:id="rId34"/>
    <sheet name="StockerGrazeOut" sheetId="523" r:id="rId35"/>
    <sheet name="Livestock Budget" sheetId="508" r:id="rId36"/>
    <sheet name="Crop Budget" sheetId="509" r:id="rId37"/>
    <sheet name="Comparative Returns - Cash Rent" sheetId="27" r:id="rId38"/>
    <sheet name="Comparative Returns-Share Rent" sheetId="476" r:id="rId39"/>
    <sheet name="Your Returns - Cash Rent" sheetId="480" r:id="rId40"/>
    <sheet name="Your Returns-Share Rent" sheetId="481" r:id="rId41"/>
  </sheets>
  <definedNames>
    <definedName name="_xlnm._FilterDatabase" localSheetId="2" hidden="1">AlfalfaDrylandEstablish!$C$27:$K$48</definedName>
    <definedName name="_xlnm._FilterDatabase" localSheetId="4" hidden="1">AlfalfaHayDryland!$C$79:$C$119</definedName>
    <definedName name="_xlnm._FilterDatabase" localSheetId="7" hidden="1">AlfalfaHayIrrigated!$C$84:$C$124</definedName>
    <definedName name="_xlnm._FilterDatabase" localSheetId="6" hidden="1">AlfalfaIrrigatedEstablish!$C$83:$C$123</definedName>
    <definedName name="_xlnm._FilterDatabase" localSheetId="31" hidden="1">CanolaDryland!$C$82:$C$122</definedName>
    <definedName name="_xlnm._FilterDatabase" localSheetId="5" hidden="1">CoastalDryland!$C$77:$C$117</definedName>
    <definedName name="_xlnm._FilterDatabase" localSheetId="3" hidden="1">CoastalEstab!$C$29:$K$50</definedName>
    <definedName name="_xlnm._FilterDatabase" localSheetId="12" hidden="1">'Conv L Irrig Cotton'!$C$94:$C$134</definedName>
    <definedName name="_xlnm._FilterDatabase" localSheetId="11" hidden="1">'Conv M Irrig Cotton'!$C$93:$C$133</definedName>
    <definedName name="_xlnm._FilterDatabase" localSheetId="8" hidden="1">CottonDryland2X1!$C$84:$C$124</definedName>
    <definedName name="_xlnm._FilterDatabase" localSheetId="9" hidden="1">CottonDrylandSolid!$C$89:$C$129</definedName>
    <definedName name="_xlnm._FilterDatabase" localSheetId="20" hidden="1">CottonIrrigated!$C$97:$C$137</definedName>
    <definedName name="_xlnm._FilterDatabase" localSheetId="14" hidden="1">'No Till Dryland Cotton'!$C$90:$C$130</definedName>
    <definedName name="_xlnm._FilterDatabase" localSheetId="24" hidden="1">'NoTill Wheat Dryland'!$C$89:$C$129</definedName>
    <definedName name="_xlnm._FilterDatabase" localSheetId="19" hidden="1">'NT Irrig L Cotton'!$C$98:$C$138</definedName>
    <definedName name="_xlnm._FilterDatabase" localSheetId="15" hidden="1">'NT Irrig M Cotton'!$C$97:$C$137</definedName>
    <definedName name="_xlnm._FilterDatabase" localSheetId="18" hidden="1">'NT-CC Irrig L Cotton'!$C$98:$C$138</definedName>
    <definedName name="_xlnm._FilterDatabase" localSheetId="17" hidden="1">'NT-CC Irrig M Cotton'!$C$97:$C$137</definedName>
    <definedName name="_xlnm._FilterDatabase" localSheetId="16" hidden="1">'NT-CC2 Irr M Cotton'!$C$97:$C$137</definedName>
    <definedName name="_xlnm._FilterDatabase" localSheetId="28" hidden="1">'Organic Summer HayCrop'!$C$75:$C$115</definedName>
    <definedName name="_xlnm._FilterDatabase" localSheetId="26" hidden="1">OrganicDrylandWheat!$C$79:$C$119</definedName>
    <definedName name="_xlnm._FilterDatabase" localSheetId="27" hidden="1">'OrganicWheat Year 3'!$C$78:$C$118</definedName>
    <definedName name="_xlnm._FilterDatabase" localSheetId="21" hidden="1">Peanuts!$C$88:$C$128</definedName>
    <definedName name="_xlnm._FilterDatabase" localSheetId="10" hidden="1">'Red Till Irrig Cotton'!$C$95:$C$135</definedName>
    <definedName name="_xlnm._FilterDatabase" localSheetId="13" hidden="1">'Red Till L Irrig Cotton'!$C$96:$C$136</definedName>
    <definedName name="_xlnm._FilterDatabase" localSheetId="30" hidden="1">'SD Fescue'!$C$75:$C$115</definedName>
    <definedName name="_xlnm._FilterDatabase" localSheetId="29" hidden="1">SmallGrain!$C$73:$C$113</definedName>
    <definedName name="_xlnm._FilterDatabase" localSheetId="22" hidden="1">SorghumDryland!$C$83:$C$123</definedName>
    <definedName name="_xlnm._FilterDatabase" localSheetId="25" hidden="1">'Wheat Irrigated'!$C$92:$C$132</definedName>
    <definedName name="_xlnm._FilterDatabase" localSheetId="23" hidden="1">WheatDryland!$C$89:$C$129</definedName>
    <definedName name="LTotExp" localSheetId="2">AlfalfaDrylandEstablish!$M$72</definedName>
    <definedName name="LTotExp" localSheetId="4">AlfalfaHayDryland!$M$73</definedName>
    <definedName name="LTotExp" localSheetId="7">AlfalfaHayIrrigated!$M$78</definedName>
    <definedName name="LTotExp" localSheetId="6">AlfalfaIrrigatedEstablish!$M$77</definedName>
    <definedName name="LTotExp" localSheetId="31">CanolaDryland!$M$76</definedName>
    <definedName name="LTotExp" localSheetId="5">CoastalDryland!$M$71</definedName>
    <definedName name="LTotExp" localSheetId="3">CoastalEstab!$M$74</definedName>
    <definedName name="LTotExp" localSheetId="12">'Conv L Irrig Cotton'!$M$88</definedName>
    <definedName name="LTotExp" localSheetId="11">'Conv M Irrig Cotton'!$M$87</definedName>
    <definedName name="LTotExp" localSheetId="8">CottonDryland2X1!$M$78</definedName>
    <definedName name="LTotExp" localSheetId="9">CottonDrylandSolid!$M$83</definedName>
    <definedName name="LTotExp" localSheetId="20">CottonIrrigated!$M$91</definedName>
    <definedName name="LTotExp" localSheetId="14">'No Till Dryland Cotton'!$M$84</definedName>
    <definedName name="LTotExp" localSheetId="24">'NoTill Wheat Dryland'!$M$83</definedName>
    <definedName name="LTotExp" localSheetId="19">'NT Irrig L Cotton'!$M$92</definedName>
    <definedName name="LTotExp" localSheetId="15">'NT Irrig M Cotton'!$M$91</definedName>
    <definedName name="LTotExp" localSheetId="18">'NT-CC Irrig L Cotton'!$M$92</definedName>
    <definedName name="LTotExp" localSheetId="17">'NT-CC Irrig M Cotton'!$M$91</definedName>
    <definedName name="LTotExp" localSheetId="16">'NT-CC2 Irr M Cotton'!$M$91</definedName>
    <definedName name="LTotExp" localSheetId="28">'Organic Summer HayCrop'!$M$69</definedName>
    <definedName name="LTotExp" localSheetId="26">OrganicDrylandWheat!$M$73</definedName>
    <definedName name="LTotExp" localSheetId="27">'OrganicWheat Year 3'!$M$72</definedName>
    <definedName name="LTotExp" localSheetId="21">Peanuts!$M$82</definedName>
    <definedName name="LTotExp" localSheetId="10">'Red Till Irrig Cotton'!$M$89</definedName>
    <definedName name="LTotExp" localSheetId="13">'Red Till L Irrig Cotton'!$M$90</definedName>
    <definedName name="LTotExp" localSheetId="30">'SD Fescue'!$M$69</definedName>
    <definedName name="LTotExp" localSheetId="29">SmallGrain!$M$67</definedName>
    <definedName name="LTotExp" localSheetId="22">SorghumDryland!$M$77</definedName>
    <definedName name="LTotExp" localSheetId="25">'Wheat Irrigated'!$M$86</definedName>
    <definedName name="LTotExp" localSheetId="23">WheatDryland!$M$83</definedName>
    <definedName name="LTotRet" localSheetId="2">AlfalfaDrylandEstablish!$M$74</definedName>
    <definedName name="LTotRet" localSheetId="4">AlfalfaHayDryland!$M$75</definedName>
    <definedName name="LTotRet" localSheetId="7">AlfalfaHayIrrigated!$M$80</definedName>
    <definedName name="LTotRet" localSheetId="6">AlfalfaIrrigatedEstablish!$M$79</definedName>
    <definedName name="LTotRet" localSheetId="31">CanolaDryland!$M$78</definedName>
    <definedName name="LTotRet" localSheetId="5">CoastalDryland!$M$73</definedName>
    <definedName name="LTotRet" localSheetId="3">CoastalEstab!$M$76</definedName>
    <definedName name="LTotRet" localSheetId="12">'Conv L Irrig Cotton'!$M$90</definedName>
    <definedName name="LTotRet" localSheetId="11">'Conv M Irrig Cotton'!$M$89</definedName>
    <definedName name="LTotRet" localSheetId="8">CottonDryland2X1!$M$80</definedName>
    <definedName name="LTotRet" localSheetId="9">CottonDrylandSolid!$M$85</definedName>
    <definedName name="LTotRet" localSheetId="20">CottonIrrigated!$M$93</definedName>
    <definedName name="LTotRet" localSheetId="14">'No Till Dryland Cotton'!$M$86</definedName>
    <definedName name="LTotRet" localSheetId="24">'NoTill Wheat Dryland'!$M$85</definedName>
    <definedName name="LTotRet" localSheetId="19">'NT Irrig L Cotton'!$M$94</definedName>
    <definedName name="LTotRet" localSheetId="15">'NT Irrig M Cotton'!$M$93</definedName>
    <definedName name="LTotRet" localSheetId="18">'NT-CC Irrig L Cotton'!$M$94</definedName>
    <definedName name="LTotRet" localSheetId="17">'NT-CC Irrig M Cotton'!$M$93</definedName>
    <definedName name="LTotRet" localSheetId="16">'NT-CC2 Irr M Cotton'!$M$93</definedName>
    <definedName name="LTotRet" localSheetId="28">'Organic Summer HayCrop'!$M$71</definedName>
    <definedName name="LTotRet" localSheetId="26">OrganicDrylandWheat!$M$75</definedName>
    <definedName name="LTotRet" localSheetId="27">'OrganicWheat Year 3'!$M$74</definedName>
    <definedName name="LTotRet" localSheetId="21">Peanuts!$M$84</definedName>
    <definedName name="LTotRet" localSheetId="10">'Red Till Irrig Cotton'!$M$91</definedName>
    <definedName name="LTotRet" localSheetId="13">'Red Till L Irrig Cotton'!$M$92</definedName>
    <definedName name="LTotRet" localSheetId="30">'SD Fescue'!$M$71</definedName>
    <definedName name="LTotRet" localSheetId="29">SmallGrain!$M$69</definedName>
    <definedName name="LTotRet" localSheetId="22">SorghumDryland!$M$79</definedName>
    <definedName name="LTotRet" localSheetId="25">'Wheat Irrigated'!$M$88</definedName>
    <definedName name="LTotRet" localSheetId="23">WheatDryland!$M$85</definedName>
    <definedName name="LVarExp" localSheetId="2">AlfalfaDrylandEstablish!$M$50</definedName>
    <definedName name="LVarExp" localSheetId="4">AlfalfaHayDryland!$M$55</definedName>
    <definedName name="LVarExp" localSheetId="7">AlfalfaHayIrrigated!$M$58</definedName>
    <definedName name="LVarExp" localSheetId="6">AlfalfaIrrigatedEstablish!$M$53</definedName>
    <definedName name="LVarExp" localSheetId="31">CanolaDryland!$M$56</definedName>
    <definedName name="LVarExp" localSheetId="5">CoastalDryland!$M$53</definedName>
    <definedName name="LVarExp" localSheetId="3">CoastalEstab!$M$52</definedName>
    <definedName name="LVarExp" localSheetId="12">'Conv L Irrig Cotton'!$M$64</definedName>
    <definedName name="LVarExp" localSheetId="11">'Conv M Irrig Cotton'!$M$63</definedName>
    <definedName name="LVarExp" localSheetId="8">CottonDryland2X1!$M$56</definedName>
    <definedName name="LVarExp" localSheetId="9">CottonDrylandSolid!$M$61</definedName>
    <definedName name="LVarExp" localSheetId="20">CottonIrrigated!$M$67</definedName>
    <definedName name="LVarExp" localSheetId="14">'No Till Dryland Cotton'!$M$62</definedName>
    <definedName name="LVarExp" localSheetId="24">'NoTill Wheat Dryland'!$M$61</definedName>
    <definedName name="LVarExp" localSheetId="19">'NT Irrig L Cotton'!$M$68</definedName>
    <definedName name="LVarExp" localSheetId="15">'NT Irrig M Cotton'!$M$67</definedName>
    <definedName name="LVarExp" localSheetId="18">'NT-CC Irrig L Cotton'!$M$68</definedName>
    <definedName name="LVarExp" localSheetId="17">'NT-CC Irrig M Cotton'!$M$69</definedName>
    <definedName name="LVarExp" localSheetId="16">'NT-CC2 Irr M Cotton'!$M$67</definedName>
    <definedName name="LVarExp" localSheetId="28">'Organic Summer HayCrop'!$M$47</definedName>
    <definedName name="LVarExp" localSheetId="26">OrganicDrylandWheat!$M$51</definedName>
    <definedName name="LVarExp" localSheetId="27">'OrganicWheat Year 3'!$M$50</definedName>
    <definedName name="LVarExp" localSheetId="21">Peanuts!$M$58</definedName>
    <definedName name="LVarExp" localSheetId="10">'Red Till Irrig Cotton'!$M$65</definedName>
    <definedName name="LVarExp" localSheetId="13">'Red Till L Irrig Cotton'!$M$66</definedName>
    <definedName name="LVarExp" localSheetId="30">'SD Fescue'!$M$49</definedName>
    <definedName name="LVarExp" localSheetId="29">SmallGrain!$M$47</definedName>
    <definedName name="LVarExp" localSheetId="22">SorghumDryland!$M$55</definedName>
    <definedName name="LVarExp" localSheetId="25">'Wheat Irrigated'!$M$62</definedName>
    <definedName name="LVarExp" localSheetId="23">WheatDryland!$M$61</definedName>
    <definedName name="LVarRet" localSheetId="2">AlfalfaDrylandEstablish!$M$51</definedName>
    <definedName name="LVarRet" localSheetId="4">AlfalfaHayDryland!$M$56</definedName>
    <definedName name="LVarRet" localSheetId="7">AlfalfaHayIrrigated!$M$59</definedName>
    <definedName name="LVarRet" localSheetId="6">AlfalfaIrrigatedEstablish!$M$54</definedName>
    <definedName name="LVarRet" localSheetId="31">CanolaDryland!$M$57</definedName>
    <definedName name="LVarRet" localSheetId="5">CoastalDryland!$M$54</definedName>
    <definedName name="LVarRet" localSheetId="3">CoastalEstab!$M$53</definedName>
    <definedName name="LVarRet" localSheetId="12">'Conv L Irrig Cotton'!$M$65</definedName>
    <definedName name="LVarRet" localSheetId="11">'Conv M Irrig Cotton'!$M$64</definedName>
    <definedName name="LVarRet" localSheetId="8">CottonDryland2X1!$M$57</definedName>
    <definedName name="LVarRet" localSheetId="9">CottonDrylandSolid!$M$62</definedName>
    <definedName name="LVarRet" localSheetId="20">CottonIrrigated!$M$68</definedName>
    <definedName name="LVarRet" localSheetId="14">'No Till Dryland Cotton'!$M$63</definedName>
    <definedName name="LVarRet" localSheetId="24">'NoTill Wheat Dryland'!$M$62</definedName>
    <definedName name="LVarRet" localSheetId="19">'NT Irrig L Cotton'!$M$69</definedName>
    <definedName name="LVarRet" localSheetId="15">'NT Irrig M Cotton'!$M$68</definedName>
    <definedName name="LVarRet" localSheetId="18">'NT-CC Irrig L Cotton'!$M$69</definedName>
    <definedName name="LVarRet" localSheetId="17">'NT-CC Irrig M Cotton'!$M$70</definedName>
    <definedName name="LVarRet" localSheetId="16">'NT-CC2 Irr M Cotton'!$M$68</definedName>
    <definedName name="LVarRet" localSheetId="28">'Organic Summer HayCrop'!$M$48</definedName>
    <definedName name="LVarRet" localSheetId="26">OrganicDrylandWheat!$M$52</definedName>
    <definedName name="LVarRet" localSheetId="27">'OrganicWheat Year 3'!$M$51</definedName>
    <definedName name="LVarRet" localSheetId="21">Peanuts!$M$59</definedName>
    <definedName name="LVarRet" localSheetId="10">'Red Till Irrig Cotton'!$M$66</definedName>
    <definedName name="LVarRet" localSheetId="13">'Red Till L Irrig Cotton'!$M$67</definedName>
    <definedName name="LVarRet" localSheetId="30">'SD Fescue'!$M$50</definedName>
    <definedName name="LVarRet" localSheetId="29">SmallGrain!$M$48</definedName>
    <definedName name="LVarRet" localSheetId="22">SorghumDryland!$M$56</definedName>
    <definedName name="LVarRet" localSheetId="25">'Wheat Irrigated'!$M$63</definedName>
    <definedName name="LVarRet" localSheetId="23">WheatDryland!$M$62</definedName>
    <definedName name="Price" localSheetId="2">AlfalfaDrylandEstablish!$G$10</definedName>
    <definedName name="Price" localSheetId="4">AlfalfaHayDryland!$G$10</definedName>
    <definedName name="Price" localSheetId="7">AlfalfaHayIrrigated!$G$10</definedName>
    <definedName name="Price" localSheetId="6">AlfalfaIrrigatedEstablish!$G$10</definedName>
    <definedName name="Price" localSheetId="31">CanolaDryland!$G$10</definedName>
    <definedName name="Price" localSheetId="5">CoastalDryland!$G$10</definedName>
    <definedName name="Price" localSheetId="3">CoastalEstab!$G$10</definedName>
    <definedName name="Price" localSheetId="12">'Conv L Irrig Cotton'!$G$10</definedName>
    <definedName name="Price" localSheetId="11">'Conv M Irrig Cotton'!$G$10</definedName>
    <definedName name="Price" localSheetId="8">CottonDryland2X1!$G$10</definedName>
    <definedName name="Price" localSheetId="9">CottonDrylandSolid!$G$10</definedName>
    <definedName name="Price" localSheetId="20">CottonIrrigated!$G$10</definedName>
    <definedName name="Price" localSheetId="32">CowCalf!$K$81</definedName>
    <definedName name="Price" localSheetId="14">'No Till Dryland Cotton'!$G$10</definedName>
    <definedName name="Price" localSheetId="24">'NoTill Wheat Dryland'!$G$10</definedName>
    <definedName name="Price" localSheetId="19">'NT Irrig L Cotton'!$G$10</definedName>
    <definedName name="Price" localSheetId="15">'NT Irrig M Cotton'!$G$10</definedName>
    <definedName name="Price" localSheetId="18">'NT-CC Irrig L Cotton'!$G$10</definedName>
    <definedName name="Price" localSheetId="17">'NT-CC Irrig M Cotton'!$G$10</definedName>
    <definedName name="Price" localSheetId="16">'NT-CC2 Irr M Cotton'!$G$10</definedName>
    <definedName name="Price" localSheetId="28">'Organic Summer HayCrop'!$G$10</definedName>
    <definedName name="Price" localSheetId="26">OrganicDrylandWheat!$G$10</definedName>
    <definedName name="Price" localSheetId="27">'OrganicWheat Year 3'!$G$10</definedName>
    <definedName name="Price" localSheetId="21">Peanuts!$G$10</definedName>
    <definedName name="Price" localSheetId="10">'Red Till Irrig Cotton'!$G$10</definedName>
    <definedName name="Price" localSheetId="13">'Red Till L Irrig Cotton'!$G$10</definedName>
    <definedName name="Price" localSheetId="30">'SD Fescue'!$G$10</definedName>
    <definedName name="Price" localSheetId="29">SmallGrain!$G$10</definedName>
    <definedName name="Price" localSheetId="22">SorghumDryland!$G$10</definedName>
    <definedName name="Price" localSheetId="34">StockerGrazeOut!$I$11</definedName>
    <definedName name="Price" localSheetId="33">StockersMar1!$I$11</definedName>
    <definedName name="Price" localSheetId="25">'Wheat Irrigated'!$G$10</definedName>
    <definedName name="Price" localSheetId="23">WheatDryland!$G$10</definedName>
    <definedName name="_xlnm.Print_Area" localSheetId="2">AlfalfaDrylandEstablish!$A:$Q</definedName>
    <definedName name="_xlnm.Print_Area" localSheetId="4">AlfalfaHayDryland!$A:$Q</definedName>
    <definedName name="_xlnm.Print_Area" localSheetId="7">AlfalfaHayIrrigated!$A:$Q</definedName>
    <definedName name="_xlnm.Print_Area" localSheetId="6">AlfalfaIrrigatedEstablish!$A:$Q</definedName>
    <definedName name="_xlnm.Print_Area" localSheetId="31">CanolaDryland!$A:$Q</definedName>
    <definedName name="_xlnm.Print_Area" localSheetId="5">CoastalDryland!$A:$Q</definedName>
    <definedName name="_xlnm.Print_Area" localSheetId="3">CoastalEstab!$A:$Q</definedName>
    <definedName name="_xlnm.Print_Area" localSheetId="37">'Comparative Returns - Cash Rent'!$A$1:$K$43</definedName>
    <definedName name="_xlnm.Print_Area" localSheetId="38">'Comparative Returns-Share Rent'!$A$1:$N$43</definedName>
    <definedName name="_xlnm.Print_Area" localSheetId="12">'Conv L Irrig Cotton'!$A:$Q</definedName>
    <definedName name="_xlnm.Print_Area" localSheetId="11">'Conv M Irrig Cotton'!$A:$Q</definedName>
    <definedName name="_xlnm.Print_Area" localSheetId="8">CottonDryland2X1!$A:$Q</definedName>
    <definedName name="_xlnm.Print_Area" localSheetId="9">CottonDrylandSolid!$A:$Q</definedName>
    <definedName name="_xlnm.Print_Area" localSheetId="20">CottonIrrigated!$A:$Q</definedName>
    <definedName name="_xlnm.Print_Area" localSheetId="32">CowCalf!$A:$N</definedName>
    <definedName name="_xlnm.Print_Area" localSheetId="1">Links!$B$2:$J$23</definedName>
    <definedName name="_xlnm.Print_Area" localSheetId="14">'No Till Dryland Cotton'!$A:$Q</definedName>
    <definedName name="_xlnm.Print_Area" localSheetId="24">'NoTill Wheat Dryland'!$A:$Q</definedName>
    <definedName name="_xlnm.Print_Area" localSheetId="19">'NT Irrig L Cotton'!$A:$Q</definedName>
    <definedName name="_xlnm.Print_Area" localSheetId="15">'NT Irrig M Cotton'!$A:$Q</definedName>
    <definedName name="_xlnm.Print_Area" localSheetId="18">'NT-CC Irrig L Cotton'!$A:$Q</definedName>
    <definedName name="_xlnm.Print_Area" localSheetId="17">'NT-CC Irrig M Cotton'!$A:$Q</definedName>
    <definedName name="_xlnm.Print_Area" localSheetId="16">'NT-CC2 Irr M Cotton'!$A:$Q</definedName>
    <definedName name="_xlnm.Print_Area" localSheetId="28">'Organic Summer HayCrop'!$A:$Q</definedName>
    <definedName name="_xlnm.Print_Area" localSheetId="26">OrganicDrylandWheat!$A:$Q</definedName>
    <definedName name="_xlnm.Print_Area" localSheetId="27">'OrganicWheat Year 3'!$A:$Q</definedName>
    <definedName name="_xlnm.Print_Area" localSheetId="21">Peanuts!$A:$Q</definedName>
    <definedName name="_xlnm.Print_Area" localSheetId="10">'Red Till Irrig Cotton'!$A:$Q</definedName>
    <definedName name="_xlnm.Print_Area" localSheetId="13">'Red Till L Irrig Cotton'!$A:$Q</definedName>
    <definedName name="_xlnm.Print_Area" localSheetId="30">'SD Fescue'!$A:$Q</definedName>
    <definedName name="_xlnm.Print_Area" localSheetId="29">SmallGrain!$A:$Q</definedName>
    <definedName name="_xlnm.Print_Area" localSheetId="22">SorghumDryland!$A:$Q</definedName>
    <definedName name="_xlnm.Print_Area" localSheetId="34">StockerGrazeOut!$A:$N</definedName>
    <definedName name="_xlnm.Print_Area" localSheetId="33">StockersMar1!$A:$N</definedName>
    <definedName name="_xlnm.Print_Area" localSheetId="25">'Wheat Irrigated'!$A:$Q</definedName>
    <definedName name="_xlnm.Print_Area" localSheetId="23">WheatDryland!$A:$Q</definedName>
    <definedName name="_xlnm.Print_Area" localSheetId="39">'Your Returns - Cash Rent'!$A$1:$L$43</definedName>
    <definedName name="_xlnm.Print_Area" localSheetId="40">'Your Returns-Share Rent'!$A$1:$O$60</definedName>
    <definedName name="_xlnm.Print_Titles" localSheetId="37">'Comparative Returns - Cash Rent'!$A:$A</definedName>
    <definedName name="_xlnm.Print_Titles" localSheetId="38">'Comparative Returns-Share Rent'!$A:$A</definedName>
    <definedName name="_xlnm.Print_Titles" localSheetId="39">'Your Returns - Cash Rent'!$A:$A</definedName>
    <definedName name="_xlnm.Print_Titles" localSheetId="40">'Your Returns-Share Rent'!$A:$A</definedName>
    <definedName name="TotExp" localSheetId="2">AlfalfaDrylandEstablish!$I$72</definedName>
    <definedName name="TotExp" localSheetId="4">AlfalfaHayDryland!$I$73</definedName>
    <definedName name="TotExp" localSheetId="7">AlfalfaHayIrrigated!$I$78</definedName>
    <definedName name="TotExp" localSheetId="6">AlfalfaIrrigatedEstablish!$I$77</definedName>
    <definedName name="TotExp" localSheetId="31">CanolaDryland!$I$76</definedName>
    <definedName name="TotExp" localSheetId="5">CoastalDryland!$I$71</definedName>
    <definedName name="TotExp" localSheetId="3">CoastalEstab!$I$74</definedName>
    <definedName name="TotExp" localSheetId="12">'Conv L Irrig Cotton'!$I$88</definedName>
    <definedName name="TotExp" localSheetId="11">'Conv M Irrig Cotton'!$I$87</definedName>
    <definedName name="TotExp" localSheetId="8">CottonDryland2X1!$I$78</definedName>
    <definedName name="TotExp" localSheetId="9">CottonDrylandSolid!$I$83</definedName>
    <definedName name="TotExp" localSheetId="20">CottonIrrigated!$I$91</definedName>
    <definedName name="TotExp" localSheetId="32">CowCalf!$K$67</definedName>
    <definedName name="TotExp" localSheetId="14">'No Till Dryland Cotton'!$I$84</definedName>
    <definedName name="TotExp" localSheetId="24">'NoTill Wheat Dryland'!$I$83</definedName>
    <definedName name="TotExp" localSheetId="19">'NT Irrig L Cotton'!$I$92</definedName>
    <definedName name="TotExp" localSheetId="15">'NT Irrig M Cotton'!$I$91</definedName>
    <definedName name="TotExp" localSheetId="18">'NT-CC Irrig L Cotton'!$I$92</definedName>
    <definedName name="TotExp" localSheetId="17">'NT-CC Irrig M Cotton'!$I$91</definedName>
    <definedName name="TotExp" localSheetId="16">'NT-CC2 Irr M Cotton'!$I$91</definedName>
    <definedName name="TotExp" localSheetId="28">'Organic Summer HayCrop'!$I$69</definedName>
    <definedName name="TotExp" localSheetId="26">OrganicDrylandWheat!$I$73</definedName>
    <definedName name="TotExp" localSheetId="27">'OrganicWheat Year 3'!$I$72</definedName>
    <definedName name="TotExp" localSheetId="21">Peanuts!$I$82</definedName>
    <definedName name="TotExp" localSheetId="10">'Red Till Irrig Cotton'!$I$89</definedName>
    <definedName name="TotExp" localSheetId="13">'Red Till L Irrig Cotton'!$I$90</definedName>
    <definedName name="TotExp" localSheetId="30">'SD Fescue'!$I$69</definedName>
    <definedName name="TotExp" localSheetId="29">SmallGrain!$I$67</definedName>
    <definedName name="TotExp" localSheetId="22">SorghumDryland!$I$77</definedName>
    <definedName name="TotExp" localSheetId="34">StockerGrazeOut!$K$66</definedName>
    <definedName name="TotExp" localSheetId="33">StockersMar1!$K$65</definedName>
    <definedName name="TotExp" localSheetId="25">'Wheat Irrigated'!$I$86</definedName>
    <definedName name="TotExp" localSheetId="23">WheatDryland!$I$83</definedName>
    <definedName name="TotRet" localSheetId="2">AlfalfaDrylandEstablish!$I$74</definedName>
    <definedName name="TotRet" localSheetId="4">AlfalfaHayDryland!$I$75</definedName>
    <definedName name="TotRet" localSheetId="7">AlfalfaHayIrrigated!$I$80</definedName>
    <definedName name="TotRet" localSheetId="6">AlfalfaIrrigatedEstablish!$I$79</definedName>
    <definedName name="TotRet" localSheetId="31">CanolaDryland!$I$78</definedName>
    <definedName name="TotRet" localSheetId="5">CoastalDryland!$I$73</definedName>
    <definedName name="TotRet" localSheetId="3">CoastalEstab!$I$76</definedName>
    <definedName name="TotRet" localSheetId="12">'Conv L Irrig Cotton'!$I$90</definedName>
    <definedName name="TotRet" localSheetId="11">'Conv M Irrig Cotton'!$I$89</definedName>
    <definedName name="TotRet" localSheetId="8">CottonDryland2X1!$I$80</definedName>
    <definedName name="TotRet" localSheetId="9">CottonDrylandSolid!$I$85</definedName>
    <definedName name="TotRet" localSheetId="20">CottonIrrigated!$I$93</definedName>
    <definedName name="TotRet" localSheetId="32">CowCalf!$K$68</definedName>
    <definedName name="TotRet" localSheetId="14">'No Till Dryland Cotton'!$I$86</definedName>
    <definedName name="TotRet" localSheetId="24">'NoTill Wheat Dryland'!$I$85</definedName>
    <definedName name="TotRet" localSheetId="19">'NT Irrig L Cotton'!$I$94</definedName>
    <definedName name="TotRet" localSheetId="15">'NT Irrig M Cotton'!$I$93</definedName>
    <definedName name="TotRet" localSheetId="18">'NT-CC Irrig L Cotton'!$I$94</definedName>
    <definedName name="TotRet" localSheetId="17">'NT-CC Irrig M Cotton'!$I$93</definedName>
    <definedName name="TotRet" localSheetId="16">'NT-CC2 Irr M Cotton'!$I$93</definedName>
    <definedName name="TotRet" localSheetId="28">'Organic Summer HayCrop'!$I$71</definedName>
    <definedName name="TotRet" localSheetId="26">OrganicDrylandWheat!$I$75</definedName>
    <definedName name="TotRet" localSheetId="27">'OrganicWheat Year 3'!$I$74</definedName>
    <definedName name="TotRet" localSheetId="21">Peanuts!$I$84</definedName>
    <definedName name="TotRet" localSheetId="10">'Red Till Irrig Cotton'!$I$91</definedName>
    <definedName name="TotRet" localSheetId="13">'Red Till L Irrig Cotton'!$I$92</definedName>
    <definedName name="TotRet" localSheetId="30">'SD Fescue'!$I$71</definedName>
    <definedName name="TotRet" localSheetId="29">SmallGrain!$I$69</definedName>
    <definedName name="TotRet" localSheetId="22">SorghumDryland!$I$79</definedName>
    <definedName name="TotRet" localSheetId="34">StockerGrazeOut!$K$68</definedName>
    <definedName name="TotRet" localSheetId="33">StockersMar1!$K$67</definedName>
    <definedName name="TotRet" localSheetId="25">'Wheat Irrigated'!$I$88</definedName>
    <definedName name="TotRet" localSheetId="23">WheatDryland!$I$85</definedName>
    <definedName name="TTotExp" localSheetId="2">AlfalfaDrylandEstablish!$O$72</definedName>
    <definedName name="TTotExp" localSheetId="4">AlfalfaHayDryland!$O$73</definedName>
    <definedName name="TTotExp" localSheetId="7">AlfalfaHayIrrigated!$O$78</definedName>
    <definedName name="TTotExp" localSheetId="6">AlfalfaIrrigatedEstablish!$O$77</definedName>
    <definedName name="TTotExp" localSheetId="31">CanolaDryland!$O$76</definedName>
    <definedName name="TTotExp" localSheetId="5">CoastalDryland!$O$71</definedName>
    <definedName name="TTotExp" localSheetId="3">CoastalEstab!$O$74</definedName>
    <definedName name="TTotExp" localSheetId="12">'Conv L Irrig Cotton'!$O$88</definedName>
    <definedName name="TTotExp" localSheetId="11">'Conv M Irrig Cotton'!$O$87</definedName>
    <definedName name="TTotExp" localSheetId="8">CottonDryland2X1!$O$78</definedName>
    <definedName name="TTotExp" localSheetId="9">CottonDrylandSolid!$O$83</definedName>
    <definedName name="TTotExp" localSheetId="20">CottonIrrigated!$O$91</definedName>
    <definedName name="TTotExp" localSheetId="14">'No Till Dryland Cotton'!$O$84</definedName>
    <definedName name="TTotExp" localSheetId="24">'NoTill Wheat Dryland'!$O$83</definedName>
    <definedName name="TTotExp" localSheetId="19">'NT Irrig L Cotton'!$O$92</definedName>
    <definedName name="TTotExp" localSheetId="15">'NT Irrig M Cotton'!$O$91</definedName>
    <definedName name="TTotExp" localSheetId="18">'NT-CC Irrig L Cotton'!$O$92</definedName>
    <definedName name="TTotExp" localSheetId="17">'NT-CC Irrig M Cotton'!$O$91</definedName>
    <definedName name="TTotExp" localSheetId="16">'NT-CC2 Irr M Cotton'!$O$91</definedName>
    <definedName name="TTotExp" localSheetId="28">'Organic Summer HayCrop'!$O$69</definedName>
    <definedName name="TTotExp" localSheetId="26">OrganicDrylandWheat!$O$73</definedName>
    <definedName name="TTotExp" localSheetId="27">'OrganicWheat Year 3'!$O$72</definedName>
    <definedName name="TTotExp" localSheetId="21">Peanuts!$O$82</definedName>
    <definedName name="TTotExp" localSheetId="10">'Red Till Irrig Cotton'!$O$89</definedName>
    <definedName name="TTotExp" localSheetId="13">'Red Till L Irrig Cotton'!$O$90</definedName>
    <definedName name="TTotExp" localSheetId="30">'SD Fescue'!$O$69</definedName>
    <definedName name="TTotExp" localSheetId="29">SmallGrain!$O$67</definedName>
    <definedName name="TTotExp" localSheetId="22">SorghumDryland!$O$77</definedName>
    <definedName name="TTotExp" localSheetId="25">'Wheat Irrigated'!$O$86</definedName>
    <definedName name="TTotExp" localSheetId="23">WheatDryland!$O$83</definedName>
    <definedName name="TTotRet" localSheetId="2">AlfalfaDrylandEstablish!$O$74</definedName>
    <definedName name="TTotRet" localSheetId="4">AlfalfaHayDryland!$O$75</definedName>
    <definedName name="TTotRet" localSheetId="7">AlfalfaHayIrrigated!$O$80</definedName>
    <definedName name="TTotRet" localSheetId="6">AlfalfaIrrigatedEstablish!$O$79</definedName>
    <definedName name="TTotRet" localSheetId="31">CanolaDryland!$O$78</definedName>
    <definedName name="TTotRet" localSheetId="5">CoastalDryland!$O$73</definedName>
    <definedName name="TTotRet" localSheetId="3">CoastalEstab!$O$76</definedName>
    <definedName name="TTotRet" localSheetId="12">'Conv L Irrig Cotton'!$O$90</definedName>
    <definedName name="TTotRet" localSheetId="11">'Conv M Irrig Cotton'!$O$89</definedName>
    <definedName name="TTotRet" localSheetId="8">CottonDryland2X1!$O$80</definedName>
    <definedName name="TTotRet" localSheetId="9">CottonDrylandSolid!$O$85</definedName>
    <definedName name="TTotRet" localSheetId="20">CottonIrrigated!$O$93</definedName>
    <definedName name="TTotRet" localSheetId="14">'No Till Dryland Cotton'!$O$86</definedName>
    <definedName name="TTotRet" localSheetId="24">'NoTill Wheat Dryland'!$O$85</definedName>
    <definedName name="TTotRet" localSheetId="19">'NT Irrig L Cotton'!$O$94</definedName>
    <definedName name="TTotRet" localSheetId="15">'NT Irrig M Cotton'!$O$93</definedName>
    <definedName name="TTotRet" localSheetId="18">'NT-CC Irrig L Cotton'!$O$94</definedName>
    <definedName name="TTotRet" localSheetId="17">'NT-CC Irrig M Cotton'!$O$93</definedName>
    <definedName name="TTotRet" localSheetId="16">'NT-CC2 Irr M Cotton'!$O$93</definedName>
    <definedName name="TTotRet" localSheetId="28">'Organic Summer HayCrop'!$O$71</definedName>
    <definedName name="TTotRet" localSheetId="26">OrganicDrylandWheat!$O$75</definedName>
    <definedName name="TTotRet" localSheetId="27">'OrganicWheat Year 3'!$O$74</definedName>
    <definedName name="TTotRet" localSheetId="21">Peanuts!$O$84</definedName>
    <definedName name="TTotRet" localSheetId="10">'Red Till Irrig Cotton'!$O$91</definedName>
    <definedName name="TTotRet" localSheetId="13">'Red Till L Irrig Cotton'!$O$92</definedName>
    <definedName name="TTotRet" localSheetId="30">'SD Fescue'!$O$71</definedName>
    <definedName name="TTotRet" localSheetId="29">SmallGrain!$O$69</definedName>
    <definedName name="TTotRet" localSheetId="22">SorghumDryland!$O$79</definedName>
    <definedName name="TTotRet" localSheetId="25">'Wheat Irrigated'!$O$88</definedName>
    <definedName name="TTotRet" localSheetId="23">WheatDryland!$O$85</definedName>
    <definedName name="TVarExp" localSheetId="2">AlfalfaDrylandEstablish!$O$50</definedName>
    <definedName name="TVarExp" localSheetId="4">AlfalfaHayDryland!$O$55</definedName>
    <definedName name="TVarExp" localSheetId="7">AlfalfaHayIrrigated!$O$58</definedName>
    <definedName name="TVarExp" localSheetId="6">AlfalfaIrrigatedEstablish!$O$53</definedName>
    <definedName name="TVarExp" localSheetId="31">CanolaDryland!$O$56</definedName>
    <definedName name="TVarExp" localSheetId="5">CoastalDryland!$O$53</definedName>
    <definedName name="TVarExp" localSheetId="3">CoastalEstab!$O$52</definedName>
    <definedName name="TVarExp" localSheetId="12">'Conv L Irrig Cotton'!$O$64</definedName>
    <definedName name="TVarExp" localSheetId="11">'Conv M Irrig Cotton'!$O$63</definedName>
    <definedName name="TVarExp" localSheetId="8">CottonDryland2X1!$O$56</definedName>
    <definedName name="TVarExp" localSheetId="9">CottonDrylandSolid!$O$61</definedName>
    <definedName name="TVarExp" localSheetId="20">CottonIrrigated!$O$67</definedName>
    <definedName name="TVarExp" localSheetId="14">'No Till Dryland Cotton'!$O$62</definedName>
    <definedName name="TVarExp" localSheetId="24">'NoTill Wheat Dryland'!$O$61</definedName>
    <definedName name="TVarExp" localSheetId="19">'NT Irrig L Cotton'!$O$68</definedName>
    <definedName name="TVarExp" localSheetId="15">'NT Irrig M Cotton'!$O$67</definedName>
    <definedName name="TVarExp" localSheetId="18">'NT-CC Irrig L Cotton'!$O$68</definedName>
    <definedName name="TVarExp" localSheetId="17">'NT-CC Irrig M Cotton'!$O$69</definedName>
    <definedName name="TVarExp" localSheetId="16">'NT-CC2 Irr M Cotton'!$O$67</definedName>
    <definedName name="TVarExp" localSheetId="28">'Organic Summer HayCrop'!$O$47</definedName>
    <definedName name="TVarExp" localSheetId="26">OrganicDrylandWheat!$O$51</definedName>
    <definedName name="TVarExp" localSheetId="27">'OrganicWheat Year 3'!$O$50</definedName>
    <definedName name="TVarExp" localSheetId="21">Peanuts!$O$58</definedName>
    <definedName name="TVarExp" localSheetId="10">'Red Till Irrig Cotton'!$O$65</definedName>
    <definedName name="TVarExp" localSheetId="13">'Red Till L Irrig Cotton'!$O$66</definedName>
    <definedName name="TVarExp" localSheetId="30">'SD Fescue'!$O$49</definedName>
    <definedName name="TVarExp" localSheetId="29">SmallGrain!$O$47</definedName>
    <definedName name="TVarExp" localSheetId="22">SorghumDryland!$O$55</definedName>
    <definedName name="TVarExp" localSheetId="25">'Wheat Irrigated'!$O$62</definedName>
    <definedName name="TVarExp" localSheetId="23">WheatDryland!$O$61</definedName>
    <definedName name="TVarRet" localSheetId="2">AlfalfaDrylandEstablish!$O$51</definedName>
    <definedName name="TVarRet" localSheetId="4">AlfalfaHayDryland!$O$56</definedName>
    <definedName name="TVarRet" localSheetId="7">AlfalfaHayIrrigated!$O$59</definedName>
    <definedName name="TVarRet" localSheetId="6">AlfalfaIrrigatedEstablish!$O$54</definedName>
    <definedName name="TVarRet" localSheetId="31">CanolaDryland!$O$57</definedName>
    <definedName name="TVarRet" localSheetId="5">CoastalDryland!$O$54</definedName>
    <definedName name="TVarRet" localSheetId="3">CoastalEstab!$O$53</definedName>
    <definedName name="TVarRet" localSheetId="12">'Conv L Irrig Cotton'!$O$65</definedName>
    <definedName name="TVarRet" localSheetId="11">'Conv M Irrig Cotton'!$O$64</definedName>
    <definedName name="TVarRet" localSheetId="8">CottonDryland2X1!$O$57</definedName>
    <definedName name="TVarRet" localSheetId="9">CottonDrylandSolid!$O$62</definedName>
    <definedName name="TVarRet" localSheetId="20">CottonIrrigated!$O$68</definedName>
    <definedName name="TVarRet" localSheetId="14">'No Till Dryland Cotton'!$O$63</definedName>
    <definedName name="TVarRet" localSheetId="24">'NoTill Wheat Dryland'!$O$62</definedName>
    <definedName name="TVarRet" localSheetId="19">'NT Irrig L Cotton'!$O$69</definedName>
    <definedName name="TVarRet" localSheetId="15">'NT Irrig M Cotton'!$O$68</definedName>
    <definedName name="TVarRet" localSheetId="18">'NT-CC Irrig L Cotton'!$O$69</definedName>
    <definedName name="TVarRet" localSheetId="17">'NT-CC Irrig M Cotton'!$O$70</definedName>
    <definedName name="TVarRet" localSheetId="16">'NT-CC2 Irr M Cotton'!$O$68</definedName>
    <definedName name="TVarRet" localSheetId="28">'Organic Summer HayCrop'!$O$48</definedName>
    <definedName name="TVarRet" localSheetId="26">OrganicDrylandWheat!$O$52</definedName>
    <definedName name="TVarRet" localSheetId="27">'OrganicWheat Year 3'!$O$51</definedName>
    <definedName name="TVarRet" localSheetId="21">Peanuts!$O$59</definedName>
    <definedName name="TVarRet" localSheetId="10">'Red Till Irrig Cotton'!$O$66</definedName>
    <definedName name="TVarRet" localSheetId="13">'Red Till L Irrig Cotton'!$O$67</definedName>
    <definedName name="TVarRet" localSheetId="30">'SD Fescue'!$O$50</definedName>
    <definedName name="TVarRet" localSheetId="29">SmallGrain!$O$48</definedName>
    <definedName name="TVarRet" localSheetId="22">SorghumDryland!$O$56</definedName>
    <definedName name="TVarRet" localSheetId="25">'Wheat Irrigated'!$O$63</definedName>
    <definedName name="TVarRet" localSheetId="23">WheatDryland!$O$62</definedName>
    <definedName name="Unit" localSheetId="2">AlfalfaDrylandEstablish!$F$10</definedName>
    <definedName name="Unit" localSheetId="4">AlfalfaHayDryland!$F$10</definedName>
    <definedName name="Unit" localSheetId="7">AlfalfaHayIrrigated!$F$10</definedName>
    <definedName name="Unit" localSheetId="6">AlfalfaIrrigatedEstablish!$F$10</definedName>
    <definedName name="Unit" localSheetId="31">CanolaDryland!$F$10</definedName>
    <definedName name="Unit" localSheetId="5">CoastalDryland!$F$10</definedName>
    <definedName name="Unit" localSheetId="3">CoastalEstab!$F$10</definedName>
    <definedName name="Unit" localSheetId="12">'Conv L Irrig Cotton'!$F$10</definedName>
    <definedName name="Unit" localSheetId="11">'Conv M Irrig Cotton'!$F$10</definedName>
    <definedName name="Unit" localSheetId="8">CottonDryland2X1!$F$10</definedName>
    <definedName name="Unit" localSheetId="9">CottonDrylandSolid!$F$10</definedName>
    <definedName name="Unit" localSheetId="20">CottonIrrigated!$F$10</definedName>
    <definedName name="Unit" localSheetId="32">CowCalf!$H$11</definedName>
    <definedName name="Unit" localSheetId="36">'Crop Budget'!$D$9</definedName>
    <definedName name="Unit" localSheetId="35">'Livestock Budget'!$F$90</definedName>
    <definedName name="Unit" localSheetId="14">'No Till Dryland Cotton'!$F$10</definedName>
    <definedName name="Unit" localSheetId="24">'NoTill Wheat Dryland'!$F$10</definedName>
    <definedName name="Unit" localSheetId="19">'NT Irrig L Cotton'!$F$10</definedName>
    <definedName name="Unit" localSheetId="15">'NT Irrig M Cotton'!$F$10</definedName>
    <definedName name="Unit" localSheetId="18">'NT-CC Irrig L Cotton'!$F$10</definedName>
    <definedName name="Unit" localSheetId="17">'NT-CC Irrig M Cotton'!$F$10</definedName>
    <definedName name="Unit" localSheetId="16">'NT-CC2 Irr M Cotton'!$F$10</definedName>
    <definedName name="Unit" localSheetId="28">'Organic Summer HayCrop'!$F$10</definedName>
    <definedName name="Unit" localSheetId="26">OrganicDrylandWheat!$F$10</definedName>
    <definedName name="Unit" localSheetId="27">'OrganicWheat Year 3'!$F$10</definedName>
    <definedName name="Unit" localSheetId="21">Peanuts!$F$10</definedName>
    <definedName name="Unit" localSheetId="10">'Red Till Irrig Cotton'!$F$10</definedName>
    <definedName name="Unit" localSheetId="13">'Red Till L Irrig Cotton'!$F$10</definedName>
    <definedName name="Unit" localSheetId="30">'SD Fescue'!$F$10</definedName>
    <definedName name="Unit" localSheetId="29">SmallGrain!$F$10</definedName>
    <definedName name="Unit" localSheetId="22">SorghumDryland!$F$10</definedName>
    <definedName name="Unit" localSheetId="34">StockerGrazeOut!$H$11</definedName>
    <definedName name="Unit" localSheetId="33">StockersMar1!$H$11</definedName>
    <definedName name="Unit" localSheetId="25">'Wheat Irrigated'!$F$10</definedName>
    <definedName name="Unit" localSheetId="23">WheatDryland!$F$10</definedName>
    <definedName name="VarExp" localSheetId="2">AlfalfaDrylandEstablish!$I$50</definedName>
    <definedName name="VarExp" localSheetId="4">AlfalfaHayDryland!$I$55</definedName>
    <definedName name="VarExp" localSheetId="7">AlfalfaHayIrrigated!$I$58</definedName>
    <definedName name="VarExp" localSheetId="6">AlfalfaIrrigatedEstablish!$I$53</definedName>
    <definedName name="VarExp" localSheetId="31">CanolaDryland!$I$56</definedName>
    <definedName name="VarExp" localSheetId="5">CoastalDryland!$I$53</definedName>
    <definedName name="VarExp" localSheetId="3">CoastalEstab!$I$52</definedName>
    <definedName name="VarExp" localSheetId="12">'Conv L Irrig Cotton'!$I$64</definedName>
    <definedName name="VarExp" localSheetId="11">'Conv M Irrig Cotton'!$I$63</definedName>
    <definedName name="VarExp" localSheetId="8">CottonDryland2X1!$I$56</definedName>
    <definedName name="VarExp" localSheetId="9">CottonDrylandSolid!$I$61</definedName>
    <definedName name="VarExp" localSheetId="20">CottonIrrigated!$I$67</definedName>
    <definedName name="VarExp" localSheetId="32">CowCalf!$K$51</definedName>
    <definedName name="VarExp" localSheetId="14">'No Till Dryland Cotton'!$I$62</definedName>
    <definedName name="VarExp" localSheetId="24">'NoTill Wheat Dryland'!$I$61</definedName>
    <definedName name="VarExp" localSheetId="19">'NT Irrig L Cotton'!$I$68</definedName>
    <definedName name="VarExp" localSheetId="15">'NT Irrig M Cotton'!$I$67</definedName>
    <definedName name="VarExp" localSheetId="18">'NT-CC Irrig L Cotton'!$I$68</definedName>
    <definedName name="VarExp" localSheetId="17">'NT-CC Irrig M Cotton'!$I$69</definedName>
    <definedName name="VarExp" localSheetId="16">'NT-CC2 Irr M Cotton'!$I$67</definedName>
    <definedName name="VarExp" localSheetId="28">'Organic Summer HayCrop'!$I$47</definedName>
    <definedName name="VarExp" localSheetId="26">OrganicDrylandWheat!$I$51</definedName>
    <definedName name="VarExp" localSheetId="27">'OrganicWheat Year 3'!$I$50</definedName>
    <definedName name="VarExp" localSheetId="21">Peanuts!$I$58</definedName>
    <definedName name="VarExp" localSheetId="10">'Red Till Irrig Cotton'!$I$65</definedName>
    <definedName name="VarExp" localSheetId="13">'Red Till L Irrig Cotton'!$I$66</definedName>
    <definedName name="VarExp" localSheetId="30">'SD Fescue'!$I$49</definedName>
    <definedName name="VarExp" localSheetId="29">SmallGrain!$I$47</definedName>
    <definedName name="VarExp" localSheetId="22">SorghumDryland!$I$55</definedName>
    <definedName name="VarExp" localSheetId="34">StockerGrazeOut!$K$49</definedName>
    <definedName name="VarExp" localSheetId="33">StockersMar1!$K$48</definedName>
    <definedName name="VarExp" localSheetId="25">'Wheat Irrigated'!$I$62</definedName>
    <definedName name="VarExp" localSheetId="23">WheatDryland!$I$61</definedName>
    <definedName name="VarRet" localSheetId="2">AlfalfaDrylandEstablish!$I$51</definedName>
    <definedName name="VarRet" localSheetId="4">AlfalfaHayDryland!$I$56</definedName>
    <definedName name="VarRet" localSheetId="7">AlfalfaHayIrrigated!$I$59</definedName>
    <definedName name="VarRet" localSheetId="6">AlfalfaIrrigatedEstablish!$I$54</definedName>
    <definedName name="VarRet" localSheetId="31">CanolaDryland!$I$57</definedName>
    <definedName name="VarRet" localSheetId="5">CoastalDryland!$I$54</definedName>
    <definedName name="VarRet" localSheetId="3">CoastalEstab!$I$53</definedName>
    <definedName name="VarRet" localSheetId="12">'Conv L Irrig Cotton'!$I$65</definedName>
    <definedName name="VarRet" localSheetId="11">'Conv M Irrig Cotton'!$I$64</definedName>
    <definedName name="VarRet" localSheetId="8">CottonDryland2X1!$I$57</definedName>
    <definedName name="VarRet" localSheetId="9">CottonDrylandSolid!$I$62</definedName>
    <definedName name="VarRet" localSheetId="20">CottonIrrigated!$I$68</definedName>
    <definedName name="VarRet" localSheetId="32">CowCalf!$K$53</definedName>
    <definedName name="VarRet" localSheetId="14">'No Till Dryland Cotton'!$I$63</definedName>
    <definedName name="VarRet" localSheetId="24">'NoTill Wheat Dryland'!$I$62</definedName>
    <definedName name="VarRet" localSheetId="19">'NT Irrig L Cotton'!$I$69</definedName>
    <definedName name="VarRet" localSheetId="15">'NT Irrig M Cotton'!$I$68</definedName>
    <definedName name="VarRet" localSheetId="18">'NT-CC Irrig L Cotton'!$I$69</definedName>
    <definedName name="VarRet" localSheetId="17">'NT-CC Irrig M Cotton'!$I$70</definedName>
    <definedName name="VarRet" localSheetId="16">'NT-CC2 Irr M Cotton'!$I$68</definedName>
    <definedName name="VarRet" localSheetId="28">'Organic Summer HayCrop'!$I$48</definedName>
    <definedName name="VarRet" localSheetId="26">OrganicDrylandWheat!$I$52</definedName>
    <definedName name="VarRet" localSheetId="27">'OrganicWheat Year 3'!$I$51</definedName>
    <definedName name="VarRet" localSheetId="21">Peanuts!$I$59</definedName>
    <definedName name="VarRet" localSheetId="10">'Red Till Irrig Cotton'!$I$66</definedName>
    <definedName name="VarRet" localSheetId="13">'Red Till L Irrig Cotton'!$I$67</definedName>
    <definedName name="VarRet" localSheetId="30">'SD Fescue'!$I$50</definedName>
    <definedName name="VarRet" localSheetId="29">SmallGrain!$I$48</definedName>
    <definedName name="VarRet" localSheetId="22">SorghumDryland!$I$56</definedName>
    <definedName name="VarRet" localSheetId="34">StockerGrazeOut!$K$51</definedName>
    <definedName name="VarRet" localSheetId="33">StockersMar1!$K$50</definedName>
    <definedName name="VarRet" localSheetId="25">'Wheat Irrigated'!$I$63</definedName>
    <definedName name="VarRet" localSheetId="23">WheatDryland!$I$62</definedName>
    <definedName name="YBT" localSheetId="2">AlfalfaDrylandEstablish!$H$76</definedName>
    <definedName name="YBT" localSheetId="4">AlfalfaHayDryland!$H$77</definedName>
    <definedName name="YBT" localSheetId="7">AlfalfaHayIrrigated!$H$82</definedName>
    <definedName name="YBT" localSheetId="6">AlfalfaIrrigatedEstablish!$H$81</definedName>
    <definedName name="YBT" localSheetId="31">CanolaDryland!$H$80</definedName>
    <definedName name="YBT" localSheetId="5">CoastalDryland!$H$75</definedName>
    <definedName name="YBT" localSheetId="3">CoastalEstab!$H$78</definedName>
    <definedName name="YBT" localSheetId="12">'Conv L Irrig Cotton'!$H$92</definedName>
    <definedName name="YBT" localSheetId="11">'Conv M Irrig Cotton'!$H$91</definedName>
    <definedName name="YBT" localSheetId="8">CottonDryland2X1!$H$82</definedName>
    <definedName name="YBT" localSheetId="9">CottonDrylandSolid!$H$87</definedName>
    <definedName name="YBT" localSheetId="20">CottonIrrigated!$H$95</definedName>
    <definedName name="YBT" localSheetId="14">'No Till Dryland Cotton'!$H$88</definedName>
    <definedName name="YBT" localSheetId="24">'NoTill Wheat Dryland'!$H$87</definedName>
    <definedName name="YBT" localSheetId="19">'NT Irrig L Cotton'!$H$96</definedName>
    <definedName name="YBT" localSheetId="15">'NT Irrig M Cotton'!$H$95</definedName>
    <definedName name="YBT" localSheetId="18">'NT-CC Irrig L Cotton'!$H$96</definedName>
    <definedName name="YBT" localSheetId="17">'NT-CC Irrig M Cotton'!$H$95</definedName>
    <definedName name="YBT" localSheetId="16">'NT-CC2 Irr M Cotton'!$H$95</definedName>
    <definedName name="YBT" localSheetId="28">'Organic Summer HayCrop'!$H$73</definedName>
    <definedName name="YBT" localSheetId="26">OrganicDrylandWheat!$H$77</definedName>
    <definedName name="YBT" localSheetId="27">'OrganicWheat Year 3'!$H$76</definedName>
    <definedName name="YBT" localSheetId="21">Peanuts!$H$86</definedName>
    <definedName name="YBT" localSheetId="10">'Red Till Irrig Cotton'!$H$93</definedName>
    <definedName name="YBT" localSheetId="13">'Red Till L Irrig Cotton'!$H$94</definedName>
    <definedName name="YBT" localSheetId="30">'SD Fescue'!$H$73</definedName>
    <definedName name="YBT" localSheetId="29">SmallGrain!$H$71</definedName>
    <definedName name="YBT" localSheetId="22">SorghumDryland!$H$81</definedName>
    <definedName name="YBT" localSheetId="25">'Wheat Irrigated'!$H$90</definedName>
    <definedName name="YBT" localSheetId="23">WheatDryland!$H$87</definedName>
    <definedName name="YBV" localSheetId="2">AlfalfaDrylandEstablish!$H$52</definedName>
    <definedName name="YBV" localSheetId="4">AlfalfaHayDryland!$H$57</definedName>
    <definedName name="YBV" localSheetId="7">AlfalfaHayIrrigated!$H$60</definedName>
    <definedName name="YBV" localSheetId="6">AlfalfaIrrigatedEstablish!$H$55</definedName>
    <definedName name="YBV" localSheetId="31">CanolaDryland!$H$58</definedName>
    <definedName name="YBV" localSheetId="5">CoastalDryland!$H$55</definedName>
    <definedName name="YBV" localSheetId="3">CoastalEstab!$H$54</definedName>
    <definedName name="YBV" localSheetId="12">'Conv L Irrig Cotton'!$H$66</definedName>
    <definedName name="YBV" localSheetId="11">'Conv M Irrig Cotton'!$H$65</definedName>
    <definedName name="YBV" localSheetId="8">CottonDryland2X1!$H$58</definedName>
    <definedName name="YBV" localSheetId="9">CottonDrylandSolid!$H$63</definedName>
    <definedName name="YBV" localSheetId="20">CottonIrrigated!$H$69</definedName>
    <definedName name="YBV" localSheetId="14">'No Till Dryland Cotton'!$H$64</definedName>
    <definedName name="YBV" localSheetId="24">'NoTill Wheat Dryland'!$H$63</definedName>
    <definedName name="YBV" localSheetId="19">'NT Irrig L Cotton'!$H$70</definedName>
    <definedName name="YBV" localSheetId="15">'NT Irrig M Cotton'!$H$69</definedName>
    <definedName name="YBV" localSheetId="18">'NT-CC Irrig L Cotton'!$H$70</definedName>
    <definedName name="YBV" localSheetId="17">'NT-CC Irrig M Cotton'!$H$71</definedName>
    <definedName name="YBV" localSheetId="16">'NT-CC2 Irr M Cotton'!$H$69</definedName>
    <definedName name="YBV" localSheetId="28">'Organic Summer HayCrop'!$H$49</definedName>
    <definedName name="YBV" localSheetId="26">OrganicDrylandWheat!$H$53</definedName>
    <definedName name="YBV" localSheetId="27">'OrganicWheat Year 3'!$H$52</definedName>
    <definedName name="YBV" localSheetId="21">Peanuts!$H$60</definedName>
    <definedName name="YBV" localSheetId="10">'Red Till Irrig Cotton'!$H$67</definedName>
    <definedName name="YBV" localSheetId="13">'Red Till L Irrig Cotton'!$H$68</definedName>
    <definedName name="YBV" localSheetId="30">'SD Fescue'!$H$51</definedName>
    <definedName name="YBV" localSheetId="29">SmallGrain!$H$49</definedName>
    <definedName name="YBV" localSheetId="22">SorghumDryland!$H$57</definedName>
    <definedName name="YBV" localSheetId="25">'Wheat Irrigated'!$H$64</definedName>
    <definedName name="YBV" localSheetId="23">WheatDryland!$H$63</definedName>
    <definedName name="Yeild3" localSheetId="36">'Crop Budget'!$C$100</definedName>
    <definedName name="YLTotExp" localSheetId="2">AlfalfaDrylandEstablish!$N$72</definedName>
    <definedName name="YLTotExp" localSheetId="4">AlfalfaHayDryland!$N$73</definedName>
    <definedName name="YLTotExp" localSheetId="7">AlfalfaHayIrrigated!$N$78</definedName>
    <definedName name="YLTotExp" localSheetId="6">AlfalfaIrrigatedEstablish!$N$77</definedName>
    <definedName name="YLTotExp" localSheetId="31">CanolaDryland!$N$76</definedName>
    <definedName name="YLTotExp" localSheetId="5">CoastalDryland!$N$71</definedName>
    <definedName name="YLTotExp" localSheetId="3">CoastalEstab!$N$74</definedName>
    <definedName name="YLTotExp" localSheetId="12">'Conv L Irrig Cotton'!$N$88</definedName>
    <definedName name="YLTotExp" localSheetId="11">'Conv M Irrig Cotton'!$N$87</definedName>
    <definedName name="YLTotExp" localSheetId="8">CottonDryland2X1!$N$78</definedName>
    <definedName name="YLTotExp" localSheetId="9">CottonDrylandSolid!$N$83</definedName>
    <definedName name="YLTotExp" localSheetId="20">CottonIrrigated!$N$91</definedName>
    <definedName name="YLTotExp" localSheetId="14">'No Till Dryland Cotton'!$N$84</definedName>
    <definedName name="YLTotExp" localSheetId="24">'NoTill Wheat Dryland'!$N$83</definedName>
    <definedName name="YLTotExp" localSheetId="19">'NT Irrig L Cotton'!$N$92</definedName>
    <definedName name="YLTotExp" localSheetId="15">'NT Irrig M Cotton'!$N$91</definedName>
    <definedName name="YLTotExp" localSheetId="18">'NT-CC Irrig L Cotton'!$N$92</definedName>
    <definedName name="YLTotExp" localSheetId="17">'NT-CC Irrig M Cotton'!$N$91</definedName>
    <definedName name="YLTotExp" localSheetId="16">'NT-CC2 Irr M Cotton'!$N$91</definedName>
    <definedName name="YLTotExp" localSheetId="28">'Organic Summer HayCrop'!$N$69</definedName>
    <definedName name="YLTotExp" localSheetId="26">OrganicDrylandWheat!$N$73</definedName>
    <definedName name="YLTotExp" localSheetId="27">'OrganicWheat Year 3'!$N$72</definedName>
    <definedName name="YLTotExp" localSheetId="21">Peanuts!$N$82</definedName>
    <definedName name="YLTotExp" localSheetId="10">'Red Till Irrig Cotton'!$N$89</definedName>
    <definedName name="YLTotExp" localSheetId="13">'Red Till L Irrig Cotton'!$N$90</definedName>
    <definedName name="YLTotExp" localSheetId="30">'SD Fescue'!$N$69</definedName>
    <definedName name="YLTotExp" localSheetId="29">SmallGrain!$N$67</definedName>
    <definedName name="YLTotExp" localSheetId="22">SorghumDryland!$N$77</definedName>
    <definedName name="YLTotExp" localSheetId="25">'Wheat Irrigated'!$N$86</definedName>
    <definedName name="YLTotExp" localSheetId="23">WheatDryland!$N$83</definedName>
    <definedName name="YLTotRet" localSheetId="2">AlfalfaDrylandEstablish!$N$74</definedName>
    <definedName name="YLTotRet" localSheetId="4">AlfalfaHayDryland!$N$75</definedName>
    <definedName name="YLTotRet" localSheetId="7">AlfalfaHayIrrigated!$N$80</definedName>
    <definedName name="YLTotRet" localSheetId="6">AlfalfaIrrigatedEstablish!$N$79</definedName>
    <definedName name="YLTotRet" localSheetId="31">CanolaDryland!$N$78</definedName>
    <definedName name="YLTotRet" localSheetId="5">CoastalDryland!$N$73</definedName>
    <definedName name="YLTotRet" localSheetId="3">CoastalEstab!$N$76</definedName>
    <definedName name="YLTotRet" localSheetId="12">'Conv L Irrig Cotton'!$N$90</definedName>
    <definedName name="YLTotRet" localSheetId="11">'Conv M Irrig Cotton'!$N$89</definedName>
    <definedName name="YLTotRet" localSheetId="8">CottonDryland2X1!$N$80</definedName>
    <definedName name="YLTotRet" localSheetId="9">CottonDrylandSolid!$N$85</definedName>
    <definedName name="YLTotRet" localSheetId="20">CottonIrrigated!$N$93</definedName>
    <definedName name="YLTotRet" localSheetId="14">'No Till Dryland Cotton'!$N$86</definedName>
    <definedName name="YLTotRet" localSheetId="24">'NoTill Wheat Dryland'!$N$85</definedName>
    <definedName name="YLTotRet" localSheetId="19">'NT Irrig L Cotton'!$N$94</definedName>
    <definedName name="YLTotRet" localSheetId="15">'NT Irrig M Cotton'!$N$93</definedName>
    <definedName name="YLTotRet" localSheetId="18">'NT-CC Irrig L Cotton'!$N$94</definedName>
    <definedName name="YLTotRet" localSheetId="17">'NT-CC Irrig M Cotton'!$N$93</definedName>
    <definedName name="YLTotRet" localSheetId="16">'NT-CC2 Irr M Cotton'!$N$93</definedName>
    <definedName name="YLTotRet" localSheetId="28">'Organic Summer HayCrop'!$N$71</definedName>
    <definedName name="YLTotRet" localSheetId="26">OrganicDrylandWheat!$N$75</definedName>
    <definedName name="YLTotRet" localSheetId="27">'OrganicWheat Year 3'!$N$74</definedName>
    <definedName name="YLTotRet" localSheetId="21">Peanuts!$N$84</definedName>
    <definedName name="YLTotRet" localSheetId="10">'Red Till Irrig Cotton'!$N$91</definedName>
    <definedName name="YLTotRet" localSheetId="13">'Red Till L Irrig Cotton'!$N$92</definedName>
    <definedName name="YLTotRet" localSheetId="30">'SD Fescue'!$N$71</definedName>
    <definedName name="YLTotRet" localSheetId="29">SmallGrain!$N$69</definedName>
    <definedName name="YLTotRet" localSheetId="22">SorghumDryland!$N$79</definedName>
    <definedName name="YLTotRet" localSheetId="25">'Wheat Irrigated'!$N$88</definedName>
    <definedName name="YLTotRet" localSheetId="23">WheatDryland!$N$85</definedName>
    <definedName name="YLVarExp" localSheetId="2">AlfalfaDrylandEstablish!$N$50</definedName>
    <definedName name="YLVarExp" localSheetId="4">AlfalfaHayDryland!$N$55</definedName>
    <definedName name="YLVarExp" localSheetId="7">AlfalfaHayIrrigated!$N$58</definedName>
    <definedName name="YLVarExp" localSheetId="6">AlfalfaIrrigatedEstablish!$N$53</definedName>
    <definedName name="YLVarExp" localSheetId="31">CanolaDryland!$N$56</definedName>
    <definedName name="YLVarExp" localSheetId="5">CoastalDryland!$N$53</definedName>
    <definedName name="YLVarExp" localSheetId="3">CoastalEstab!$N$52</definedName>
    <definedName name="YLVarExp" localSheetId="12">'Conv L Irrig Cotton'!$N$64</definedName>
    <definedName name="YLVarExp" localSheetId="11">'Conv M Irrig Cotton'!$N$63</definedName>
    <definedName name="YLVarExp" localSheetId="8">CottonDryland2X1!$N$56</definedName>
    <definedName name="YLVarExp" localSheetId="9">CottonDrylandSolid!$N$61</definedName>
    <definedName name="YLVarExp" localSheetId="20">CottonIrrigated!$N$67</definedName>
    <definedName name="YLVarExp" localSheetId="14">'No Till Dryland Cotton'!$N$62</definedName>
    <definedName name="YLVarExp" localSheetId="24">'NoTill Wheat Dryland'!$N$61</definedName>
    <definedName name="YLVarExp" localSheetId="19">'NT Irrig L Cotton'!$N$68</definedName>
    <definedName name="YLVarExp" localSheetId="15">'NT Irrig M Cotton'!$N$67</definedName>
    <definedName name="YLVarExp" localSheetId="18">'NT-CC Irrig L Cotton'!$N$68</definedName>
    <definedName name="YLVarExp" localSheetId="17">'NT-CC Irrig M Cotton'!$N$69</definedName>
    <definedName name="YLVarExp" localSheetId="16">'NT-CC2 Irr M Cotton'!$N$67</definedName>
    <definedName name="YLVarExp" localSheetId="28">'Organic Summer HayCrop'!$N$47</definedName>
    <definedName name="YLVarExp" localSheetId="26">OrganicDrylandWheat!$N$51</definedName>
    <definedName name="YLVarExp" localSheetId="27">'OrganicWheat Year 3'!$N$50</definedName>
    <definedName name="YLVarExp" localSheetId="21">Peanuts!$N$58</definedName>
    <definedName name="YLVarExp" localSheetId="10">'Red Till Irrig Cotton'!$N$65</definedName>
    <definedName name="YLVarExp" localSheetId="13">'Red Till L Irrig Cotton'!$N$66</definedName>
    <definedName name="YLVarExp" localSheetId="30">'SD Fescue'!$N$49</definedName>
    <definedName name="YLVarExp" localSheetId="29">SmallGrain!$N$47</definedName>
    <definedName name="YLVarExp" localSheetId="22">SorghumDryland!$N$55</definedName>
    <definedName name="YLVarExp" localSheetId="25">'Wheat Irrigated'!$N$62</definedName>
    <definedName name="YLVarExp" localSheetId="23">WheatDryland!$N$61</definedName>
    <definedName name="YLVarRet" localSheetId="2">AlfalfaDrylandEstablish!$N$51</definedName>
    <definedName name="YLVarRet" localSheetId="4">AlfalfaHayDryland!$N$56</definedName>
    <definedName name="YLVarRet" localSheetId="7">AlfalfaHayIrrigated!$N$59</definedName>
    <definedName name="YLVarRet" localSheetId="6">AlfalfaIrrigatedEstablish!$N$54</definedName>
    <definedName name="YLVarRet" localSheetId="31">CanolaDryland!$N$57</definedName>
    <definedName name="YLVarRet" localSheetId="5">CoastalDryland!$N$54</definedName>
    <definedName name="YLVarRet" localSheetId="3">CoastalEstab!$N$53</definedName>
    <definedName name="YLVarRet" localSheetId="12">'Conv L Irrig Cotton'!$N$65</definedName>
    <definedName name="YLVarRet" localSheetId="11">'Conv M Irrig Cotton'!$N$64</definedName>
    <definedName name="YLVarRet" localSheetId="8">CottonDryland2X1!$N$57</definedName>
    <definedName name="YLVarRet" localSheetId="9">CottonDrylandSolid!$N$62</definedName>
    <definedName name="YLVarRet" localSheetId="20">CottonIrrigated!$N$68</definedName>
    <definedName name="YLVarRet" localSheetId="14">'No Till Dryland Cotton'!$N$63</definedName>
    <definedName name="YLVarRet" localSheetId="24">'NoTill Wheat Dryland'!$N$62</definedName>
    <definedName name="YLVarRet" localSheetId="19">'NT Irrig L Cotton'!$N$69</definedName>
    <definedName name="YLVarRet" localSheetId="15">'NT Irrig M Cotton'!$N$68</definedName>
    <definedName name="YLVarRet" localSheetId="18">'NT-CC Irrig L Cotton'!$N$69</definedName>
    <definedName name="YLVarRet" localSheetId="17">'NT-CC Irrig M Cotton'!$N$70</definedName>
    <definedName name="YLVarRet" localSheetId="16">'NT-CC2 Irr M Cotton'!$N$68</definedName>
    <definedName name="YLVarRet" localSheetId="28">'Organic Summer HayCrop'!$N$48</definedName>
    <definedName name="YLVarRet" localSheetId="26">OrganicDrylandWheat!$N$52</definedName>
    <definedName name="YLVarRet" localSheetId="27">'OrganicWheat Year 3'!$N$51</definedName>
    <definedName name="YLVarRet" localSheetId="21">Peanuts!$N$59</definedName>
    <definedName name="YLVarRet" localSheetId="10">'Red Till Irrig Cotton'!$N$66</definedName>
    <definedName name="YLVarRet" localSheetId="13">'Red Till L Irrig Cotton'!$N$67</definedName>
    <definedName name="YLVarRet" localSheetId="30">'SD Fescue'!$N$50</definedName>
    <definedName name="YLVarRet" localSheetId="29">SmallGrain!$N$48</definedName>
    <definedName name="YLVarRet" localSheetId="22">SorghumDryland!$N$56</definedName>
    <definedName name="YLVarRet" localSheetId="25">'Wheat Irrigated'!$N$63</definedName>
    <definedName name="YLVarRet" localSheetId="23">WheatDryland!$N$62</definedName>
    <definedName name="YPrice" localSheetId="2">AlfalfaDrylandEstablish!$H$10</definedName>
    <definedName name="YPrice" localSheetId="4">AlfalfaHayDryland!$H$10</definedName>
    <definedName name="YPrice" localSheetId="7">AlfalfaHayIrrigated!$H$10</definedName>
    <definedName name="YPrice" localSheetId="6">AlfalfaIrrigatedEstablish!$H$10</definedName>
    <definedName name="YPrice" localSheetId="31">CanolaDryland!$H$10</definedName>
    <definedName name="YPrice" localSheetId="5">CoastalDryland!$H$10</definedName>
    <definedName name="YPrice" localSheetId="3">CoastalEstab!$H$10</definedName>
    <definedName name="YPrice" localSheetId="12">'Conv L Irrig Cotton'!$H$10</definedName>
    <definedName name="YPrice" localSheetId="11">'Conv M Irrig Cotton'!$H$10</definedName>
    <definedName name="YPrice" localSheetId="8">CottonDryland2X1!$H$10</definedName>
    <definedName name="YPrice" localSheetId="9">CottonDrylandSolid!$H$10</definedName>
    <definedName name="YPrice" localSheetId="20">CottonIrrigated!$H$10</definedName>
    <definedName name="YPrice" localSheetId="36">'Crop Budget'!$E$9</definedName>
    <definedName name="YPrice" localSheetId="35">'Livestock Budget'!$F$103</definedName>
    <definedName name="YPrice" localSheetId="14">'No Till Dryland Cotton'!$H$10</definedName>
    <definedName name="YPrice" localSheetId="24">'NoTill Wheat Dryland'!$H$10</definedName>
    <definedName name="YPrice" localSheetId="19">'NT Irrig L Cotton'!$H$10</definedName>
    <definedName name="YPrice" localSheetId="15">'NT Irrig M Cotton'!$H$10</definedName>
    <definedName name="YPrice" localSheetId="18">'NT-CC Irrig L Cotton'!$H$10</definedName>
    <definedName name="YPrice" localSheetId="17">'NT-CC Irrig M Cotton'!$H$10</definedName>
    <definedName name="YPrice" localSheetId="16">'NT-CC2 Irr M Cotton'!$H$10</definedName>
    <definedName name="YPrice" localSheetId="28">'Organic Summer HayCrop'!$H$10</definedName>
    <definedName name="YPrice" localSheetId="26">OrganicDrylandWheat!$H$10</definedName>
    <definedName name="YPrice" localSheetId="27">'OrganicWheat Year 3'!$H$10</definedName>
    <definedName name="YPrice" localSheetId="21">Peanuts!$H$10</definedName>
    <definedName name="YPrice" localSheetId="10">'Red Till Irrig Cotton'!$H$10</definedName>
    <definedName name="YPrice" localSheetId="13">'Red Till L Irrig Cotton'!$H$10</definedName>
    <definedName name="YPrice" localSheetId="30">'SD Fescue'!$H$10</definedName>
    <definedName name="YPrice" localSheetId="29">SmallGrain!$H$10</definedName>
    <definedName name="YPrice" localSheetId="22">SorghumDryland!$H$10</definedName>
    <definedName name="YPrice" localSheetId="34">StockerGrazeOut!$J$11</definedName>
    <definedName name="YPrice" localSheetId="33">StockersMar1!$J$11</definedName>
    <definedName name="YPrice" localSheetId="25">'Wheat Irrigated'!$H$10</definedName>
    <definedName name="YPrice" localSheetId="23">WheatDryland!$H$10</definedName>
    <definedName name="YTotExp" localSheetId="2">AlfalfaDrylandEstablish!$J$72</definedName>
    <definedName name="YTotExp" localSheetId="4">AlfalfaHayDryland!$J$73</definedName>
    <definedName name="YTotExp" localSheetId="7">AlfalfaHayIrrigated!$J$78</definedName>
    <definedName name="YTotExp" localSheetId="6">AlfalfaIrrigatedEstablish!$J$77</definedName>
    <definedName name="YTotExp" localSheetId="31">CanolaDryland!$J$76</definedName>
    <definedName name="YTotExp" localSheetId="5">CoastalDryland!$J$71</definedName>
    <definedName name="YTotExp" localSheetId="3">CoastalEstab!$J$74</definedName>
    <definedName name="YTotExp" localSheetId="12">'Conv L Irrig Cotton'!$J$88</definedName>
    <definedName name="YTotExp" localSheetId="11">'Conv M Irrig Cotton'!$J$87</definedName>
    <definedName name="YTotExp" localSheetId="8">CottonDryland2X1!$J$78</definedName>
    <definedName name="YTotExp" localSheetId="9">CottonDrylandSolid!$J$83</definedName>
    <definedName name="YTotExp" localSheetId="20">CottonIrrigated!$J$91</definedName>
    <definedName name="YTotExp" localSheetId="32">CowCalf!$L$67</definedName>
    <definedName name="YTotExp" localSheetId="36">'Crop Budget'!$F$141</definedName>
    <definedName name="YTotExp" localSheetId="35">'Livestock Budget'!$G$86</definedName>
    <definedName name="YTotExp" localSheetId="14">'No Till Dryland Cotton'!$J$84</definedName>
    <definedName name="YTotExp" localSheetId="24">'NoTill Wheat Dryland'!$J$83</definedName>
    <definedName name="YTotExp" localSheetId="19">'NT Irrig L Cotton'!$J$92</definedName>
    <definedName name="YTotExp" localSheetId="15">'NT Irrig M Cotton'!$J$91</definedName>
    <definedName name="YTotExp" localSheetId="18">'NT-CC Irrig L Cotton'!$J$92</definedName>
    <definedName name="YTotExp" localSheetId="17">'NT-CC Irrig M Cotton'!$J$91</definedName>
    <definedName name="YTotExp" localSheetId="16">'NT-CC2 Irr M Cotton'!$J$91</definedName>
    <definedName name="YTotExp" localSheetId="28">'Organic Summer HayCrop'!$J$69</definedName>
    <definedName name="YTotExp" localSheetId="26">OrganicDrylandWheat!$J$73</definedName>
    <definedName name="YTotExp" localSheetId="27">'OrganicWheat Year 3'!$J$72</definedName>
    <definedName name="YTotExp" localSheetId="21">Peanuts!$J$82</definedName>
    <definedName name="YTotExp" localSheetId="10">'Red Till Irrig Cotton'!$J$89</definedName>
    <definedName name="YTotExp" localSheetId="13">'Red Till L Irrig Cotton'!$J$90</definedName>
    <definedName name="YTotExp" localSheetId="30">'SD Fescue'!$J$69</definedName>
    <definedName name="YTotExp" localSheetId="29">SmallGrain!$J$67</definedName>
    <definedName name="YTotExp" localSheetId="22">SorghumDryland!$J$77</definedName>
    <definedName name="YTotExp" localSheetId="34">StockerGrazeOut!$L$66</definedName>
    <definedName name="YTotExp" localSheetId="33">StockersMar1!$L$65</definedName>
    <definedName name="YTotExp" localSheetId="25">'Wheat Irrigated'!$J$86</definedName>
    <definedName name="YTotExp" localSheetId="23">WheatDryland!$J$83</definedName>
    <definedName name="YTotRet" localSheetId="2">AlfalfaDrylandEstablish!$J$74</definedName>
    <definedName name="YTotRet" localSheetId="4">AlfalfaHayDryland!$J$75</definedName>
    <definedName name="YTotRet" localSheetId="7">AlfalfaHayIrrigated!$J$80</definedName>
    <definedName name="YTotRet" localSheetId="6">AlfalfaIrrigatedEstablish!$J$79</definedName>
    <definedName name="YTotRet" localSheetId="31">CanolaDryland!$J$78</definedName>
    <definedName name="YTotRet" localSheetId="5">CoastalDryland!$J$73</definedName>
    <definedName name="YTotRet" localSheetId="3">CoastalEstab!$J$76</definedName>
    <definedName name="YTotRet" localSheetId="12">'Conv L Irrig Cotton'!$J$90</definedName>
    <definedName name="YTotRet" localSheetId="11">'Conv M Irrig Cotton'!$J$89</definedName>
    <definedName name="YTotRet" localSheetId="8">CottonDryland2X1!$J$80</definedName>
    <definedName name="YTotRet" localSheetId="9">CottonDrylandSolid!$J$85</definedName>
    <definedName name="YTotRet" localSheetId="20">CottonIrrigated!$J$93</definedName>
    <definedName name="YTotRet" localSheetId="32">CowCalf!$L$68</definedName>
    <definedName name="YTotRet" localSheetId="36">'Crop Budget'!$F$143</definedName>
    <definedName name="YTotRet" localSheetId="35">'Livestock Budget'!$G$88</definedName>
    <definedName name="YTotRet" localSheetId="14">'No Till Dryland Cotton'!$J$86</definedName>
    <definedName name="YTotRet" localSheetId="24">'NoTill Wheat Dryland'!$J$85</definedName>
    <definedName name="YTotRet" localSheetId="19">'NT Irrig L Cotton'!$J$94</definedName>
    <definedName name="YTotRet" localSheetId="15">'NT Irrig M Cotton'!$J$93</definedName>
    <definedName name="YTotRet" localSheetId="18">'NT-CC Irrig L Cotton'!$J$94</definedName>
    <definedName name="YTotRet" localSheetId="17">'NT-CC Irrig M Cotton'!$J$93</definedName>
    <definedName name="YTotRet" localSheetId="16">'NT-CC2 Irr M Cotton'!$J$93</definedName>
    <definedName name="YTotRet" localSheetId="28">'Organic Summer HayCrop'!$J$71</definedName>
    <definedName name="YTotRet" localSheetId="26">OrganicDrylandWheat!$J$75</definedName>
    <definedName name="YTotRet" localSheetId="27">'OrganicWheat Year 3'!$J$74</definedName>
    <definedName name="YTotRet" localSheetId="21">Peanuts!$J$84</definedName>
    <definedName name="YTotRet" localSheetId="10">'Red Till Irrig Cotton'!$J$91</definedName>
    <definedName name="YTotRet" localSheetId="13">'Red Till L Irrig Cotton'!$J$92</definedName>
    <definedName name="YTotRet" localSheetId="30">'SD Fescue'!$J$71</definedName>
    <definedName name="YTotRet" localSheetId="29">SmallGrain!$J$69</definedName>
    <definedName name="YTotRet" localSheetId="22">SorghumDryland!$J$79</definedName>
    <definedName name="YTotRet" localSheetId="34">StockerGrazeOut!$L$68</definedName>
    <definedName name="YTotRet" localSheetId="33">StockersMar1!$L$67</definedName>
    <definedName name="YTotRet" localSheetId="25">'Wheat Irrigated'!$J$88</definedName>
    <definedName name="YTotRet" localSheetId="23">WheatDryland!$J$85</definedName>
    <definedName name="YTTotExp" localSheetId="2">AlfalfaDrylandEstablish!$P$72</definedName>
    <definedName name="YTTotExp" localSheetId="4">AlfalfaHayDryland!$P$73</definedName>
    <definedName name="YTTotExp" localSheetId="7">AlfalfaHayIrrigated!$P$78</definedName>
    <definedName name="YTTotExp" localSheetId="6">AlfalfaIrrigatedEstablish!$P$77</definedName>
    <definedName name="YTTotExp" localSheetId="31">CanolaDryland!$P$76</definedName>
    <definedName name="YTTotExp" localSheetId="5">CoastalDryland!$P$71</definedName>
    <definedName name="YTTotExp" localSheetId="3">CoastalEstab!$P$74</definedName>
    <definedName name="YTTotExp" localSheetId="12">'Conv L Irrig Cotton'!$P$88</definedName>
    <definedName name="YTTotExp" localSheetId="11">'Conv M Irrig Cotton'!$P$87</definedName>
    <definedName name="YTTotExp" localSheetId="8">CottonDryland2X1!$P$78</definedName>
    <definedName name="YTTotExp" localSheetId="9">CottonDrylandSolid!$P$83</definedName>
    <definedName name="YTTotExp" localSheetId="20">CottonIrrigated!$P$91</definedName>
    <definedName name="YTTotExp" localSheetId="14">'No Till Dryland Cotton'!$P$84</definedName>
    <definedName name="YTTotExp" localSheetId="24">'NoTill Wheat Dryland'!$P$83</definedName>
    <definedName name="YTTotExp" localSheetId="19">'NT Irrig L Cotton'!$P$92</definedName>
    <definedName name="YTTotExp" localSheetId="15">'NT Irrig M Cotton'!$P$91</definedName>
    <definedName name="YTTotExp" localSheetId="18">'NT-CC Irrig L Cotton'!$P$92</definedName>
    <definedName name="YTTotExp" localSheetId="17">'NT-CC Irrig M Cotton'!$P$91</definedName>
    <definedName name="YTTotExp" localSheetId="16">'NT-CC2 Irr M Cotton'!$P$91</definedName>
    <definedName name="YTTotExp" localSheetId="28">'Organic Summer HayCrop'!$P$69</definedName>
    <definedName name="YTTotExp" localSheetId="26">OrganicDrylandWheat!$P$73</definedName>
    <definedName name="YTTotExp" localSheetId="27">'OrganicWheat Year 3'!$P$72</definedName>
    <definedName name="YTTotExp" localSheetId="21">Peanuts!$P$82</definedName>
    <definedName name="YTTotExp" localSheetId="10">'Red Till Irrig Cotton'!$P$89</definedName>
    <definedName name="YTTotExp" localSheetId="13">'Red Till L Irrig Cotton'!$P$90</definedName>
    <definedName name="YTTotExp" localSheetId="30">'SD Fescue'!$P$69</definedName>
    <definedName name="YTTotExp" localSheetId="29">SmallGrain!$P$67</definedName>
    <definedName name="YTTotExp" localSheetId="22">SorghumDryland!$P$77</definedName>
    <definedName name="YTTotExp" localSheetId="25">'Wheat Irrigated'!$P$86</definedName>
    <definedName name="YTTotExp" localSheetId="23">WheatDryland!$P$83</definedName>
    <definedName name="YTTotRet" localSheetId="2">AlfalfaDrylandEstablish!$P$74</definedName>
    <definedName name="YTTotRet" localSheetId="4">AlfalfaHayDryland!$P$75</definedName>
    <definedName name="YTTotRet" localSheetId="7">AlfalfaHayIrrigated!$P$80</definedName>
    <definedName name="YTTotRet" localSheetId="6">AlfalfaIrrigatedEstablish!$P$79</definedName>
    <definedName name="YTTotRet" localSheetId="31">CanolaDryland!$P$78</definedName>
    <definedName name="YTTotRet" localSheetId="5">CoastalDryland!$P$73</definedName>
    <definedName name="YTTotRet" localSheetId="3">CoastalEstab!$P$76</definedName>
    <definedName name="YTTotRet" localSheetId="12">'Conv L Irrig Cotton'!$P$90</definedName>
    <definedName name="YTTotRet" localSheetId="11">'Conv M Irrig Cotton'!$P$89</definedName>
    <definedName name="YTTotRet" localSheetId="8">CottonDryland2X1!$P$80</definedName>
    <definedName name="YTTotRet" localSheetId="9">CottonDrylandSolid!$P$85</definedName>
    <definedName name="YTTotRet" localSheetId="20">CottonIrrigated!$P$93</definedName>
    <definedName name="YTTotRet" localSheetId="14">'No Till Dryland Cotton'!$P$86</definedName>
    <definedName name="YTTotRet" localSheetId="24">'NoTill Wheat Dryland'!$P$85</definedName>
    <definedName name="YTTotRet" localSheetId="19">'NT Irrig L Cotton'!$P$94</definedName>
    <definedName name="YTTotRet" localSheetId="15">'NT Irrig M Cotton'!$P$93</definedName>
    <definedName name="YTTotRet" localSheetId="18">'NT-CC Irrig L Cotton'!$P$94</definedName>
    <definedName name="YTTotRet" localSheetId="17">'NT-CC Irrig M Cotton'!$P$93</definedName>
    <definedName name="YTTotRet" localSheetId="16">'NT-CC2 Irr M Cotton'!$P$93</definedName>
    <definedName name="YTTotRet" localSheetId="28">'Organic Summer HayCrop'!$P$71</definedName>
    <definedName name="YTTotRet" localSheetId="26">OrganicDrylandWheat!$P$75</definedName>
    <definedName name="YTTotRet" localSheetId="27">'OrganicWheat Year 3'!$P$74</definedName>
    <definedName name="YTTotRet" localSheetId="21">Peanuts!$P$84</definedName>
    <definedName name="YTTotRet" localSheetId="10">'Red Till Irrig Cotton'!$P$91</definedName>
    <definedName name="YTTotRet" localSheetId="13">'Red Till L Irrig Cotton'!$P$92</definedName>
    <definedName name="YTTotRet" localSheetId="30">'SD Fescue'!$P$71</definedName>
    <definedName name="YTTotRet" localSheetId="29">SmallGrain!$P$69</definedName>
    <definedName name="YTTotRet" localSheetId="22">SorghumDryland!$P$79</definedName>
    <definedName name="YTTotRet" localSheetId="25">'Wheat Irrigated'!$P$88</definedName>
    <definedName name="YTTotRet" localSheetId="23">WheatDryland!$P$85</definedName>
    <definedName name="YTVarExp" localSheetId="2">AlfalfaDrylandEstablish!$P$50</definedName>
    <definedName name="YTVarExp" localSheetId="4">AlfalfaHayDryland!$P$55</definedName>
    <definedName name="YTVarExp" localSheetId="7">AlfalfaHayIrrigated!$P$58</definedName>
    <definedName name="YTVarExp" localSheetId="6">AlfalfaIrrigatedEstablish!$P$53</definedName>
    <definedName name="YTVarExp" localSheetId="31">CanolaDryland!$P$56</definedName>
    <definedName name="YTVarExp" localSheetId="5">CoastalDryland!$P$53</definedName>
    <definedName name="YTVarExp" localSheetId="3">CoastalEstab!$P$52</definedName>
    <definedName name="YTVarExp" localSheetId="12">'Conv L Irrig Cotton'!$P$64</definedName>
    <definedName name="YTVarExp" localSheetId="11">'Conv M Irrig Cotton'!$P$63</definedName>
    <definedName name="YTVarExp" localSheetId="8">CottonDryland2X1!$P$56</definedName>
    <definedName name="YTVarExp" localSheetId="9">CottonDrylandSolid!$P$61</definedName>
    <definedName name="YTVarExp" localSheetId="20">CottonIrrigated!$P$67</definedName>
    <definedName name="YTVarExp" localSheetId="14">'No Till Dryland Cotton'!$P$62</definedName>
    <definedName name="YTVarExp" localSheetId="24">'NoTill Wheat Dryland'!$P$61</definedName>
    <definedName name="YTVarExp" localSheetId="19">'NT Irrig L Cotton'!$P$68</definedName>
    <definedName name="YTVarExp" localSheetId="15">'NT Irrig M Cotton'!$P$67</definedName>
    <definedName name="YTVarExp" localSheetId="18">'NT-CC Irrig L Cotton'!$P$68</definedName>
    <definedName name="YTVarExp" localSheetId="17">'NT-CC Irrig M Cotton'!$P$69</definedName>
    <definedName name="YTVarExp" localSheetId="16">'NT-CC2 Irr M Cotton'!$P$67</definedName>
    <definedName name="YTVarExp" localSheetId="28">'Organic Summer HayCrop'!$P$47</definedName>
    <definedName name="YTVarExp" localSheetId="26">OrganicDrylandWheat!$P$51</definedName>
    <definedName name="YTVarExp" localSheetId="27">'OrganicWheat Year 3'!$P$50</definedName>
    <definedName name="YTVarExp" localSheetId="21">Peanuts!$P$58</definedName>
    <definedName name="YTVarExp" localSheetId="10">'Red Till Irrig Cotton'!$P$65</definedName>
    <definedName name="YTVarExp" localSheetId="13">'Red Till L Irrig Cotton'!$P$66</definedName>
    <definedName name="YTVarExp" localSheetId="30">'SD Fescue'!$P$49</definedName>
    <definedName name="YTVarExp" localSheetId="29">SmallGrain!$P$47</definedName>
    <definedName name="YTVarExp" localSheetId="22">SorghumDryland!$P$55</definedName>
    <definedName name="YTVarExp" localSheetId="25">'Wheat Irrigated'!$P$62</definedName>
    <definedName name="YTVarExp" localSheetId="23">WheatDryland!$P$61</definedName>
    <definedName name="YTVarRet" localSheetId="2">AlfalfaDrylandEstablish!$P$51</definedName>
    <definedName name="YTVarRet" localSheetId="4">AlfalfaHayDryland!$P$56</definedName>
    <definedName name="YTVarRet" localSheetId="7">AlfalfaHayIrrigated!$P$59</definedName>
    <definedName name="YTVarRet" localSheetId="6">AlfalfaIrrigatedEstablish!$P$54</definedName>
    <definedName name="YTVarRet" localSheetId="31">CanolaDryland!$P$57</definedName>
    <definedName name="YTVarRet" localSheetId="5">CoastalDryland!$P$54</definedName>
    <definedName name="YTVarRet" localSheetId="3">CoastalEstab!$P$53</definedName>
    <definedName name="YTVarRet" localSheetId="12">'Conv L Irrig Cotton'!$J$65</definedName>
    <definedName name="YTVarRet" localSheetId="11">'Conv M Irrig Cotton'!$J$64</definedName>
    <definedName name="YTVarRet" localSheetId="8">CottonDryland2X1!$P$57</definedName>
    <definedName name="YTVarRet" localSheetId="9">CottonDrylandSolid!$J$62</definedName>
    <definedName name="YTVarRet" localSheetId="20">CottonIrrigated!$P$68</definedName>
    <definedName name="YTVarRet" localSheetId="14">'No Till Dryland Cotton'!$J$63</definedName>
    <definedName name="YTVarRet" localSheetId="24">'NoTill Wheat Dryland'!$P$62</definedName>
    <definedName name="YTVarRet" localSheetId="19">'NT Irrig L Cotton'!$J$69</definedName>
    <definedName name="YTVarRet" localSheetId="15">'NT Irrig M Cotton'!$J$68</definedName>
    <definedName name="YTVarRet" localSheetId="18">'NT-CC Irrig L Cotton'!$J$69</definedName>
    <definedName name="YTVarRet" localSheetId="17">'NT-CC Irrig M Cotton'!$J$70</definedName>
    <definedName name="YTVarRet" localSheetId="16">'NT-CC2 Irr M Cotton'!$J$68</definedName>
    <definedName name="YTVarRet" localSheetId="28">'Organic Summer HayCrop'!$P$48</definedName>
    <definedName name="YTVarRet" localSheetId="26">OrganicDrylandWheat!$P$52</definedName>
    <definedName name="YTVarRet" localSheetId="27">'OrganicWheat Year 3'!$P$51</definedName>
    <definedName name="YTVarRet" localSheetId="21">Peanuts!$P$59</definedName>
    <definedName name="YTVarRet" localSheetId="10">'Red Till Irrig Cotton'!$J$66</definedName>
    <definedName name="YTVarRet" localSheetId="13">'Red Till L Irrig Cotton'!$J$67</definedName>
    <definedName name="YTVarRet" localSheetId="30">'SD Fescue'!$P$50</definedName>
    <definedName name="YTVarRet" localSheetId="29">SmallGrain!$P$48</definedName>
    <definedName name="YTVarRet" localSheetId="22">SorghumDryland!$P$56</definedName>
    <definedName name="YTVarRet" localSheetId="25">'Wheat Irrigated'!$P$63</definedName>
    <definedName name="YTVarRet" localSheetId="23">WheatDryland!$P$62</definedName>
    <definedName name="YVarExp" localSheetId="2">AlfalfaDrylandEstablish!$J$50</definedName>
    <definedName name="YVarExp" localSheetId="4">AlfalfaHayDryland!$J$55</definedName>
    <definedName name="YVarExp" localSheetId="7">AlfalfaHayIrrigated!$J$58</definedName>
    <definedName name="YVarExp" localSheetId="6">AlfalfaIrrigatedEstablish!$J$53</definedName>
    <definedName name="YVarExp" localSheetId="31">CanolaDryland!$J$56</definedName>
    <definedName name="YVarExp" localSheetId="5">CoastalDryland!$J$53</definedName>
    <definedName name="YVarExp" localSheetId="3">CoastalEstab!$J$52</definedName>
    <definedName name="YVarExp" localSheetId="12">'Conv L Irrig Cotton'!$J$64</definedName>
    <definedName name="YVarExp" localSheetId="11">'Conv M Irrig Cotton'!$J$63</definedName>
    <definedName name="YVarExp" localSheetId="8">CottonDryland2X1!$J$56</definedName>
    <definedName name="YVarExp" localSheetId="9">CottonDrylandSolid!$J$61</definedName>
    <definedName name="YVarExp" localSheetId="20">CottonIrrigated!$J$67</definedName>
    <definedName name="YVarExp" localSheetId="32">CowCalf!$L$51</definedName>
    <definedName name="YVarExp" localSheetId="36">'Crop Budget'!$F$118</definedName>
    <definedName name="YVarExp" localSheetId="35">'Livestock Budget'!$G$63</definedName>
    <definedName name="YVarExp" localSheetId="14">'No Till Dryland Cotton'!$J$62</definedName>
    <definedName name="YVarExp" localSheetId="24">'NoTill Wheat Dryland'!$J$61</definedName>
    <definedName name="YVarExp" localSheetId="19">'NT Irrig L Cotton'!$J$68</definedName>
    <definedName name="YVarExp" localSheetId="15">'NT Irrig M Cotton'!$J$67</definedName>
    <definedName name="YVarExp" localSheetId="18">'NT-CC Irrig L Cotton'!$J$68</definedName>
    <definedName name="YVarExp" localSheetId="17">'NT-CC Irrig M Cotton'!$J$69</definedName>
    <definedName name="YVarExp" localSheetId="16">'NT-CC2 Irr M Cotton'!$J$67</definedName>
    <definedName name="YVarExp" localSheetId="28">'Organic Summer HayCrop'!$J$47</definedName>
    <definedName name="YVarExp" localSheetId="26">OrganicDrylandWheat!$J$51</definedName>
    <definedName name="YVarExp" localSheetId="27">'OrganicWheat Year 3'!$J$50</definedName>
    <definedName name="YVarExp" localSheetId="21">Peanuts!$J$58</definedName>
    <definedName name="YVarExp" localSheetId="10">'Red Till Irrig Cotton'!$J$65</definedName>
    <definedName name="YVarExp" localSheetId="13">'Red Till L Irrig Cotton'!$J$66</definedName>
    <definedName name="YVarExp" localSheetId="30">'SD Fescue'!$J$49</definedName>
    <definedName name="YVarExp" localSheetId="29">SmallGrain!$J$47</definedName>
    <definedName name="YVarExp" localSheetId="22">SorghumDryland!$J$55</definedName>
    <definedName name="YVarExp" localSheetId="34">StockerGrazeOut!$L$49</definedName>
    <definedName name="YVarExp" localSheetId="33">StockersMar1!$L$48</definedName>
    <definedName name="YVarExp" localSheetId="25">'Wheat Irrigated'!$J$62</definedName>
    <definedName name="YVarExp" localSheetId="23">WheatDryland!$J$61</definedName>
    <definedName name="YVarRet" localSheetId="2">AlfalfaDrylandEstablish!$J$51</definedName>
    <definedName name="YVarRet" localSheetId="4">AlfalfaHayDryland!$J$56</definedName>
    <definedName name="YVarRet" localSheetId="7">AlfalfaHayIrrigated!$J$59</definedName>
    <definedName name="YVarRet" localSheetId="6">AlfalfaIrrigatedEstablish!$J$54</definedName>
    <definedName name="YVarRet" localSheetId="31">CanolaDryland!$J$57</definedName>
    <definedName name="YVarRet" localSheetId="5">CoastalDryland!$J$54</definedName>
    <definedName name="YVarRet" localSheetId="3">CoastalEstab!$J$53</definedName>
    <definedName name="YVarRet" localSheetId="12">'Conv L Irrig Cotton'!$J$65</definedName>
    <definedName name="YVarRet" localSheetId="11">'Conv M Irrig Cotton'!$J$64</definedName>
    <definedName name="YVarRet" localSheetId="8">CottonDryland2X1!$J$57</definedName>
    <definedName name="YVarRet" localSheetId="9">CottonDrylandSolid!$J$62</definedName>
    <definedName name="YVarRet" localSheetId="20">CottonIrrigated!$J$68</definedName>
    <definedName name="YVarRet" localSheetId="32">CowCalf!$L$53</definedName>
    <definedName name="YVarRet" localSheetId="36">'Crop Budget'!$F$120</definedName>
    <definedName name="YVarRet" localSheetId="35">'Livestock Budget'!$G$65</definedName>
    <definedName name="YVarRet" localSheetId="14">'No Till Dryland Cotton'!$J$63</definedName>
    <definedName name="YVarRet" localSheetId="24">'NoTill Wheat Dryland'!$J$62</definedName>
    <definedName name="YVarRet" localSheetId="19">'NT Irrig L Cotton'!$J$69</definedName>
    <definedName name="YVarRet" localSheetId="15">'NT Irrig M Cotton'!$J$68</definedName>
    <definedName name="YVarRet" localSheetId="18">'NT-CC Irrig L Cotton'!$J$69</definedName>
    <definedName name="YVarRet" localSheetId="17">'NT-CC Irrig M Cotton'!$J$70</definedName>
    <definedName name="YVarRet" localSheetId="16">'NT-CC2 Irr M Cotton'!$J$68</definedName>
    <definedName name="YVarRet" localSheetId="28">'Organic Summer HayCrop'!$J$48</definedName>
    <definedName name="YVarRet" localSheetId="26">OrganicDrylandWheat!$J$52</definedName>
    <definedName name="YVarRet" localSheetId="27">'OrganicWheat Year 3'!$J$51</definedName>
    <definedName name="YVarRet" localSheetId="21">Peanuts!$J$59</definedName>
    <definedName name="YVarRet" localSheetId="10">'Red Till Irrig Cotton'!$J$66</definedName>
    <definedName name="YVarRet" localSheetId="13">'Red Till L Irrig Cotton'!$J$67</definedName>
    <definedName name="YVarRet" localSheetId="30">'SD Fescue'!$J$50</definedName>
    <definedName name="YVarRet" localSheetId="29">SmallGrain!$J$48</definedName>
    <definedName name="YVarRet" localSheetId="22">SorghumDryland!$J$56</definedName>
    <definedName name="YVarRet" localSheetId="34">StockerGrazeOut!$L$51</definedName>
    <definedName name="YVarRet" localSheetId="33">StockersMar1!$L$50</definedName>
    <definedName name="YVarRet" localSheetId="25">'Wheat Irrigated'!$J$63</definedName>
    <definedName name="YVarRet" localSheetId="23">WheatDryland!$J$62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523" l="1"/>
  <c r="M9" i="353"/>
  <c r="M10" i="293"/>
  <c r="J34" i="442"/>
  <c r="R34" i="442" s="1"/>
  <c r="J33" i="442"/>
  <c r="R33" i="442" s="1"/>
  <c r="J32" i="442"/>
  <c r="R32" i="442" s="1"/>
  <c r="J30" i="442"/>
  <c r="N30" i="442" s="1"/>
  <c r="P30" i="442" s="1"/>
  <c r="J28" i="442"/>
  <c r="R28" i="442" s="1"/>
  <c r="J26" i="442"/>
  <c r="N26" i="442" s="1"/>
  <c r="P26" i="442" s="1"/>
  <c r="J25" i="442"/>
  <c r="R25" i="442" s="1"/>
  <c r="J24" i="442"/>
  <c r="N24" i="442" s="1"/>
  <c r="J23" i="442"/>
  <c r="R23" i="442" s="1"/>
  <c r="J21" i="442"/>
  <c r="J20" i="442"/>
  <c r="R20" i="442" s="1"/>
  <c r="J18" i="442"/>
  <c r="R18" i="442" s="1"/>
  <c r="J27" i="549"/>
  <c r="R27" i="549" s="1"/>
  <c r="J26" i="549"/>
  <c r="R26" i="549" s="1"/>
  <c r="J25" i="549"/>
  <c r="R25" i="549" s="1"/>
  <c r="J24" i="549"/>
  <c r="R24" i="549" s="1"/>
  <c r="J22" i="549"/>
  <c r="R22" i="549" s="1"/>
  <c r="J20" i="549"/>
  <c r="R20" i="549" s="1"/>
  <c r="J19" i="549"/>
  <c r="R19" i="549" s="1"/>
  <c r="J18" i="549"/>
  <c r="R18" i="549" s="1"/>
  <c r="J25" i="440"/>
  <c r="R25" i="440" s="1"/>
  <c r="J24" i="440"/>
  <c r="R24" i="440" s="1"/>
  <c r="J23" i="440"/>
  <c r="R23" i="440" s="1"/>
  <c r="J22" i="440"/>
  <c r="R22" i="440" s="1"/>
  <c r="J20" i="440"/>
  <c r="R20" i="440" s="1"/>
  <c r="J18" i="440"/>
  <c r="R18" i="440" s="1"/>
  <c r="J25" i="555"/>
  <c r="R25" i="555" s="1"/>
  <c r="J24" i="555"/>
  <c r="R24" i="555" s="1"/>
  <c r="J23" i="555"/>
  <c r="R23" i="555" s="1"/>
  <c r="J22" i="555"/>
  <c r="R22" i="555" s="1"/>
  <c r="J20" i="555"/>
  <c r="R20" i="555" s="1"/>
  <c r="J19" i="555"/>
  <c r="R19" i="555" s="1"/>
  <c r="J18" i="555"/>
  <c r="R18" i="555" s="1"/>
  <c r="J28" i="553"/>
  <c r="R28" i="553" s="1"/>
  <c r="J27" i="553"/>
  <c r="R27" i="553" s="1"/>
  <c r="J26" i="553"/>
  <c r="R26" i="553" s="1"/>
  <c r="J25" i="553"/>
  <c r="R25" i="553" s="1"/>
  <c r="J24" i="553"/>
  <c r="R24" i="553" s="1"/>
  <c r="J22" i="553"/>
  <c r="R22" i="553" s="1"/>
  <c r="J20" i="553"/>
  <c r="R20" i="553" s="1"/>
  <c r="J19" i="553"/>
  <c r="R19" i="553" s="1"/>
  <c r="J29" i="551"/>
  <c r="R29" i="551" s="1"/>
  <c r="J28" i="551"/>
  <c r="R28" i="551" s="1"/>
  <c r="J27" i="551"/>
  <c r="J25" i="551"/>
  <c r="N25" i="551" s="1"/>
  <c r="J24" i="551"/>
  <c r="J23" i="551"/>
  <c r="R23" i="551" s="1"/>
  <c r="J21" i="551"/>
  <c r="R21" i="551" s="1"/>
  <c r="J19" i="551"/>
  <c r="R19" i="551" s="1"/>
  <c r="J37" i="557"/>
  <c r="R37" i="557" s="1"/>
  <c r="J36" i="557"/>
  <c r="R36" i="557" s="1"/>
  <c r="J35" i="557"/>
  <c r="R35" i="557" s="1"/>
  <c r="J33" i="557"/>
  <c r="N33" i="557" s="1"/>
  <c r="J32" i="557"/>
  <c r="J31" i="557"/>
  <c r="R31" i="557" s="1"/>
  <c r="J29" i="557"/>
  <c r="R29" i="557" s="1"/>
  <c r="J27" i="557"/>
  <c r="R27" i="557" s="1"/>
  <c r="J26" i="557"/>
  <c r="R26" i="557" s="1"/>
  <c r="J25" i="557"/>
  <c r="R25" i="557" s="1"/>
  <c r="J24" i="557"/>
  <c r="R24" i="557" s="1"/>
  <c r="J22" i="557"/>
  <c r="R22" i="557" s="1"/>
  <c r="J21" i="557"/>
  <c r="R21" i="557" s="1"/>
  <c r="J19" i="557"/>
  <c r="R19" i="557" s="1"/>
  <c r="J39" i="559"/>
  <c r="R39" i="559" s="1"/>
  <c r="J38" i="559"/>
  <c r="R38" i="559" s="1"/>
  <c r="J37" i="559"/>
  <c r="R37" i="559" s="1"/>
  <c r="J35" i="559"/>
  <c r="R35" i="559" s="1"/>
  <c r="J33" i="559"/>
  <c r="R33" i="559" s="1"/>
  <c r="J32" i="559"/>
  <c r="R32" i="559" s="1"/>
  <c r="J31" i="559"/>
  <c r="R31" i="559" s="1"/>
  <c r="J29" i="559"/>
  <c r="R29" i="559" s="1"/>
  <c r="J27" i="559"/>
  <c r="N27" i="559" s="1"/>
  <c r="P27" i="559" s="1"/>
  <c r="J26" i="559"/>
  <c r="N26" i="559" s="1"/>
  <c r="J25" i="559"/>
  <c r="R25" i="559" s="1"/>
  <c r="J24" i="559"/>
  <c r="N24" i="559" s="1"/>
  <c r="P24" i="559" s="1"/>
  <c r="J22" i="559"/>
  <c r="R22" i="559" s="1"/>
  <c r="J21" i="559"/>
  <c r="R21" i="559" s="1"/>
  <c r="J19" i="559"/>
  <c r="R19" i="559" s="1"/>
  <c r="J39" i="460"/>
  <c r="R39" i="460" s="1"/>
  <c r="J38" i="460"/>
  <c r="R38" i="460" s="1"/>
  <c r="J37" i="460"/>
  <c r="N37" i="460" s="1"/>
  <c r="P37" i="460" s="1"/>
  <c r="J35" i="460"/>
  <c r="R35" i="460" s="1"/>
  <c r="J33" i="460"/>
  <c r="R33" i="460" s="1"/>
  <c r="J32" i="460"/>
  <c r="R32" i="460" s="1"/>
  <c r="J31" i="460"/>
  <c r="R31" i="460" s="1"/>
  <c r="J29" i="460"/>
  <c r="N29" i="460" s="1"/>
  <c r="P29" i="460" s="1"/>
  <c r="J27" i="460"/>
  <c r="R27" i="460" s="1"/>
  <c r="J26" i="460"/>
  <c r="N26" i="460" s="1"/>
  <c r="P26" i="460" s="1"/>
  <c r="J25" i="460"/>
  <c r="J24" i="460"/>
  <c r="R24" i="460" s="1"/>
  <c r="J22" i="460"/>
  <c r="R22" i="460" s="1"/>
  <c r="J21" i="460"/>
  <c r="R21" i="460" s="1"/>
  <c r="J19" i="460"/>
  <c r="R19" i="460" s="1"/>
  <c r="J33" i="446"/>
  <c r="R33" i="446" s="1"/>
  <c r="J32" i="446"/>
  <c r="R32" i="446" s="1"/>
  <c r="J31" i="446"/>
  <c r="R31" i="446" s="1"/>
  <c r="J29" i="446"/>
  <c r="R29" i="446" s="1"/>
  <c r="J27" i="446"/>
  <c r="N27" i="446" s="1"/>
  <c r="P27" i="446" s="1"/>
  <c r="J25" i="446"/>
  <c r="R25" i="446" s="1"/>
  <c r="J24" i="446"/>
  <c r="R24" i="446" s="1"/>
  <c r="J22" i="446"/>
  <c r="R22" i="446" s="1"/>
  <c r="J20" i="446"/>
  <c r="R20" i="446" s="1"/>
  <c r="J19" i="446"/>
  <c r="J18" i="446"/>
  <c r="R18" i="446" s="1"/>
  <c r="J33" i="432"/>
  <c r="R33" i="432" s="1"/>
  <c r="J32" i="432"/>
  <c r="R32" i="432" s="1"/>
  <c r="J31" i="432"/>
  <c r="R31" i="432" s="1"/>
  <c r="J30" i="432"/>
  <c r="R30" i="432" s="1"/>
  <c r="J28" i="432"/>
  <c r="R28" i="432" s="1"/>
  <c r="J26" i="432"/>
  <c r="N26" i="432" s="1"/>
  <c r="P26" i="432" s="1"/>
  <c r="J25" i="432"/>
  <c r="R25" i="432" s="1"/>
  <c r="J24" i="432"/>
  <c r="J22" i="432"/>
  <c r="R22" i="432" s="1"/>
  <c r="J21" i="432"/>
  <c r="R21" i="432" s="1"/>
  <c r="J19" i="432"/>
  <c r="R19" i="432" s="1"/>
  <c r="J18" i="432"/>
  <c r="J42" i="438"/>
  <c r="R42" i="438" s="1"/>
  <c r="J41" i="438"/>
  <c r="R41" i="438" s="1"/>
  <c r="J40" i="438"/>
  <c r="R40" i="438" s="1"/>
  <c r="J38" i="438"/>
  <c r="R38" i="438" s="1"/>
  <c r="J36" i="438"/>
  <c r="R36" i="438" s="1"/>
  <c r="J35" i="438"/>
  <c r="R35" i="438" s="1"/>
  <c r="J33" i="438"/>
  <c r="R33" i="438" s="1"/>
  <c r="J32" i="438"/>
  <c r="R32" i="438" s="1"/>
  <c r="J31" i="438"/>
  <c r="R31" i="438" s="1"/>
  <c r="J30" i="438"/>
  <c r="R30" i="438" s="1"/>
  <c r="J28" i="438"/>
  <c r="N28" i="438" s="1"/>
  <c r="P28" i="438" s="1"/>
  <c r="J27" i="438"/>
  <c r="R27" i="438" s="1"/>
  <c r="J26" i="438"/>
  <c r="R26" i="438" s="1"/>
  <c r="J25" i="438"/>
  <c r="N25" i="438" s="1"/>
  <c r="P25" i="438" s="1"/>
  <c r="J23" i="438"/>
  <c r="R23" i="438" s="1"/>
  <c r="J22" i="438"/>
  <c r="R22" i="438" s="1"/>
  <c r="J21" i="438"/>
  <c r="R21" i="438" s="1"/>
  <c r="J20" i="438"/>
  <c r="R20" i="438" s="1"/>
  <c r="J19" i="438"/>
  <c r="R19" i="438" s="1"/>
  <c r="J43" i="531"/>
  <c r="R43" i="531" s="1"/>
  <c r="J42" i="531"/>
  <c r="R42" i="531" s="1"/>
  <c r="J41" i="531"/>
  <c r="N41" i="531" s="1"/>
  <c r="P41" i="531" s="1"/>
  <c r="J39" i="531"/>
  <c r="N39" i="531" s="1"/>
  <c r="J37" i="531"/>
  <c r="N37" i="531" s="1"/>
  <c r="P37" i="531" s="1"/>
  <c r="J36" i="531"/>
  <c r="R36" i="531" s="1"/>
  <c r="J34" i="531"/>
  <c r="R34" i="531" s="1"/>
  <c r="J33" i="531"/>
  <c r="R33" i="531" s="1"/>
  <c r="J32" i="531"/>
  <c r="R32" i="531" s="1"/>
  <c r="J31" i="531"/>
  <c r="R31" i="531" s="1"/>
  <c r="J30" i="531"/>
  <c r="R30" i="531" s="1"/>
  <c r="J29" i="531"/>
  <c r="R29" i="531" s="1"/>
  <c r="J28" i="531"/>
  <c r="N28" i="531" s="1"/>
  <c r="J27" i="531"/>
  <c r="N27" i="531" s="1"/>
  <c r="P27" i="531" s="1"/>
  <c r="J26" i="531"/>
  <c r="N26" i="531" s="1"/>
  <c r="P26" i="531" s="1"/>
  <c r="J24" i="531"/>
  <c r="R24" i="531" s="1"/>
  <c r="J23" i="531"/>
  <c r="R23" i="531" s="1"/>
  <c r="J21" i="531"/>
  <c r="R21" i="531" s="1"/>
  <c r="J20" i="531"/>
  <c r="R20" i="531" s="1"/>
  <c r="J19" i="531"/>
  <c r="R19" i="531" s="1"/>
  <c r="J43" i="535"/>
  <c r="R43" i="535" s="1"/>
  <c r="J42" i="535"/>
  <c r="R42" i="535" s="1"/>
  <c r="J41" i="535"/>
  <c r="R41" i="535" s="1"/>
  <c r="J40" i="535"/>
  <c r="N40" i="535" s="1"/>
  <c r="P40" i="535" s="1"/>
  <c r="J38" i="535"/>
  <c r="R38" i="535" s="1"/>
  <c r="J36" i="535"/>
  <c r="R36" i="535" s="1"/>
  <c r="J35" i="535"/>
  <c r="R35" i="535" s="1"/>
  <c r="J33" i="535"/>
  <c r="R33" i="535" s="1"/>
  <c r="J32" i="535"/>
  <c r="R32" i="535" s="1"/>
  <c r="J31" i="535"/>
  <c r="J30" i="535"/>
  <c r="R30" i="535" s="1"/>
  <c r="J29" i="535"/>
  <c r="R29" i="535" s="1"/>
  <c r="J28" i="535"/>
  <c r="N28" i="535" s="1"/>
  <c r="P28" i="535" s="1"/>
  <c r="J27" i="535"/>
  <c r="N27" i="535" s="1"/>
  <c r="J26" i="535"/>
  <c r="R26" i="535" s="1"/>
  <c r="J24" i="535"/>
  <c r="R24" i="535" s="1"/>
  <c r="J23" i="535"/>
  <c r="R23" i="535" s="1"/>
  <c r="J21" i="535"/>
  <c r="R21" i="535" s="1"/>
  <c r="J20" i="535"/>
  <c r="R20" i="535" s="1"/>
  <c r="J19" i="535"/>
  <c r="N19" i="535" s="1"/>
  <c r="J44" i="533"/>
  <c r="R44" i="533" s="1"/>
  <c r="J43" i="533"/>
  <c r="R43" i="533" s="1"/>
  <c r="J42" i="533"/>
  <c r="R42" i="533" s="1"/>
  <c r="J41" i="533"/>
  <c r="R41" i="533" s="1"/>
  <c r="J39" i="533"/>
  <c r="J37" i="533"/>
  <c r="R37" i="533" s="1"/>
  <c r="J36" i="533"/>
  <c r="R36" i="533" s="1"/>
  <c r="J34" i="533"/>
  <c r="R34" i="533" s="1"/>
  <c r="J33" i="533"/>
  <c r="R33" i="533" s="1"/>
  <c r="J32" i="533"/>
  <c r="R32" i="533" s="1"/>
  <c r="J31" i="533"/>
  <c r="R31" i="533" s="1"/>
  <c r="J30" i="533"/>
  <c r="R30" i="533" s="1"/>
  <c r="J29" i="533"/>
  <c r="J28" i="533"/>
  <c r="R28" i="533" s="1"/>
  <c r="J27" i="533"/>
  <c r="N27" i="533" s="1"/>
  <c r="J25" i="533"/>
  <c r="N25" i="533" s="1"/>
  <c r="P25" i="533" s="1"/>
  <c r="J24" i="533"/>
  <c r="R24" i="533" s="1"/>
  <c r="J23" i="533"/>
  <c r="R23" i="533" s="1"/>
  <c r="J21" i="533"/>
  <c r="R21" i="533" s="1"/>
  <c r="J20" i="533"/>
  <c r="R20" i="533" s="1"/>
  <c r="J19" i="533"/>
  <c r="R19" i="533" s="1"/>
  <c r="J42" i="547"/>
  <c r="R42" i="547" s="1"/>
  <c r="J41" i="547"/>
  <c r="R41" i="547" s="1"/>
  <c r="J40" i="547"/>
  <c r="R40" i="547" s="1"/>
  <c r="J39" i="547"/>
  <c r="R39" i="547" s="1"/>
  <c r="J37" i="547"/>
  <c r="N37" i="547" s="1"/>
  <c r="P37" i="547" s="1"/>
  <c r="J35" i="547"/>
  <c r="R35" i="547" s="1"/>
  <c r="J34" i="547"/>
  <c r="R34" i="547" s="1"/>
  <c r="J32" i="547"/>
  <c r="R32" i="547" s="1"/>
  <c r="J31" i="547"/>
  <c r="R31" i="547" s="1"/>
  <c r="J30" i="547"/>
  <c r="R30" i="547" s="1"/>
  <c r="J29" i="547"/>
  <c r="R29" i="547" s="1"/>
  <c r="J28" i="547"/>
  <c r="R28" i="547" s="1"/>
  <c r="J27" i="547"/>
  <c r="R27" i="547" s="1"/>
  <c r="J26" i="547"/>
  <c r="N26" i="547" s="1"/>
  <c r="P26" i="547" s="1"/>
  <c r="J25" i="547"/>
  <c r="R25" i="547" s="1"/>
  <c r="J24" i="547"/>
  <c r="R24" i="547" s="1"/>
  <c r="J22" i="547"/>
  <c r="R22" i="547" s="1"/>
  <c r="J21" i="547"/>
  <c r="R21" i="547" s="1"/>
  <c r="J19" i="547"/>
  <c r="R19" i="547" s="1"/>
  <c r="J18" i="547"/>
  <c r="R18" i="547" s="1"/>
  <c r="J42" i="529"/>
  <c r="R42" i="529" s="1"/>
  <c r="J41" i="529"/>
  <c r="R41" i="529" s="1"/>
  <c r="J40" i="529"/>
  <c r="N40" i="529" s="1"/>
  <c r="P40" i="529" s="1"/>
  <c r="J38" i="529"/>
  <c r="N38" i="529" s="1"/>
  <c r="P38" i="529" s="1"/>
  <c r="J36" i="529"/>
  <c r="R36" i="529" s="1"/>
  <c r="J35" i="529"/>
  <c r="R35" i="529" s="1"/>
  <c r="J33" i="529"/>
  <c r="R33" i="529" s="1"/>
  <c r="J32" i="529"/>
  <c r="R32" i="529" s="1"/>
  <c r="J31" i="529"/>
  <c r="R31" i="529" s="1"/>
  <c r="J30" i="529"/>
  <c r="R30" i="529" s="1"/>
  <c r="J29" i="529"/>
  <c r="R29" i="529" s="1"/>
  <c r="J28" i="529"/>
  <c r="R28" i="529" s="1"/>
  <c r="J27" i="529"/>
  <c r="R27" i="529" s="1"/>
  <c r="J26" i="529"/>
  <c r="N26" i="529" s="1"/>
  <c r="P26" i="529" s="1"/>
  <c r="J25" i="529"/>
  <c r="N25" i="529" s="1"/>
  <c r="J23" i="529"/>
  <c r="R23" i="529" s="1"/>
  <c r="J22" i="529"/>
  <c r="R22" i="529" s="1"/>
  <c r="J21" i="529"/>
  <c r="R21" i="529" s="1"/>
  <c r="J19" i="529"/>
  <c r="R19" i="529" s="1"/>
  <c r="J18" i="529"/>
  <c r="R18" i="529" s="1"/>
  <c r="J40" i="525"/>
  <c r="R40" i="525" s="1"/>
  <c r="J39" i="525"/>
  <c r="R39" i="525" s="1"/>
  <c r="J38" i="525"/>
  <c r="R38" i="525" s="1"/>
  <c r="J36" i="525"/>
  <c r="R36" i="525" s="1"/>
  <c r="J34" i="525"/>
  <c r="R34" i="525" s="1"/>
  <c r="J33" i="525"/>
  <c r="R33" i="525" s="1"/>
  <c r="J31" i="525"/>
  <c r="R31" i="525" s="1"/>
  <c r="J30" i="525"/>
  <c r="R30" i="525" s="1"/>
  <c r="J29" i="525"/>
  <c r="R29" i="525" s="1"/>
  <c r="J28" i="525"/>
  <c r="R28" i="525" s="1"/>
  <c r="J27" i="525"/>
  <c r="N27" i="525" s="1"/>
  <c r="J26" i="525"/>
  <c r="R26" i="525" s="1"/>
  <c r="J25" i="525"/>
  <c r="N25" i="525" s="1"/>
  <c r="P25" i="525" s="1"/>
  <c r="J24" i="525"/>
  <c r="R24" i="525" s="1"/>
  <c r="J23" i="525"/>
  <c r="R23" i="525" s="1"/>
  <c r="J21" i="525"/>
  <c r="R21" i="525" s="1"/>
  <c r="J19" i="525"/>
  <c r="R19" i="525" s="1"/>
  <c r="J18" i="525"/>
  <c r="R18" i="525" s="1"/>
  <c r="J42" i="541"/>
  <c r="R42" i="541" s="1"/>
  <c r="J41" i="541"/>
  <c r="R41" i="541" s="1"/>
  <c r="J40" i="541"/>
  <c r="R40" i="541" s="1"/>
  <c r="J38" i="541"/>
  <c r="J36" i="541"/>
  <c r="R36" i="541" s="1"/>
  <c r="J35" i="541"/>
  <c r="R35" i="541" s="1"/>
  <c r="J34" i="541"/>
  <c r="N34" i="541" s="1"/>
  <c r="J32" i="541"/>
  <c r="R32" i="541" s="1"/>
  <c r="J31" i="541"/>
  <c r="R31" i="541" s="1"/>
  <c r="J30" i="541"/>
  <c r="R30" i="541" s="1"/>
  <c r="J29" i="541"/>
  <c r="R29" i="541" s="1"/>
  <c r="J28" i="541"/>
  <c r="N28" i="541" s="1"/>
  <c r="P28" i="541" s="1"/>
  <c r="J27" i="541"/>
  <c r="R27" i="541" s="1"/>
  <c r="J26" i="541"/>
  <c r="N26" i="541" s="1"/>
  <c r="P26" i="541" s="1"/>
  <c r="J24" i="541"/>
  <c r="R24" i="541" s="1"/>
  <c r="J23" i="541"/>
  <c r="N23" i="541" s="1"/>
  <c r="P23" i="541" s="1"/>
  <c r="J21" i="541"/>
  <c r="R21" i="541" s="1"/>
  <c r="J20" i="541"/>
  <c r="R20" i="541" s="1"/>
  <c r="J19" i="541"/>
  <c r="R19" i="541" s="1"/>
  <c r="J40" i="545"/>
  <c r="R40" i="545" s="1"/>
  <c r="J39" i="545"/>
  <c r="R39" i="545" s="1"/>
  <c r="J38" i="545"/>
  <c r="R38" i="545" s="1"/>
  <c r="J36" i="545"/>
  <c r="R36" i="545" s="1"/>
  <c r="J34" i="545"/>
  <c r="R34" i="545" s="1"/>
  <c r="J33" i="545"/>
  <c r="N33" i="545" s="1"/>
  <c r="J31" i="545"/>
  <c r="R31" i="545" s="1"/>
  <c r="J30" i="545"/>
  <c r="R30" i="545" s="1"/>
  <c r="J29" i="545"/>
  <c r="N29" i="545" s="1"/>
  <c r="J28" i="545"/>
  <c r="N28" i="545" s="1"/>
  <c r="P28" i="545" s="1"/>
  <c r="J27" i="545"/>
  <c r="J25" i="545"/>
  <c r="R25" i="545" s="1"/>
  <c r="J24" i="545"/>
  <c r="R24" i="545" s="1"/>
  <c r="J22" i="545"/>
  <c r="R22" i="545" s="1"/>
  <c r="J21" i="545"/>
  <c r="J20" i="545"/>
  <c r="R20" i="545" s="1"/>
  <c r="J19" i="545"/>
  <c r="R19" i="545" s="1"/>
  <c r="J38" i="543"/>
  <c r="R38" i="543" s="1"/>
  <c r="J37" i="543"/>
  <c r="R37" i="543" s="1"/>
  <c r="J36" i="543"/>
  <c r="R36" i="543" s="1"/>
  <c r="J34" i="543"/>
  <c r="R34" i="543" s="1"/>
  <c r="J32" i="543"/>
  <c r="R32" i="543" s="1"/>
  <c r="J31" i="543"/>
  <c r="R31" i="543" s="1"/>
  <c r="J29" i="543"/>
  <c r="R29" i="543" s="1"/>
  <c r="J28" i="543"/>
  <c r="R28" i="543" s="1"/>
  <c r="J27" i="543"/>
  <c r="N27" i="543" s="1"/>
  <c r="P27" i="543" s="1"/>
  <c r="J26" i="543"/>
  <c r="N26" i="543" s="1"/>
  <c r="P26" i="543" s="1"/>
  <c r="J25" i="543"/>
  <c r="R25" i="543" s="1"/>
  <c r="J23" i="543"/>
  <c r="N23" i="543" s="1"/>
  <c r="P23" i="543" s="1"/>
  <c r="J22" i="543"/>
  <c r="R22" i="543" s="1"/>
  <c r="J20" i="543"/>
  <c r="R20" i="543" s="1"/>
  <c r="J19" i="543"/>
  <c r="R19" i="543" s="1"/>
  <c r="J18" i="543"/>
  <c r="R18" i="543" s="1"/>
  <c r="J40" i="539"/>
  <c r="R40" i="539" s="1"/>
  <c r="J39" i="539"/>
  <c r="R39" i="539" s="1"/>
  <c r="J38" i="539"/>
  <c r="J36" i="539"/>
  <c r="R36" i="539" s="1"/>
  <c r="J34" i="539"/>
  <c r="R34" i="539" s="1"/>
  <c r="J33" i="539"/>
  <c r="R33" i="539" s="1"/>
  <c r="J32" i="539"/>
  <c r="R32" i="539" s="1"/>
  <c r="J30" i="539"/>
  <c r="R30" i="539" s="1"/>
  <c r="J29" i="539"/>
  <c r="R29" i="539" s="1"/>
  <c r="J28" i="539"/>
  <c r="R28" i="539" s="1"/>
  <c r="J27" i="539"/>
  <c r="R27" i="539" s="1"/>
  <c r="J26" i="539"/>
  <c r="N26" i="539" s="1"/>
  <c r="P26" i="539" s="1"/>
  <c r="J25" i="539"/>
  <c r="R25" i="539" s="1"/>
  <c r="J24" i="539"/>
  <c r="J22" i="539"/>
  <c r="R22" i="539" s="1"/>
  <c r="J21" i="539"/>
  <c r="R21" i="539" s="1"/>
  <c r="J19" i="539"/>
  <c r="R19" i="539" s="1"/>
  <c r="J18" i="539"/>
  <c r="R18" i="539" s="1"/>
  <c r="J39" i="436"/>
  <c r="R39" i="436" s="1"/>
  <c r="J38" i="436"/>
  <c r="R38" i="436" s="1"/>
  <c r="J37" i="436"/>
  <c r="N37" i="436" s="1"/>
  <c r="P37" i="436" s="1"/>
  <c r="J35" i="436"/>
  <c r="R35" i="436" s="1"/>
  <c r="J33" i="436"/>
  <c r="R33" i="436" s="1"/>
  <c r="J32" i="436"/>
  <c r="R32" i="436" s="1"/>
  <c r="J31" i="436"/>
  <c r="R31" i="436" s="1"/>
  <c r="J29" i="436"/>
  <c r="R29" i="436" s="1"/>
  <c r="J28" i="436"/>
  <c r="R28" i="436" s="1"/>
  <c r="J27" i="436"/>
  <c r="R27" i="436" s="1"/>
  <c r="J26" i="436"/>
  <c r="N26" i="436" s="1"/>
  <c r="J25" i="436"/>
  <c r="N25" i="436" s="1"/>
  <c r="P25" i="436" s="1"/>
  <c r="J24" i="436"/>
  <c r="N24" i="436" s="1"/>
  <c r="P24" i="436" s="1"/>
  <c r="J23" i="436"/>
  <c r="R23" i="436" s="1"/>
  <c r="J21" i="436"/>
  <c r="N21" i="436" s="1"/>
  <c r="J19" i="436"/>
  <c r="R19" i="436" s="1"/>
  <c r="J18" i="436"/>
  <c r="R18" i="436" s="1"/>
  <c r="J34" i="430"/>
  <c r="R34" i="430" s="1"/>
  <c r="J33" i="430"/>
  <c r="R33" i="430" s="1"/>
  <c r="J32" i="430"/>
  <c r="R32" i="430" s="1"/>
  <c r="J30" i="430"/>
  <c r="N30" i="430" s="1"/>
  <c r="P30" i="430" s="1"/>
  <c r="J28" i="430"/>
  <c r="N28" i="430" s="1"/>
  <c r="P28" i="430" s="1"/>
  <c r="J27" i="430"/>
  <c r="N27" i="430" s="1"/>
  <c r="P27" i="430" s="1"/>
  <c r="J25" i="430"/>
  <c r="R25" i="430" s="1"/>
  <c r="J23" i="430"/>
  <c r="R23" i="430" s="1"/>
  <c r="J21" i="430"/>
  <c r="N21" i="430" s="1"/>
  <c r="J20" i="430"/>
  <c r="N20" i="430" s="1"/>
  <c r="J19" i="430"/>
  <c r="N19" i="430" s="1"/>
  <c r="P19" i="430" s="1"/>
  <c r="J33" i="428"/>
  <c r="R33" i="428" s="1"/>
  <c r="J32" i="428"/>
  <c r="R32" i="428" s="1"/>
  <c r="J31" i="428"/>
  <c r="J30" i="428"/>
  <c r="R30" i="428" s="1"/>
  <c r="J28" i="428"/>
  <c r="R28" i="428" s="1"/>
  <c r="J27" i="428"/>
  <c r="N27" i="428" s="1"/>
  <c r="P27" i="428" s="1"/>
  <c r="J25" i="428"/>
  <c r="R25" i="428" s="1"/>
  <c r="J24" i="428"/>
  <c r="R24" i="428" s="1"/>
  <c r="J23" i="428"/>
  <c r="N23" i="428" s="1"/>
  <c r="J21" i="428"/>
  <c r="J20" i="428"/>
  <c r="J19" i="428"/>
  <c r="J18" i="428"/>
  <c r="J28" i="426"/>
  <c r="R28" i="426" s="1"/>
  <c r="J27" i="426"/>
  <c r="R27" i="426" s="1"/>
  <c r="J26" i="426"/>
  <c r="N26" i="426" s="1"/>
  <c r="J24" i="426"/>
  <c r="R24" i="426" s="1"/>
  <c r="J23" i="426"/>
  <c r="R23" i="426" s="1"/>
  <c r="J21" i="426"/>
  <c r="N21" i="426" s="1"/>
  <c r="J20" i="426"/>
  <c r="J19" i="426"/>
  <c r="J18" i="426"/>
  <c r="R18" i="426" s="1"/>
  <c r="J31" i="565"/>
  <c r="R31" i="565" s="1"/>
  <c r="J30" i="565"/>
  <c r="R30" i="565" s="1"/>
  <c r="J29" i="565"/>
  <c r="R29" i="565" s="1"/>
  <c r="J27" i="565"/>
  <c r="R27" i="565" s="1"/>
  <c r="J25" i="565"/>
  <c r="R25" i="565" s="1"/>
  <c r="J24" i="565"/>
  <c r="N24" i="565" s="1"/>
  <c r="P24" i="565" s="1"/>
  <c r="J23" i="565"/>
  <c r="R23" i="565" s="1"/>
  <c r="J21" i="565"/>
  <c r="R21" i="565" s="1"/>
  <c r="J20" i="565"/>
  <c r="R20" i="565" s="1"/>
  <c r="J19" i="565"/>
  <c r="R19" i="565" s="1"/>
  <c r="J18" i="565"/>
  <c r="R18" i="565" s="1"/>
  <c r="J33" i="477"/>
  <c r="R33" i="477" s="1"/>
  <c r="J32" i="477"/>
  <c r="R32" i="477" s="1"/>
  <c r="J31" i="477"/>
  <c r="R31" i="477" s="1"/>
  <c r="J30" i="477"/>
  <c r="R30" i="477" s="1"/>
  <c r="J28" i="477"/>
  <c r="N28" i="477" s="1"/>
  <c r="P28" i="477" s="1"/>
  <c r="J27" i="477"/>
  <c r="R27" i="477" s="1"/>
  <c r="J25" i="477"/>
  <c r="R25" i="477" s="1"/>
  <c r="J24" i="477"/>
  <c r="R24" i="477" s="1"/>
  <c r="J23" i="477"/>
  <c r="R23" i="477" s="1"/>
  <c r="J21" i="477"/>
  <c r="N21" i="477" s="1"/>
  <c r="J20" i="477"/>
  <c r="N20" i="477" s="1"/>
  <c r="J19" i="477"/>
  <c r="R19" i="477" s="1"/>
  <c r="J18" i="477"/>
  <c r="R18" i="477" s="1"/>
  <c r="J30" i="563"/>
  <c r="R30" i="563" s="1"/>
  <c r="J29" i="563"/>
  <c r="R29" i="563" s="1"/>
  <c r="J28" i="563"/>
  <c r="R28" i="563" s="1"/>
  <c r="J27" i="563"/>
  <c r="R27" i="563" s="1"/>
  <c r="J25" i="563"/>
  <c r="N25" i="563" s="1"/>
  <c r="P25" i="563" s="1"/>
  <c r="J23" i="563"/>
  <c r="R23" i="563" s="1"/>
  <c r="J22" i="563"/>
  <c r="R22" i="563" s="1"/>
  <c r="J20" i="563"/>
  <c r="R20" i="563" s="1"/>
  <c r="J19" i="563"/>
  <c r="R19" i="563" s="1"/>
  <c r="J18" i="563"/>
  <c r="R18" i="563" s="1"/>
  <c r="J28" i="371"/>
  <c r="R28" i="371" s="1"/>
  <c r="J27" i="371"/>
  <c r="R27" i="371" s="1"/>
  <c r="J26" i="371"/>
  <c r="N26" i="371" s="1"/>
  <c r="P26" i="371" s="1"/>
  <c r="J24" i="371"/>
  <c r="R24" i="371" s="1"/>
  <c r="J23" i="371"/>
  <c r="R23" i="371" s="1"/>
  <c r="J21" i="371"/>
  <c r="R21" i="371" s="1"/>
  <c r="J20" i="371"/>
  <c r="R20" i="371" s="1"/>
  <c r="J19" i="371"/>
  <c r="R19" i="371" s="1"/>
  <c r="J18" i="371"/>
  <c r="R18" i="371" s="1"/>
  <c r="R30" i="442" l="1"/>
  <c r="R24" i="442"/>
  <c r="R26" i="442"/>
  <c r="N18" i="442"/>
  <c r="P18" i="442" s="1"/>
  <c r="N28" i="442"/>
  <c r="P28" i="442" s="1"/>
  <c r="P24" i="442"/>
  <c r="N33" i="442"/>
  <c r="P33" i="442" s="1"/>
  <c r="P25" i="442"/>
  <c r="N20" i="442"/>
  <c r="P20" i="442" s="1"/>
  <c r="N32" i="442"/>
  <c r="N21" i="442"/>
  <c r="P21" i="442" s="1"/>
  <c r="P32" i="442"/>
  <c r="N23" i="442"/>
  <c r="P23" i="442" s="1"/>
  <c r="N34" i="442"/>
  <c r="P34" i="442" s="1"/>
  <c r="R21" i="442"/>
  <c r="N25" i="442"/>
  <c r="N25" i="549"/>
  <c r="P25" i="549" s="1"/>
  <c r="N24" i="549"/>
  <c r="P24" i="549" s="1"/>
  <c r="N18" i="549"/>
  <c r="P18" i="549" s="1"/>
  <c r="N19" i="549"/>
  <c r="P19" i="549" s="1"/>
  <c r="N20" i="549"/>
  <c r="P20" i="549" s="1"/>
  <c r="N22" i="549"/>
  <c r="P22" i="549" s="1"/>
  <c r="N26" i="549"/>
  <c r="P26" i="549" s="1"/>
  <c r="N27" i="549"/>
  <c r="P27" i="549" s="1"/>
  <c r="N23" i="440"/>
  <c r="P23" i="440"/>
  <c r="N18" i="440"/>
  <c r="P18" i="440"/>
  <c r="N20" i="440"/>
  <c r="P20" i="440" s="1"/>
  <c r="N22" i="440"/>
  <c r="P22" i="440" s="1"/>
  <c r="N24" i="440"/>
  <c r="P24" i="440" s="1"/>
  <c r="N25" i="440"/>
  <c r="P25" i="440"/>
  <c r="N18" i="555"/>
  <c r="P18" i="555" s="1"/>
  <c r="N23" i="555"/>
  <c r="P23" i="555" s="1"/>
  <c r="N19" i="555"/>
  <c r="P19" i="555" s="1"/>
  <c r="N20" i="555"/>
  <c r="P20" i="555"/>
  <c r="N22" i="555"/>
  <c r="P22" i="555" s="1"/>
  <c r="N24" i="555"/>
  <c r="P24" i="555" s="1"/>
  <c r="N25" i="555"/>
  <c r="P25" i="555" s="1"/>
  <c r="N19" i="553"/>
  <c r="P19" i="553" s="1"/>
  <c r="N27" i="553"/>
  <c r="N20" i="553"/>
  <c r="P20" i="553" s="1"/>
  <c r="N22" i="553"/>
  <c r="P22" i="553" s="1"/>
  <c r="N24" i="553"/>
  <c r="N28" i="553"/>
  <c r="N25" i="553"/>
  <c r="P25" i="553" s="1"/>
  <c r="P27" i="553"/>
  <c r="P24" i="553"/>
  <c r="N26" i="553"/>
  <c r="P26" i="553" s="1"/>
  <c r="P28" i="553"/>
  <c r="R27" i="551"/>
  <c r="R24" i="551"/>
  <c r="N27" i="551"/>
  <c r="P27" i="551" s="1"/>
  <c r="N23" i="551"/>
  <c r="P25" i="551"/>
  <c r="P23" i="551"/>
  <c r="N24" i="551"/>
  <c r="P24" i="551" s="1"/>
  <c r="R25" i="551"/>
  <c r="N19" i="551"/>
  <c r="P19" i="551" s="1"/>
  <c r="N21" i="551"/>
  <c r="P21" i="551" s="1"/>
  <c r="N28" i="551"/>
  <c r="P28" i="551" s="1"/>
  <c r="N29" i="551"/>
  <c r="P29" i="551" s="1"/>
  <c r="N31" i="557"/>
  <c r="P31" i="557" s="1"/>
  <c r="N19" i="557"/>
  <c r="P19" i="557" s="1"/>
  <c r="N29" i="557"/>
  <c r="P29" i="557" s="1"/>
  <c r="N27" i="557"/>
  <c r="P27" i="557" s="1"/>
  <c r="N32" i="557"/>
  <c r="P32" i="557" s="1"/>
  <c r="N22" i="557"/>
  <c r="P22" i="557" s="1"/>
  <c r="P33" i="557"/>
  <c r="N35" i="557"/>
  <c r="P35" i="557" s="1"/>
  <c r="N36" i="557"/>
  <c r="P36" i="557" s="1"/>
  <c r="N21" i="557"/>
  <c r="P21" i="557" s="1"/>
  <c r="N24" i="557"/>
  <c r="P24" i="557" s="1"/>
  <c r="R32" i="557"/>
  <c r="N37" i="557"/>
  <c r="P37" i="557" s="1"/>
  <c r="N25" i="557"/>
  <c r="P25" i="557" s="1"/>
  <c r="R33" i="557"/>
  <c r="N26" i="557"/>
  <c r="P26" i="557" s="1"/>
  <c r="N25" i="559"/>
  <c r="R27" i="559"/>
  <c r="N29" i="559"/>
  <c r="P29" i="559" s="1"/>
  <c r="N19" i="559"/>
  <c r="P26" i="559"/>
  <c r="R26" i="559"/>
  <c r="R24" i="559"/>
  <c r="P25" i="559"/>
  <c r="N31" i="559"/>
  <c r="P19" i="559"/>
  <c r="N21" i="559"/>
  <c r="P21" i="559" s="1"/>
  <c r="P31" i="559"/>
  <c r="N33" i="559"/>
  <c r="N22" i="559"/>
  <c r="P33" i="559"/>
  <c r="N35" i="559"/>
  <c r="P35" i="559" s="1"/>
  <c r="N38" i="559"/>
  <c r="P38" i="559" s="1"/>
  <c r="N32" i="559"/>
  <c r="P32" i="559" s="1"/>
  <c r="P22" i="559"/>
  <c r="N39" i="559"/>
  <c r="P39" i="559" s="1"/>
  <c r="N37" i="559"/>
  <c r="P37" i="559" s="1"/>
  <c r="N31" i="460"/>
  <c r="P31" i="460" s="1"/>
  <c r="R25" i="460"/>
  <c r="N32" i="460"/>
  <c r="P32" i="460" s="1"/>
  <c r="N33" i="460"/>
  <c r="P33" i="460" s="1"/>
  <c r="R26" i="460"/>
  <c r="N27" i="460"/>
  <c r="R29" i="460"/>
  <c r="N25" i="460"/>
  <c r="P25" i="460" s="1"/>
  <c r="P27" i="460"/>
  <c r="N19" i="460"/>
  <c r="P19" i="460" s="1"/>
  <c r="N21" i="460"/>
  <c r="P21" i="460" s="1"/>
  <c r="R37" i="460"/>
  <c r="N22" i="460"/>
  <c r="P22" i="460" s="1"/>
  <c r="N35" i="460"/>
  <c r="P35" i="460" s="1"/>
  <c r="N38" i="460"/>
  <c r="P38" i="460" s="1"/>
  <c r="N24" i="460"/>
  <c r="P24" i="460" s="1"/>
  <c r="N39" i="460"/>
  <c r="P39" i="460" s="1"/>
  <c r="N22" i="446"/>
  <c r="P22" i="446"/>
  <c r="N29" i="446"/>
  <c r="P29" i="446"/>
  <c r="N20" i="446"/>
  <c r="P20" i="446" s="1"/>
  <c r="N18" i="446"/>
  <c r="P18" i="446" s="1"/>
  <c r="N19" i="446"/>
  <c r="P19" i="446" s="1"/>
  <c r="R27" i="446"/>
  <c r="N31" i="446"/>
  <c r="P31" i="446" s="1"/>
  <c r="N32" i="446"/>
  <c r="P32" i="446" s="1"/>
  <c r="R19" i="446"/>
  <c r="N33" i="446"/>
  <c r="P33" i="446" s="1"/>
  <c r="N24" i="446"/>
  <c r="P24" i="446" s="1"/>
  <c r="N25" i="446"/>
  <c r="P25" i="446" s="1"/>
  <c r="N28" i="432"/>
  <c r="P28" i="432" s="1"/>
  <c r="N21" i="432"/>
  <c r="P21" i="432" s="1"/>
  <c r="N30" i="432"/>
  <c r="P30" i="432" s="1"/>
  <c r="R18" i="432"/>
  <c r="N22" i="432"/>
  <c r="P22" i="432" s="1"/>
  <c r="N18" i="432"/>
  <c r="P18" i="432" s="1"/>
  <c r="R26" i="432"/>
  <c r="R24" i="432"/>
  <c r="N19" i="432"/>
  <c r="P19" i="432" s="1"/>
  <c r="N31" i="432"/>
  <c r="P31" i="432" s="1"/>
  <c r="N32" i="432"/>
  <c r="P32" i="432" s="1"/>
  <c r="N33" i="432"/>
  <c r="P33" i="432" s="1"/>
  <c r="N24" i="432"/>
  <c r="P24" i="432" s="1"/>
  <c r="N25" i="432"/>
  <c r="P25" i="432" s="1"/>
  <c r="N40" i="438"/>
  <c r="P40" i="438" s="1"/>
  <c r="N26" i="438"/>
  <c r="P26" i="438" s="1"/>
  <c r="R25" i="438"/>
  <c r="N30" i="438"/>
  <c r="P30" i="438" s="1"/>
  <c r="N31" i="438"/>
  <c r="P31" i="438" s="1"/>
  <c r="N19" i="438"/>
  <c r="P19" i="438" s="1"/>
  <c r="N27" i="438"/>
  <c r="P27" i="438"/>
  <c r="N38" i="438"/>
  <c r="P38" i="438" s="1"/>
  <c r="R28" i="438"/>
  <c r="N20" i="438"/>
  <c r="P20" i="438" s="1"/>
  <c r="N32" i="438"/>
  <c r="P32" i="438" s="1"/>
  <c r="N21" i="438"/>
  <c r="P21" i="438" s="1"/>
  <c r="N33" i="438"/>
  <c r="P33" i="438" s="1"/>
  <c r="N22" i="438"/>
  <c r="P22" i="438" s="1"/>
  <c r="N23" i="438"/>
  <c r="P23" i="438" s="1"/>
  <c r="N35" i="438"/>
  <c r="P35" i="438" s="1"/>
  <c r="N41" i="438"/>
  <c r="P41" i="438" s="1"/>
  <c r="N36" i="438"/>
  <c r="P36" i="438" s="1"/>
  <c r="N42" i="438"/>
  <c r="P42" i="438" s="1"/>
  <c r="R39" i="531"/>
  <c r="P39" i="531"/>
  <c r="R27" i="531"/>
  <c r="N19" i="531"/>
  <c r="P19" i="531" s="1"/>
  <c r="R37" i="531"/>
  <c r="R41" i="531"/>
  <c r="N29" i="531"/>
  <c r="P29" i="531" s="1"/>
  <c r="N24" i="531"/>
  <c r="P24" i="531" s="1"/>
  <c r="N31" i="531"/>
  <c r="P31" i="531" s="1"/>
  <c r="N33" i="531"/>
  <c r="P33" i="531" s="1"/>
  <c r="N21" i="531"/>
  <c r="P21" i="531" s="1"/>
  <c r="R26" i="531"/>
  <c r="P28" i="531"/>
  <c r="N30" i="531"/>
  <c r="P30" i="531" s="1"/>
  <c r="N20" i="531"/>
  <c r="R28" i="531"/>
  <c r="N32" i="531"/>
  <c r="P32" i="531" s="1"/>
  <c r="P20" i="531"/>
  <c r="N34" i="531"/>
  <c r="P34" i="531" s="1"/>
  <c r="N23" i="531"/>
  <c r="P23" i="531" s="1"/>
  <c r="N42" i="531"/>
  <c r="P42" i="531" s="1"/>
  <c r="N36" i="531"/>
  <c r="P36" i="531" s="1"/>
  <c r="N43" i="531"/>
  <c r="P43" i="531" s="1"/>
  <c r="N20" i="535"/>
  <c r="R28" i="535"/>
  <c r="N29" i="535"/>
  <c r="P29" i="535" s="1"/>
  <c r="N30" i="535"/>
  <c r="P30" i="535" s="1"/>
  <c r="N31" i="535"/>
  <c r="P31" i="535" s="1"/>
  <c r="R31" i="535"/>
  <c r="N24" i="535"/>
  <c r="P24" i="535" s="1"/>
  <c r="P19" i="535"/>
  <c r="N41" i="535"/>
  <c r="P41" i="535" s="1"/>
  <c r="R19" i="535"/>
  <c r="R27" i="535"/>
  <c r="N32" i="535"/>
  <c r="P32" i="535" s="1"/>
  <c r="N36" i="535"/>
  <c r="P36" i="535" s="1"/>
  <c r="R40" i="535"/>
  <c r="P20" i="535"/>
  <c r="P27" i="535"/>
  <c r="N21" i="535"/>
  <c r="P21" i="535" s="1"/>
  <c r="N33" i="535"/>
  <c r="P33" i="535" s="1"/>
  <c r="N23" i="535"/>
  <c r="P23" i="535" s="1"/>
  <c r="N35" i="535"/>
  <c r="P35" i="535" s="1"/>
  <c r="N42" i="535"/>
  <c r="P42" i="535" s="1"/>
  <c r="N43" i="535"/>
  <c r="P43" i="535" s="1"/>
  <c r="N26" i="535"/>
  <c r="P26" i="535" s="1"/>
  <c r="N38" i="535"/>
  <c r="P38" i="535" s="1"/>
  <c r="N42" i="533"/>
  <c r="P42" i="533" s="1"/>
  <c r="N28" i="533"/>
  <c r="P28" i="533"/>
  <c r="R29" i="533"/>
  <c r="N30" i="533"/>
  <c r="P30" i="533" s="1"/>
  <c r="N39" i="533"/>
  <c r="P39" i="533" s="1"/>
  <c r="R25" i="533"/>
  <c r="R39" i="533"/>
  <c r="N29" i="533"/>
  <c r="P29" i="533" s="1"/>
  <c r="R27" i="533"/>
  <c r="N41" i="533"/>
  <c r="P41" i="533" s="1"/>
  <c r="N19" i="533"/>
  <c r="P19" i="533" s="1"/>
  <c r="N24" i="533"/>
  <c r="P24" i="533" s="1"/>
  <c r="N31" i="533"/>
  <c r="P27" i="533"/>
  <c r="N20" i="533"/>
  <c r="P20" i="533" s="1"/>
  <c r="N32" i="533"/>
  <c r="P32" i="533" s="1"/>
  <c r="N21" i="533"/>
  <c r="P21" i="533" s="1"/>
  <c r="P31" i="533"/>
  <c r="N33" i="533"/>
  <c r="P33" i="533" s="1"/>
  <c r="N34" i="533"/>
  <c r="P34" i="533" s="1"/>
  <c r="N23" i="533"/>
  <c r="P23" i="533" s="1"/>
  <c r="N43" i="533"/>
  <c r="P43" i="533" s="1"/>
  <c r="N36" i="533"/>
  <c r="N44" i="533"/>
  <c r="P44" i="533" s="1"/>
  <c r="N37" i="533"/>
  <c r="P37" i="533" s="1"/>
  <c r="P36" i="533"/>
  <c r="N18" i="547"/>
  <c r="R26" i="547"/>
  <c r="N28" i="547"/>
  <c r="P28" i="547" s="1"/>
  <c r="N27" i="547"/>
  <c r="N24" i="547"/>
  <c r="P24" i="547" s="1"/>
  <c r="P27" i="547"/>
  <c r="R37" i="547"/>
  <c r="N22" i="547"/>
  <c r="P22" i="547" s="1"/>
  <c r="N39" i="547"/>
  <c r="P39" i="547" s="1"/>
  <c r="N25" i="547"/>
  <c r="P25" i="547" s="1"/>
  <c r="N29" i="547"/>
  <c r="P29" i="547" s="1"/>
  <c r="N30" i="547"/>
  <c r="P30" i="547" s="1"/>
  <c r="N40" i="547"/>
  <c r="P40" i="547" s="1"/>
  <c r="N19" i="547"/>
  <c r="P19" i="547" s="1"/>
  <c r="N31" i="547"/>
  <c r="P18" i="547"/>
  <c r="N32" i="547"/>
  <c r="P32" i="547" s="1"/>
  <c r="N21" i="547"/>
  <c r="P21" i="547" s="1"/>
  <c r="P31" i="547"/>
  <c r="N34" i="547"/>
  <c r="P34" i="547" s="1"/>
  <c r="N41" i="547"/>
  <c r="P41" i="547" s="1"/>
  <c r="N35" i="547"/>
  <c r="P35" i="547" s="1"/>
  <c r="N42" i="547"/>
  <c r="P42" i="547" s="1"/>
  <c r="N27" i="529"/>
  <c r="P27" i="529" s="1"/>
  <c r="N18" i="529"/>
  <c r="P18" i="529" s="1"/>
  <c r="N22" i="529"/>
  <c r="P22" i="529"/>
  <c r="N28" i="529"/>
  <c r="P28" i="529" s="1"/>
  <c r="R25" i="529"/>
  <c r="R40" i="529"/>
  <c r="N29" i="529"/>
  <c r="P29" i="529" s="1"/>
  <c r="N30" i="529"/>
  <c r="P30" i="529" s="1"/>
  <c r="P25" i="529"/>
  <c r="R26" i="529"/>
  <c r="R38" i="529"/>
  <c r="N19" i="529"/>
  <c r="P19" i="529" s="1"/>
  <c r="N31" i="529"/>
  <c r="P31" i="529" s="1"/>
  <c r="N21" i="529"/>
  <c r="P21" i="529" s="1"/>
  <c r="N33" i="529"/>
  <c r="P33" i="529" s="1"/>
  <c r="N41" i="529"/>
  <c r="P41" i="529" s="1"/>
  <c r="N32" i="529"/>
  <c r="P32" i="529" s="1"/>
  <c r="N23" i="529"/>
  <c r="P23" i="529" s="1"/>
  <c r="N35" i="529"/>
  <c r="P35" i="529" s="1"/>
  <c r="N42" i="529"/>
  <c r="P42" i="529" s="1"/>
  <c r="N36" i="529"/>
  <c r="P36" i="529" s="1"/>
  <c r="N38" i="525"/>
  <c r="P38" i="525" s="1"/>
  <c r="N18" i="525"/>
  <c r="P18" i="525" s="1"/>
  <c r="N28" i="525"/>
  <c r="P28" i="525" s="1"/>
  <c r="P27" i="525"/>
  <c r="R27" i="525"/>
  <c r="N29" i="525"/>
  <c r="R25" i="525"/>
  <c r="N26" i="525"/>
  <c r="P26" i="525" s="1"/>
  <c r="N30" i="525"/>
  <c r="P30" i="525" s="1"/>
  <c r="N19" i="525"/>
  <c r="P19" i="525" s="1"/>
  <c r="P29" i="525"/>
  <c r="N31" i="525"/>
  <c r="P31" i="525" s="1"/>
  <c r="N33" i="525"/>
  <c r="P33" i="525" s="1"/>
  <c r="N34" i="525"/>
  <c r="P34" i="525" s="1"/>
  <c r="N39" i="525"/>
  <c r="P39" i="525" s="1"/>
  <c r="N23" i="525"/>
  <c r="P23" i="525" s="1"/>
  <c r="N40" i="525"/>
  <c r="P40" i="525" s="1"/>
  <c r="N24" i="525"/>
  <c r="P24" i="525" s="1"/>
  <c r="N36" i="525"/>
  <c r="P36" i="525" s="1"/>
  <c r="N21" i="525"/>
  <c r="P21" i="525" s="1"/>
  <c r="N19" i="541"/>
  <c r="P19" i="541" s="1"/>
  <c r="N27" i="541"/>
  <c r="P27" i="541" s="1"/>
  <c r="N21" i="541"/>
  <c r="R26" i="541"/>
  <c r="N31" i="541"/>
  <c r="P31" i="541" s="1"/>
  <c r="N40" i="541"/>
  <c r="P40" i="541"/>
  <c r="N38" i="541"/>
  <c r="P38" i="541" s="1"/>
  <c r="R23" i="541"/>
  <c r="P34" i="541"/>
  <c r="R38" i="541"/>
  <c r="R34" i="541"/>
  <c r="N29" i="541"/>
  <c r="P29" i="541" s="1"/>
  <c r="N30" i="541"/>
  <c r="P30" i="541" s="1"/>
  <c r="N20" i="541"/>
  <c r="P20" i="541" s="1"/>
  <c r="R28" i="541"/>
  <c r="N32" i="541"/>
  <c r="P32" i="541"/>
  <c r="P21" i="541"/>
  <c r="N35" i="541"/>
  <c r="P35" i="541" s="1"/>
  <c r="N41" i="541"/>
  <c r="P41" i="541" s="1"/>
  <c r="N24" i="541"/>
  <c r="P24" i="541" s="1"/>
  <c r="N36" i="541"/>
  <c r="P36" i="541" s="1"/>
  <c r="N42" i="541"/>
  <c r="P42" i="541" s="1"/>
  <c r="R28" i="545"/>
  <c r="R29" i="545"/>
  <c r="N27" i="545"/>
  <c r="P27" i="545" s="1"/>
  <c r="R27" i="545"/>
  <c r="N31" i="545"/>
  <c r="P31" i="545" s="1"/>
  <c r="N25" i="545"/>
  <c r="P25" i="545" s="1"/>
  <c r="P29" i="545"/>
  <c r="N19" i="545"/>
  <c r="P19" i="545" s="1"/>
  <c r="N30" i="545"/>
  <c r="P30" i="545" s="1"/>
  <c r="N20" i="545"/>
  <c r="P20" i="545" s="1"/>
  <c r="N38" i="545"/>
  <c r="P38" i="545" s="1"/>
  <c r="P21" i="545"/>
  <c r="N22" i="545"/>
  <c r="P22" i="545" s="1"/>
  <c r="N34" i="545"/>
  <c r="P34" i="545" s="1"/>
  <c r="P33" i="545"/>
  <c r="N39" i="545"/>
  <c r="P39" i="545" s="1"/>
  <c r="N24" i="545"/>
  <c r="P24" i="545" s="1"/>
  <c r="N36" i="545"/>
  <c r="P36" i="545" s="1"/>
  <c r="N40" i="545"/>
  <c r="P40" i="545" s="1"/>
  <c r="R21" i="545"/>
  <c r="R33" i="545"/>
  <c r="N21" i="545"/>
  <c r="N18" i="543"/>
  <c r="R23" i="543"/>
  <c r="N28" i="543"/>
  <c r="P28" i="543" s="1"/>
  <c r="N29" i="543"/>
  <c r="R26" i="543"/>
  <c r="N19" i="543"/>
  <c r="P19" i="543" s="1"/>
  <c r="R27" i="543"/>
  <c r="P29" i="543"/>
  <c r="N31" i="543"/>
  <c r="P31" i="543" s="1"/>
  <c r="P18" i="543"/>
  <c r="N20" i="543"/>
  <c r="P20" i="543" s="1"/>
  <c r="N32" i="543"/>
  <c r="P32" i="543" s="1"/>
  <c r="N22" i="543"/>
  <c r="P22" i="543" s="1"/>
  <c r="N34" i="543"/>
  <c r="P34" i="543" s="1"/>
  <c r="N37" i="543"/>
  <c r="P37" i="543" s="1"/>
  <c r="N38" i="543"/>
  <c r="P38" i="543" s="1"/>
  <c r="N36" i="543"/>
  <c r="P36" i="543" s="1"/>
  <c r="N25" i="543"/>
  <c r="P25" i="543" s="1"/>
  <c r="R26" i="539"/>
  <c r="N22" i="539"/>
  <c r="P22" i="539" s="1"/>
  <c r="N28" i="539"/>
  <c r="P28" i="539" s="1"/>
  <c r="N24" i="539"/>
  <c r="P24" i="539" s="1"/>
  <c r="R38" i="539"/>
  <c r="N38" i="539"/>
  <c r="P38" i="539" s="1"/>
  <c r="N29" i="539"/>
  <c r="P29" i="539" s="1"/>
  <c r="R24" i="539"/>
  <c r="N27" i="539"/>
  <c r="P27" i="539" s="1"/>
  <c r="N30" i="539"/>
  <c r="P30" i="539" s="1"/>
  <c r="N18" i="539"/>
  <c r="P18" i="539" s="1"/>
  <c r="N19" i="539"/>
  <c r="P19" i="539" s="1"/>
  <c r="N32" i="539"/>
  <c r="P32" i="539" s="1"/>
  <c r="N21" i="539"/>
  <c r="P21" i="539" s="1"/>
  <c r="N33" i="539"/>
  <c r="P33" i="539" s="1"/>
  <c r="N34" i="539"/>
  <c r="P34" i="539" s="1"/>
  <c r="N39" i="539"/>
  <c r="P39" i="539" s="1"/>
  <c r="N40" i="539"/>
  <c r="P40" i="539" s="1"/>
  <c r="N36" i="539"/>
  <c r="P36" i="539" s="1"/>
  <c r="N25" i="539"/>
  <c r="P25" i="539" s="1"/>
  <c r="N27" i="436"/>
  <c r="P27" i="436" s="1"/>
  <c r="R37" i="436"/>
  <c r="P21" i="436"/>
  <c r="R21" i="436"/>
  <c r="N28" i="436"/>
  <c r="P28" i="436" s="1"/>
  <c r="N23" i="436"/>
  <c r="P23" i="436" s="1"/>
  <c r="N35" i="436"/>
  <c r="P35" i="436" s="1"/>
  <c r="R25" i="436"/>
  <c r="R24" i="436"/>
  <c r="P26" i="436"/>
  <c r="N29" i="436"/>
  <c r="P29" i="436" s="1"/>
  <c r="N18" i="436"/>
  <c r="P18" i="436" s="1"/>
  <c r="R26" i="436"/>
  <c r="N19" i="436"/>
  <c r="P19" i="436" s="1"/>
  <c r="N31" i="436"/>
  <c r="P31" i="436" s="1"/>
  <c r="N32" i="436"/>
  <c r="N33" i="436"/>
  <c r="P33" i="436" s="1"/>
  <c r="P32" i="436"/>
  <c r="N38" i="436"/>
  <c r="P38" i="436" s="1"/>
  <c r="N39" i="436"/>
  <c r="P39" i="436" s="1"/>
  <c r="R30" i="430"/>
  <c r="R19" i="430"/>
  <c r="R27" i="430"/>
  <c r="R28" i="430"/>
  <c r="N33" i="430"/>
  <c r="P33" i="430" s="1"/>
  <c r="N32" i="430"/>
  <c r="P20" i="430"/>
  <c r="P32" i="430"/>
  <c r="R21" i="430"/>
  <c r="N25" i="430"/>
  <c r="P25" i="430" s="1"/>
  <c r="R20" i="430"/>
  <c r="P21" i="430"/>
  <c r="N23" i="430"/>
  <c r="P23" i="430" s="1"/>
  <c r="N34" i="430"/>
  <c r="P34" i="430" s="1"/>
  <c r="R23" i="428"/>
  <c r="N18" i="428"/>
  <c r="P18" i="428" s="1"/>
  <c r="R18" i="428"/>
  <c r="R27" i="428"/>
  <c r="N28" i="428"/>
  <c r="P28" i="428" s="1"/>
  <c r="P23" i="428"/>
  <c r="N30" i="428"/>
  <c r="P30" i="428" s="1"/>
  <c r="N33" i="428"/>
  <c r="P33" i="428" s="1"/>
  <c r="N32" i="428"/>
  <c r="P32" i="428" s="1"/>
  <c r="R31" i="428"/>
  <c r="N31" i="428"/>
  <c r="P31" i="428" s="1"/>
  <c r="R19" i="428"/>
  <c r="N19" i="428"/>
  <c r="P19" i="428" s="1"/>
  <c r="N20" i="428"/>
  <c r="P20" i="428" s="1"/>
  <c r="N21" i="428"/>
  <c r="P21" i="428" s="1"/>
  <c r="R21" i="428"/>
  <c r="N25" i="428"/>
  <c r="P25" i="428" s="1"/>
  <c r="R20" i="428"/>
  <c r="N24" i="428"/>
  <c r="P24" i="428" s="1"/>
  <c r="P26" i="426"/>
  <c r="N18" i="426"/>
  <c r="P18" i="426" s="1"/>
  <c r="R26" i="426"/>
  <c r="N27" i="426"/>
  <c r="P27" i="426" s="1"/>
  <c r="P24" i="426"/>
  <c r="N20" i="426"/>
  <c r="P20" i="426"/>
  <c r="R20" i="426"/>
  <c r="R19" i="426"/>
  <c r="N19" i="426"/>
  <c r="P19" i="426" s="1"/>
  <c r="N28" i="426"/>
  <c r="P28" i="426" s="1"/>
  <c r="P21" i="426"/>
  <c r="N23" i="426"/>
  <c r="P23" i="426" s="1"/>
  <c r="N24" i="426"/>
  <c r="R21" i="426"/>
  <c r="N25" i="565"/>
  <c r="P25" i="565"/>
  <c r="N27" i="565"/>
  <c r="P27" i="565" s="1"/>
  <c r="R24" i="565"/>
  <c r="N29" i="565"/>
  <c r="P29" i="565" s="1"/>
  <c r="N18" i="565"/>
  <c r="P18" i="565" s="1"/>
  <c r="N19" i="565"/>
  <c r="P19" i="565" s="1"/>
  <c r="N20" i="565"/>
  <c r="P20" i="565" s="1"/>
  <c r="N21" i="565"/>
  <c r="P21" i="565" s="1"/>
  <c r="N30" i="565"/>
  <c r="P30" i="565" s="1"/>
  <c r="N23" i="565"/>
  <c r="P23" i="565" s="1"/>
  <c r="N31" i="565"/>
  <c r="P31" i="565" s="1"/>
  <c r="N30" i="477"/>
  <c r="P30" i="477" s="1"/>
  <c r="N18" i="477"/>
  <c r="P18" i="477" s="1"/>
  <c r="R28" i="477"/>
  <c r="N27" i="477"/>
  <c r="P27" i="477" s="1"/>
  <c r="N32" i="477"/>
  <c r="P32" i="477" s="1"/>
  <c r="P25" i="477"/>
  <c r="N19" i="477"/>
  <c r="P19" i="477" s="1"/>
  <c r="N31" i="477"/>
  <c r="P31" i="477" s="1"/>
  <c r="P20" i="477"/>
  <c r="P21" i="477"/>
  <c r="N23" i="477"/>
  <c r="P23" i="477" s="1"/>
  <c r="N33" i="477"/>
  <c r="P33" i="477" s="1"/>
  <c r="R20" i="477"/>
  <c r="N24" i="477"/>
  <c r="P24" i="477" s="1"/>
  <c r="R21" i="477"/>
  <c r="N25" i="477"/>
  <c r="N22" i="563"/>
  <c r="N27" i="563"/>
  <c r="P27" i="563" s="1"/>
  <c r="N28" i="563"/>
  <c r="P28" i="563" s="1"/>
  <c r="N29" i="563"/>
  <c r="P29" i="563" s="1"/>
  <c r="N18" i="563"/>
  <c r="N19" i="563"/>
  <c r="P19" i="563" s="1"/>
  <c r="R25" i="563"/>
  <c r="P18" i="563"/>
  <c r="N20" i="563"/>
  <c r="P20" i="563" s="1"/>
  <c r="N23" i="563"/>
  <c r="P23" i="563" s="1"/>
  <c r="N30" i="563"/>
  <c r="P30" i="563" s="1"/>
  <c r="P22" i="563"/>
  <c r="N24" i="371"/>
  <c r="P24" i="371" s="1"/>
  <c r="N18" i="371"/>
  <c r="P18" i="371" s="1"/>
  <c r="R26" i="371"/>
  <c r="N19" i="371"/>
  <c r="P19" i="371" s="1"/>
  <c r="N20" i="371"/>
  <c r="P20" i="371" s="1"/>
  <c r="N21" i="371"/>
  <c r="P21" i="371" s="1"/>
  <c r="N27" i="371"/>
  <c r="P27" i="371" s="1"/>
  <c r="N23" i="371"/>
  <c r="P23" i="371" s="1"/>
  <c r="N28" i="371"/>
  <c r="P28" i="371" s="1"/>
  <c r="Y10" i="481" l="1"/>
  <c r="K10" i="481"/>
  <c r="AC10" i="481" s="1"/>
  <c r="B10" i="481"/>
  <c r="I10" i="480"/>
  <c r="L10" i="480" s="1"/>
  <c r="B10" i="480"/>
  <c r="H75" i="565"/>
  <c r="J69" i="565"/>
  <c r="J68" i="565"/>
  <c r="J67" i="565"/>
  <c r="J66" i="565"/>
  <c r="R66" i="565" s="1"/>
  <c r="J65" i="565"/>
  <c r="N65" i="565" s="1"/>
  <c r="P65" i="565" s="1"/>
  <c r="J64" i="565"/>
  <c r="R64" i="565" s="1"/>
  <c r="J63" i="565"/>
  <c r="R63" i="565" s="1"/>
  <c r="J62" i="565"/>
  <c r="R62" i="565" s="1"/>
  <c r="J61" i="565"/>
  <c r="R61" i="565" s="1"/>
  <c r="J59" i="565"/>
  <c r="H55" i="565"/>
  <c r="J51" i="565"/>
  <c r="N51" i="565" s="1"/>
  <c r="P51" i="565" s="1"/>
  <c r="J50" i="565"/>
  <c r="R50" i="565" s="1"/>
  <c r="J49" i="565"/>
  <c r="N49" i="565" s="1"/>
  <c r="P49" i="565" s="1"/>
  <c r="J48" i="565"/>
  <c r="R48" i="565" s="1"/>
  <c r="J47" i="565"/>
  <c r="N47" i="565" s="1"/>
  <c r="P47" i="565" s="1"/>
  <c r="J46" i="565"/>
  <c r="R46" i="565" s="1"/>
  <c r="J43" i="565"/>
  <c r="R43" i="565" s="1"/>
  <c r="J42" i="565"/>
  <c r="R42" i="565" s="1"/>
  <c r="J39" i="565"/>
  <c r="R39" i="565" s="1"/>
  <c r="J38" i="565"/>
  <c r="R38" i="565" s="1"/>
  <c r="J35" i="565"/>
  <c r="J34" i="565"/>
  <c r="R34" i="565" s="1"/>
  <c r="J32" i="565"/>
  <c r="R32" i="565" s="1"/>
  <c r="J12" i="565"/>
  <c r="R12" i="565" s="1"/>
  <c r="J11" i="565"/>
  <c r="R11" i="565" s="1"/>
  <c r="J10" i="565"/>
  <c r="R10" i="565" s="1"/>
  <c r="R9" i="565"/>
  <c r="A10" i="476"/>
  <c r="Y8" i="481"/>
  <c r="K8" i="481"/>
  <c r="AC8" i="481" s="1"/>
  <c r="B8" i="481"/>
  <c r="I8" i="480"/>
  <c r="L8" i="480" s="1"/>
  <c r="B8" i="480"/>
  <c r="H78" i="563"/>
  <c r="J72" i="563"/>
  <c r="R72" i="563" s="1"/>
  <c r="J71" i="563"/>
  <c r="J70" i="563"/>
  <c r="R70" i="563" s="1"/>
  <c r="J69" i="563"/>
  <c r="R69" i="563" s="1"/>
  <c r="J68" i="563"/>
  <c r="N68" i="563" s="1"/>
  <c r="P68" i="563" s="1"/>
  <c r="J67" i="563"/>
  <c r="R67" i="563" s="1"/>
  <c r="J66" i="563"/>
  <c r="R66" i="563" s="1"/>
  <c r="J65" i="563"/>
  <c r="R65" i="563" s="1"/>
  <c r="J64" i="563"/>
  <c r="J63" i="563"/>
  <c r="R63" i="563" s="1"/>
  <c r="J62" i="563"/>
  <c r="R62" i="563" s="1"/>
  <c r="J60" i="563"/>
  <c r="N60" i="563" s="1"/>
  <c r="J59" i="563"/>
  <c r="R59" i="563" s="1"/>
  <c r="J58" i="563"/>
  <c r="H54" i="563"/>
  <c r="J50" i="563"/>
  <c r="N50" i="563" s="1"/>
  <c r="P50" i="563" s="1"/>
  <c r="J49" i="563"/>
  <c r="R49" i="563" s="1"/>
  <c r="J48" i="563"/>
  <c r="N48" i="563" s="1"/>
  <c r="P48" i="563" s="1"/>
  <c r="J47" i="563"/>
  <c r="R47" i="563" s="1"/>
  <c r="J46" i="563"/>
  <c r="R46" i="563" s="1"/>
  <c r="J45" i="563"/>
  <c r="R45" i="563" s="1"/>
  <c r="J42" i="563"/>
  <c r="R42" i="563" s="1"/>
  <c r="J41" i="563"/>
  <c r="R41" i="563" s="1"/>
  <c r="J38" i="563"/>
  <c r="R38" i="563" s="1"/>
  <c r="J37" i="563"/>
  <c r="N37" i="563" s="1"/>
  <c r="J34" i="563"/>
  <c r="R34" i="563" s="1"/>
  <c r="J33" i="563"/>
  <c r="R33" i="563" s="1"/>
  <c r="J31" i="563"/>
  <c r="R31" i="563" s="1"/>
  <c r="J12" i="563"/>
  <c r="N12" i="563" s="1"/>
  <c r="P12" i="563" s="1"/>
  <c r="J11" i="563"/>
  <c r="J10" i="563"/>
  <c r="R9" i="563"/>
  <c r="A8" i="476"/>
  <c r="A10" i="481" l="1"/>
  <c r="R47" i="565"/>
  <c r="M10" i="481"/>
  <c r="N10" i="481"/>
  <c r="O10" i="481"/>
  <c r="N42" i="565"/>
  <c r="P42" i="565" s="1"/>
  <c r="K10" i="480"/>
  <c r="AA10" i="481"/>
  <c r="AB10" i="481"/>
  <c r="D16" i="36"/>
  <c r="A10" i="480"/>
  <c r="A10" i="27"/>
  <c r="D14" i="36"/>
  <c r="A8" i="480"/>
  <c r="A8" i="481"/>
  <c r="A8" i="27"/>
  <c r="N38" i="565"/>
  <c r="P38" i="565" s="1"/>
  <c r="N10" i="565"/>
  <c r="P10" i="565" s="1"/>
  <c r="J70" i="565"/>
  <c r="N64" i="565"/>
  <c r="P64" i="565" s="1"/>
  <c r="N68" i="565"/>
  <c r="P68" i="565" s="1"/>
  <c r="R68" i="565"/>
  <c r="N12" i="565"/>
  <c r="P12" i="565" s="1"/>
  <c r="N46" i="565"/>
  <c r="P46" i="565" s="1"/>
  <c r="J13" i="565"/>
  <c r="N35" i="565"/>
  <c r="P35" i="565" s="1"/>
  <c r="N32" i="565"/>
  <c r="P32" i="565" s="1"/>
  <c r="R35" i="565"/>
  <c r="N69" i="565"/>
  <c r="P69" i="565" s="1"/>
  <c r="R13" i="565"/>
  <c r="R69" i="565"/>
  <c r="N11" i="565"/>
  <c r="P11" i="565" s="1"/>
  <c r="N63" i="565"/>
  <c r="P63" i="565" s="1"/>
  <c r="N67" i="565"/>
  <c r="P67" i="565" s="1"/>
  <c r="R67" i="565"/>
  <c r="R49" i="565"/>
  <c r="R51" i="565"/>
  <c r="N59" i="565"/>
  <c r="P59" i="565" s="1"/>
  <c r="N62" i="565"/>
  <c r="P62" i="565" s="1"/>
  <c r="R65" i="565"/>
  <c r="N48" i="565"/>
  <c r="P48" i="565" s="1"/>
  <c r="J52" i="565"/>
  <c r="R52" i="565" s="1"/>
  <c r="N50" i="565"/>
  <c r="P50" i="565" s="1"/>
  <c r="R59" i="565"/>
  <c r="N39" i="565"/>
  <c r="P39" i="565" s="1"/>
  <c r="N61" i="565"/>
  <c r="P61" i="565" s="1"/>
  <c r="N66" i="565"/>
  <c r="P66" i="565" s="1"/>
  <c r="N34" i="565"/>
  <c r="P34" i="565" s="1"/>
  <c r="N43" i="565"/>
  <c r="P43" i="565" s="1"/>
  <c r="M8" i="481"/>
  <c r="N8" i="481"/>
  <c r="O8" i="481"/>
  <c r="K8" i="480"/>
  <c r="AA8" i="481"/>
  <c r="AB8" i="481"/>
  <c r="J13" i="563"/>
  <c r="N10" i="563"/>
  <c r="P10" i="563" s="1"/>
  <c r="N11" i="563"/>
  <c r="P11" i="563" s="1"/>
  <c r="N31" i="563"/>
  <c r="P31" i="563" s="1"/>
  <c r="N46" i="563"/>
  <c r="P46" i="563" s="1"/>
  <c r="N64" i="563"/>
  <c r="P64" i="563" s="1"/>
  <c r="R60" i="563"/>
  <c r="R64" i="563"/>
  <c r="R37" i="563"/>
  <c r="N47" i="563"/>
  <c r="P47" i="563" s="1"/>
  <c r="R12" i="563"/>
  <c r="N70" i="563"/>
  <c r="P70" i="563" s="1"/>
  <c r="N66" i="563"/>
  <c r="P66" i="563" s="1"/>
  <c r="N71" i="563"/>
  <c r="P71" i="563" s="1"/>
  <c r="N41" i="563"/>
  <c r="P41" i="563" s="1"/>
  <c r="J73" i="563"/>
  <c r="R71" i="563"/>
  <c r="N63" i="563"/>
  <c r="P63" i="563" s="1"/>
  <c r="N72" i="563"/>
  <c r="P72" i="563" s="1"/>
  <c r="R10" i="563"/>
  <c r="R11" i="563"/>
  <c r="P37" i="563"/>
  <c r="P60" i="563"/>
  <c r="R48" i="563"/>
  <c r="R50" i="563"/>
  <c r="N58" i="563"/>
  <c r="P58" i="563" s="1"/>
  <c r="N65" i="563"/>
  <c r="P65" i="563" s="1"/>
  <c r="R68" i="563"/>
  <c r="N45" i="563"/>
  <c r="P45" i="563" s="1"/>
  <c r="N34" i="563"/>
  <c r="P34" i="563" s="1"/>
  <c r="N59" i="563"/>
  <c r="P59" i="563" s="1"/>
  <c r="N67" i="563"/>
  <c r="P67" i="563" s="1"/>
  <c r="J51" i="563"/>
  <c r="R51" i="563" s="1"/>
  <c r="N49" i="563"/>
  <c r="P49" i="563" s="1"/>
  <c r="R58" i="563"/>
  <c r="N38" i="563"/>
  <c r="P38" i="563" s="1"/>
  <c r="N62" i="563"/>
  <c r="P62" i="563" s="1"/>
  <c r="N69" i="563"/>
  <c r="P69" i="563" s="1"/>
  <c r="N33" i="563"/>
  <c r="P33" i="563" s="1"/>
  <c r="N42" i="563"/>
  <c r="P42" i="563" s="1"/>
  <c r="X10" i="476" l="1"/>
  <c r="H10" i="27"/>
  <c r="Z10" i="481"/>
  <c r="J10" i="476"/>
  <c r="J10" i="480"/>
  <c r="I10" i="27"/>
  <c r="L10" i="481"/>
  <c r="K10" i="476"/>
  <c r="Y10" i="476"/>
  <c r="R53" i="565"/>
  <c r="R54" i="565" s="1"/>
  <c r="N13" i="565"/>
  <c r="N70" i="565"/>
  <c r="P70" i="565"/>
  <c r="J53" i="565"/>
  <c r="P13" i="565"/>
  <c r="R70" i="565"/>
  <c r="N52" i="565"/>
  <c r="N53" i="565" s="1"/>
  <c r="W10" i="481" s="1"/>
  <c r="Y8" i="476"/>
  <c r="Z8" i="481"/>
  <c r="K8" i="476"/>
  <c r="J8" i="480"/>
  <c r="I8" i="27"/>
  <c r="L8" i="481"/>
  <c r="X8" i="476"/>
  <c r="J8" i="476"/>
  <c r="H8" i="27"/>
  <c r="J52" i="563"/>
  <c r="R73" i="563"/>
  <c r="R13" i="563"/>
  <c r="P73" i="563"/>
  <c r="N73" i="563"/>
  <c r="R52" i="563"/>
  <c r="N13" i="563"/>
  <c r="N51" i="563"/>
  <c r="N52" i="563" s="1"/>
  <c r="P13" i="563"/>
  <c r="U10" i="481" l="1"/>
  <c r="G10" i="480"/>
  <c r="R71" i="565"/>
  <c r="R73" i="565" s="1"/>
  <c r="P52" i="565"/>
  <c r="P53" i="565" s="1"/>
  <c r="V10" i="481" s="1"/>
  <c r="N71" i="565"/>
  <c r="N54" i="565"/>
  <c r="S10" i="481" s="1"/>
  <c r="J71" i="565"/>
  <c r="J54" i="565"/>
  <c r="R74" i="563"/>
  <c r="R76" i="563" s="1"/>
  <c r="N74" i="563"/>
  <c r="I8" i="481" s="1"/>
  <c r="W8" i="481"/>
  <c r="K8" i="27"/>
  <c r="J8" i="27"/>
  <c r="AB8" i="476"/>
  <c r="AA8" i="476"/>
  <c r="Z8" i="476"/>
  <c r="N8" i="476"/>
  <c r="M8" i="476"/>
  <c r="L8" i="476"/>
  <c r="U8" i="481"/>
  <c r="G8" i="480"/>
  <c r="J74" i="563"/>
  <c r="J53" i="563"/>
  <c r="P51" i="563"/>
  <c r="P52" i="563" s="1"/>
  <c r="V8" i="481" s="1"/>
  <c r="R53" i="563"/>
  <c r="N53" i="563"/>
  <c r="S8" i="481" s="1"/>
  <c r="N73" i="565" l="1"/>
  <c r="E10" i="481" s="1"/>
  <c r="I10" i="481"/>
  <c r="Q10" i="481"/>
  <c r="D10" i="480"/>
  <c r="J73" i="565"/>
  <c r="G10" i="481"/>
  <c r="F10" i="480"/>
  <c r="P71" i="565"/>
  <c r="P54" i="565"/>
  <c r="R10" i="481" s="1"/>
  <c r="J76" i="563"/>
  <c r="G8" i="481"/>
  <c r="F8" i="480"/>
  <c r="N76" i="563"/>
  <c r="E8" i="481" s="1"/>
  <c r="Q8" i="481"/>
  <c r="D8" i="480"/>
  <c r="P74" i="563"/>
  <c r="P53" i="563"/>
  <c r="R8" i="481" s="1"/>
  <c r="P73" i="565" l="1"/>
  <c r="D10" i="481" s="1"/>
  <c r="H10" i="481"/>
  <c r="C10" i="481"/>
  <c r="C10" i="480"/>
  <c r="P76" i="563"/>
  <c r="D8" i="481" s="1"/>
  <c r="H8" i="481"/>
  <c r="C8" i="481"/>
  <c r="C8" i="480"/>
  <c r="B7" i="481" l="1"/>
  <c r="K7" i="481"/>
  <c r="Y7" i="481"/>
  <c r="B9" i="481"/>
  <c r="K9" i="481"/>
  <c r="AA9" i="481" s="1"/>
  <c r="Y9" i="481"/>
  <c r="B11" i="481"/>
  <c r="K11" i="481"/>
  <c r="AC11" i="481" s="1"/>
  <c r="Y11" i="481"/>
  <c r="B12" i="481"/>
  <c r="K12" i="481"/>
  <c r="AA12" i="481" s="1"/>
  <c r="Y12" i="481"/>
  <c r="B13" i="481"/>
  <c r="K13" i="481"/>
  <c r="AA13" i="481" s="1"/>
  <c r="Y13" i="481"/>
  <c r="B14" i="481"/>
  <c r="K14" i="481"/>
  <c r="M14" i="481" s="1"/>
  <c r="Y14" i="481"/>
  <c r="B18" i="481"/>
  <c r="K18" i="481"/>
  <c r="AB18" i="481" s="1"/>
  <c r="Y18" i="481"/>
  <c r="B19" i="481"/>
  <c r="K19" i="481"/>
  <c r="AB19" i="481" s="1"/>
  <c r="Y19" i="481"/>
  <c r="B20" i="481"/>
  <c r="K20" i="481"/>
  <c r="AB20" i="481" s="1"/>
  <c r="Y20" i="481"/>
  <c r="B21" i="481"/>
  <c r="K21" i="481"/>
  <c r="M21" i="481" s="1"/>
  <c r="Y21" i="481"/>
  <c r="B22" i="481"/>
  <c r="K22" i="481"/>
  <c r="Y22" i="481"/>
  <c r="B23" i="481"/>
  <c r="K23" i="481"/>
  <c r="AB23" i="481" s="1"/>
  <c r="Y23" i="481"/>
  <c r="B24" i="481"/>
  <c r="K24" i="481"/>
  <c r="O24" i="481" s="1"/>
  <c r="Y24" i="481"/>
  <c r="B25" i="481"/>
  <c r="K25" i="481"/>
  <c r="AA25" i="481" s="1"/>
  <c r="Y25" i="481"/>
  <c r="B26" i="481"/>
  <c r="K26" i="481"/>
  <c r="AB26" i="481" s="1"/>
  <c r="Y26" i="481"/>
  <c r="B27" i="481"/>
  <c r="K27" i="481"/>
  <c r="O27" i="481" s="1"/>
  <c r="Y27" i="481"/>
  <c r="B28" i="481"/>
  <c r="K28" i="481"/>
  <c r="Y28" i="481"/>
  <c r="B29" i="481"/>
  <c r="K29" i="481"/>
  <c r="Y29" i="481"/>
  <c r="B30" i="481"/>
  <c r="K30" i="481"/>
  <c r="N30" i="481" s="1"/>
  <c r="Y30" i="481"/>
  <c r="B31" i="481"/>
  <c r="K31" i="481"/>
  <c r="Y31" i="481"/>
  <c r="B32" i="481"/>
  <c r="K32" i="481"/>
  <c r="Y32" i="481"/>
  <c r="B33" i="481"/>
  <c r="K33" i="481"/>
  <c r="AA33" i="481" s="1"/>
  <c r="Y33" i="481"/>
  <c r="B34" i="481"/>
  <c r="K34" i="481"/>
  <c r="AB34" i="481" s="1"/>
  <c r="Y34" i="481"/>
  <c r="B35" i="481"/>
  <c r="K35" i="481"/>
  <c r="M35" i="481" s="1"/>
  <c r="Y35" i="481"/>
  <c r="B36" i="481"/>
  <c r="K36" i="481"/>
  <c r="M36" i="481" s="1"/>
  <c r="Y36" i="481"/>
  <c r="B37" i="481"/>
  <c r="K37" i="481"/>
  <c r="O37" i="481" s="1"/>
  <c r="Y37" i="481"/>
  <c r="B38" i="481"/>
  <c r="K38" i="481"/>
  <c r="M38" i="481" s="1"/>
  <c r="Y38" i="481"/>
  <c r="B39" i="481"/>
  <c r="K39" i="481"/>
  <c r="O39" i="481" s="1"/>
  <c r="Y39" i="481"/>
  <c r="B43" i="481"/>
  <c r="B44" i="481"/>
  <c r="K44" i="481"/>
  <c r="M44" i="481" s="1"/>
  <c r="L44" i="481"/>
  <c r="Y44" i="481"/>
  <c r="Z44" i="481"/>
  <c r="B45" i="481"/>
  <c r="K45" i="481"/>
  <c r="L45" i="481"/>
  <c r="Y45" i="481"/>
  <c r="Z45" i="481"/>
  <c r="B7" i="480"/>
  <c r="I7" i="480"/>
  <c r="K7" i="480" s="1"/>
  <c r="B9" i="480"/>
  <c r="I9" i="480"/>
  <c r="L9" i="480" s="1"/>
  <c r="B11" i="480"/>
  <c r="I11" i="480"/>
  <c r="B12" i="480"/>
  <c r="I12" i="480"/>
  <c r="B13" i="480"/>
  <c r="I13" i="480"/>
  <c r="B14" i="480"/>
  <c r="I14" i="480"/>
  <c r="B18" i="480"/>
  <c r="I18" i="480"/>
  <c r="B19" i="480"/>
  <c r="I19" i="480"/>
  <c r="B20" i="480"/>
  <c r="I20" i="480"/>
  <c r="K20" i="480" s="1"/>
  <c r="B21" i="480"/>
  <c r="I21" i="480"/>
  <c r="B22" i="480"/>
  <c r="I22" i="480"/>
  <c r="B23" i="480"/>
  <c r="I23" i="480"/>
  <c r="B24" i="480"/>
  <c r="I24" i="480"/>
  <c r="K24" i="480" s="1"/>
  <c r="B25" i="480"/>
  <c r="I25" i="480"/>
  <c r="L25" i="480" s="1"/>
  <c r="B26" i="480"/>
  <c r="I26" i="480"/>
  <c r="K26" i="480" s="1"/>
  <c r="B27" i="480"/>
  <c r="I27" i="480"/>
  <c r="B28" i="480"/>
  <c r="I28" i="480"/>
  <c r="B29" i="480"/>
  <c r="I29" i="480"/>
  <c r="B30" i="480"/>
  <c r="I30" i="480"/>
  <c r="B31" i="480"/>
  <c r="I31" i="480"/>
  <c r="B32" i="480"/>
  <c r="I32" i="480"/>
  <c r="L32" i="480" s="1"/>
  <c r="B33" i="480"/>
  <c r="I33" i="480"/>
  <c r="L33" i="480" s="1"/>
  <c r="B34" i="480"/>
  <c r="I34" i="480"/>
  <c r="K34" i="480" s="1"/>
  <c r="B35" i="480"/>
  <c r="I35" i="480"/>
  <c r="K35" i="480" s="1"/>
  <c r="B36" i="480"/>
  <c r="I36" i="480"/>
  <c r="B37" i="480"/>
  <c r="I37" i="480"/>
  <c r="B38" i="480"/>
  <c r="I38" i="480"/>
  <c r="L38" i="480" s="1"/>
  <c r="B39" i="480"/>
  <c r="I39" i="480"/>
  <c r="L39" i="480" s="1"/>
  <c r="B43" i="480"/>
  <c r="B44" i="480"/>
  <c r="I44" i="480"/>
  <c r="L44" i="480" s="1"/>
  <c r="J44" i="480"/>
  <c r="B45" i="480"/>
  <c r="I45" i="480"/>
  <c r="K45" i="480" s="1"/>
  <c r="J45" i="480"/>
  <c r="A49" i="480"/>
  <c r="B49" i="480"/>
  <c r="A50" i="480"/>
  <c r="B50" i="480"/>
  <c r="I50" i="480"/>
  <c r="J50" i="480"/>
  <c r="K44" i="476"/>
  <c r="Y44" i="476"/>
  <c r="K45" i="476"/>
  <c r="Y45" i="476"/>
  <c r="I44" i="27"/>
  <c r="I45" i="27"/>
  <c r="F9" i="509"/>
  <c r="G9" i="509" s="1"/>
  <c r="F10" i="509"/>
  <c r="G10" i="509" s="1"/>
  <c r="F11" i="509"/>
  <c r="G11" i="509" s="1"/>
  <c r="F12" i="509"/>
  <c r="G12" i="509" s="1"/>
  <c r="F13" i="509"/>
  <c r="G13" i="509" s="1"/>
  <c r="F14" i="509"/>
  <c r="G14" i="509" s="1"/>
  <c r="F15" i="509"/>
  <c r="G15" i="509" s="1"/>
  <c r="F16" i="509"/>
  <c r="G16" i="509"/>
  <c r="F24" i="509"/>
  <c r="G24" i="509" s="1"/>
  <c r="F25" i="509"/>
  <c r="G25" i="509" s="1"/>
  <c r="F26" i="509"/>
  <c r="G26" i="509" s="1"/>
  <c r="F27" i="509"/>
  <c r="G27" i="509" s="1"/>
  <c r="F28" i="509"/>
  <c r="G28" i="509"/>
  <c r="F29" i="509"/>
  <c r="G29" i="509" s="1"/>
  <c r="F31" i="509"/>
  <c r="G31" i="509" s="1"/>
  <c r="F32" i="509"/>
  <c r="G32" i="509" s="1"/>
  <c r="F33" i="509"/>
  <c r="G33" i="509"/>
  <c r="F34" i="509"/>
  <c r="G34" i="509" s="1"/>
  <c r="F35" i="509"/>
  <c r="G35" i="509" s="1"/>
  <c r="F36" i="509"/>
  <c r="G36" i="509" s="1"/>
  <c r="F38" i="509"/>
  <c r="G38" i="509" s="1"/>
  <c r="F39" i="509"/>
  <c r="G39" i="509" s="1"/>
  <c r="F40" i="509"/>
  <c r="G40" i="509" s="1"/>
  <c r="F41" i="509"/>
  <c r="G41" i="509" s="1"/>
  <c r="F42" i="509"/>
  <c r="G42" i="509" s="1"/>
  <c r="F43" i="509"/>
  <c r="G43" i="509" s="1"/>
  <c r="F45" i="509"/>
  <c r="G45" i="509" s="1"/>
  <c r="F46" i="509"/>
  <c r="G46" i="509" s="1"/>
  <c r="F47" i="509"/>
  <c r="G47" i="509" s="1"/>
  <c r="F48" i="509"/>
  <c r="G48" i="509" s="1"/>
  <c r="F49" i="509"/>
  <c r="G49" i="509" s="1"/>
  <c r="F50" i="509"/>
  <c r="G50" i="509" s="1"/>
  <c r="F52" i="509"/>
  <c r="G52" i="509" s="1"/>
  <c r="F53" i="509"/>
  <c r="G53" i="509" s="1"/>
  <c r="F54" i="509"/>
  <c r="G54" i="509" s="1"/>
  <c r="F55" i="509"/>
  <c r="G55" i="509" s="1"/>
  <c r="F56" i="509"/>
  <c r="G56" i="509"/>
  <c r="F57" i="509"/>
  <c r="G57" i="509" s="1"/>
  <c r="F58" i="509"/>
  <c r="G58" i="509" s="1"/>
  <c r="F59" i="509"/>
  <c r="G59" i="509" s="1"/>
  <c r="F61" i="509"/>
  <c r="G61" i="509" s="1"/>
  <c r="F62" i="509"/>
  <c r="G62" i="509" s="1"/>
  <c r="F63" i="509"/>
  <c r="G63" i="509" s="1"/>
  <c r="F64" i="509"/>
  <c r="G64" i="509" s="1"/>
  <c r="F65" i="509"/>
  <c r="G65" i="509"/>
  <c r="F66" i="509"/>
  <c r="G66" i="509" s="1"/>
  <c r="F68" i="509"/>
  <c r="G68" i="509" s="1"/>
  <c r="F69" i="509"/>
  <c r="G69" i="509" s="1"/>
  <c r="F70" i="509"/>
  <c r="G70" i="509" s="1"/>
  <c r="F71" i="509"/>
  <c r="G71" i="509" s="1"/>
  <c r="F72" i="509"/>
  <c r="G72" i="509" s="1"/>
  <c r="F73" i="509"/>
  <c r="G73" i="509" s="1"/>
  <c r="F75" i="509"/>
  <c r="G75" i="509" s="1"/>
  <c r="F76" i="509"/>
  <c r="G76" i="509" s="1"/>
  <c r="F77" i="509"/>
  <c r="G77" i="509" s="1"/>
  <c r="F78" i="509"/>
  <c r="G78" i="509" s="1"/>
  <c r="F79" i="509"/>
  <c r="G79" i="509" s="1"/>
  <c r="F80" i="509"/>
  <c r="G80" i="509" s="1"/>
  <c r="F82" i="509"/>
  <c r="G82" i="509" s="1"/>
  <c r="F83" i="509"/>
  <c r="G83" i="509"/>
  <c r="F84" i="509"/>
  <c r="G84" i="509" s="1"/>
  <c r="F85" i="509"/>
  <c r="G85" i="509" s="1"/>
  <c r="F86" i="509"/>
  <c r="G86" i="509" s="1"/>
  <c r="F87" i="509"/>
  <c r="G87" i="509" s="1"/>
  <c r="F89" i="509"/>
  <c r="G89" i="509" s="1"/>
  <c r="F90" i="509"/>
  <c r="G90" i="509" s="1"/>
  <c r="F91" i="509"/>
  <c r="G91" i="509" s="1"/>
  <c r="F92" i="509"/>
  <c r="G92" i="509"/>
  <c r="F93" i="509"/>
  <c r="G93" i="509"/>
  <c r="F94" i="509"/>
  <c r="G94" i="509"/>
  <c r="F96" i="509"/>
  <c r="G96" i="509" s="1"/>
  <c r="F97" i="509"/>
  <c r="G97" i="509" s="1"/>
  <c r="F98" i="509"/>
  <c r="G98" i="509" s="1"/>
  <c r="F99" i="509"/>
  <c r="G99" i="509" s="1"/>
  <c r="F100" i="509"/>
  <c r="G100" i="509" s="1"/>
  <c r="F101" i="509"/>
  <c r="G101" i="509" s="1"/>
  <c r="F102" i="509"/>
  <c r="G102" i="509"/>
  <c r="F103" i="509"/>
  <c r="G103" i="509" s="1"/>
  <c r="F104" i="509"/>
  <c r="G104" i="509" s="1"/>
  <c r="F106" i="509"/>
  <c r="G106" i="509" s="1"/>
  <c r="F107" i="509"/>
  <c r="G107" i="509" s="1"/>
  <c r="F108" i="509"/>
  <c r="G108" i="509" s="1"/>
  <c r="F109" i="509"/>
  <c r="G109" i="509" s="1"/>
  <c r="F110" i="509"/>
  <c r="G110" i="509" s="1"/>
  <c r="F111" i="509"/>
  <c r="G111" i="509" s="1"/>
  <c r="F112" i="509"/>
  <c r="G112" i="509" s="1"/>
  <c r="F113" i="509"/>
  <c r="G113" i="509"/>
  <c r="F114" i="509"/>
  <c r="G114" i="509" s="1"/>
  <c r="E122" i="509"/>
  <c r="F122" i="509"/>
  <c r="F126" i="509"/>
  <c r="G126" i="509" s="1"/>
  <c r="F127" i="509"/>
  <c r="G127" i="509" s="1"/>
  <c r="F128" i="509"/>
  <c r="F129" i="509"/>
  <c r="G129" i="509" s="1"/>
  <c r="F130" i="509"/>
  <c r="G130" i="509" s="1"/>
  <c r="F131" i="509"/>
  <c r="G131" i="509" s="1"/>
  <c r="F132" i="509"/>
  <c r="G132" i="509" s="1"/>
  <c r="F133" i="509"/>
  <c r="G133" i="509" s="1"/>
  <c r="F134" i="509"/>
  <c r="G134" i="509" s="1"/>
  <c r="F135" i="509"/>
  <c r="G135" i="509" s="1"/>
  <c r="F136" i="509"/>
  <c r="G136" i="509" s="1"/>
  <c r="F137" i="509"/>
  <c r="G137" i="509" s="1"/>
  <c r="E145" i="509"/>
  <c r="F145" i="509"/>
  <c r="C150" i="509"/>
  <c r="C151" i="509"/>
  <c r="C152" i="509"/>
  <c r="E152" i="509" s="1"/>
  <c r="C153" i="509"/>
  <c r="E153" i="509"/>
  <c r="G153" i="509"/>
  <c r="E154" i="509"/>
  <c r="G154" i="509"/>
  <c r="E155" i="509"/>
  <c r="G155" i="509"/>
  <c r="G9" i="508"/>
  <c r="H9" i="508" s="1"/>
  <c r="G10" i="508"/>
  <c r="H10" i="508" s="1"/>
  <c r="G11" i="508"/>
  <c r="H11" i="508" s="1"/>
  <c r="G12" i="508"/>
  <c r="H12" i="508" s="1"/>
  <c r="G13" i="508"/>
  <c r="H13" i="508" s="1"/>
  <c r="G14" i="508"/>
  <c r="H14" i="508" s="1"/>
  <c r="G15" i="508"/>
  <c r="H15" i="508" s="1"/>
  <c r="G16" i="508"/>
  <c r="H16" i="508" s="1"/>
  <c r="G23" i="508"/>
  <c r="H23" i="508" s="1"/>
  <c r="G25" i="508"/>
  <c r="G26" i="508"/>
  <c r="H26" i="508" s="1"/>
  <c r="G27" i="508"/>
  <c r="H27" i="508" s="1"/>
  <c r="G28" i="508"/>
  <c r="H28" i="508" s="1"/>
  <c r="G30" i="508"/>
  <c r="G31" i="508"/>
  <c r="H31" i="508" s="1"/>
  <c r="G32" i="508"/>
  <c r="H32" i="508" s="1"/>
  <c r="G33" i="508"/>
  <c r="H33" i="508"/>
  <c r="G34" i="508"/>
  <c r="H34" i="508" s="1"/>
  <c r="G35" i="508"/>
  <c r="H35" i="508" s="1"/>
  <c r="G36" i="508"/>
  <c r="H36" i="508" s="1"/>
  <c r="G37" i="508"/>
  <c r="H37" i="508" s="1"/>
  <c r="G39" i="508"/>
  <c r="G40" i="508"/>
  <c r="H40" i="508" s="1"/>
  <c r="G41" i="508"/>
  <c r="H41" i="508" s="1"/>
  <c r="G42" i="508"/>
  <c r="H42" i="508" s="1"/>
  <c r="G43" i="508"/>
  <c r="H43" i="508" s="1"/>
  <c r="G44" i="508"/>
  <c r="H44" i="508"/>
  <c r="G45" i="508"/>
  <c r="H45" i="508" s="1"/>
  <c r="G46" i="508"/>
  <c r="H46" i="508" s="1"/>
  <c r="G47" i="508"/>
  <c r="H47" i="508" s="1"/>
  <c r="G48" i="508"/>
  <c r="H48" i="508" s="1"/>
  <c r="G50" i="508"/>
  <c r="H50" i="508" s="1"/>
  <c r="G52" i="508"/>
  <c r="H52" i="508" s="1"/>
  <c r="G54" i="508"/>
  <c r="H54" i="508" s="1"/>
  <c r="G55" i="508"/>
  <c r="H55" i="508"/>
  <c r="G56" i="508"/>
  <c r="H56" i="508" s="1"/>
  <c r="G57" i="508"/>
  <c r="H57" i="508"/>
  <c r="G58" i="508"/>
  <c r="H58" i="508" s="1"/>
  <c r="G59" i="508"/>
  <c r="H59" i="508" s="1"/>
  <c r="F67" i="508"/>
  <c r="F90" i="508" s="1"/>
  <c r="J49" i="480" s="1"/>
  <c r="G71" i="508"/>
  <c r="H71" i="508" s="1"/>
  <c r="G72" i="508"/>
  <c r="H72" i="508" s="1"/>
  <c r="G73" i="508"/>
  <c r="H73" i="508" s="1"/>
  <c r="G74" i="508"/>
  <c r="H74" i="508"/>
  <c r="G75" i="508"/>
  <c r="H75" i="508" s="1"/>
  <c r="G76" i="508"/>
  <c r="H76" i="508" s="1"/>
  <c r="G77" i="508"/>
  <c r="H77" i="508" s="1"/>
  <c r="G78" i="508"/>
  <c r="H78" i="508"/>
  <c r="G79" i="508"/>
  <c r="H79" i="508"/>
  <c r="G80" i="508"/>
  <c r="H80" i="508" s="1"/>
  <c r="G81" i="508"/>
  <c r="H81" i="508" s="1"/>
  <c r="G82" i="508"/>
  <c r="H82" i="508" s="1"/>
  <c r="E94" i="508"/>
  <c r="C95" i="508"/>
  <c r="D95" i="508"/>
  <c r="B96" i="508"/>
  <c r="B95" i="508" s="1"/>
  <c r="C96" i="508"/>
  <c r="D96" i="508"/>
  <c r="B98" i="508"/>
  <c r="B99" i="508" s="1"/>
  <c r="C98" i="508"/>
  <c r="D98" i="508"/>
  <c r="C99" i="508"/>
  <c r="D99" i="508"/>
  <c r="G99" i="508"/>
  <c r="F101" i="508"/>
  <c r="H101" i="508"/>
  <c r="F102" i="508"/>
  <c r="H102" i="508"/>
  <c r="F103" i="508"/>
  <c r="I49" i="480" s="1"/>
  <c r="K49" i="480" s="1"/>
  <c r="C107" i="508"/>
  <c r="F109" i="508"/>
  <c r="F110" i="508"/>
  <c r="H110" i="508"/>
  <c r="F112" i="508"/>
  <c r="H112" i="508"/>
  <c r="F113" i="508"/>
  <c r="H113" i="508"/>
  <c r="C114" i="508"/>
  <c r="F114" i="508"/>
  <c r="H114" i="508"/>
  <c r="F115" i="508"/>
  <c r="H115" i="508"/>
  <c r="F116" i="508"/>
  <c r="H116" i="508"/>
  <c r="N9" i="523"/>
  <c r="L11" i="523"/>
  <c r="L12" i="523"/>
  <c r="N12" i="523" s="1"/>
  <c r="L13" i="523"/>
  <c r="N13" i="523" s="1"/>
  <c r="L18" i="523"/>
  <c r="N18" i="523" s="1"/>
  <c r="L19" i="523"/>
  <c r="N19" i="523" s="1"/>
  <c r="L21" i="523"/>
  <c r="N21" i="523" s="1"/>
  <c r="L22" i="523"/>
  <c r="N22" i="523" s="1"/>
  <c r="L23" i="523"/>
  <c r="N23" i="523" s="1"/>
  <c r="L24" i="523"/>
  <c r="N24" i="523" s="1"/>
  <c r="L26" i="523"/>
  <c r="N26" i="523" s="1"/>
  <c r="L27" i="523"/>
  <c r="N27" i="523" s="1"/>
  <c r="L28" i="523"/>
  <c r="N28" i="523" s="1"/>
  <c r="L29" i="523"/>
  <c r="N29" i="523" s="1"/>
  <c r="L30" i="523"/>
  <c r="N30" i="523" s="1"/>
  <c r="L32" i="523"/>
  <c r="N32" i="523" s="1"/>
  <c r="L33" i="523"/>
  <c r="N33" i="523" s="1"/>
  <c r="L34" i="523"/>
  <c r="N34" i="523" s="1"/>
  <c r="L35" i="523"/>
  <c r="N35" i="523" s="1"/>
  <c r="L36" i="523"/>
  <c r="N36" i="523" s="1"/>
  <c r="L38" i="523"/>
  <c r="N38" i="523" s="1"/>
  <c r="L39" i="523"/>
  <c r="N39" i="523" s="1"/>
  <c r="L40" i="523"/>
  <c r="N40" i="523" s="1"/>
  <c r="L41" i="523"/>
  <c r="N41" i="523" s="1"/>
  <c r="L42" i="523"/>
  <c r="N42" i="523" s="1"/>
  <c r="L43" i="523"/>
  <c r="N43" i="523" s="1"/>
  <c r="L44" i="523"/>
  <c r="N44" i="523" s="1"/>
  <c r="L45" i="523"/>
  <c r="N45" i="523" s="1"/>
  <c r="L46" i="523"/>
  <c r="N46" i="523" s="1"/>
  <c r="L47" i="523"/>
  <c r="N47" i="523" s="1"/>
  <c r="J53" i="523"/>
  <c r="L57" i="523"/>
  <c r="N57" i="523" s="1"/>
  <c r="L58" i="523"/>
  <c r="N58" i="523" s="1"/>
  <c r="L59" i="523"/>
  <c r="N59" i="523" s="1"/>
  <c r="L60" i="523"/>
  <c r="N60" i="523" s="1"/>
  <c r="L61" i="523"/>
  <c r="N61" i="523" s="1"/>
  <c r="L62" i="523"/>
  <c r="N62" i="523" s="1"/>
  <c r="L63" i="523"/>
  <c r="N63" i="523" s="1"/>
  <c r="J70" i="523"/>
  <c r="N9" i="353"/>
  <c r="L11" i="353"/>
  <c r="N11" i="353" s="1"/>
  <c r="L12" i="353"/>
  <c r="N12" i="353" s="1"/>
  <c r="L13" i="353"/>
  <c r="N13" i="353" s="1"/>
  <c r="L18" i="353"/>
  <c r="N18" i="353" s="1"/>
  <c r="L19" i="353"/>
  <c r="N19" i="353" s="1"/>
  <c r="L21" i="353"/>
  <c r="N21" i="353" s="1"/>
  <c r="L22" i="353"/>
  <c r="N22" i="353" s="1"/>
  <c r="L23" i="353"/>
  <c r="L24" i="353"/>
  <c r="N24" i="353" s="1"/>
  <c r="L26" i="353"/>
  <c r="N26" i="353" s="1"/>
  <c r="L27" i="353"/>
  <c r="N27" i="353" s="1"/>
  <c r="L28" i="353"/>
  <c r="N28" i="353" s="1"/>
  <c r="L29" i="353"/>
  <c r="N29" i="353" s="1"/>
  <c r="L31" i="353"/>
  <c r="N31" i="353" s="1"/>
  <c r="L32" i="353"/>
  <c r="N32" i="353" s="1"/>
  <c r="L33" i="353"/>
  <c r="N33" i="353" s="1"/>
  <c r="L34" i="353"/>
  <c r="N34" i="353" s="1"/>
  <c r="L35" i="353"/>
  <c r="N35" i="353" s="1"/>
  <c r="L37" i="353"/>
  <c r="N37" i="353" s="1"/>
  <c r="L38" i="353"/>
  <c r="N38" i="353" s="1"/>
  <c r="L39" i="353"/>
  <c r="N39" i="353" s="1"/>
  <c r="L40" i="353"/>
  <c r="N40" i="353" s="1"/>
  <c r="L41" i="353"/>
  <c r="N41" i="353" s="1"/>
  <c r="L42" i="353"/>
  <c r="N42" i="353" s="1"/>
  <c r="L43" i="353"/>
  <c r="N43" i="353" s="1"/>
  <c r="L44" i="353"/>
  <c r="N44" i="353" s="1"/>
  <c r="L45" i="353"/>
  <c r="N45" i="353" s="1"/>
  <c r="L46" i="353"/>
  <c r="N46" i="353" s="1"/>
  <c r="J52" i="353"/>
  <c r="L56" i="353"/>
  <c r="L57" i="353"/>
  <c r="N57" i="353" s="1"/>
  <c r="L58" i="353"/>
  <c r="N58" i="353" s="1"/>
  <c r="L59" i="353"/>
  <c r="N59" i="353" s="1"/>
  <c r="L60" i="353"/>
  <c r="N60" i="353" s="1"/>
  <c r="L61" i="353"/>
  <c r="N61" i="353" s="1"/>
  <c r="L62" i="353"/>
  <c r="N62" i="353" s="1"/>
  <c r="J69" i="353"/>
  <c r="N10" i="293"/>
  <c r="L11" i="293"/>
  <c r="N11" i="293" s="1"/>
  <c r="L12" i="293"/>
  <c r="L13" i="293"/>
  <c r="N13" i="293" s="1"/>
  <c r="L14" i="293"/>
  <c r="N14" i="293" s="1"/>
  <c r="L15" i="293"/>
  <c r="N15" i="293" s="1"/>
  <c r="L16" i="293"/>
  <c r="N16" i="293" s="1"/>
  <c r="L23" i="293"/>
  <c r="L24" i="293"/>
  <c r="N24" i="293" s="1"/>
  <c r="L25" i="293"/>
  <c r="N25" i="293" s="1"/>
  <c r="L26" i="293"/>
  <c r="N26" i="293" s="1"/>
  <c r="L27" i="293"/>
  <c r="N27" i="293" s="1"/>
  <c r="L29" i="293"/>
  <c r="N29" i="293" s="1"/>
  <c r="L30" i="293"/>
  <c r="N30" i="293" s="1"/>
  <c r="L31" i="293"/>
  <c r="N31" i="293" s="1"/>
  <c r="L32" i="293"/>
  <c r="N32" i="293" s="1"/>
  <c r="L33" i="293"/>
  <c r="N33" i="293" s="1"/>
  <c r="L34" i="293"/>
  <c r="N34" i="293" s="1"/>
  <c r="L36" i="293"/>
  <c r="N36" i="293" s="1"/>
  <c r="L37" i="293"/>
  <c r="N37" i="293" s="1"/>
  <c r="L38" i="293"/>
  <c r="N38" i="293" s="1"/>
  <c r="L39" i="293"/>
  <c r="N39" i="293" s="1"/>
  <c r="L40" i="293"/>
  <c r="N40" i="293" s="1"/>
  <c r="L41" i="293"/>
  <c r="N41" i="293" s="1"/>
  <c r="L42" i="293"/>
  <c r="N42" i="293" s="1"/>
  <c r="L43" i="293"/>
  <c r="N43" i="293" s="1"/>
  <c r="L44" i="293"/>
  <c r="N44" i="293" s="1"/>
  <c r="L45" i="293"/>
  <c r="N45" i="293" s="1"/>
  <c r="L46" i="293"/>
  <c r="N46" i="293" s="1"/>
  <c r="L47" i="293"/>
  <c r="N47" i="293" s="1"/>
  <c r="L48" i="293"/>
  <c r="N48" i="293" s="1"/>
  <c r="L49" i="293"/>
  <c r="N49" i="293" s="1"/>
  <c r="J54" i="293"/>
  <c r="L57" i="293"/>
  <c r="L58" i="293"/>
  <c r="N58" i="293" s="1"/>
  <c r="L59" i="293"/>
  <c r="N59" i="293" s="1"/>
  <c r="L60" i="293"/>
  <c r="N60" i="293" s="1"/>
  <c r="L61" i="293"/>
  <c r="N61" i="293" s="1"/>
  <c r="L62" i="293"/>
  <c r="N62" i="293" s="1"/>
  <c r="L63" i="293"/>
  <c r="N63" i="293" s="1"/>
  <c r="L64" i="293"/>
  <c r="N64" i="293" s="1"/>
  <c r="L65" i="293"/>
  <c r="N65" i="293" s="1"/>
  <c r="J69" i="293"/>
  <c r="D79" i="293"/>
  <c r="D80" i="293"/>
  <c r="R9" i="442"/>
  <c r="J10" i="442"/>
  <c r="R10" i="442" s="1"/>
  <c r="J11" i="442"/>
  <c r="J12" i="442"/>
  <c r="N12" i="442" s="1"/>
  <c r="J35" i="442"/>
  <c r="J37" i="442"/>
  <c r="N37" i="442" s="1"/>
  <c r="P37" i="442" s="1"/>
  <c r="J38" i="442"/>
  <c r="N38" i="442" s="1"/>
  <c r="P38" i="442" s="1"/>
  <c r="J41" i="442"/>
  <c r="J42" i="442"/>
  <c r="R42" i="442" s="1"/>
  <c r="J45" i="442"/>
  <c r="J46" i="442"/>
  <c r="J49" i="442"/>
  <c r="N49" i="442" s="1"/>
  <c r="P49" i="442" s="1"/>
  <c r="J50" i="442"/>
  <c r="R50" i="442" s="1"/>
  <c r="J51" i="442"/>
  <c r="R51" i="442" s="1"/>
  <c r="J52" i="442"/>
  <c r="N52" i="442" s="1"/>
  <c r="J53" i="442"/>
  <c r="J54" i="442"/>
  <c r="N54" i="442" s="1"/>
  <c r="H58" i="442"/>
  <c r="J62" i="442"/>
  <c r="N62" i="442" s="1"/>
  <c r="P62" i="442" s="1"/>
  <c r="J63" i="442"/>
  <c r="J65" i="442"/>
  <c r="N65" i="442" s="1"/>
  <c r="J66" i="442"/>
  <c r="J67" i="442"/>
  <c r="R67" i="442" s="1"/>
  <c r="J68" i="442"/>
  <c r="N68" i="442" s="1"/>
  <c r="J69" i="442"/>
  <c r="N69" i="442" s="1"/>
  <c r="P69" i="442" s="1"/>
  <c r="J70" i="442"/>
  <c r="N70" i="442" s="1"/>
  <c r="J71" i="442"/>
  <c r="J72" i="442"/>
  <c r="J73" i="442"/>
  <c r="J74" i="442"/>
  <c r="H80" i="442"/>
  <c r="R9" i="549"/>
  <c r="J10" i="549"/>
  <c r="J11" i="549"/>
  <c r="R11" i="549" s="1"/>
  <c r="J12" i="549"/>
  <c r="R12" i="549" s="1"/>
  <c r="J28" i="549"/>
  <c r="J30" i="549"/>
  <c r="J31" i="549"/>
  <c r="J34" i="549"/>
  <c r="N34" i="549" s="1"/>
  <c r="J35" i="549"/>
  <c r="N35" i="549" s="1"/>
  <c r="P35" i="549" s="1"/>
  <c r="J38" i="549"/>
  <c r="N38" i="549" s="1"/>
  <c r="P38" i="549" s="1"/>
  <c r="J39" i="549"/>
  <c r="J42" i="549"/>
  <c r="J43" i="549"/>
  <c r="R43" i="549" s="1"/>
  <c r="J44" i="549"/>
  <c r="N44" i="549" s="1"/>
  <c r="J45" i="549"/>
  <c r="J46" i="549"/>
  <c r="N46" i="549" s="1"/>
  <c r="P46" i="549" s="1"/>
  <c r="J47" i="549"/>
  <c r="H51" i="549"/>
  <c r="J55" i="549"/>
  <c r="J56" i="549"/>
  <c r="N56" i="549" s="1"/>
  <c r="J58" i="549"/>
  <c r="R58" i="549" s="1"/>
  <c r="J59" i="549"/>
  <c r="N59" i="549" s="1"/>
  <c r="J60" i="549"/>
  <c r="J61" i="549"/>
  <c r="R61" i="549" s="1"/>
  <c r="J62" i="549"/>
  <c r="N62" i="549" s="1"/>
  <c r="J63" i="549"/>
  <c r="J64" i="549"/>
  <c r="R64" i="549" s="1"/>
  <c r="J65" i="549"/>
  <c r="J66" i="549"/>
  <c r="R66" i="549" s="1"/>
  <c r="J67" i="549"/>
  <c r="N67" i="549" s="1"/>
  <c r="P67" i="549" s="1"/>
  <c r="H73" i="549"/>
  <c r="R9" i="440"/>
  <c r="J10" i="440"/>
  <c r="N10" i="440" s="1"/>
  <c r="J11" i="440"/>
  <c r="N11" i="440" s="1"/>
  <c r="J12" i="440"/>
  <c r="J26" i="440"/>
  <c r="N26" i="440" s="1"/>
  <c r="J28" i="440"/>
  <c r="N28" i="440" s="1"/>
  <c r="J29" i="440"/>
  <c r="R29" i="440" s="1"/>
  <c r="J32" i="440"/>
  <c r="R32" i="440" s="1"/>
  <c r="J33" i="440"/>
  <c r="N33" i="440" s="1"/>
  <c r="J36" i="440"/>
  <c r="N36" i="440" s="1"/>
  <c r="J37" i="440"/>
  <c r="N37" i="440" s="1"/>
  <c r="J40" i="440"/>
  <c r="N40" i="440" s="1"/>
  <c r="J41" i="440"/>
  <c r="J42" i="440"/>
  <c r="R42" i="440" s="1"/>
  <c r="J43" i="440"/>
  <c r="R43" i="440" s="1"/>
  <c r="J44" i="440"/>
  <c r="N44" i="440" s="1"/>
  <c r="J45" i="440"/>
  <c r="R45" i="440" s="1"/>
  <c r="H49" i="440"/>
  <c r="J53" i="440"/>
  <c r="R53" i="440" s="1"/>
  <c r="J54" i="440"/>
  <c r="J56" i="440"/>
  <c r="J57" i="440"/>
  <c r="R57" i="440" s="1"/>
  <c r="J58" i="440"/>
  <c r="J59" i="440"/>
  <c r="N59" i="440" s="1"/>
  <c r="J60" i="440"/>
  <c r="R60" i="440" s="1"/>
  <c r="J61" i="440"/>
  <c r="R61" i="440" s="1"/>
  <c r="J62" i="440"/>
  <c r="N62" i="440" s="1"/>
  <c r="J63" i="440"/>
  <c r="N63" i="440" s="1"/>
  <c r="J64" i="440"/>
  <c r="J65" i="440"/>
  <c r="N65" i="440" s="1"/>
  <c r="H71" i="440"/>
  <c r="R9" i="555"/>
  <c r="J10" i="555"/>
  <c r="R10" i="555" s="1"/>
  <c r="J11" i="555"/>
  <c r="J12" i="555"/>
  <c r="N12" i="555" s="1"/>
  <c r="J26" i="555"/>
  <c r="N26" i="555" s="1"/>
  <c r="J28" i="555"/>
  <c r="J29" i="555"/>
  <c r="N29" i="555" s="1"/>
  <c r="P29" i="555" s="1"/>
  <c r="J32" i="555"/>
  <c r="R32" i="555" s="1"/>
  <c r="J33" i="555"/>
  <c r="R33" i="555" s="1"/>
  <c r="J36" i="555"/>
  <c r="N36" i="555" s="1"/>
  <c r="J37" i="555"/>
  <c r="N37" i="555" s="1"/>
  <c r="P37" i="555" s="1"/>
  <c r="J40" i="555"/>
  <c r="J41" i="555"/>
  <c r="N41" i="555" s="1"/>
  <c r="J42" i="555"/>
  <c r="N42" i="555" s="1"/>
  <c r="J43" i="555"/>
  <c r="R43" i="555" s="1"/>
  <c r="J44" i="555"/>
  <c r="N44" i="555" s="1"/>
  <c r="P44" i="555" s="1"/>
  <c r="J45" i="555"/>
  <c r="R45" i="555" s="1"/>
  <c r="H49" i="555"/>
  <c r="J53" i="555"/>
  <c r="N53" i="555" s="1"/>
  <c r="J54" i="555"/>
  <c r="R54" i="555" s="1"/>
  <c r="J55" i="555"/>
  <c r="R55" i="555" s="1"/>
  <c r="J57" i="555"/>
  <c r="N57" i="555" s="1"/>
  <c r="J58" i="555"/>
  <c r="J59" i="555"/>
  <c r="N59" i="555" s="1"/>
  <c r="J60" i="555"/>
  <c r="N60" i="555" s="1"/>
  <c r="J61" i="555"/>
  <c r="N61" i="555" s="1"/>
  <c r="J62" i="555"/>
  <c r="N62" i="555" s="1"/>
  <c r="P62" i="555" s="1"/>
  <c r="J63" i="555"/>
  <c r="R63" i="555" s="1"/>
  <c r="J64" i="555"/>
  <c r="R64" i="555" s="1"/>
  <c r="J65" i="555"/>
  <c r="N65" i="555" s="1"/>
  <c r="J66" i="555"/>
  <c r="N66" i="555" s="1"/>
  <c r="P66" i="555" s="1"/>
  <c r="J67" i="555"/>
  <c r="N67" i="555" s="1"/>
  <c r="H73" i="555"/>
  <c r="R9" i="553"/>
  <c r="J10" i="553"/>
  <c r="N10" i="553" s="1"/>
  <c r="J11" i="553"/>
  <c r="R11" i="553" s="1"/>
  <c r="J12" i="553"/>
  <c r="N12" i="553" s="1"/>
  <c r="J13" i="553"/>
  <c r="R13" i="553" s="1"/>
  <c r="J29" i="553"/>
  <c r="J31" i="553"/>
  <c r="R31" i="553" s="1"/>
  <c r="J32" i="553"/>
  <c r="N32" i="553" s="1"/>
  <c r="J35" i="553"/>
  <c r="R35" i="553" s="1"/>
  <c r="J36" i="553"/>
  <c r="N36" i="553" s="1"/>
  <c r="J39" i="553"/>
  <c r="N39" i="553" s="1"/>
  <c r="P39" i="553" s="1"/>
  <c r="J40" i="553"/>
  <c r="R40" i="553" s="1"/>
  <c r="J43" i="553"/>
  <c r="N43" i="553" s="1"/>
  <c r="P43" i="553" s="1"/>
  <c r="J44" i="553"/>
  <c r="R44" i="553" s="1"/>
  <c r="J45" i="553"/>
  <c r="R45" i="553" s="1"/>
  <c r="J46" i="553"/>
  <c r="J47" i="553"/>
  <c r="R47" i="553" s="1"/>
  <c r="J48" i="553"/>
  <c r="H52" i="553"/>
  <c r="J56" i="553"/>
  <c r="N56" i="553" s="1"/>
  <c r="J57" i="553"/>
  <c r="N57" i="553" s="1"/>
  <c r="J58" i="553"/>
  <c r="R58" i="553" s="1"/>
  <c r="J60" i="553"/>
  <c r="N60" i="553" s="1"/>
  <c r="J61" i="553"/>
  <c r="R61" i="553" s="1"/>
  <c r="J62" i="553"/>
  <c r="N62" i="553" s="1"/>
  <c r="P62" i="553" s="1"/>
  <c r="J63" i="553"/>
  <c r="N63" i="553" s="1"/>
  <c r="J64" i="553"/>
  <c r="R64" i="553" s="1"/>
  <c r="J65" i="553"/>
  <c r="N65" i="553" s="1"/>
  <c r="J66" i="553"/>
  <c r="N66" i="553" s="1"/>
  <c r="J67" i="553"/>
  <c r="N67" i="553" s="1"/>
  <c r="J68" i="553"/>
  <c r="N68" i="553" s="1"/>
  <c r="P68" i="553" s="1"/>
  <c r="J69" i="553"/>
  <c r="N69" i="553" s="1"/>
  <c r="J70" i="553"/>
  <c r="R70" i="553" s="1"/>
  <c r="H76" i="553"/>
  <c r="R9" i="551"/>
  <c r="J10" i="551"/>
  <c r="N10" i="551" s="1"/>
  <c r="J11" i="551"/>
  <c r="R11" i="551" s="1"/>
  <c r="J12" i="551"/>
  <c r="R12" i="551" s="1"/>
  <c r="J13" i="551"/>
  <c r="J30" i="551"/>
  <c r="R30" i="551" s="1"/>
  <c r="J32" i="551"/>
  <c r="N32" i="551" s="1"/>
  <c r="J33" i="551"/>
  <c r="N33" i="551" s="1"/>
  <c r="J36" i="551"/>
  <c r="R36" i="551" s="1"/>
  <c r="J37" i="551"/>
  <c r="N37" i="551" s="1"/>
  <c r="P37" i="551" s="1"/>
  <c r="R37" i="551"/>
  <c r="J40" i="551"/>
  <c r="R40" i="551" s="1"/>
  <c r="J41" i="551"/>
  <c r="N41" i="551" s="1"/>
  <c r="J44" i="551"/>
  <c r="R44" i="551"/>
  <c r="J45" i="551"/>
  <c r="N45" i="551" s="1"/>
  <c r="J46" i="551"/>
  <c r="J47" i="551"/>
  <c r="R47" i="551" s="1"/>
  <c r="J48" i="551"/>
  <c r="N48" i="551" s="1"/>
  <c r="J49" i="551"/>
  <c r="R49" i="551" s="1"/>
  <c r="H53" i="551"/>
  <c r="J57" i="551"/>
  <c r="J58" i="551"/>
  <c r="N58" i="551" s="1"/>
  <c r="J59" i="551"/>
  <c r="R59" i="551" s="1"/>
  <c r="J61" i="551"/>
  <c r="N61" i="551" s="1"/>
  <c r="J62" i="551"/>
  <c r="N62" i="551" s="1"/>
  <c r="J63" i="551"/>
  <c r="R63" i="551" s="1"/>
  <c r="J64" i="551"/>
  <c r="J65" i="551"/>
  <c r="N65" i="551" s="1"/>
  <c r="J66" i="551"/>
  <c r="N66" i="551" s="1"/>
  <c r="J67" i="551"/>
  <c r="R67" i="551" s="1"/>
  <c r="J68" i="551"/>
  <c r="N68" i="551" s="1"/>
  <c r="J69" i="551"/>
  <c r="R69" i="551" s="1"/>
  <c r="J70" i="551"/>
  <c r="R70" i="551" s="1"/>
  <c r="J71" i="551"/>
  <c r="R71" i="551" s="1"/>
  <c r="H77" i="551"/>
  <c r="R9" i="557"/>
  <c r="J10" i="557"/>
  <c r="R10" i="557" s="1"/>
  <c r="J11" i="557"/>
  <c r="R11" i="557" s="1"/>
  <c r="J12" i="557"/>
  <c r="R12" i="557" s="1"/>
  <c r="J13" i="557"/>
  <c r="N13" i="557" s="1"/>
  <c r="P13" i="557" s="1"/>
  <c r="R13" i="557"/>
  <c r="J38" i="557"/>
  <c r="R38" i="557" s="1"/>
  <c r="J40" i="557"/>
  <c r="N40" i="557" s="1"/>
  <c r="J41" i="557"/>
  <c r="N41" i="557" s="1"/>
  <c r="P41" i="557" s="1"/>
  <c r="J43" i="557"/>
  <c r="N43" i="557" s="1"/>
  <c r="J44" i="557"/>
  <c r="J47" i="557"/>
  <c r="N47" i="557" s="1"/>
  <c r="J48" i="557"/>
  <c r="N48" i="557" s="1"/>
  <c r="P48" i="557" s="1"/>
  <c r="J51" i="557"/>
  <c r="R51" i="557" s="1"/>
  <c r="J52" i="557"/>
  <c r="N52" i="557" s="1"/>
  <c r="P52" i="557" s="1"/>
  <c r="J55" i="557"/>
  <c r="N55" i="557" s="1"/>
  <c r="J56" i="557"/>
  <c r="N56" i="557" s="1"/>
  <c r="P56" i="557" s="1"/>
  <c r="J57" i="557"/>
  <c r="N57" i="557" s="1"/>
  <c r="J58" i="557"/>
  <c r="J59" i="557"/>
  <c r="N59" i="557" s="1"/>
  <c r="J60" i="557"/>
  <c r="H64" i="557"/>
  <c r="J68" i="557"/>
  <c r="R68" i="557" s="1"/>
  <c r="J69" i="557"/>
  <c r="R69" i="557" s="1"/>
  <c r="J70" i="557"/>
  <c r="J71" i="557"/>
  <c r="R71" i="557" s="1"/>
  <c r="J73" i="557"/>
  <c r="N73" i="557" s="1"/>
  <c r="P73" i="557" s="1"/>
  <c r="R73" i="557"/>
  <c r="J74" i="557"/>
  <c r="N74" i="557" s="1"/>
  <c r="J75" i="557"/>
  <c r="N75" i="557" s="1"/>
  <c r="P75" i="557" s="1"/>
  <c r="J76" i="557"/>
  <c r="N76" i="557" s="1"/>
  <c r="J77" i="557"/>
  <c r="N77" i="557" s="1"/>
  <c r="J78" i="557"/>
  <c r="R78" i="557" s="1"/>
  <c r="J79" i="557"/>
  <c r="N79" i="557" s="1"/>
  <c r="J80" i="557"/>
  <c r="R80" i="557" s="1"/>
  <c r="J81" i="557"/>
  <c r="N81" i="557" s="1"/>
  <c r="J82" i="557"/>
  <c r="N82" i="557" s="1"/>
  <c r="J83" i="557"/>
  <c r="N83" i="557" s="1"/>
  <c r="P83" i="557" s="1"/>
  <c r="J84" i="557"/>
  <c r="N84" i="557" s="1"/>
  <c r="H90" i="557"/>
  <c r="R9" i="559"/>
  <c r="J10" i="559"/>
  <c r="R10" i="559" s="1"/>
  <c r="J11" i="559"/>
  <c r="N11" i="559" s="1"/>
  <c r="J12" i="559"/>
  <c r="N12" i="559" s="1"/>
  <c r="P12" i="559" s="1"/>
  <c r="J13" i="559"/>
  <c r="N13" i="559" s="1"/>
  <c r="J40" i="559"/>
  <c r="N40" i="559" s="1"/>
  <c r="P40" i="559" s="1"/>
  <c r="J42" i="559"/>
  <c r="N42" i="559" s="1"/>
  <c r="J43" i="559"/>
  <c r="R43" i="559" s="1"/>
  <c r="J46" i="559"/>
  <c r="N46" i="559" s="1"/>
  <c r="J47" i="559"/>
  <c r="N47" i="559" s="1"/>
  <c r="J50" i="559"/>
  <c r="N50" i="559" s="1"/>
  <c r="P50" i="559" s="1"/>
  <c r="J51" i="559"/>
  <c r="N51" i="559" s="1"/>
  <c r="P51" i="559" s="1"/>
  <c r="J54" i="559"/>
  <c r="R54" i="559" s="1"/>
  <c r="J55" i="559"/>
  <c r="R55" i="559" s="1"/>
  <c r="J56" i="559"/>
  <c r="N56" i="559" s="1"/>
  <c r="J57" i="559"/>
  <c r="N57" i="559" s="1"/>
  <c r="P57" i="559" s="1"/>
  <c r="J58" i="559"/>
  <c r="J59" i="559"/>
  <c r="N59" i="559" s="1"/>
  <c r="H63" i="559"/>
  <c r="J67" i="559"/>
  <c r="N67" i="559" s="1"/>
  <c r="P67" i="559" s="1"/>
  <c r="J68" i="559"/>
  <c r="R68" i="559" s="1"/>
  <c r="J69" i="559"/>
  <c r="R69" i="559" s="1"/>
  <c r="J71" i="559"/>
  <c r="N71" i="559" s="1"/>
  <c r="J72" i="559"/>
  <c r="N72" i="559" s="1"/>
  <c r="J73" i="559"/>
  <c r="J74" i="559"/>
  <c r="N74" i="559" s="1"/>
  <c r="P74" i="559" s="1"/>
  <c r="J75" i="559"/>
  <c r="J76" i="559"/>
  <c r="R76" i="559" s="1"/>
  <c r="J77" i="559"/>
  <c r="N77" i="559" s="1"/>
  <c r="P77" i="559" s="1"/>
  <c r="J78" i="559"/>
  <c r="N78" i="559" s="1"/>
  <c r="J79" i="559"/>
  <c r="N79" i="559" s="1"/>
  <c r="J80" i="559"/>
  <c r="J81" i="559"/>
  <c r="N81" i="559" s="1"/>
  <c r="H87" i="559"/>
  <c r="R9" i="460"/>
  <c r="J10" i="460"/>
  <c r="N10" i="460" s="1"/>
  <c r="J11" i="460"/>
  <c r="R11" i="460" s="1"/>
  <c r="J12" i="460"/>
  <c r="N12" i="460" s="1"/>
  <c r="P12" i="460" s="1"/>
  <c r="J13" i="460"/>
  <c r="R13" i="460" s="1"/>
  <c r="J40" i="460"/>
  <c r="N40" i="460" s="1"/>
  <c r="J42" i="460"/>
  <c r="N42" i="460" s="1"/>
  <c r="P42" i="460" s="1"/>
  <c r="J43" i="460"/>
  <c r="N43" i="460" s="1"/>
  <c r="J46" i="460"/>
  <c r="N46" i="460" s="1"/>
  <c r="P46" i="460" s="1"/>
  <c r="J47" i="460"/>
  <c r="N47" i="460" s="1"/>
  <c r="J50" i="460"/>
  <c r="N50" i="460" s="1"/>
  <c r="J51" i="460"/>
  <c r="R51" i="460" s="1"/>
  <c r="J54" i="460"/>
  <c r="N54" i="460" s="1"/>
  <c r="P54" i="460" s="1"/>
  <c r="J55" i="460"/>
  <c r="N55" i="460" s="1"/>
  <c r="P55" i="460" s="1"/>
  <c r="J56" i="460"/>
  <c r="R56" i="460" s="1"/>
  <c r="J57" i="460"/>
  <c r="R57" i="460" s="1"/>
  <c r="J58" i="460"/>
  <c r="J59" i="460"/>
  <c r="R59" i="460" s="1"/>
  <c r="H63" i="460"/>
  <c r="J67" i="460"/>
  <c r="N67" i="460" s="1"/>
  <c r="J68" i="460"/>
  <c r="N68" i="460" s="1"/>
  <c r="J69" i="460"/>
  <c r="N69" i="460" s="1"/>
  <c r="P69" i="460" s="1"/>
  <c r="J71" i="460"/>
  <c r="N71" i="460" s="1"/>
  <c r="J72" i="460"/>
  <c r="R72" i="460" s="1"/>
  <c r="J73" i="460"/>
  <c r="R73" i="460" s="1"/>
  <c r="J74" i="460"/>
  <c r="N74" i="460" s="1"/>
  <c r="J75" i="460"/>
  <c r="R75" i="460" s="1"/>
  <c r="J76" i="460"/>
  <c r="N76" i="460" s="1"/>
  <c r="J77" i="460"/>
  <c r="R77" i="460" s="1"/>
  <c r="J78" i="460"/>
  <c r="N78" i="460" s="1"/>
  <c r="J79" i="460"/>
  <c r="N79" i="460" s="1"/>
  <c r="J80" i="460"/>
  <c r="N80" i="460" s="1"/>
  <c r="P80" i="460" s="1"/>
  <c r="J81" i="460"/>
  <c r="N81" i="460" s="1"/>
  <c r="H87" i="460"/>
  <c r="R9" i="446"/>
  <c r="J10" i="446"/>
  <c r="N10" i="446" s="1"/>
  <c r="J11" i="446"/>
  <c r="N11" i="446" s="1"/>
  <c r="J12" i="446"/>
  <c r="N12" i="446" s="1"/>
  <c r="P12" i="446" s="1"/>
  <c r="J34" i="446"/>
  <c r="N34" i="446" s="1"/>
  <c r="P34" i="446" s="1"/>
  <c r="J36" i="446"/>
  <c r="R36" i="446" s="1"/>
  <c r="J37" i="446"/>
  <c r="R37" i="446" s="1"/>
  <c r="J40" i="446"/>
  <c r="R40" i="446" s="1"/>
  <c r="J41" i="446"/>
  <c r="R41" i="446" s="1"/>
  <c r="J44" i="446"/>
  <c r="N44" i="446" s="1"/>
  <c r="J45" i="446"/>
  <c r="N45" i="446" s="1"/>
  <c r="P45" i="446" s="1"/>
  <c r="J48" i="446"/>
  <c r="N48" i="446" s="1"/>
  <c r="J49" i="446"/>
  <c r="N49" i="446" s="1"/>
  <c r="J50" i="446"/>
  <c r="R50" i="446" s="1"/>
  <c r="J51" i="446"/>
  <c r="J52" i="446"/>
  <c r="N52" i="446" s="1"/>
  <c r="J53" i="446"/>
  <c r="N53" i="446" s="1"/>
  <c r="H57" i="446"/>
  <c r="J61" i="446"/>
  <c r="N61" i="446" s="1"/>
  <c r="J62" i="446"/>
  <c r="R62" i="446" s="1"/>
  <c r="J63" i="446"/>
  <c r="J65" i="446"/>
  <c r="R65" i="446" s="1"/>
  <c r="J66" i="446"/>
  <c r="N66" i="446" s="1"/>
  <c r="J67" i="446"/>
  <c r="R67" i="446" s="1"/>
  <c r="J68" i="446"/>
  <c r="N68" i="446" s="1"/>
  <c r="P68" i="446" s="1"/>
  <c r="J69" i="446"/>
  <c r="N69" i="446" s="1"/>
  <c r="J70" i="446"/>
  <c r="R70" i="446" s="1"/>
  <c r="J71" i="446"/>
  <c r="J72" i="446"/>
  <c r="R72" i="446" s="1"/>
  <c r="J73" i="446"/>
  <c r="R73" i="446" s="1"/>
  <c r="J74" i="446"/>
  <c r="N74" i="446" s="1"/>
  <c r="J75" i="446"/>
  <c r="N75" i="446" s="1"/>
  <c r="P75" i="446" s="1"/>
  <c r="H81" i="446"/>
  <c r="R9" i="432"/>
  <c r="J10" i="432"/>
  <c r="N10" i="432" s="1"/>
  <c r="P10" i="432" s="1"/>
  <c r="J11" i="432"/>
  <c r="R11" i="432" s="1"/>
  <c r="J12" i="432"/>
  <c r="R12" i="432" s="1"/>
  <c r="J34" i="432"/>
  <c r="R34" i="432" s="1"/>
  <c r="J36" i="432"/>
  <c r="J37" i="432"/>
  <c r="R37" i="432" s="1"/>
  <c r="J39" i="432"/>
  <c r="N39" i="432" s="1"/>
  <c r="J40" i="432"/>
  <c r="N40" i="432" s="1"/>
  <c r="J43" i="432"/>
  <c r="R43" i="432" s="1"/>
  <c r="J44" i="432"/>
  <c r="N44" i="432" s="1"/>
  <c r="P44" i="432" s="1"/>
  <c r="J47" i="432"/>
  <c r="R47" i="432" s="1"/>
  <c r="J48" i="432"/>
  <c r="N48" i="432" s="1"/>
  <c r="J51" i="432"/>
  <c r="N51" i="432" s="1"/>
  <c r="J52" i="432"/>
  <c r="J53" i="432"/>
  <c r="N53" i="432" s="1"/>
  <c r="P53" i="432" s="1"/>
  <c r="J54" i="432"/>
  <c r="N54" i="432" s="1"/>
  <c r="J55" i="432"/>
  <c r="N55" i="432" s="1"/>
  <c r="J56" i="432"/>
  <c r="R56" i="432" s="1"/>
  <c r="H60" i="432"/>
  <c r="J64" i="432"/>
  <c r="N64" i="432" s="1"/>
  <c r="J65" i="432"/>
  <c r="N65" i="432" s="1"/>
  <c r="P65" i="432" s="1"/>
  <c r="J66" i="432"/>
  <c r="N66" i="432" s="1"/>
  <c r="J67" i="432"/>
  <c r="N67" i="432" s="1"/>
  <c r="P67" i="432" s="1"/>
  <c r="J69" i="432"/>
  <c r="N69" i="432" s="1"/>
  <c r="P69" i="432" s="1"/>
  <c r="J70" i="432"/>
  <c r="N70" i="432" s="1"/>
  <c r="J71" i="432"/>
  <c r="N71" i="432" s="1"/>
  <c r="J72" i="432"/>
  <c r="R72" i="432" s="1"/>
  <c r="J73" i="432"/>
  <c r="R73" i="432" s="1"/>
  <c r="J74" i="432"/>
  <c r="N74" i="432" s="1"/>
  <c r="J75" i="432"/>
  <c r="N75" i="432" s="1"/>
  <c r="J76" i="432"/>
  <c r="J77" i="432"/>
  <c r="N77" i="432" s="1"/>
  <c r="J78" i="432"/>
  <c r="R78" i="432" s="1"/>
  <c r="J79" i="432"/>
  <c r="R79" i="432" s="1"/>
  <c r="J80" i="432"/>
  <c r="R80" i="432" s="1"/>
  <c r="H86" i="432"/>
  <c r="R9" i="438"/>
  <c r="J10" i="438"/>
  <c r="N10" i="438" s="1"/>
  <c r="P10" i="438" s="1"/>
  <c r="J11" i="438"/>
  <c r="R11" i="438" s="1"/>
  <c r="J12" i="438"/>
  <c r="N12" i="438" s="1"/>
  <c r="P12" i="438" s="1"/>
  <c r="J13" i="438"/>
  <c r="R13" i="438" s="1"/>
  <c r="J43" i="438"/>
  <c r="N43" i="438" s="1"/>
  <c r="P43" i="438" s="1"/>
  <c r="J45" i="438"/>
  <c r="N45" i="438" s="1"/>
  <c r="J46" i="438"/>
  <c r="N46" i="438" s="1"/>
  <c r="J48" i="438"/>
  <c r="J49" i="438"/>
  <c r="R49" i="438" s="1"/>
  <c r="J52" i="438"/>
  <c r="N52" i="438" s="1"/>
  <c r="J53" i="438"/>
  <c r="R53" i="438" s="1"/>
  <c r="J56" i="438"/>
  <c r="N56" i="438" s="1"/>
  <c r="P56" i="438" s="1"/>
  <c r="J57" i="438"/>
  <c r="J60" i="438"/>
  <c r="R60" i="438" s="1"/>
  <c r="J61" i="438"/>
  <c r="R61" i="438" s="1"/>
  <c r="J62" i="438"/>
  <c r="N62" i="438" s="1"/>
  <c r="J63" i="438"/>
  <c r="R63" i="438" s="1"/>
  <c r="J64" i="438"/>
  <c r="N64" i="438" s="1"/>
  <c r="J65" i="438"/>
  <c r="R65" i="438" s="1"/>
  <c r="H69" i="438"/>
  <c r="J73" i="438"/>
  <c r="R73" i="438" s="1"/>
  <c r="N73" i="438"/>
  <c r="P73" i="438" s="1"/>
  <c r="J74" i="438"/>
  <c r="J75" i="438"/>
  <c r="R75" i="438" s="1"/>
  <c r="J76" i="438"/>
  <c r="N76" i="438" s="1"/>
  <c r="J78" i="438"/>
  <c r="R78" i="438" s="1"/>
  <c r="J79" i="438"/>
  <c r="R79" i="438" s="1"/>
  <c r="J80" i="438"/>
  <c r="J81" i="438"/>
  <c r="N81" i="438" s="1"/>
  <c r="J82" i="438"/>
  <c r="N82" i="438" s="1"/>
  <c r="P82" i="438" s="1"/>
  <c r="J83" i="438"/>
  <c r="J84" i="438"/>
  <c r="J85" i="438"/>
  <c r="R85" i="438" s="1"/>
  <c r="J86" i="438"/>
  <c r="J87" i="438"/>
  <c r="N87" i="438" s="1"/>
  <c r="P87" i="438" s="1"/>
  <c r="J88" i="438"/>
  <c r="N88" i="438" s="1"/>
  <c r="J89" i="438"/>
  <c r="N89" i="438" s="1"/>
  <c r="H95" i="438"/>
  <c r="R9" i="531"/>
  <c r="J10" i="531"/>
  <c r="N10" i="531" s="1"/>
  <c r="J11" i="531"/>
  <c r="N11" i="531" s="1"/>
  <c r="J12" i="531"/>
  <c r="N12" i="531" s="1"/>
  <c r="J13" i="531"/>
  <c r="N13" i="531" s="1"/>
  <c r="J44" i="531"/>
  <c r="N44" i="531" s="1"/>
  <c r="P44" i="531" s="1"/>
  <c r="J46" i="531"/>
  <c r="N46" i="531" s="1"/>
  <c r="P46" i="531" s="1"/>
  <c r="J47" i="531"/>
  <c r="J49" i="531"/>
  <c r="N49" i="531" s="1"/>
  <c r="J50" i="531"/>
  <c r="N50" i="531" s="1"/>
  <c r="J53" i="531"/>
  <c r="N53" i="531" s="1"/>
  <c r="J54" i="531"/>
  <c r="N54" i="531" s="1"/>
  <c r="P54" i="531" s="1"/>
  <c r="J57" i="531"/>
  <c r="N57" i="531" s="1"/>
  <c r="P57" i="531" s="1"/>
  <c r="J58" i="531"/>
  <c r="N58" i="531" s="1"/>
  <c r="J61" i="531"/>
  <c r="N61" i="531" s="1"/>
  <c r="P61" i="531" s="1"/>
  <c r="J62" i="531"/>
  <c r="R62" i="531" s="1"/>
  <c r="J63" i="531"/>
  <c r="N63" i="531" s="1"/>
  <c r="P63" i="531" s="1"/>
  <c r="J64" i="531"/>
  <c r="R64" i="531"/>
  <c r="J65" i="531"/>
  <c r="N65" i="531" s="1"/>
  <c r="P65" i="531" s="1"/>
  <c r="J66" i="531"/>
  <c r="R66" i="531" s="1"/>
  <c r="H70" i="531"/>
  <c r="J74" i="531"/>
  <c r="R74" i="531" s="1"/>
  <c r="J75" i="531"/>
  <c r="J76" i="531"/>
  <c r="N76" i="531" s="1"/>
  <c r="J77" i="531"/>
  <c r="N77" i="531" s="1"/>
  <c r="R77" i="531"/>
  <c r="J79" i="531"/>
  <c r="N79" i="531" s="1"/>
  <c r="P79" i="531" s="1"/>
  <c r="J80" i="531"/>
  <c r="N80" i="531" s="1"/>
  <c r="P80" i="531" s="1"/>
  <c r="J81" i="531"/>
  <c r="N81" i="531" s="1"/>
  <c r="J82" i="531"/>
  <c r="N82" i="531" s="1"/>
  <c r="P82" i="531" s="1"/>
  <c r="J83" i="531"/>
  <c r="R83" i="531" s="1"/>
  <c r="J84" i="531"/>
  <c r="N84" i="531" s="1"/>
  <c r="J85" i="531"/>
  <c r="N85" i="531" s="1"/>
  <c r="J86" i="531"/>
  <c r="R86" i="531" s="1"/>
  <c r="J87" i="531"/>
  <c r="N87" i="531" s="1"/>
  <c r="P87" i="531" s="1"/>
  <c r="J88" i="531"/>
  <c r="N88" i="531" s="1"/>
  <c r="P88" i="531" s="1"/>
  <c r="J89" i="531"/>
  <c r="N89" i="531" s="1"/>
  <c r="J90" i="531"/>
  <c r="N90" i="531" s="1"/>
  <c r="P90" i="531" s="1"/>
  <c r="H96" i="531"/>
  <c r="R9" i="535"/>
  <c r="J10" i="535"/>
  <c r="N10" i="535" s="1"/>
  <c r="J11" i="535"/>
  <c r="R11" i="535" s="1"/>
  <c r="J12" i="535"/>
  <c r="N12" i="535" s="1"/>
  <c r="P12" i="535" s="1"/>
  <c r="J13" i="535"/>
  <c r="R13" i="535" s="1"/>
  <c r="J44" i="535"/>
  <c r="R44" i="535" s="1"/>
  <c r="J46" i="535"/>
  <c r="R46" i="535" s="1"/>
  <c r="J47" i="535"/>
  <c r="R47" i="535" s="1"/>
  <c r="J49" i="535"/>
  <c r="R49" i="535" s="1"/>
  <c r="J50" i="535"/>
  <c r="N50" i="535" s="1"/>
  <c r="J53" i="535"/>
  <c r="J54" i="535"/>
  <c r="N54" i="535" s="1"/>
  <c r="J57" i="535"/>
  <c r="R57" i="535" s="1"/>
  <c r="J58" i="535"/>
  <c r="R58" i="535" s="1"/>
  <c r="J61" i="535"/>
  <c r="N61" i="535" s="1"/>
  <c r="P61" i="535" s="1"/>
  <c r="J62" i="535"/>
  <c r="N62" i="535" s="1"/>
  <c r="J63" i="535"/>
  <c r="N63" i="535" s="1"/>
  <c r="J64" i="535"/>
  <c r="J65" i="535"/>
  <c r="R65" i="535" s="1"/>
  <c r="J66" i="535"/>
  <c r="H70" i="535"/>
  <c r="J74" i="535"/>
  <c r="N74" i="535" s="1"/>
  <c r="J75" i="535"/>
  <c r="R75" i="535" s="1"/>
  <c r="J76" i="535"/>
  <c r="N76" i="535" s="1"/>
  <c r="J77" i="535"/>
  <c r="R77" i="535" s="1"/>
  <c r="J79" i="535"/>
  <c r="N79" i="535" s="1"/>
  <c r="J80" i="535"/>
  <c r="N80" i="535" s="1"/>
  <c r="J81" i="535"/>
  <c r="N81" i="535" s="1"/>
  <c r="J82" i="535"/>
  <c r="R82" i="535" s="1"/>
  <c r="J83" i="535"/>
  <c r="N83" i="535" s="1"/>
  <c r="J84" i="535"/>
  <c r="R84" i="535" s="1"/>
  <c r="J85" i="535"/>
  <c r="N85" i="535" s="1"/>
  <c r="P85" i="535" s="1"/>
  <c r="J86" i="535"/>
  <c r="R86" i="535" s="1"/>
  <c r="J87" i="535"/>
  <c r="R87" i="535" s="1"/>
  <c r="J88" i="535"/>
  <c r="N88" i="535" s="1"/>
  <c r="J89" i="535"/>
  <c r="R89" i="535" s="1"/>
  <c r="J90" i="535"/>
  <c r="R90" i="535" s="1"/>
  <c r="H96" i="535"/>
  <c r="R9" i="533"/>
  <c r="J10" i="533"/>
  <c r="R10" i="533" s="1"/>
  <c r="J11" i="533"/>
  <c r="N11" i="533" s="1"/>
  <c r="J12" i="533"/>
  <c r="N12" i="533" s="1"/>
  <c r="J13" i="533"/>
  <c r="N13" i="533" s="1"/>
  <c r="J45" i="533"/>
  <c r="N45" i="533" s="1"/>
  <c r="P45" i="533" s="1"/>
  <c r="J47" i="533"/>
  <c r="R47" i="533" s="1"/>
  <c r="J48" i="533"/>
  <c r="N48" i="533" s="1"/>
  <c r="P48" i="533" s="1"/>
  <c r="J50" i="533"/>
  <c r="N50" i="533" s="1"/>
  <c r="J51" i="533"/>
  <c r="N51" i="533" s="1"/>
  <c r="J54" i="533"/>
  <c r="R54" i="533" s="1"/>
  <c r="J55" i="533"/>
  <c r="N55" i="533" s="1"/>
  <c r="J58" i="533"/>
  <c r="N58" i="533" s="1"/>
  <c r="P58" i="533" s="1"/>
  <c r="J59" i="533"/>
  <c r="N59" i="533" s="1"/>
  <c r="J62" i="533"/>
  <c r="N62" i="533" s="1"/>
  <c r="J63" i="533"/>
  <c r="R63" i="533" s="1"/>
  <c r="J64" i="533"/>
  <c r="R64" i="533" s="1"/>
  <c r="J65" i="533"/>
  <c r="N65" i="533" s="1"/>
  <c r="J66" i="533"/>
  <c r="R66" i="533" s="1"/>
  <c r="J67" i="533"/>
  <c r="N67" i="533" s="1"/>
  <c r="H71" i="533"/>
  <c r="J75" i="533"/>
  <c r="N75" i="533" s="1"/>
  <c r="J76" i="533"/>
  <c r="N76" i="533" s="1"/>
  <c r="J77" i="533"/>
  <c r="N77" i="533" s="1"/>
  <c r="P77" i="533" s="1"/>
  <c r="J79" i="533"/>
  <c r="N79" i="533" s="1"/>
  <c r="J80" i="533"/>
  <c r="R80" i="533" s="1"/>
  <c r="J81" i="533"/>
  <c r="R81" i="533" s="1"/>
  <c r="J82" i="533"/>
  <c r="R82" i="533" s="1"/>
  <c r="J83" i="533"/>
  <c r="N83" i="533" s="1"/>
  <c r="J84" i="533"/>
  <c r="N84" i="533" s="1"/>
  <c r="J85" i="533"/>
  <c r="N85" i="533" s="1"/>
  <c r="J86" i="533"/>
  <c r="N86" i="533" s="1"/>
  <c r="J87" i="533"/>
  <c r="N87" i="533" s="1"/>
  <c r="P87" i="533" s="1"/>
  <c r="J88" i="533"/>
  <c r="R88" i="533" s="1"/>
  <c r="J89" i="533"/>
  <c r="N89" i="533" s="1"/>
  <c r="P89" i="533" s="1"/>
  <c r="H95" i="533"/>
  <c r="R9" i="547"/>
  <c r="J10" i="547"/>
  <c r="N10" i="547" s="1"/>
  <c r="P10" i="547" s="1"/>
  <c r="J11" i="547"/>
  <c r="N11" i="547" s="1"/>
  <c r="J12" i="547"/>
  <c r="R12" i="547" s="1"/>
  <c r="J43" i="547"/>
  <c r="N43" i="547" s="1"/>
  <c r="J45" i="547"/>
  <c r="N45" i="547" s="1"/>
  <c r="J46" i="547"/>
  <c r="N46" i="547" s="1"/>
  <c r="J48" i="547"/>
  <c r="N48" i="547" s="1"/>
  <c r="J49" i="547"/>
  <c r="N49" i="547" s="1"/>
  <c r="P49" i="547" s="1"/>
  <c r="J52" i="547"/>
  <c r="N52" i="547" s="1"/>
  <c r="P52" i="547" s="1"/>
  <c r="J53" i="547"/>
  <c r="J56" i="547"/>
  <c r="N56" i="547" s="1"/>
  <c r="J57" i="547"/>
  <c r="J60" i="547"/>
  <c r="N60" i="547" s="1"/>
  <c r="J61" i="547"/>
  <c r="N61" i="547" s="1"/>
  <c r="J62" i="547"/>
  <c r="N62" i="547" s="1"/>
  <c r="J63" i="547"/>
  <c r="N63" i="547" s="1"/>
  <c r="P63" i="547" s="1"/>
  <c r="J64" i="547"/>
  <c r="N64" i="547" s="1"/>
  <c r="J65" i="547"/>
  <c r="R65" i="547" s="1"/>
  <c r="H69" i="547"/>
  <c r="J73" i="547"/>
  <c r="N73" i="547" s="1"/>
  <c r="J74" i="547"/>
  <c r="N74" i="547" s="1"/>
  <c r="J75" i="547"/>
  <c r="J76" i="547"/>
  <c r="R76" i="547" s="1"/>
  <c r="J78" i="547"/>
  <c r="R78" i="547" s="1"/>
  <c r="J79" i="547"/>
  <c r="R79" i="547" s="1"/>
  <c r="J80" i="547"/>
  <c r="N80" i="547" s="1"/>
  <c r="J81" i="547"/>
  <c r="N81" i="547" s="1"/>
  <c r="P81" i="547" s="1"/>
  <c r="J82" i="547"/>
  <c r="N82" i="547" s="1"/>
  <c r="P82" i="547" s="1"/>
  <c r="J83" i="547"/>
  <c r="J84" i="547"/>
  <c r="J85" i="547"/>
  <c r="N85" i="547" s="1"/>
  <c r="J86" i="547"/>
  <c r="R86" i="547" s="1"/>
  <c r="J87" i="547"/>
  <c r="N87" i="547" s="1"/>
  <c r="P87" i="547" s="1"/>
  <c r="J88" i="547"/>
  <c r="N88" i="547" s="1"/>
  <c r="J89" i="547"/>
  <c r="H95" i="547"/>
  <c r="R9" i="529"/>
  <c r="J10" i="529"/>
  <c r="N10" i="529" s="1"/>
  <c r="J11" i="529"/>
  <c r="N11" i="529" s="1"/>
  <c r="P11" i="529" s="1"/>
  <c r="J12" i="529"/>
  <c r="J43" i="529"/>
  <c r="N43" i="529" s="1"/>
  <c r="J45" i="529"/>
  <c r="N45" i="529" s="1"/>
  <c r="P45" i="529" s="1"/>
  <c r="J46" i="529"/>
  <c r="N46" i="529" s="1"/>
  <c r="J48" i="529"/>
  <c r="J49" i="529"/>
  <c r="R49" i="529" s="1"/>
  <c r="J52" i="529"/>
  <c r="N52" i="529" s="1"/>
  <c r="P52" i="529" s="1"/>
  <c r="J53" i="529"/>
  <c r="R53" i="529" s="1"/>
  <c r="J56" i="529"/>
  <c r="N56" i="529" s="1"/>
  <c r="J57" i="529"/>
  <c r="J60" i="529"/>
  <c r="N60" i="529" s="1"/>
  <c r="P60" i="529" s="1"/>
  <c r="J61" i="529"/>
  <c r="N61" i="529" s="1"/>
  <c r="P61" i="529" s="1"/>
  <c r="J62" i="529"/>
  <c r="N62" i="529" s="1"/>
  <c r="P62" i="529" s="1"/>
  <c r="J63" i="529"/>
  <c r="R63" i="529" s="1"/>
  <c r="J64" i="529"/>
  <c r="N64" i="529" s="1"/>
  <c r="P64" i="529" s="1"/>
  <c r="J65" i="529"/>
  <c r="R65" i="529" s="1"/>
  <c r="H69" i="529"/>
  <c r="J73" i="529"/>
  <c r="N73" i="529" s="1"/>
  <c r="J74" i="529"/>
  <c r="N74" i="529" s="1"/>
  <c r="P74" i="529" s="1"/>
  <c r="J75" i="529"/>
  <c r="N75" i="529" s="1"/>
  <c r="P75" i="529" s="1"/>
  <c r="J76" i="529"/>
  <c r="R76" i="529" s="1"/>
  <c r="N76" i="529"/>
  <c r="P76" i="529" s="1"/>
  <c r="J78" i="529"/>
  <c r="R78" i="529" s="1"/>
  <c r="J79" i="529"/>
  <c r="N79" i="529" s="1"/>
  <c r="J80" i="529"/>
  <c r="N80" i="529" s="1"/>
  <c r="P80" i="529" s="1"/>
  <c r="J81" i="529"/>
  <c r="N81" i="529" s="1"/>
  <c r="P81" i="529" s="1"/>
  <c r="J82" i="529"/>
  <c r="N82" i="529" s="1"/>
  <c r="P82" i="529" s="1"/>
  <c r="J83" i="529"/>
  <c r="N83" i="529" s="1"/>
  <c r="P83" i="529" s="1"/>
  <c r="J84" i="529"/>
  <c r="J85" i="529"/>
  <c r="N85" i="529" s="1"/>
  <c r="P85" i="529" s="1"/>
  <c r="J86" i="529"/>
  <c r="R86" i="529" s="1"/>
  <c r="J87" i="529"/>
  <c r="N87" i="529" s="1"/>
  <c r="J88" i="529"/>
  <c r="R88" i="529" s="1"/>
  <c r="J89" i="529"/>
  <c r="N89" i="529" s="1"/>
  <c r="H95" i="529"/>
  <c r="R9" i="525"/>
  <c r="J10" i="525"/>
  <c r="J11" i="525"/>
  <c r="N11" i="525" s="1"/>
  <c r="P11" i="525" s="1"/>
  <c r="J12" i="525"/>
  <c r="R12" i="525" s="1"/>
  <c r="J41" i="525"/>
  <c r="N41" i="525" s="1"/>
  <c r="J43" i="525"/>
  <c r="N43" i="525" s="1"/>
  <c r="J44" i="525"/>
  <c r="R44" i="525" s="1"/>
  <c r="J47" i="525"/>
  <c r="R47" i="525" s="1"/>
  <c r="J48" i="525"/>
  <c r="N48" i="525" s="1"/>
  <c r="J51" i="525"/>
  <c r="N51" i="525" s="1"/>
  <c r="J52" i="525"/>
  <c r="N52" i="525" s="1"/>
  <c r="J55" i="525"/>
  <c r="N55" i="525" s="1"/>
  <c r="J56" i="525"/>
  <c r="N56" i="525" s="1"/>
  <c r="J57" i="525"/>
  <c r="N57" i="525" s="1"/>
  <c r="J58" i="525"/>
  <c r="N58" i="525" s="1"/>
  <c r="J59" i="525"/>
  <c r="R59" i="525" s="1"/>
  <c r="J60" i="525"/>
  <c r="N60" i="525" s="1"/>
  <c r="H64" i="525"/>
  <c r="J68" i="525"/>
  <c r="R68" i="525" s="1"/>
  <c r="J69" i="525"/>
  <c r="R69" i="525" s="1"/>
  <c r="J70" i="525"/>
  <c r="R70" i="525" s="1"/>
  <c r="J72" i="525"/>
  <c r="N72" i="525" s="1"/>
  <c r="P72" i="525" s="1"/>
  <c r="J73" i="525"/>
  <c r="N73" i="525" s="1"/>
  <c r="J74" i="525"/>
  <c r="N74" i="525" s="1"/>
  <c r="J75" i="525"/>
  <c r="N75" i="525" s="1"/>
  <c r="J76" i="525"/>
  <c r="N76" i="525" s="1"/>
  <c r="J77" i="525"/>
  <c r="R77" i="525" s="1"/>
  <c r="J78" i="525"/>
  <c r="N78" i="525" s="1"/>
  <c r="J79" i="525"/>
  <c r="N79" i="525" s="1"/>
  <c r="J80" i="525"/>
  <c r="N80" i="525" s="1"/>
  <c r="J81" i="525"/>
  <c r="N81" i="525" s="1"/>
  <c r="P81" i="525" s="1"/>
  <c r="J82" i="525"/>
  <c r="N82" i="525" s="1"/>
  <c r="H88" i="525"/>
  <c r="R9" i="541"/>
  <c r="J10" i="541"/>
  <c r="N10" i="541" s="1"/>
  <c r="J11" i="541"/>
  <c r="J12" i="541"/>
  <c r="N12" i="541" s="1"/>
  <c r="J13" i="541"/>
  <c r="N13" i="541" s="1"/>
  <c r="J43" i="541"/>
  <c r="R43" i="541" s="1"/>
  <c r="J45" i="541"/>
  <c r="N45" i="541" s="1"/>
  <c r="J47" i="541"/>
  <c r="N47" i="541" s="1"/>
  <c r="J48" i="541"/>
  <c r="N48" i="541" s="1"/>
  <c r="J51" i="541"/>
  <c r="J52" i="541"/>
  <c r="N52" i="541" s="1"/>
  <c r="J55" i="541"/>
  <c r="N55" i="541" s="1"/>
  <c r="J56" i="541"/>
  <c r="N56" i="541" s="1"/>
  <c r="J59" i="541"/>
  <c r="J60" i="541"/>
  <c r="J61" i="541"/>
  <c r="N61" i="541" s="1"/>
  <c r="J62" i="541"/>
  <c r="J63" i="541"/>
  <c r="N63" i="541" s="1"/>
  <c r="J64" i="541"/>
  <c r="R64" i="541" s="1"/>
  <c r="H68" i="541"/>
  <c r="J72" i="541"/>
  <c r="J73" i="541"/>
  <c r="N73" i="541" s="1"/>
  <c r="P73" i="541" s="1"/>
  <c r="J74" i="541"/>
  <c r="N74" i="541" s="1"/>
  <c r="J75" i="541"/>
  <c r="N75" i="541" s="1"/>
  <c r="J77" i="541"/>
  <c r="N77" i="541" s="1"/>
  <c r="J78" i="541"/>
  <c r="N78" i="541" s="1"/>
  <c r="J79" i="541"/>
  <c r="R79" i="541" s="1"/>
  <c r="J80" i="541"/>
  <c r="J81" i="541"/>
  <c r="J82" i="541"/>
  <c r="J83" i="541"/>
  <c r="N83" i="541" s="1"/>
  <c r="J84" i="541"/>
  <c r="R84" i="541" s="1"/>
  <c r="J85" i="541"/>
  <c r="N85" i="541" s="1"/>
  <c r="J86" i="541"/>
  <c r="N86" i="541" s="1"/>
  <c r="J87" i="541"/>
  <c r="J88" i="541"/>
  <c r="N88" i="541" s="1"/>
  <c r="H94" i="541"/>
  <c r="R9" i="545"/>
  <c r="J10" i="545"/>
  <c r="N10" i="545" s="1"/>
  <c r="J11" i="545"/>
  <c r="N11" i="545" s="1"/>
  <c r="P11" i="545" s="1"/>
  <c r="J12" i="545"/>
  <c r="N12" i="545" s="1"/>
  <c r="P12" i="545" s="1"/>
  <c r="J13" i="545"/>
  <c r="N13" i="545" s="1"/>
  <c r="P13" i="545" s="1"/>
  <c r="J41" i="545"/>
  <c r="N41" i="545" s="1"/>
  <c r="P41" i="545" s="1"/>
  <c r="J43" i="545"/>
  <c r="N43" i="545" s="1"/>
  <c r="J45" i="545"/>
  <c r="N45" i="545" s="1"/>
  <c r="J46" i="545"/>
  <c r="R46" i="545" s="1"/>
  <c r="J49" i="545"/>
  <c r="N49" i="545" s="1"/>
  <c r="J50" i="545"/>
  <c r="N50" i="545" s="1"/>
  <c r="J53" i="545"/>
  <c r="N53" i="545" s="1"/>
  <c r="J54" i="545"/>
  <c r="N54" i="545" s="1"/>
  <c r="J57" i="545"/>
  <c r="R57" i="545" s="1"/>
  <c r="J58" i="545"/>
  <c r="N58" i="545" s="1"/>
  <c r="J59" i="545"/>
  <c r="J60" i="545"/>
  <c r="N60" i="545" s="1"/>
  <c r="P60" i="545" s="1"/>
  <c r="J61" i="545"/>
  <c r="J62" i="545"/>
  <c r="N62" i="545" s="1"/>
  <c r="P62" i="545" s="1"/>
  <c r="H66" i="545"/>
  <c r="J70" i="545"/>
  <c r="N70" i="545" s="1"/>
  <c r="J71" i="545"/>
  <c r="N71" i="545" s="1"/>
  <c r="J72" i="545"/>
  <c r="R72" i="545" s="1"/>
  <c r="J73" i="545"/>
  <c r="N73" i="545" s="1"/>
  <c r="J75" i="545"/>
  <c r="N75" i="545" s="1"/>
  <c r="J76" i="545"/>
  <c r="N76" i="545" s="1"/>
  <c r="P76" i="545" s="1"/>
  <c r="J77" i="545"/>
  <c r="R77" i="545" s="1"/>
  <c r="J78" i="545"/>
  <c r="J79" i="545"/>
  <c r="N79" i="545" s="1"/>
  <c r="P79" i="545" s="1"/>
  <c r="J80" i="545"/>
  <c r="N80" i="545" s="1"/>
  <c r="J81" i="545"/>
  <c r="R81" i="545" s="1"/>
  <c r="J82" i="545"/>
  <c r="R82" i="545" s="1"/>
  <c r="J83" i="545"/>
  <c r="N83" i="545" s="1"/>
  <c r="J84" i="545"/>
  <c r="N84" i="545" s="1"/>
  <c r="J85" i="545"/>
  <c r="R85" i="545" s="1"/>
  <c r="J86" i="545"/>
  <c r="H92" i="545"/>
  <c r="R9" i="543"/>
  <c r="J10" i="543"/>
  <c r="N10" i="543" s="1"/>
  <c r="P10" i="543" s="1"/>
  <c r="J11" i="543"/>
  <c r="R11" i="543" s="1"/>
  <c r="J12" i="543"/>
  <c r="N12" i="543" s="1"/>
  <c r="J39" i="543"/>
  <c r="N39" i="543" s="1"/>
  <c r="P39" i="543" s="1"/>
  <c r="J41" i="543"/>
  <c r="R41" i="543" s="1"/>
  <c r="J42" i="543"/>
  <c r="J44" i="543"/>
  <c r="N44" i="543" s="1"/>
  <c r="J45" i="543"/>
  <c r="R45" i="543" s="1"/>
  <c r="J48" i="543"/>
  <c r="N48" i="543" s="1"/>
  <c r="P48" i="543" s="1"/>
  <c r="J49" i="543"/>
  <c r="R49" i="543" s="1"/>
  <c r="J52" i="543"/>
  <c r="J53" i="543"/>
  <c r="N53" i="543" s="1"/>
  <c r="J56" i="543"/>
  <c r="N56" i="543" s="1"/>
  <c r="P56" i="543" s="1"/>
  <c r="J57" i="543"/>
  <c r="N57" i="543" s="1"/>
  <c r="P57" i="543" s="1"/>
  <c r="J58" i="543"/>
  <c r="R58" i="543" s="1"/>
  <c r="J59" i="543"/>
  <c r="R59" i="543" s="1"/>
  <c r="J60" i="543"/>
  <c r="R60" i="543" s="1"/>
  <c r="J61" i="543"/>
  <c r="N61" i="543" s="1"/>
  <c r="P61" i="543" s="1"/>
  <c r="H65" i="543"/>
  <c r="J69" i="543"/>
  <c r="R69" i="543" s="1"/>
  <c r="J70" i="543"/>
  <c r="N70" i="543" s="1"/>
  <c r="P70" i="543" s="1"/>
  <c r="J71" i="543"/>
  <c r="N71" i="543" s="1"/>
  <c r="J72" i="543"/>
  <c r="J74" i="543"/>
  <c r="N74" i="543" s="1"/>
  <c r="J75" i="543"/>
  <c r="N75" i="543" s="1"/>
  <c r="J76" i="543"/>
  <c r="R76" i="543" s="1"/>
  <c r="J77" i="543"/>
  <c r="R77" i="543" s="1"/>
  <c r="N77" i="543"/>
  <c r="J78" i="543"/>
  <c r="N78" i="543" s="1"/>
  <c r="P78" i="543" s="1"/>
  <c r="J79" i="543"/>
  <c r="R79" i="543" s="1"/>
  <c r="J80" i="543"/>
  <c r="R80" i="543" s="1"/>
  <c r="J81" i="543"/>
  <c r="N81" i="543" s="1"/>
  <c r="J82" i="543"/>
  <c r="N82" i="543" s="1"/>
  <c r="J83" i="543"/>
  <c r="N83" i="543" s="1"/>
  <c r="J84" i="543"/>
  <c r="N84" i="543" s="1"/>
  <c r="J85" i="543"/>
  <c r="R85" i="543" s="1"/>
  <c r="H91" i="543"/>
  <c r="R9" i="539"/>
  <c r="J10" i="539"/>
  <c r="N10" i="539" s="1"/>
  <c r="J11" i="539"/>
  <c r="N11" i="539" s="1"/>
  <c r="J12" i="539"/>
  <c r="J41" i="539"/>
  <c r="N41" i="539" s="1"/>
  <c r="J43" i="539"/>
  <c r="R43" i="539" s="1"/>
  <c r="J44" i="539"/>
  <c r="N44" i="539" s="1"/>
  <c r="P44" i="539" s="1"/>
  <c r="J46" i="539"/>
  <c r="R46" i="539" s="1"/>
  <c r="J47" i="539"/>
  <c r="N47" i="539" s="1"/>
  <c r="J50" i="539"/>
  <c r="J51" i="539"/>
  <c r="N51" i="539" s="1"/>
  <c r="J54" i="539"/>
  <c r="N54" i="539" s="1"/>
  <c r="P54" i="539" s="1"/>
  <c r="J55" i="539"/>
  <c r="R55" i="539" s="1"/>
  <c r="J58" i="539"/>
  <c r="N58" i="539" s="1"/>
  <c r="P58" i="539" s="1"/>
  <c r="J59" i="539"/>
  <c r="R59" i="539" s="1"/>
  <c r="J60" i="539"/>
  <c r="N60" i="539" s="1"/>
  <c r="P60" i="539" s="1"/>
  <c r="J61" i="539"/>
  <c r="J62" i="539"/>
  <c r="N62" i="539" s="1"/>
  <c r="P62" i="539" s="1"/>
  <c r="J63" i="539"/>
  <c r="H67" i="539"/>
  <c r="J71" i="539"/>
  <c r="N71" i="539" s="1"/>
  <c r="J72" i="539"/>
  <c r="R72" i="539" s="1"/>
  <c r="J73" i="539"/>
  <c r="N73" i="539" s="1"/>
  <c r="J74" i="539"/>
  <c r="J76" i="539"/>
  <c r="N76" i="539" s="1"/>
  <c r="J77" i="539"/>
  <c r="N77" i="539" s="1"/>
  <c r="P77" i="539" s="1"/>
  <c r="J78" i="539"/>
  <c r="R78" i="539" s="1"/>
  <c r="J79" i="539"/>
  <c r="J80" i="539"/>
  <c r="N80" i="539" s="1"/>
  <c r="J81" i="539"/>
  <c r="R81" i="539" s="1"/>
  <c r="J82" i="539"/>
  <c r="N82" i="539" s="1"/>
  <c r="P82" i="539" s="1"/>
  <c r="J83" i="539"/>
  <c r="J84" i="539"/>
  <c r="N84" i="539" s="1"/>
  <c r="J85" i="539"/>
  <c r="R85" i="539" s="1"/>
  <c r="J86" i="539"/>
  <c r="N86" i="539" s="1"/>
  <c r="P86" i="539" s="1"/>
  <c r="J87" i="539"/>
  <c r="R87" i="539" s="1"/>
  <c r="H93" i="539"/>
  <c r="R9" i="436"/>
  <c r="J10" i="436"/>
  <c r="J11" i="436"/>
  <c r="N11" i="436" s="1"/>
  <c r="J12" i="436"/>
  <c r="J40" i="436"/>
  <c r="J42" i="436"/>
  <c r="N42" i="436" s="1"/>
  <c r="J43" i="436"/>
  <c r="N43" i="436" s="1"/>
  <c r="J46" i="436"/>
  <c r="N46" i="436" s="1"/>
  <c r="J47" i="436"/>
  <c r="J50" i="436"/>
  <c r="R50" i="436" s="1"/>
  <c r="J51" i="436"/>
  <c r="R51" i="436" s="1"/>
  <c r="J54" i="436"/>
  <c r="N54" i="436" s="1"/>
  <c r="J55" i="436"/>
  <c r="N55" i="436" s="1"/>
  <c r="J56" i="436"/>
  <c r="R56" i="436" s="1"/>
  <c r="J57" i="436"/>
  <c r="N57" i="436" s="1"/>
  <c r="J58" i="436"/>
  <c r="N58" i="436" s="1"/>
  <c r="J59" i="436"/>
  <c r="N59" i="436" s="1"/>
  <c r="H63" i="436"/>
  <c r="J67" i="436"/>
  <c r="J68" i="436"/>
  <c r="N68" i="436" s="1"/>
  <c r="J69" i="436"/>
  <c r="N69" i="436" s="1"/>
  <c r="J71" i="436"/>
  <c r="J72" i="436"/>
  <c r="J73" i="436"/>
  <c r="R73" i="436" s="1"/>
  <c r="J74" i="436"/>
  <c r="N74" i="436" s="1"/>
  <c r="J75" i="436"/>
  <c r="N75" i="436" s="1"/>
  <c r="J76" i="436"/>
  <c r="N76" i="436" s="1"/>
  <c r="J77" i="436"/>
  <c r="N77" i="436" s="1"/>
  <c r="J78" i="436"/>
  <c r="J79" i="436"/>
  <c r="R79" i="436" s="1"/>
  <c r="J80" i="436"/>
  <c r="N80" i="436" s="1"/>
  <c r="P80" i="436" s="1"/>
  <c r="J81" i="436"/>
  <c r="R81" i="436" s="1"/>
  <c r="H87" i="436"/>
  <c r="R9" i="430"/>
  <c r="J10" i="430"/>
  <c r="N10" i="430" s="1"/>
  <c r="J11" i="430"/>
  <c r="N11" i="430" s="1"/>
  <c r="J12" i="430"/>
  <c r="N12" i="430" s="1"/>
  <c r="P12" i="430" s="1"/>
  <c r="J13" i="430"/>
  <c r="N13" i="430" s="1"/>
  <c r="J35" i="430"/>
  <c r="N35" i="430" s="1"/>
  <c r="J37" i="430"/>
  <c r="J38" i="430"/>
  <c r="N38" i="430" s="1"/>
  <c r="J41" i="430"/>
  <c r="N41" i="430" s="1"/>
  <c r="J42" i="430"/>
  <c r="R42" i="430" s="1"/>
  <c r="J45" i="430"/>
  <c r="N45" i="430" s="1"/>
  <c r="J46" i="430"/>
  <c r="R46" i="430" s="1"/>
  <c r="J49" i="430"/>
  <c r="N49" i="430" s="1"/>
  <c r="P49" i="430" s="1"/>
  <c r="J50" i="430"/>
  <c r="N50" i="430" s="1"/>
  <c r="J51" i="430"/>
  <c r="J52" i="430"/>
  <c r="N52" i="430" s="1"/>
  <c r="J53" i="430"/>
  <c r="N53" i="430"/>
  <c r="J54" i="430"/>
  <c r="N54" i="430" s="1"/>
  <c r="H58" i="430"/>
  <c r="J62" i="430"/>
  <c r="N62" i="430" s="1"/>
  <c r="J63" i="430"/>
  <c r="N63" i="430" s="1"/>
  <c r="P63" i="430" s="1"/>
  <c r="J64" i="430"/>
  <c r="N64" i="430" s="1"/>
  <c r="J66" i="430"/>
  <c r="N66" i="430" s="1"/>
  <c r="J67" i="430"/>
  <c r="N67" i="430" s="1"/>
  <c r="P67" i="430" s="1"/>
  <c r="J68" i="430"/>
  <c r="N68" i="430" s="1"/>
  <c r="P68" i="430" s="1"/>
  <c r="J69" i="430"/>
  <c r="N69" i="430" s="1"/>
  <c r="P69" i="430" s="1"/>
  <c r="J70" i="430"/>
  <c r="N70" i="430" s="1"/>
  <c r="P70" i="430" s="1"/>
  <c r="J71" i="430"/>
  <c r="R71" i="430" s="1"/>
  <c r="J72" i="430"/>
  <c r="N72" i="430" s="1"/>
  <c r="J73" i="430"/>
  <c r="N73" i="430" s="1"/>
  <c r="J74" i="430"/>
  <c r="N74" i="430" s="1"/>
  <c r="J75" i="430"/>
  <c r="N75" i="430" s="1"/>
  <c r="J76" i="430"/>
  <c r="N76" i="430" s="1"/>
  <c r="H82" i="430"/>
  <c r="R9" i="428"/>
  <c r="J10" i="428"/>
  <c r="R10" i="428" s="1"/>
  <c r="J11" i="428"/>
  <c r="N11" i="428" s="1"/>
  <c r="J12" i="428"/>
  <c r="N12" i="428" s="1"/>
  <c r="J34" i="428"/>
  <c r="J36" i="428"/>
  <c r="N36" i="428" s="1"/>
  <c r="P36" i="428" s="1"/>
  <c r="J37" i="428"/>
  <c r="J39" i="428"/>
  <c r="N39" i="428" s="1"/>
  <c r="J40" i="428"/>
  <c r="N40" i="428" s="1"/>
  <c r="J43" i="428"/>
  <c r="R43" i="428" s="1"/>
  <c r="J44" i="428"/>
  <c r="N44" i="428" s="1"/>
  <c r="J47" i="428"/>
  <c r="J48" i="428"/>
  <c r="N48" i="428" s="1"/>
  <c r="J51" i="428"/>
  <c r="R51" i="428" s="1"/>
  <c r="J52" i="428"/>
  <c r="N52" i="428" s="1"/>
  <c r="J53" i="428"/>
  <c r="J54" i="428"/>
  <c r="R54" i="428" s="1"/>
  <c r="J55" i="428"/>
  <c r="R55" i="428" s="1"/>
  <c r="J56" i="428"/>
  <c r="H60" i="428"/>
  <c r="J64" i="428"/>
  <c r="N64" i="428" s="1"/>
  <c r="J65" i="428"/>
  <c r="N65" i="428" s="1"/>
  <c r="R65" i="428"/>
  <c r="J67" i="428"/>
  <c r="J68" i="428"/>
  <c r="R68" i="428" s="1"/>
  <c r="J69" i="428"/>
  <c r="N69" i="428" s="1"/>
  <c r="P69" i="428" s="1"/>
  <c r="J70" i="428"/>
  <c r="N70" i="428" s="1"/>
  <c r="J71" i="428"/>
  <c r="N71" i="428" s="1"/>
  <c r="J72" i="428"/>
  <c r="R72" i="428" s="1"/>
  <c r="J73" i="428"/>
  <c r="N73" i="428" s="1"/>
  <c r="J74" i="428"/>
  <c r="J75" i="428"/>
  <c r="N75" i="428" s="1"/>
  <c r="J76" i="428"/>
  <c r="H82" i="428"/>
  <c r="R9" i="426"/>
  <c r="J10" i="426"/>
  <c r="N10" i="426" s="1"/>
  <c r="J11" i="426"/>
  <c r="N11" i="426" s="1"/>
  <c r="J12" i="426"/>
  <c r="R12" i="426" s="1"/>
  <c r="J29" i="426"/>
  <c r="N29" i="426" s="1"/>
  <c r="J31" i="426"/>
  <c r="N31" i="426" s="1"/>
  <c r="J32" i="426"/>
  <c r="N32" i="426" s="1"/>
  <c r="J34" i="426"/>
  <c r="N34" i="426" s="1"/>
  <c r="P34" i="426" s="1"/>
  <c r="J35" i="426"/>
  <c r="N35" i="426" s="1"/>
  <c r="P35" i="426" s="1"/>
  <c r="J38" i="426"/>
  <c r="N38" i="426" s="1"/>
  <c r="J39" i="426"/>
  <c r="R39" i="426" s="1"/>
  <c r="J42" i="426"/>
  <c r="N42" i="426" s="1"/>
  <c r="J43" i="426"/>
  <c r="N43" i="426" s="1"/>
  <c r="P43" i="426" s="1"/>
  <c r="J46" i="426"/>
  <c r="N46" i="426" s="1"/>
  <c r="P46" i="426" s="1"/>
  <c r="J47" i="426"/>
  <c r="N47" i="426" s="1"/>
  <c r="J48" i="426"/>
  <c r="N48" i="426" s="1"/>
  <c r="P48" i="426" s="1"/>
  <c r="J49" i="426"/>
  <c r="N49" i="426" s="1"/>
  <c r="J50" i="426"/>
  <c r="N50" i="426" s="1"/>
  <c r="J51" i="426"/>
  <c r="N51" i="426" s="1"/>
  <c r="H55" i="426"/>
  <c r="J59" i="426"/>
  <c r="N59" i="426" s="1"/>
  <c r="J60" i="426"/>
  <c r="N60" i="426" s="1"/>
  <c r="J61" i="426"/>
  <c r="N61" i="426" s="1"/>
  <c r="R61" i="426"/>
  <c r="J62" i="426"/>
  <c r="N62" i="426" s="1"/>
  <c r="J64" i="426"/>
  <c r="R64" i="426" s="1"/>
  <c r="J65" i="426"/>
  <c r="R65" i="426" s="1"/>
  <c r="J66" i="426"/>
  <c r="N66" i="426" s="1"/>
  <c r="J67" i="426"/>
  <c r="J68" i="426"/>
  <c r="N68" i="426" s="1"/>
  <c r="P68" i="426" s="1"/>
  <c r="J69" i="426"/>
  <c r="N69" i="426" s="1"/>
  <c r="J70" i="426"/>
  <c r="N70" i="426" s="1"/>
  <c r="P70" i="426" s="1"/>
  <c r="J71" i="426"/>
  <c r="N71" i="426" s="1"/>
  <c r="J72" i="426"/>
  <c r="R72" i="426" s="1"/>
  <c r="J73" i="426"/>
  <c r="R73" i="426" s="1"/>
  <c r="J74" i="426"/>
  <c r="N74" i="426" s="1"/>
  <c r="J75" i="426"/>
  <c r="N75" i="426" s="1"/>
  <c r="H81" i="426"/>
  <c r="R9" i="477"/>
  <c r="J10" i="477"/>
  <c r="N10" i="477" s="1"/>
  <c r="J11" i="477"/>
  <c r="N11" i="477" s="1"/>
  <c r="J12" i="477"/>
  <c r="R12" i="477" s="1"/>
  <c r="J34" i="477"/>
  <c r="N34" i="477" s="1"/>
  <c r="J36" i="477"/>
  <c r="R36" i="477" s="1"/>
  <c r="J37" i="477"/>
  <c r="R37" i="477" s="1"/>
  <c r="J40" i="477"/>
  <c r="N40" i="477" s="1"/>
  <c r="J41" i="477"/>
  <c r="N41" i="477" s="1"/>
  <c r="J44" i="477"/>
  <c r="N44" i="477" s="1"/>
  <c r="J45" i="477"/>
  <c r="R45" i="477" s="1"/>
  <c r="J48" i="477"/>
  <c r="N48" i="477" s="1"/>
  <c r="J49" i="477"/>
  <c r="N49" i="477" s="1"/>
  <c r="P49" i="477" s="1"/>
  <c r="J50" i="477"/>
  <c r="R50" i="477" s="1"/>
  <c r="J51" i="477"/>
  <c r="N51" i="477" s="1"/>
  <c r="P51" i="477" s="1"/>
  <c r="J52" i="477"/>
  <c r="J53" i="477"/>
  <c r="N53" i="477" s="1"/>
  <c r="H57" i="477"/>
  <c r="J61" i="477"/>
  <c r="R61" i="477" s="1"/>
  <c r="J63" i="477"/>
  <c r="N63" i="477" s="1"/>
  <c r="J64" i="477"/>
  <c r="N64" i="477" s="1"/>
  <c r="J65" i="477"/>
  <c r="N65" i="477" s="1"/>
  <c r="J66" i="477"/>
  <c r="R66" i="477" s="1"/>
  <c r="J67" i="477"/>
  <c r="N67" i="477" s="1"/>
  <c r="P67" i="477" s="1"/>
  <c r="J68" i="477"/>
  <c r="N68" i="477" s="1"/>
  <c r="J69" i="477"/>
  <c r="N69" i="477" s="1"/>
  <c r="P69" i="477" s="1"/>
  <c r="J70" i="477"/>
  <c r="N70" i="477" s="1"/>
  <c r="J71" i="477"/>
  <c r="N71" i="477" s="1"/>
  <c r="P71" i="477" s="1"/>
  <c r="H77" i="477"/>
  <c r="R9" i="371"/>
  <c r="J10" i="371"/>
  <c r="N10" i="371" s="1"/>
  <c r="J11" i="371"/>
  <c r="N11" i="371" s="1"/>
  <c r="J12" i="371"/>
  <c r="R12" i="371" s="1"/>
  <c r="J29" i="371"/>
  <c r="N29" i="371" s="1"/>
  <c r="J31" i="371"/>
  <c r="N31" i="371" s="1"/>
  <c r="J32" i="371"/>
  <c r="N32" i="371" s="1"/>
  <c r="P32" i="371" s="1"/>
  <c r="J35" i="371"/>
  <c r="N35" i="371" s="1"/>
  <c r="J36" i="371"/>
  <c r="R36" i="371" s="1"/>
  <c r="J39" i="371"/>
  <c r="N39" i="371" s="1"/>
  <c r="J40" i="371"/>
  <c r="N40" i="371" s="1"/>
  <c r="J43" i="371"/>
  <c r="N43" i="371" s="1"/>
  <c r="J44" i="371"/>
  <c r="R44" i="371" s="1"/>
  <c r="J45" i="371"/>
  <c r="R45" i="371" s="1"/>
  <c r="J46" i="371"/>
  <c r="J47" i="371"/>
  <c r="N47" i="371" s="1"/>
  <c r="J48" i="371"/>
  <c r="H52" i="371"/>
  <c r="J56" i="371"/>
  <c r="N56" i="371" s="1"/>
  <c r="J57" i="371"/>
  <c r="N57" i="371" s="1"/>
  <c r="P57" i="371" s="1"/>
  <c r="J58" i="371"/>
  <c r="N58" i="371" s="1"/>
  <c r="J60" i="371"/>
  <c r="R60" i="371" s="1"/>
  <c r="J61" i="371"/>
  <c r="N61" i="371" s="1"/>
  <c r="J62" i="371"/>
  <c r="N62" i="371" s="1"/>
  <c r="P62" i="371" s="1"/>
  <c r="R62" i="371"/>
  <c r="J63" i="371"/>
  <c r="N63" i="371" s="1"/>
  <c r="J64" i="371"/>
  <c r="N64" i="371" s="1"/>
  <c r="J65" i="371"/>
  <c r="N65" i="371" s="1"/>
  <c r="P65" i="371" s="1"/>
  <c r="J66" i="371"/>
  <c r="J67" i="371"/>
  <c r="R67" i="371" s="1"/>
  <c r="J68" i="371"/>
  <c r="N68" i="371" s="1"/>
  <c r="J69" i="371"/>
  <c r="N69" i="371" s="1"/>
  <c r="J70" i="371"/>
  <c r="N70" i="371" s="1"/>
  <c r="H76" i="371"/>
  <c r="D13" i="36"/>
  <c r="D15" i="36"/>
  <c r="D17" i="36"/>
  <c r="D18" i="36"/>
  <c r="D19" i="36"/>
  <c r="D20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9" i="36"/>
  <c r="D50" i="36"/>
  <c r="D51" i="36"/>
  <c r="D55" i="36"/>
  <c r="D56" i="36"/>
  <c r="N10" i="442" l="1"/>
  <c r="P10" i="442" s="1"/>
  <c r="R49" i="442"/>
  <c r="N42" i="442"/>
  <c r="N51" i="442"/>
  <c r="N67" i="442"/>
  <c r="P67" i="442" s="1"/>
  <c r="P42" i="442"/>
  <c r="R37" i="442"/>
  <c r="R35" i="549"/>
  <c r="R44" i="549"/>
  <c r="R38" i="549"/>
  <c r="N12" i="549"/>
  <c r="P12" i="549" s="1"/>
  <c r="N64" i="549"/>
  <c r="P64" i="549" s="1"/>
  <c r="R67" i="549"/>
  <c r="N32" i="440"/>
  <c r="P32" i="440" s="1"/>
  <c r="N54" i="555"/>
  <c r="P54" i="555" s="1"/>
  <c r="N43" i="555"/>
  <c r="R29" i="555"/>
  <c r="N71" i="551"/>
  <c r="R66" i="551"/>
  <c r="N40" i="551"/>
  <c r="N49" i="551"/>
  <c r="R58" i="551"/>
  <c r="R33" i="551"/>
  <c r="N51" i="557"/>
  <c r="R48" i="557"/>
  <c r="R81" i="557"/>
  <c r="N38" i="557"/>
  <c r="P38" i="557" s="1"/>
  <c r="N37" i="432"/>
  <c r="N79" i="438"/>
  <c r="P79" i="438" s="1"/>
  <c r="R90" i="531"/>
  <c r="R57" i="531"/>
  <c r="R82" i="531"/>
  <c r="R50" i="531"/>
  <c r="R13" i="531"/>
  <c r="R12" i="531"/>
  <c r="R10" i="531"/>
  <c r="R85" i="531"/>
  <c r="P10" i="531"/>
  <c r="N77" i="535"/>
  <c r="P77" i="535" s="1"/>
  <c r="R10" i="535"/>
  <c r="P80" i="535"/>
  <c r="R83" i="535"/>
  <c r="R61" i="535"/>
  <c r="R54" i="535"/>
  <c r="N87" i="535"/>
  <c r="P87" i="535" s="1"/>
  <c r="P83" i="535"/>
  <c r="R74" i="535"/>
  <c r="N90" i="535"/>
  <c r="P90" i="535" s="1"/>
  <c r="N82" i="533"/>
  <c r="R77" i="533"/>
  <c r="N80" i="533"/>
  <c r="N10" i="533"/>
  <c r="N63" i="533"/>
  <c r="P63" i="533" s="1"/>
  <c r="N54" i="533"/>
  <c r="P54" i="533" s="1"/>
  <c r="R13" i="533"/>
  <c r="P82" i="533"/>
  <c r="R81" i="547"/>
  <c r="R80" i="547"/>
  <c r="N12" i="547"/>
  <c r="P12" i="547" s="1"/>
  <c r="R48" i="547"/>
  <c r="N88" i="529"/>
  <c r="P88" i="529" s="1"/>
  <c r="R85" i="529"/>
  <c r="N65" i="529"/>
  <c r="P65" i="529" s="1"/>
  <c r="R83" i="529"/>
  <c r="R48" i="525"/>
  <c r="R48" i="541"/>
  <c r="R78" i="541"/>
  <c r="R61" i="541"/>
  <c r="R85" i="541"/>
  <c r="P63" i="541"/>
  <c r="N85" i="545"/>
  <c r="P85" i="545" s="1"/>
  <c r="R54" i="545"/>
  <c r="R13" i="545"/>
  <c r="R53" i="545"/>
  <c r="N76" i="543"/>
  <c r="P76" i="543" s="1"/>
  <c r="N69" i="543"/>
  <c r="P69" i="543" s="1"/>
  <c r="R57" i="543"/>
  <c r="N79" i="543"/>
  <c r="P79" i="543" s="1"/>
  <c r="N49" i="543"/>
  <c r="N11" i="543"/>
  <c r="P11" i="543" s="1"/>
  <c r="R70" i="543"/>
  <c r="R10" i="543"/>
  <c r="R60" i="539"/>
  <c r="N43" i="539"/>
  <c r="P43" i="539" s="1"/>
  <c r="R45" i="430"/>
  <c r="R68" i="430"/>
  <c r="R76" i="430"/>
  <c r="N42" i="430"/>
  <c r="N55" i="428"/>
  <c r="P55" i="428" s="1"/>
  <c r="N51" i="428"/>
  <c r="P51" i="428" s="1"/>
  <c r="N10" i="428"/>
  <c r="R36" i="428"/>
  <c r="R71" i="428"/>
  <c r="R69" i="428"/>
  <c r="R40" i="428"/>
  <c r="R12" i="428"/>
  <c r="R13" i="428" s="1"/>
  <c r="R11" i="428"/>
  <c r="R75" i="426"/>
  <c r="R32" i="426"/>
  <c r="R48" i="426"/>
  <c r="R35" i="426"/>
  <c r="R59" i="426"/>
  <c r="R43" i="426"/>
  <c r="N12" i="426"/>
  <c r="P12" i="426" s="1"/>
  <c r="AB39" i="481"/>
  <c r="AA39" i="481"/>
  <c r="M39" i="481"/>
  <c r="R65" i="371"/>
  <c r="N45" i="371"/>
  <c r="P45" i="371" s="1"/>
  <c r="N67" i="371"/>
  <c r="P67" i="371" s="1"/>
  <c r="L7" i="480"/>
  <c r="AC24" i="481"/>
  <c r="O11" i="481"/>
  <c r="N11" i="481"/>
  <c r="K44" i="480"/>
  <c r="AB36" i="481"/>
  <c r="N26" i="481"/>
  <c r="K9" i="480"/>
  <c r="N66" i="477"/>
  <c r="P66" i="477" s="1"/>
  <c r="N45" i="477"/>
  <c r="P45" i="477" s="1"/>
  <c r="R65" i="477"/>
  <c r="P40" i="477"/>
  <c r="R69" i="477"/>
  <c r="N36" i="477"/>
  <c r="P36" i="477" s="1"/>
  <c r="M20" i="481"/>
  <c r="R44" i="555"/>
  <c r="N32" i="555"/>
  <c r="P32" i="555" s="1"/>
  <c r="K38" i="480"/>
  <c r="N45" i="555"/>
  <c r="P45" i="555" s="1"/>
  <c r="P28" i="440"/>
  <c r="R62" i="440"/>
  <c r="P33" i="440"/>
  <c r="AB13" i="481"/>
  <c r="R72" i="525"/>
  <c r="R55" i="525"/>
  <c r="AC30" i="481"/>
  <c r="R69" i="446"/>
  <c r="N40" i="446"/>
  <c r="P40" i="446" s="1"/>
  <c r="AB33" i="481"/>
  <c r="R66" i="446"/>
  <c r="N36" i="446"/>
  <c r="P36" i="446" s="1"/>
  <c r="M33" i="481"/>
  <c r="R45" i="446"/>
  <c r="R75" i="446"/>
  <c r="R68" i="446"/>
  <c r="R44" i="446"/>
  <c r="R10" i="446"/>
  <c r="R53" i="446"/>
  <c r="N50" i="436"/>
  <c r="P50" i="436" s="1"/>
  <c r="R69" i="436"/>
  <c r="R64" i="432"/>
  <c r="R58" i="436"/>
  <c r="N51" i="436"/>
  <c r="P51" i="436" s="1"/>
  <c r="R46" i="436"/>
  <c r="N47" i="525"/>
  <c r="P47" i="525" s="1"/>
  <c r="R11" i="525"/>
  <c r="K32" i="480"/>
  <c r="R53" i="432"/>
  <c r="K80" i="293"/>
  <c r="R63" i="553"/>
  <c r="N44" i="553"/>
  <c r="R62" i="553"/>
  <c r="N87" i="539"/>
  <c r="P87" i="539" s="1"/>
  <c r="R86" i="539"/>
  <c r="N81" i="539"/>
  <c r="P81" i="539" s="1"/>
  <c r="N72" i="432"/>
  <c r="P72" i="432" s="1"/>
  <c r="R70" i="432"/>
  <c r="R40" i="432"/>
  <c r="N78" i="432"/>
  <c r="P78" i="432" s="1"/>
  <c r="N73" i="432"/>
  <c r="P73" i="432" s="1"/>
  <c r="R50" i="559"/>
  <c r="N51" i="460"/>
  <c r="P51" i="460" s="1"/>
  <c r="R40" i="460"/>
  <c r="N77" i="460"/>
  <c r="P77" i="460" s="1"/>
  <c r="N75" i="460"/>
  <c r="P75" i="460" s="1"/>
  <c r="N76" i="559"/>
  <c r="P76" i="559" s="1"/>
  <c r="R40" i="559"/>
  <c r="N69" i="559"/>
  <c r="P69" i="559" s="1"/>
  <c r="R12" i="559"/>
  <c r="R11" i="559"/>
  <c r="P31" i="371"/>
  <c r="P40" i="428"/>
  <c r="N52" i="543"/>
  <c r="R52" i="543"/>
  <c r="N84" i="547"/>
  <c r="P84" i="547" s="1"/>
  <c r="R84" i="547"/>
  <c r="R34" i="426"/>
  <c r="R79" i="539"/>
  <c r="N79" i="539"/>
  <c r="P79" i="539" s="1"/>
  <c r="N60" i="371"/>
  <c r="P60" i="371" s="1"/>
  <c r="R43" i="371"/>
  <c r="R40" i="477"/>
  <c r="R68" i="426"/>
  <c r="P12" i="428"/>
  <c r="R57" i="371"/>
  <c r="N12" i="436"/>
  <c r="P12" i="436" s="1"/>
  <c r="R12" i="436"/>
  <c r="P61" i="426"/>
  <c r="N72" i="436"/>
  <c r="P72" i="436" s="1"/>
  <c r="R72" i="436"/>
  <c r="N73" i="426"/>
  <c r="R37" i="430"/>
  <c r="N37" i="430"/>
  <c r="R64" i="428"/>
  <c r="R70" i="428"/>
  <c r="N51" i="430"/>
  <c r="P51" i="430" s="1"/>
  <c r="R51" i="430"/>
  <c r="R31" i="371"/>
  <c r="N67" i="426"/>
  <c r="P67" i="426" s="1"/>
  <c r="R73" i="430"/>
  <c r="R63" i="430"/>
  <c r="K19" i="476"/>
  <c r="R82" i="539"/>
  <c r="R58" i="539"/>
  <c r="N85" i="543"/>
  <c r="N80" i="543"/>
  <c r="P80" i="543" s="1"/>
  <c r="N86" i="545"/>
  <c r="R86" i="545"/>
  <c r="R80" i="541"/>
  <c r="N80" i="541"/>
  <c r="P80" i="541" s="1"/>
  <c r="J24" i="476"/>
  <c r="N84" i="529"/>
  <c r="P84" i="529" s="1"/>
  <c r="R84" i="529"/>
  <c r="N55" i="539"/>
  <c r="P55" i="539" s="1"/>
  <c r="N59" i="543"/>
  <c r="P59" i="543" s="1"/>
  <c r="N45" i="543"/>
  <c r="P45" i="543" s="1"/>
  <c r="N89" i="547"/>
  <c r="P89" i="547" s="1"/>
  <c r="R89" i="547"/>
  <c r="J13" i="436"/>
  <c r="N87" i="541"/>
  <c r="P87" i="541" s="1"/>
  <c r="R87" i="541"/>
  <c r="R54" i="539"/>
  <c r="N71" i="430"/>
  <c r="P71" i="430" s="1"/>
  <c r="P73" i="539"/>
  <c r="N12" i="529"/>
  <c r="P12" i="529" s="1"/>
  <c r="R12" i="529"/>
  <c r="R35" i="430"/>
  <c r="N73" i="436"/>
  <c r="P73" i="436" s="1"/>
  <c r="R69" i="430"/>
  <c r="R66" i="430"/>
  <c r="R84" i="539"/>
  <c r="N12" i="525"/>
  <c r="P12" i="525" s="1"/>
  <c r="N51" i="541"/>
  <c r="P51" i="541" s="1"/>
  <c r="R51" i="541"/>
  <c r="N46" i="553"/>
  <c r="R46" i="553"/>
  <c r="R87" i="547"/>
  <c r="R76" i="545"/>
  <c r="R41" i="545"/>
  <c r="J14" i="545"/>
  <c r="R47" i="541"/>
  <c r="R57" i="525"/>
  <c r="Z26" i="481"/>
  <c r="R46" i="531"/>
  <c r="R84" i="545"/>
  <c r="R74" i="529"/>
  <c r="R11" i="545"/>
  <c r="R83" i="545"/>
  <c r="R62" i="545"/>
  <c r="R52" i="529"/>
  <c r="N70" i="525"/>
  <c r="P70" i="525" s="1"/>
  <c r="R73" i="547"/>
  <c r="N65" i="547"/>
  <c r="P65" i="547" s="1"/>
  <c r="N49" i="529"/>
  <c r="P49" i="529" s="1"/>
  <c r="N74" i="531"/>
  <c r="P74" i="531" s="1"/>
  <c r="J13" i="525"/>
  <c r="R89" i="533"/>
  <c r="R58" i="533"/>
  <c r="R86" i="438"/>
  <c r="N86" i="438"/>
  <c r="P86" i="438" s="1"/>
  <c r="J14" i="557"/>
  <c r="N11" i="442"/>
  <c r="P11" i="442" s="1"/>
  <c r="R11" i="442"/>
  <c r="R53" i="531"/>
  <c r="R10" i="547"/>
  <c r="R67" i="533"/>
  <c r="P10" i="533"/>
  <c r="P76" i="535"/>
  <c r="N75" i="535"/>
  <c r="P75" i="535" s="1"/>
  <c r="R54" i="440"/>
  <c r="N54" i="440"/>
  <c r="P54" i="440" s="1"/>
  <c r="N83" i="531"/>
  <c r="P83" i="531" s="1"/>
  <c r="R80" i="531"/>
  <c r="R63" i="531"/>
  <c r="L25" i="481"/>
  <c r="N76" i="432"/>
  <c r="P76" i="432" s="1"/>
  <c r="R76" i="432"/>
  <c r="N71" i="446"/>
  <c r="P71" i="446" s="1"/>
  <c r="R71" i="446"/>
  <c r="R75" i="557"/>
  <c r="R87" i="533"/>
  <c r="R45" i="533"/>
  <c r="R11" i="446"/>
  <c r="N72" i="460"/>
  <c r="P72" i="460" s="1"/>
  <c r="R54" i="432"/>
  <c r="P54" i="432"/>
  <c r="R75" i="559"/>
  <c r="N75" i="559"/>
  <c r="P75" i="559" s="1"/>
  <c r="R46" i="460"/>
  <c r="R74" i="559"/>
  <c r="P61" i="551"/>
  <c r="R45" i="438"/>
  <c r="P75" i="432"/>
  <c r="R46" i="442"/>
  <c r="N46" i="442"/>
  <c r="P46" i="442" s="1"/>
  <c r="P89" i="438"/>
  <c r="R81" i="438"/>
  <c r="N11" i="432"/>
  <c r="P11" i="432" s="1"/>
  <c r="N56" i="460"/>
  <c r="P56" i="460" s="1"/>
  <c r="N78" i="557"/>
  <c r="P78" i="557" s="1"/>
  <c r="N58" i="559"/>
  <c r="R58" i="559"/>
  <c r="N60" i="557"/>
  <c r="P60" i="557" s="1"/>
  <c r="R60" i="557"/>
  <c r="P68" i="551"/>
  <c r="J39" i="480"/>
  <c r="R82" i="438"/>
  <c r="R77" i="432"/>
  <c r="R69" i="432"/>
  <c r="N44" i="557"/>
  <c r="R44" i="557"/>
  <c r="R55" i="432"/>
  <c r="R80" i="460"/>
  <c r="N46" i="551"/>
  <c r="P46" i="551" s="1"/>
  <c r="R46" i="551"/>
  <c r="N58" i="557"/>
  <c r="P58" i="557" s="1"/>
  <c r="R58" i="557"/>
  <c r="P45" i="551"/>
  <c r="R68" i="553"/>
  <c r="R64" i="440"/>
  <c r="N64" i="440"/>
  <c r="P64" i="440" s="1"/>
  <c r="R43" i="553"/>
  <c r="P49" i="551"/>
  <c r="R67" i="559"/>
  <c r="R56" i="557"/>
  <c r="R39" i="553"/>
  <c r="K33" i="480"/>
  <c r="K18" i="480"/>
  <c r="L18" i="480"/>
  <c r="N70" i="551"/>
  <c r="P70" i="551" s="1"/>
  <c r="N63" i="551"/>
  <c r="P63" i="551" s="1"/>
  <c r="R66" i="553"/>
  <c r="P62" i="440"/>
  <c r="R52" i="557"/>
  <c r="N12" i="557"/>
  <c r="P12" i="557" s="1"/>
  <c r="N10" i="557"/>
  <c r="N47" i="553"/>
  <c r="P47" i="553" s="1"/>
  <c r="P51" i="442"/>
  <c r="R46" i="559"/>
  <c r="N69" i="551"/>
  <c r="R79" i="557"/>
  <c r="N12" i="551"/>
  <c r="N12" i="440"/>
  <c r="P12" i="440" s="1"/>
  <c r="R12" i="440"/>
  <c r="N33" i="555"/>
  <c r="P33" i="555" s="1"/>
  <c r="O25" i="481"/>
  <c r="M34" i="481"/>
  <c r="O34" i="481"/>
  <c r="AA34" i="481"/>
  <c r="AC34" i="481"/>
  <c r="R33" i="440"/>
  <c r="Z37" i="481"/>
  <c r="AB37" i="481"/>
  <c r="AB24" i="481"/>
  <c r="R66" i="555"/>
  <c r="R26" i="555"/>
  <c r="R46" i="549"/>
  <c r="K79" i="293"/>
  <c r="K36" i="480"/>
  <c r="L36" i="480"/>
  <c r="L29" i="480"/>
  <c r="K29" i="480"/>
  <c r="AA44" i="481"/>
  <c r="O61" i="481"/>
  <c r="R28" i="440"/>
  <c r="N66" i="442"/>
  <c r="P66" i="442" s="1"/>
  <c r="R66" i="442"/>
  <c r="M31" i="481"/>
  <c r="AB31" i="481"/>
  <c r="G95" i="508"/>
  <c r="AA11" i="481"/>
  <c r="P44" i="549"/>
  <c r="AC13" i="481"/>
  <c r="G96" i="508"/>
  <c r="N12" i="371"/>
  <c r="P12" i="371" s="1"/>
  <c r="R69" i="371"/>
  <c r="N36" i="371"/>
  <c r="P36" i="371" s="1"/>
  <c r="P69" i="371"/>
  <c r="J49" i="371"/>
  <c r="R49" i="371" s="1"/>
  <c r="R35" i="371"/>
  <c r="R32" i="371"/>
  <c r="R29" i="371"/>
  <c r="N44" i="371"/>
  <c r="P44" i="371" s="1"/>
  <c r="N52" i="477"/>
  <c r="P52" i="477" s="1"/>
  <c r="R52" i="477"/>
  <c r="P29" i="371"/>
  <c r="R40" i="371"/>
  <c r="R47" i="371"/>
  <c r="P40" i="371"/>
  <c r="R58" i="371"/>
  <c r="R71" i="477"/>
  <c r="N37" i="477"/>
  <c r="P37" i="477" s="1"/>
  <c r="P39" i="428"/>
  <c r="R39" i="428"/>
  <c r="J76" i="426"/>
  <c r="P65" i="477"/>
  <c r="P48" i="477"/>
  <c r="R48" i="428"/>
  <c r="N64" i="426"/>
  <c r="P64" i="426" s="1"/>
  <c r="P31" i="426"/>
  <c r="J52" i="426"/>
  <c r="R52" i="426" s="1"/>
  <c r="R56" i="428"/>
  <c r="N56" i="428"/>
  <c r="P56" i="428" s="1"/>
  <c r="P48" i="428"/>
  <c r="P75" i="426"/>
  <c r="R42" i="426"/>
  <c r="R67" i="477"/>
  <c r="R70" i="426"/>
  <c r="N72" i="428"/>
  <c r="P72" i="428" s="1"/>
  <c r="R70" i="477"/>
  <c r="P34" i="477"/>
  <c r="P50" i="426"/>
  <c r="P42" i="426"/>
  <c r="N39" i="426"/>
  <c r="P39" i="426" s="1"/>
  <c r="R41" i="477"/>
  <c r="P10" i="477"/>
  <c r="R67" i="426"/>
  <c r="R29" i="426"/>
  <c r="P73" i="426"/>
  <c r="P29" i="426"/>
  <c r="N53" i="428"/>
  <c r="P53" i="428" s="1"/>
  <c r="J13" i="477"/>
  <c r="N50" i="477"/>
  <c r="P50" i="477" s="1"/>
  <c r="N72" i="426"/>
  <c r="P72" i="426" s="1"/>
  <c r="J72" i="477"/>
  <c r="N12" i="477"/>
  <c r="P12" i="477" s="1"/>
  <c r="R46" i="426"/>
  <c r="P32" i="426"/>
  <c r="J13" i="428"/>
  <c r="P73" i="430"/>
  <c r="N85" i="539"/>
  <c r="P85" i="539" s="1"/>
  <c r="J77" i="430"/>
  <c r="P55" i="436"/>
  <c r="R73" i="539"/>
  <c r="R51" i="539"/>
  <c r="P71" i="428"/>
  <c r="J57" i="428"/>
  <c r="N54" i="428"/>
  <c r="R67" i="430"/>
  <c r="P42" i="430"/>
  <c r="R54" i="436"/>
  <c r="P46" i="436"/>
  <c r="N43" i="428"/>
  <c r="P43" i="428" s="1"/>
  <c r="P76" i="430"/>
  <c r="R12" i="430"/>
  <c r="N81" i="436"/>
  <c r="P81" i="436" s="1"/>
  <c r="P54" i="436"/>
  <c r="J77" i="428"/>
  <c r="P10" i="428"/>
  <c r="R62" i="430"/>
  <c r="R38" i="430"/>
  <c r="R75" i="436"/>
  <c r="R42" i="436"/>
  <c r="R80" i="539"/>
  <c r="N72" i="539"/>
  <c r="P72" i="539" s="1"/>
  <c r="R47" i="539"/>
  <c r="R44" i="539"/>
  <c r="P50" i="430"/>
  <c r="P38" i="430"/>
  <c r="R10" i="430"/>
  <c r="R80" i="436"/>
  <c r="P75" i="436"/>
  <c r="P42" i="436"/>
  <c r="N78" i="539"/>
  <c r="P78" i="539" s="1"/>
  <c r="P47" i="539"/>
  <c r="R49" i="430"/>
  <c r="R71" i="539"/>
  <c r="P11" i="428"/>
  <c r="R74" i="430"/>
  <c r="J55" i="430"/>
  <c r="R55" i="430" s="1"/>
  <c r="P69" i="436"/>
  <c r="R77" i="539"/>
  <c r="R70" i="430"/>
  <c r="P66" i="430"/>
  <c r="N46" i="430"/>
  <c r="P46" i="430" s="1"/>
  <c r="P37" i="430"/>
  <c r="N79" i="436"/>
  <c r="P79" i="436" s="1"/>
  <c r="P74" i="436"/>
  <c r="N46" i="539"/>
  <c r="P46" i="539" s="1"/>
  <c r="R11" i="539"/>
  <c r="P74" i="430"/>
  <c r="N56" i="436"/>
  <c r="P56" i="436" s="1"/>
  <c r="R76" i="539"/>
  <c r="R62" i="539"/>
  <c r="P53" i="430"/>
  <c r="J14" i="430"/>
  <c r="P45" i="430"/>
  <c r="N67" i="436"/>
  <c r="P67" i="436" s="1"/>
  <c r="R55" i="436"/>
  <c r="R48" i="543"/>
  <c r="R12" i="543"/>
  <c r="N82" i="545"/>
  <c r="P82" i="545" s="1"/>
  <c r="R50" i="545"/>
  <c r="P12" i="543"/>
  <c r="R10" i="539"/>
  <c r="R39" i="543"/>
  <c r="R60" i="545"/>
  <c r="N81" i="545"/>
  <c r="P81" i="545" s="1"/>
  <c r="N46" i="545"/>
  <c r="R75" i="545"/>
  <c r="P85" i="543"/>
  <c r="R61" i="543"/>
  <c r="R80" i="545"/>
  <c r="R45" i="545"/>
  <c r="N41" i="543"/>
  <c r="P41" i="543" s="1"/>
  <c r="N57" i="545"/>
  <c r="P57" i="545" s="1"/>
  <c r="R62" i="541"/>
  <c r="N62" i="541"/>
  <c r="P44" i="543"/>
  <c r="P80" i="545"/>
  <c r="N72" i="545"/>
  <c r="P72" i="545" s="1"/>
  <c r="P45" i="545"/>
  <c r="R71" i="543"/>
  <c r="P52" i="543"/>
  <c r="R71" i="545"/>
  <c r="N60" i="541"/>
  <c r="P60" i="541" s="1"/>
  <c r="R78" i="543"/>
  <c r="P54" i="545"/>
  <c r="R43" i="545"/>
  <c r="P71" i="543"/>
  <c r="P71" i="545"/>
  <c r="N77" i="545"/>
  <c r="P77" i="545" s="1"/>
  <c r="J61" i="525"/>
  <c r="R61" i="525" s="1"/>
  <c r="R83" i="541"/>
  <c r="R81" i="525"/>
  <c r="P48" i="525"/>
  <c r="R45" i="541"/>
  <c r="N59" i="525"/>
  <c r="P59" i="525" s="1"/>
  <c r="P77" i="541"/>
  <c r="R74" i="525"/>
  <c r="J83" i="525"/>
  <c r="R10" i="525"/>
  <c r="N10" i="525"/>
  <c r="P10" i="525" s="1"/>
  <c r="R75" i="525"/>
  <c r="N68" i="525"/>
  <c r="P68" i="525" s="1"/>
  <c r="P75" i="525"/>
  <c r="R74" i="541"/>
  <c r="R52" i="541"/>
  <c r="R88" i="541"/>
  <c r="P85" i="541"/>
  <c r="P52" i="541"/>
  <c r="R79" i="525"/>
  <c r="P74" i="541"/>
  <c r="P79" i="525"/>
  <c r="P56" i="525"/>
  <c r="P13" i="541"/>
  <c r="P55" i="525"/>
  <c r="N79" i="541"/>
  <c r="P61" i="541"/>
  <c r="N11" i="541"/>
  <c r="P11" i="541" s="1"/>
  <c r="R80" i="529"/>
  <c r="N63" i="529"/>
  <c r="P63" i="529" s="1"/>
  <c r="N75" i="547"/>
  <c r="P75" i="547" s="1"/>
  <c r="R75" i="547"/>
  <c r="P61" i="547"/>
  <c r="N86" i="529"/>
  <c r="P86" i="529" s="1"/>
  <c r="R60" i="529"/>
  <c r="N83" i="547"/>
  <c r="R83" i="547"/>
  <c r="N78" i="529"/>
  <c r="P78" i="529" s="1"/>
  <c r="R82" i="547"/>
  <c r="P73" i="547"/>
  <c r="R57" i="547"/>
  <c r="N57" i="547"/>
  <c r="P57" i="547" s="1"/>
  <c r="J13" i="529"/>
  <c r="P80" i="547"/>
  <c r="R53" i="547"/>
  <c r="N53" i="547"/>
  <c r="P53" i="547" s="1"/>
  <c r="N53" i="529"/>
  <c r="P53" i="529" s="1"/>
  <c r="R85" i="547"/>
  <c r="R75" i="529"/>
  <c r="P85" i="547"/>
  <c r="R52" i="547"/>
  <c r="R64" i="529"/>
  <c r="R45" i="529"/>
  <c r="R63" i="547"/>
  <c r="R49" i="547"/>
  <c r="N76" i="547"/>
  <c r="P76" i="547" s="1"/>
  <c r="R85" i="533"/>
  <c r="P80" i="533"/>
  <c r="R48" i="533"/>
  <c r="N65" i="535"/>
  <c r="P65" i="535" s="1"/>
  <c r="R75" i="533"/>
  <c r="P51" i="533"/>
  <c r="R12" i="533"/>
  <c r="N89" i="535"/>
  <c r="P89" i="535" s="1"/>
  <c r="N82" i="535"/>
  <c r="P82" i="535" s="1"/>
  <c r="N46" i="535"/>
  <c r="P46" i="535" s="1"/>
  <c r="N47" i="531"/>
  <c r="P47" i="531" s="1"/>
  <c r="R47" i="531"/>
  <c r="P84" i="533"/>
  <c r="P75" i="533"/>
  <c r="P62" i="533"/>
  <c r="P12" i="533"/>
  <c r="R85" i="535"/>
  <c r="R76" i="535"/>
  <c r="R12" i="535"/>
  <c r="R89" i="531"/>
  <c r="R83" i="533"/>
  <c r="R59" i="533"/>
  <c r="R50" i="533"/>
  <c r="R11" i="533"/>
  <c r="P89" i="531"/>
  <c r="P83" i="533"/>
  <c r="P59" i="533"/>
  <c r="P50" i="533"/>
  <c r="R81" i="535"/>
  <c r="R50" i="535"/>
  <c r="J67" i="535"/>
  <c r="R67" i="535" s="1"/>
  <c r="N84" i="535"/>
  <c r="P84" i="535" s="1"/>
  <c r="P81" i="535"/>
  <c r="R63" i="535"/>
  <c r="P50" i="535"/>
  <c r="P79" i="533"/>
  <c r="P86" i="533"/>
  <c r="J14" i="533"/>
  <c r="P74" i="535"/>
  <c r="N49" i="535"/>
  <c r="P49" i="535" s="1"/>
  <c r="P55" i="533"/>
  <c r="P76" i="533"/>
  <c r="R65" i="533"/>
  <c r="R79" i="535"/>
  <c r="P49" i="531"/>
  <c r="P46" i="438"/>
  <c r="N52" i="432"/>
  <c r="P52" i="432" s="1"/>
  <c r="R52" i="432"/>
  <c r="N36" i="432"/>
  <c r="P36" i="432" s="1"/>
  <c r="R36" i="432"/>
  <c r="R76" i="438"/>
  <c r="R52" i="438"/>
  <c r="R10" i="438"/>
  <c r="P85" i="531"/>
  <c r="P58" i="531"/>
  <c r="J67" i="531"/>
  <c r="R67" i="531" s="1"/>
  <c r="P48" i="432"/>
  <c r="R48" i="432"/>
  <c r="P76" i="438"/>
  <c r="P52" i="438"/>
  <c r="P12" i="531"/>
  <c r="R11" i="531"/>
  <c r="P81" i="438"/>
  <c r="R62" i="438"/>
  <c r="P45" i="438"/>
  <c r="I31" i="27"/>
  <c r="R88" i="531"/>
  <c r="R76" i="531"/>
  <c r="R65" i="531"/>
  <c r="P62" i="438"/>
  <c r="R44" i="531"/>
  <c r="P11" i="531"/>
  <c r="P76" i="531"/>
  <c r="J91" i="531"/>
  <c r="R12" i="438"/>
  <c r="R65" i="432"/>
  <c r="R64" i="438"/>
  <c r="J14" i="531"/>
  <c r="R88" i="438"/>
  <c r="P50" i="531"/>
  <c r="P88" i="438"/>
  <c r="P64" i="438"/>
  <c r="N14" i="531"/>
  <c r="P13" i="531"/>
  <c r="N78" i="438"/>
  <c r="P78" i="438" s="1"/>
  <c r="N53" i="438"/>
  <c r="P53" i="438" s="1"/>
  <c r="N63" i="446"/>
  <c r="P63" i="446" s="1"/>
  <c r="R63" i="446"/>
  <c r="J76" i="446"/>
  <c r="R67" i="432"/>
  <c r="N73" i="446"/>
  <c r="P73" i="446" s="1"/>
  <c r="P44" i="446"/>
  <c r="R12" i="446"/>
  <c r="P55" i="432"/>
  <c r="R51" i="432"/>
  <c r="R66" i="432"/>
  <c r="R10" i="432"/>
  <c r="R52" i="446"/>
  <c r="P66" i="432"/>
  <c r="R61" i="446"/>
  <c r="P52" i="446"/>
  <c r="N58" i="460"/>
  <c r="R58" i="460"/>
  <c r="N51" i="446"/>
  <c r="P51" i="446" s="1"/>
  <c r="R51" i="446"/>
  <c r="R44" i="432"/>
  <c r="P48" i="446"/>
  <c r="R34" i="446"/>
  <c r="P77" i="432"/>
  <c r="N56" i="432"/>
  <c r="P56" i="432" s="1"/>
  <c r="N73" i="460"/>
  <c r="P73" i="460" s="1"/>
  <c r="R69" i="460"/>
  <c r="P10" i="460"/>
  <c r="N55" i="559"/>
  <c r="P55" i="559" s="1"/>
  <c r="N10" i="559"/>
  <c r="P10" i="559" s="1"/>
  <c r="P78" i="460"/>
  <c r="N59" i="460"/>
  <c r="P59" i="460" s="1"/>
  <c r="R54" i="460"/>
  <c r="R42" i="460"/>
  <c r="R13" i="559"/>
  <c r="Y34" i="476"/>
  <c r="R77" i="559"/>
  <c r="R42" i="559"/>
  <c r="P68" i="460"/>
  <c r="R51" i="559"/>
  <c r="P42" i="559"/>
  <c r="P13" i="559"/>
  <c r="R71" i="559"/>
  <c r="P71" i="559"/>
  <c r="P81" i="460"/>
  <c r="P50" i="460"/>
  <c r="P76" i="460"/>
  <c r="N57" i="460"/>
  <c r="P57" i="460" s="1"/>
  <c r="P47" i="460"/>
  <c r="N68" i="559"/>
  <c r="P68" i="559" s="1"/>
  <c r="R57" i="559"/>
  <c r="R47" i="559"/>
  <c r="P11" i="559"/>
  <c r="P47" i="559"/>
  <c r="P79" i="460"/>
  <c r="R56" i="559"/>
  <c r="P71" i="460"/>
  <c r="R55" i="460"/>
  <c r="P43" i="460"/>
  <c r="P40" i="460"/>
  <c r="P78" i="559"/>
  <c r="R82" i="557"/>
  <c r="N11" i="557"/>
  <c r="P11" i="557" s="1"/>
  <c r="N67" i="551"/>
  <c r="P67" i="551" s="1"/>
  <c r="N59" i="551"/>
  <c r="P59" i="551" s="1"/>
  <c r="N30" i="551"/>
  <c r="P30" i="551" s="1"/>
  <c r="N48" i="553"/>
  <c r="P48" i="553" s="1"/>
  <c r="R48" i="553"/>
  <c r="P43" i="557"/>
  <c r="P40" i="557"/>
  <c r="N11" i="551"/>
  <c r="P11" i="551" s="1"/>
  <c r="P79" i="557"/>
  <c r="N71" i="557"/>
  <c r="P71" i="557" s="1"/>
  <c r="P82" i="557"/>
  <c r="P76" i="557"/>
  <c r="P59" i="557"/>
  <c r="N47" i="551"/>
  <c r="P47" i="551" s="1"/>
  <c r="P51" i="557"/>
  <c r="N69" i="557"/>
  <c r="P69" i="557" s="1"/>
  <c r="P84" i="557"/>
  <c r="R83" i="557"/>
  <c r="R41" i="557"/>
  <c r="R68" i="551"/>
  <c r="R61" i="551"/>
  <c r="R45" i="551"/>
  <c r="N36" i="551"/>
  <c r="P36" i="551" s="1"/>
  <c r="P74" i="557"/>
  <c r="R48" i="551"/>
  <c r="N80" i="557"/>
  <c r="P80" i="557" s="1"/>
  <c r="P48" i="551"/>
  <c r="J14" i="559"/>
  <c r="N29" i="553"/>
  <c r="P29" i="553" s="1"/>
  <c r="R57" i="555"/>
  <c r="P60" i="553"/>
  <c r="N45" i="553"/>
  <c r="P45" i="553" s="1"/>
  <c r="N64" i="555"/>
  <c r="P64" i="555" s="1"/>
  <c r="P67" i="553"/>
  <c r="P57" i="555"/>
  <c r="N70" i="553"/>
  <c r="P70" i="553" s="1"/>
  <c r="P63" i="553"/>
  <c r="R10" i="553"/>
  <c r="N28" i="555"/>
  <c r="P28" i="555" s="1"/>
  <c r="R28" i="555"/>
  <c r="P44" i="553"/>
  <c r="N41" i="440"/>
  <c r="P41" i="440" s="1"/>
  <c r="R41" i="440"/>
  <c r="N40" i="555"/>
  <c r="P40" i="555" s="1"/>
  <c r="R40" i="555"/>
  <c r="R69" i="553"/>
  <c r="R56" i="553"/>
  <c r="R62" i="555"/>
  <c r="P56" i="553"/>
  <c r="P53" i="555"/>
  <c r="P69" i="553"/>
  <c r="N58" i="555"/>
  <c r="R58" i="555"/>
  <c r="R11" i="555"/>
  <c r="N11" i="555"/>
  <c r="P11" i="555" s="1"/>
  <c r="N56" i="440"/>
  <c r="P56" i="440" s="1"/>
  <c r="R29" i="553"/>
  <c r="J14" i="553"/>
  <c r="P36" i="553"/>
  <c r="N60" i="549"/>
  <c r="P60" i="549" s="1"/>
  <c r="R60" i="549"/>
  <c r="N31" i="549"/>
  <c r="P31" i="549" s="1"/>
  <c r="R31" i="549"/>
  <c r="P60" i="555"/>
  <c r="R44" i="440"/>
  <c r="N65" i="549"/>
  <c r="P65" i="549" s="1"/>
  <c r="R65" i="549"/>
  <c r="R63" i="442"/>
  <c r="N63" i="442"/>
  <c r="P63" i="442" s="1"/>
  <c r="N10" i="555"/>
  <c r="P10" i="555" s="1"/>
  <c r="P44" i="440"/>
  <c r="N61" i="440"/>
  <c r="P61" i="440" s="1"/>
  <c r="R11" i="440"/>
  <c r="N43" i="440"/>
  <c r="P43" i="440" s="1"/>
  <c r="R10" i="549"/>
  <c r="J13" i="549"/>
  <c r="N55" i="549"/>
  <c r="P55" i="549" s="1"/>
  <c r="R55" i="549"/>
  <c r="J14" i="480"/>
  <c r="N73" i="442"/>
  <c r="P73" i="442" s="1"/>
  <c r="R73" i="442"/>
  <c r="R10" i="440"/>
  <c r="R59" i="549"/>
  <c r="N42" i="549"/>
  <c r="P42" i="549" s="1"/>
  <c r="R42" i="549"/>
  <c r="P59" i="549"/>
  <c r="R53" i="442"/>
  <c r="N53" i="442"/>
  <c r="P53" i="442" s="1"/>
  <c r="AA7" i="481"/>
  <c r="O7" i="481"/>
  <c r="M7" i="481"/>
  <c r="N7" i="481"/>
  <c r="AC28" i="481"/>
  <c r="M28" i="481"/>
  <c r="O28" i="481"/>
  <c r="AA28" i="481"/>
  <c r="N28" i="481"/>
  <c r="AB28" i="481"/>
  <c r="R60" i="555"/>
  <c r="P41" i="555"/>
  <c r="R41" i="442"/>
  <c r="N41" i="442"/>
  <c r="P41" i="442" s="1"/>
  <c r="K50" i="480"/>
  <c r="L50" i="480"/>
  <c r="P62" i="549"/>
  <c r="R71" i="442"/>
  <c r="N71" i="442"/>
  <c r="P71" i="442" s="1"/>
  <c r="P56" i="549"/>
  <c r="L28" i="480"/>
  <c r="K28" i="480"/>
  <c r="N66" i="549"/>
  <c r="R62" i="549"/>
  <c r="F18" i="509"/>
  <c r="M32" i="481"/>
  <c r="N32" i="481"/>
  <c r="L22" i="480"/>
  <c r="K22" i="480"/>
  <c r="K21" i="480"/>
  <c r="L21" i="480"/>
  <c r="K11" i="480"/>
  <c r="L11" i="480"/>
  <c r="O18" i="481"/>
  <c r="N18" i="481"/>
  <c r="O56" i="481"/>
  <c r="AC18" i="481"/>
  <c r="M18" i="481"/>
  <c r="AA18" i="481"/>
  <c r="G151" i="509"/>
  <c r="E151" i="509"/>
  <c r="M25" i="481"/>
  <c r="AB25" i="481"/>
  <c r="AB14" i="481"/>
  <c r="O14" i="481"/>
  <c r="L14" i="480"/>
  <c r="K14" i="480"/>
  <c r="L23" i="480"/>
  <c r="K23" i="480"/>
  <c r="AA45" i="481"/>
  <c r="M45" i="481"/>
  <c r="O62" i="481"/>
  <c r="L24" i="480"/>
  <c r="M23" i="481"/>
  <c r="O13" i="481"/>
  <c r="C38" i="508"/>
  <c r="H18" i="508"/>
  <c r="AB12" i="481"/>
  <c r="M12" i="481"/>
  <c r="O12" i="481"/>
  <c r="AA31" i="481"/>
  <c r="N24" i="481"/>
  <c r="AA24" i="481"/>
  <c r="AA20" i="481"/>
  <c r="AC20" i="481"/>
  <c r="N20" i="481"/>
  <c r="O20" i="481"/>
  <c r="AB11" i="481"/>
  <c r="M11" i="481"/>
  <c r="G98" i="508"/>
  <c r="AA36" i="481"/>
  <c r="O23" i="481"/>
  <c r="L20" i="480"/>
  <c r="M26" i="481"/>
  <c r="J7" i="480"/>
  <c r="Z7" i="481"/>
  <c r="L7" i="481"/>
  <c r="Y7" i="476"/>
  <c r="I7" i="27"/>
  <c r="K7" i="476"/>
  <c r="R64" i="371"/>
  <c r="R61" i="371"/>
  <c r="P58" i="371"/>
  <c r="P35" i="371"/>
  <c r="R11" i="371"/>
  <c r="R10" i="371"/>
  <c r="A7" i="481"/>
  <c r="A7" i="480"/>
  <c r="A7" i="476"/>
  <c r="A7" i="27"/>
  <c r="R48" i="477"/>
  <c r="N66" i="371"/>
  <c r="P66" i="371" s="1"/>
  <c r="N48" i="371"/>
  <c r="P48" i="371" s="1"/>
  <c r="N46" i="371"/>
  <c r="P46" i="371" s="1"/>
  <c r="P11" i="477"/>
  <c r="P64" i="371"/>
  <c r="P61" i="371"/>
  <c r="J13" i="371"/>
  <c r="P11" i="371"/>
  <c r="P10" i="371"/>
  <c r="R44" i="477"/>
  <c r="R10" i="477"/>
  <c r="P63" i="477"/>
  <c r="N61" i="477"/>
  <c r="P44" i="477"/>
  <c r="R34" i="477"/>
  <c r="P47" i="371"/>
  <c r="J71" i="371"/>
  <c r="R63" i="371"/>
  <c r="R56" i="371"/>
  <c r="R51" i="477"/>
  <c r="R49" i="477"/>
  <c r="P64" i="428"/>
  <c r="P43" i="371"/>
  <c r="R68" i="477"/>
  <c r="R70" i="371"/>
  <c r="R68" i="371"/>
  <c r="P63" i="371"/>
  <c r="P56" i="371"/>
  <c r="R39" i="371"/>
  <c r="R64" i="477"/>
  <c r="R53" i="477"/>
  <c r="P59" i="426"/>
  <c r="J54" i="477"/>
  <c r="R54" i="477" s="1"/>
  <c r="H39" i="27"/>
  <c r="X39" i="476"/>
  <c r="J39" i="476"/>
  <c r="P70" i="371"/>
  <c r="P68" i="371"/>
  <c r="R66" i="371"/>
  <c r="R48" i="371"/>
  <c r="R46" i="371"/>
  <c r="P39" i="371"/>
  <c r="P70" i="477"/>
  <c r="P64" i="477"/>
  <c r="P53" i="477"/>
  <c r="A9" i="27"/>
  <c r="A9" i="481"/>
  <c r="A9" i="480"/>
  <c r="A9" i="476"/>
  <c r="P68" i="477"/>
  <c r="J18" i="476"/>
  <c r="X18" i="476"/>
  <c r="H18" i="27"/>
  <c r="R63" i="477"/>
  <c r="P41" i="477"/>
  <c r="R11" i="477"/>
  <c r="R71" i="426"/>
  <c r="R51" i="426"/>
  <c r="R49" i="426"/>
  <c r="N68" i="428"/>
  <c r="P68" i="428" s="1"/>
  <c r="P10" i="430"/>
  <c r="N14" i="430"/>
  <c r="N65" i="426"/>
  <c r="R62" i="426"/>
  <c r="R38" i="426"/>
  <c r="N76" i="428"/>
  <c r="P76" i="428" s="1"/>
  <c r="N74" i="428"/>
  <c r="P74" i="428" s="1"/>
  <c r="P54" i="428"/>
  <c r="R52" i="428"/>
  <c r="N47" i="428"/>
  <c r="P47" i="428" s="1"/>
  <c r="N37" i="428"/>
  <c r="P37" i="428" s="1"/>
  <c r="N34" i="428"/>
  <c r="P34" i="428" s="1"/>
  <c r="P71" i="426"/>
  <c r="P51" i="426"/>
  <c r="P49" i="426"/>
  <c r="R47" i="426"/>
  <c r="R69" i="426"/>
  <c r="R66" i="426"/>
  <c r="P62" i="426"/>
  <c r="R60" i="426"/>
  <c r="P38" i="426"/>
  <c r="R11" i="426"/>
  <c r="R10" i="426"/>
  <c r="A11" i="476"/>
  <c r="A11" i="480"/>
  <c r="A11" i="481"/>
  <c r="A11" i="27"/>
  <c r="P52" i="428"/>
  <c r="P47" i="426"/>
  <c r="P70" i="428"/>
  <c r="P65" i="428"/>
  <c r="P69" i="426"/>
  <c r="P66" i="426"/>
  <c r="P60" i="426"/>
  <c r="J13" i="426"/>
  <c r="P11" i="426"/>
  <c r="P10" i="426"/>
  <c r="R75" i="428"/>
  <c r="R74" i="426"/>
  <c r="J53" i="426"/>
  <c r="R73" i="428"/>
  <c r="R67" i="428"/>
  <c r="R44" i="428"/>
  <c r="P75" i="428"/>
  <c r="P74" i="426"/>
  <c r="R50" i="426"/>
  <c r="R31" i="426"/>
  <c r="P73" i="428"/>
  <c r="R53" i="428"/>
  <c r="P44" i="428"/>
  <c r="X12" i="476"/>
  <c r="H12" i="27"/>
  <c r="J12" i="476"/>
  <c r="N67" i="428"/>
  <c r="I11" i="27"/>
  <c r="J11" i="480"/>
  <c r="Y11" i="476"/>
  <c r="L11" i="481"/>
  <c r="K11" i="476"/>
  <c r="Z11" i="481"/>
  <c r="R76" i="428"/>
  <c r="R74" i="428"/>
  <c r="R47" i="428"/>
  <c r="R37" i="428"/>
  <c r="R34" i="428"/>
  <c r="P62" i="430"/>
  <c r="A12" i="27"/>
  <c r="A12" i="476"/>
  <c r="A12" i="481"/>
  <c r="A12" i="480"/>
  <c r="R72" i="430"/>
  <c r="R54" i="430"/>
  <c r="R52" i="430"/>
  <c r="P35" i="430"/>
  <c r="R13" i="430"/>
  <c r="R11" i="430"/>
  <c r="R76" i="436"/>
  <c r="R68" i="436"/>
  <c r="P58" i="436"/>
  <c r="R43" i="436"/>
  <c r="R10" i="436"/>
  <c r="R64" i="430"/>
  <c r="R41" i="430"/>
  <c r="N78" i="436"/>
  <c r="P78" i="436" s="1"/>
  <c r="N71" i="436"/>
  <c r="P71" i="436" s="1"/>
  <c r="N47" i="436"/>
  <c r="P47" i="436" s="1"/>
  <c r="P72" i="430"/>
  <c r="P54" i="430"/>
  <c r="P52" i="430"/>
  <c r="R50" i="430"/>
  <c r="P13" i="430"/>
  <c r="P11" i="430"/>
  <c r="J82" i="436"/>
  <c r="P76" i="436"/>
  <c r="R74" i="436"/>
  <c r="P68" i="436"/>
  <c r="R67" i="436"/>
  <c r="P43" i="436"/>
  <c r="P64" i="430"/>
  <c r="P41" i="430"/>
  <c r="J60" i="436"/>
  <c r="R60" i="436" s="1"/>
  <c r="R40" i="436"/>
  <c r="N10" i="436"/>
  <c r="R11" i="436"/>
  <c r="R75" i="430"/>
  <c r="R77" i="436"/>
  <c r="R59" i="436"/>
  <c r="R57" i="436"/>
  <c r="P11" i="436"/>
  <c r="J20" i="480"/>
  <c r="K20" i="476"/>
  <c r="L20" i="481"/>
  <c r="I20" i="27"/>
  <c r="Z20" i="481"/>
  <c r="Y20" i="476"/>
  <c r="P75" i="430"/>
  <c r="R53" i="430"/>
  <c r="P77" i="436"/>
  <c r="P59" i="436"/>
  <c r="P57" i="436"/>
  <c r="N40" i="436"/>
  <c r="P40" i="436" s="1"/>
  <c r="A19" i="476"/>
  <c r="A19" i="480"/>
  <c r="A19" i="481"/>
  <c r="A19" i="27"/>
  <c r="R78" i="436"/>
  <c r="R71" i="436"/>
  <c r="R47" i="436"/>
  <c r="A20" i="27"/>
  <c r="A20" i="481"/>
  <c r="A20" i="476"/>
  <c r="A20" i="480"/>
  <c r="N83" i="539"/>
  <c r="P83" i="539" s="1"/>
  <c r="N63" i="539"/>
  <c r="P63" i="539" s="1"/>
  <c r="N61" i="539"/>
  <c r="P61" i="539" s="1"/>
  <c r="N12" i="539"/>
  <c r="P12" i="539" s="1"/>
  <c r="R84" i="543"/>
  <c r="R53" i="543"/>
  <c r="N42" i="543"/>
  <c r="P42" i="543" s="1"/>
  <c r="N74" i="539"/>
  <c r="P74" i="539" s="1"/>
  <c r="N50" i="539"/>
  <c r="P50" i="539" s="1"/>
  <c r="N72" i="543"/>
  <c r="N86" i="543" s="1"/>
  <c r="N59" i="539"/>
  <c r="P59" i="539" s="1"/>
  <c r="J62" i="543"/>
  <c r="R62" i="543" s="1"/>
  <c r="P53" i="543"/>
  <c r="Z23" i="481"/>
  <c r="L23" i="481"/>
  <c r="J23" i="480"/>
  <c r="Y23" i="476"/>
  <c r="I23" i="27"/>
  <c r="K23" i="476"/>
  <c r="P82" i="543"/>
  <c r="P84" i="543"/>
  <c r="P84" i="539"/>
  <c r="P76" i="539"/>
  <c r="P51" i="539"/>
  <c r="R74" i="543"/>
  <c r="P49" i="543"/>
  <c r="P70" i="545"/>
  <c r="J86" i="543"/>
  <c r="R83" i="543"/>
  <c r="R81" i="543"/>
  <c r="A22" i="480"/>
  <c r="A22" i="481"/>
  <c r="A22" i="476"/>
  <c r="A22" i="27"/>
  <c r="R56" i="543"/>
  <c r="J88" i="539"/>
  <c r="A21" i="481"/>
  <c r="A21" i="480"/>
  <c r="A21" i="476"/>
  <c r="A21" i="27"/>
  <c r="P83" i="543"/>
  <c r="P81" i="543"/>
  <c r="J64" i="539"/>
  <c r="R64" i="539" s="1"/>
  <c r="P74" i="543"/>
  <c r="P80" i="539"/>
  <c r="P71" i="539"/>
  <c r="R41" i="539"/>
  <c r="J13" i="539"/>
  <c r="P11" i="539"/>
  <c r="P10" i="539"/>
  <c r="P77" i="543"/>
  <c r="N58" i="543"/>
  <c r="P58" i="543" s="1"/>
  <c r="R44" i="543"/>
  <c r="R75" i="543"/>
  <c r="N60" i="543"/>
  <c r="P60" i="543" s="1"/>
  <c r="R83" i="539"/>
  <c r="R63" i="539"/>
  <c r="R61" i="539"/>
  <c r="P41" i="539"/>
  <c r="R12" i="539"/>
  <c r="R42" i="543"/>
  <c r="R74" i="539"/>
  <c r="R50" i="539"/>
  <c r="P75" i="543"/>
  <c r="R72" i="543"/>
  <c r="R82" i="543"/>
  <c r="J22" i="480"/>
  <c r="L22" i="481"/>
  <c r="Y22" i="476"/>
  <c r="I22" i="27"/>
  <c r="K22" i="476"/>
  <c r="Z22" i="481"/>
  <c r="P10" i="545"/>
  <c r="J87" i="545"/>
  <c r="R79" i="545"/>
  <c r="R70" i="545"/>
  <c r="N61" i="545"/>
  <c r="P61" i="545" s="1"/>
  <c r="P46" i="545"/>
  <c r="R12" i="545"/>
  <c r="R10" i="545"/>
  <c r="A23" i="476"/>
  <c r="A23" i="480"/>
  <c r="A23" i="481"/>
  <c r="A23" i="27"/>
  <c r="N84" i="541"/>
  <c r="N82" i="541"/>
  <c r="P82" i="541" s="1"/>
  <c r="P79" i="541"/>
  <c r="N72" i="541"/>
  <c r="R72" i="541"/>
  <c r="J89" i="541"/>
  <c r="P62" i="541"/>
  <c r="N78" i="545"/>
  <c r="J63" i="545"/>
  <c r="R63" i="545" s="1"/>
  <c r="N59" i="545"/>
  <c r="P59" i="545" s="1"/>
  <c r="P86" i="541"/>
  <c r="P86" i="545"/>
  <c r="P84" i="545"/>
  <c r="P53" i="545"/>
  <c r="P43" i="545"/>
  <c r="R55" i="541"/>
  <c r="P47" i="541"/>
  <c r="J13" i="543"/>
  <c r="R73" i="545"/>
  <c r="R49" i="545"/>
  <c r="R73" i="541"/>
  <c r="J65" i="541"/>
  <c r="R65" i="541" s="1"/>
  <c r="N64" i="541"/>
  <c r="P64" i="541" s="1"/>
  <c r="R58" i="545"/>
  <c r="P88" i="541"/>
  <c r="R75" i="541"/>
  <c r="P45" i="541"/>
  <c r="P73" i="545"/>
  <c r="P49" i="545"/>
  <c r="N81" i="541"/>
  <c r="P81" i="541" s="1"/>
  <c r="R81" i="541"/>
  <c r="P58" i="545"/>
  <c r="P75" i="541"/>
  <c r="R59" i="541"/>
  <c r="N59" i="541"/>
  <c r="P59" i="541" s="1"/>
  <c r="P55" i="541"/>
  <c r="P83" i="541"/>
  <c r="R63" i="541"/>
  <c r="P78" i="541"/>
  <c r="R56" i="541"/>
  <c r="R61" i="545"/>
  <c r="R82" i="541"/>
  <c r="P83" i="545"/>
  <c r="R78" i="545"/>
  <c r="P75" i="545"/>
  <c r="R59" i="545"/>
  <c r="P50" i="545"/>
  <c r="R60" i="541"/>
  <c r="P56" i="541"/>
  <c r="P84" i="541"/>
  <c r="P48" i="541"/>
  <c r="N43" i="541"/>
  <c r="P43" i="541" s="1"/>
  <c r="R86" i="541"/>
  <c r="R77" i="541"/>
  <c r="R12" i="541"/>
  <c r="N14" i="541"/>
  <c r="R10" i="541"/>
  <c r="A24" i="27"/>
  <c r="A24" i="481"/>
  <c r="A24" i="476"/>
  <c r="A24" i="480"/>
  <c r="R82" i="525"/>
  <c r="R80" i="525"/>
  <c r="N77" i="525"/>
  <c r="P77" i="525" s="1"/>
  <c r="N69" i="525"/>
  <c r="P69" i="525" s="1"/>
  <c r="R51" i="525"/>
  <c r="N44" i="525"/>
  <c r="P44" i="525" s="1"/>
  <c r="R41" i="525"/>
  <c r="J14" i="541"/>
  <c r="P12" i="541"/>
  <c r="P10" i="541"/>
  <c r="P82" i="525"/>
  <c r="P80" i="525"/>
  <c r="R78" i="525"/>
  <c r="R60" i="525"/>
  <c r="R58" i="525"/>
  <c r="P51" i="525"/>
  <c r="P41" i="525"/>
  <c r="P10" i="529"/>
  <c r="A30" i="480"/>
  <c r="A30" i="481"/>
  <c r="A30" i="27"/>
  <c r="A30" i="476"/>
  <c r="R13" i="541"/>
  <c r="R11" i="541"/>
  <c r="P78" i="525"/>
  <c r="P60" i="525"/>
  <c r="P58" i="525"/>
  <c r="R56" i="525"/>
  <c r="R76" i="525"/>
  <c r="R73" i="525"/>
  <c r="R52" i="525"/>
  <c r="R43" i="525"/>
  <c r="P76" i="525"/>
  <c r="P73" i="525"/>
  <c r="P52" i="525"/>
  <c r="P43" i="525"/>
  <c r="I30" i="27"/>
  <c r="J30" i="480"/>
  <c r="Y30" i="476"/>
  <c r="Z30" i="481"/>
  <c r="K30" i="476"/>
  <c r="L30" i="481"/>
  <c r="P74" i="525"/>
  <c r="P57" i="525"/>
  <c r="P73" i="529"/>
  <c r="N57" i="529"/>
  <c r="P57" i="529" s="1"/>
  <c r="N48" i="529"/>
  <c r="R74" i="547"/>
  <c r="R64" i="547"/>
  <c r="R62" i="547"/>
  <c r="R60" i="547"/>
  <c r="R45" i="547"/>
  <c r="A27" i="481"/>
  <c r="A27" i="476"/>
  <c r="A27" i="480"/>
  <c r="A27" i="27"/>
  <c r="R81" i="529"/>
  <c r="R62" i="529"/>
  <c r="R88" i="547"/>
  <c r="N79" i="547"/>
  <c r="P79" i="547" s="1"/>
  <c r="R56" i="547"/>
  <c r="P74" i="547"/>
  <c r="P64" i="547"/>
  <c r="P62" i="547"/>
  <c r="P60" i="547"/>
  <c r="P45" i="547"/>
  <c r="P88" i="547"/>
  <c r="P56" i="547"/>
  <c r="J90" i="529"/>
  <c r="R82" i="529"/>
  <c r="R73" i="529"/>
  <c r="R11" i="529"/>
  <c r="R10" i="529"/>
  <c r="A26" i="480"/>
  <c r="A26" i="27"/>
  <c r="A26" i="476"/>
  <c r="A26" i="481"/>
  <c r="R43" i="547"/>
  <c r="R79" i="529"/>
  <c r="J66" i="529"/>
  <c r="R66" i="529" s="1"/>
  <c r="N86" i="547"/>
  <c r="P86" i="547" s="1"/>
  <c r="J66" i="547"/>
  <c r="R66" i="547" s="1"/>
  <c r="R89" i="529"/>
  <c r="R87" i="529"/>
  <c r="R56" i="529"/>
  <c r="R46" i="529"/>
  <c r="R43" i="529"/>
  <c r="R46" i="547"/>
  <c r="P43" i="547"/>
  <c r="R11" i="547"/>
  <c r="P79" i="529"/>
  <c r="J90" i="547"/>
  <c r="P89" i="529"/>
  <c r="P87" i="529"/>
  <c r="P56" i="529"/>
  <c r="P46" i="529"/>
  <c r="P43" i="529"/>
  <c r="P48" i="547"/>
  <c r="P46" i="547"/>
  <c r="P11" i="547"/>
  <c r="N78" i="547"/>
  <c r="P78" i="547" s="1"/>
  <c r="R61" i="547"/>
  <c r="R61" i="529"/>
  <c r="J13" i="547"/>
  <c r="J28" i="480"/>
  <c r="L28" i="481"/>
  <c r="I28" i="27"/>
  <c r="Z28" i="481"/>
  <c r="Y28" i="476"/>
  <c r="K28" i="476"/>
  <c r="R57" i="529"/>
  <c r="R48" i="529"/>
  <c r="P83" i="547"/>
  <c r="N13" i="547"/>
  <c r="N88" i="533"/>
  <c r="P88" i="533" s="1"/>
  <c r="R84" i="533"/>
  <c r="R76" i="533"/>
  <c r="R51" i="533"/>
  <c r="J91" i="535"/>
  <c r="R88" i="535"/>
  <c r="N53" i="535"/>
  <c r="P53" i="535" s="1"/>
  <c r="R53" i="535"/>
  <c r="P10" i="535"/>
  <c r="R62" i="533"/>
  <c r="R64" i="535"/>
  <c r="N64" i="535"/>
  <c r="P64" i="535" s="1"/>
  <c r="J90" i="533"/>
  <c r="N66" i="533"/>
  <c r="P66" i="533" s="1"/>
  <c r="N47" i="533"/>
  <c r="P47" i="533" s="1"/>
  <c r="N14" i="533"/>
  <c r="A28" i="481"/>
  <c r="A28" i="476"/>
  <c r="A28" i="480"/>
  <c r="A28" i="27"/>
  <c r="N86" i="535"/>
  <c r="P86" i="535" s="1"/>
  <c r="N81" i="533"/>
  <c r="P81" i="533" s="1"/>
  <c r="J68" i="533"/>
  <c r="R68" i="533" s="1"/>
  <c r="N64" i="533"/>
  <c r="P64" i="533" s="1"/>
  <c r="R80" i="535"/>
  <c r="P88" i="535"/>
  <c r="R66" i="535"/>
  <c r="N66" i="535"/>
  <c r="P66" i="535" s="1"/>
  <c r="P63" i="535"/>
  <c r="P54" i="535"/>
  <c r="P85" i="533"/>
  <c r="P67" i="533"/>
  <c r="P65" i="533"/>
  <c r="P13" i="533"/>
  <c r="P11" i="533"/>
  <c r="N58" i="535"/>
  <c r="P58" i="535" s="1"/>
  <c r="R86" i="533"/>
  <c r="R79" i="533"/>
  <c r="R55" i="533"/>
  <c r="P79" i="535"/>
  <c r="P62" i="535"/>
  <c r="R62" i="535"/>
  <c r="R84" i="531"/>
  <c r="R81" i="531"/>
  <c r="P77" i="531"/>
  <c r="R75" i="531"/>
  <c r="P53" i="531"/>
  <c r="N57" i="535"/>
  <c r="P57" i="535" s="1"/>
  <c r="N47" i="535"/>
  <c r="P47" i="535" s="1"/>
  <c r="N44" i="535"/>
  <c r="P44" i="535" s="1"/>
  <c r="N86" i="531"/>
  <c r="P86" i="531" s="1"/>
  <c r="N66" i="531"/>
  <c r="P66" i="531" s="1"/>
  <c r="N64" i="531"/>
  <c r="P64" i="531" s="1"/>
  <c r="R58" i="531"/>
  <c r="R49" i="531"/>
  <c r="N84" i="438"/>
  <c r="P84" i="438" s="1"/>
  <c r="P84" i="531"/>
  <c r="P81" i="531"/>
  <c r="N13" i="535"/>
  <c r="P13" i="535" s="1"/>
  <c r="N11" i="535"/>
  <c r="P11" i="535" s="1"/>
  <c r="J68" i="531"/>
  <c r="N62" i="531"/>
  <c r="P62" i="531" s="1"/>
  <c r="R87" i="531"/>
  <c r="R79" i="531"/>
  <c r="N75" i="531"/>
  <c r="R54" i="531"/>
  <c r="N60" i="438"/>
  <c r="P60" i="438" s="1"/>
  <c r="N83" i="438"/>
  <c r="P83" i="438" s="1"/>
  <c r="R83" i="438"/>
  <c r="N80" i="438"/>
  <c r="P80" i="438" s="1"/>
  <c r="R80" i="438"/>
  <c r="N57" i="438"/>
  <c r="P57" i="438" s="1"/>
  <c r="R57" i="438"/>
  <c r="R61" i="531"/>
  <c r="N49" i="438"/>
  <c r="P49" i="438" s="1"/>
  <c r="A25" i="480"/>
  <c r="A25" i="481"/>
  <c r="A25" i="476"/>
  <c r="A25" i="27"/>
  <c r="A29" i="480"/>
  <c r="A29" i="481"/>
  <c r="A29" i="27"/>
  <c r="A29" i="476"/>
  <c r="N75" i="438"/>
  <c r="P75" i="438" s="1"/>
  <c r="N48" i="438"/>
  <c r="P48" i="438" s="1"/>
  <c r="R48" i="438"/>
  <c r="J14" i="535"/>
  <c r="J90" i="438"/>
  <c r="N74" i="438"/>
  <c r="P74" i="438" s="1"/>
  <c r="R74" i="438"/>
  <c r="R84" i="438"/>
  <c r="R75" i="432"/>
  <c r="P51" i="432"/>
  <c r="R39" i="432"/>
  <c r="N85" i="438"/>
  <c r="P85" i="438" s="1"/>
  <c r="N65" i="438"/>
  <c r="P65" i="438" s="1"/>
  <c r="N63" i="438"/>
  <c r="P63" i="438" s="1"/>
  <c r="N13" i="438"/>
  <c r="P13" i="438" s="1"/>
  <c r="N11" i="438"/>
  <c r="P11" i="438" s="1"/>
  <c r="R71" i="432"/>
  <c r="N47" i="432"/>
  <c r="J57" i="432"/>
  <c r="R57" i="432" s="1"/>
  <c r="P39" i="432"/>
  <c r="N34" i="432"/>
  <c r="P34" i="432" s="1"/>
  <c r="N61" i="438"/>
  <c r="P61" i="438" s="1"/>
  <c r="N79" i="432"/>
  <c r="P79" i="432" s="1"/>
  <c r="P71" i="432"/>
  <c r="N43" i="432"/>
  <c r="P43" i="432" s="1"/>
  <c r="P37" i="432"/>
  <c r="J81" i="432"/>
  <c r="R74" i="432"/>
  <c r="A31" i="476"/>
  <c r="A31" i="481"/>
  <c r="A31" i="480"/>
  <c r="A31" i="27"/>
  <c r="P74" i="432"/>
  <c r="P64" i="432"/>
  <c r="J66" i="438"/>
  <c r="R66" i="438" s="1"/>
  <c r="P40" i="432"/>
  <c r="R89" i="438"/>
  <c r="R87" i="438"/>
  <c r="R56" i="438"/>
  <c r="R46" i="438"/>
  <c r="R43" i="438"/>
  <c r="J14" i="438"/>
  <c r="N80" i="432"/>
  <c r="P80" i="432" s="1"/>
  <c r="P70" i="432"/>
  <c r="P47" i="432"/>
  <c r="N13" i="446"/>
  <c r="N72" i="446"/>
  <c r="P72" i="446" s="1"/>
  <c r="N65" i="446"/>
  <c r="P65" i="446" s="1"/>
  <c r="R48" i="446"/>
  <c r="N41" i="446"/>
  <c r="P41" i="446" s="1"/>
  <c r="A33" i="27"/>
  <c r="A33" i="481"/>
  <c r="A33" i="480"/>
  <c r="A33" i="476"/>
  <c r="N12" i="432"/>
  <c r="P12" i="432" s="1"/>
  <c r="N67" i="446"/>
  <c r="P67" i="446" s="1"/>
  <c r="J54" i="446"/>
  <c r="N50" i="446"/>
  <c r="P50" i="446" s="1"/>
  <c r="N70" i="446"/>
  <c r="P70" i="446" s="1"/>
  <c r="N62" i="446"/>
  <c r="P62" i="446" s="1"/>
  <c r="P61" i="446"/>
  <c r="N37" i="446"/>
  <c r="P37" i="446" s="1"/>
  <c r="P10" i="446"/>
  <c r="J13" i="446"/>
  <c r="P53" i="446"/>
  <c r="R49" i="446"/>
  <c r="X33" i="476"/>
  <c r="J33" i="476"/>
  <c r="H33" i="27"/>
  <c r="P49" i="446"/>
  <c r="P11" i="446"/>
  <c r="A32" i="481"/>
  <c r="A32" i="476"/>
  <c r="A32" i="480"/>
  <c r="A32" i="27"/>
  <c r="P69" i="446"/>
  <c r="P66" i="446"/>
  <c r="R74" i="446"/>
  <c r="J13" i="432"/>
  <c r="P74" i="446"/>
  <c r="R76" i="460"/>
  <c r="R68" i="460"/>
  <c r="P58" i="460"/>
  <c r="R43" i="460"/>
  <c r="R10" i="460"/>
  <c r="J82" i="460"/>
  <c r="R74" i="460"/>
  <c r="R67" i="460"/>
  <c r="J60" i="460"/>
  <c r="R60" i="460" s="1"/>
  <c r="R81" i="460"/>
  <c r="R79" i="460"/>
  <c r="P74" i="460"/>
  <c r="P67" i="460"/>
  <c r="R50" i="460"/>
  <c r="J14" i="460"/>
  <c r="L34" i="481"/>
  <c r="J34" i="480"/>
  <c r="N13" i="460"/>
  <c r="P13" i="460" s="1"/>
  <c r="N11" i="460"/>
  <c r="P11" i="460" s="1"/>
  <c r="R78" i="460"/>
  <c r="R71" i="460"/>
  <c r="R47" i="460"/>
  <c r="A34" i="480"/>
  <c r="A34" i="476"/>
  <c r="A34" i="481"/>
  <c r="A34" i="27"/>
  <c r="R12" i="460"/>
  <c r="N80" i="559"/>
  <c r="P80" i="559" s="1"/>
  <c r="J35" i="480"/>
  <c r="I35" i="27"/>
  <c r="L35" i="481"/>
  <c r="Y35" i="476"/>
  <c r="Z35" i="481"/>
  <c r="K35" i="476"/>
  <c r="J82" i="559"/>
  <c r="R59" i="559"/>
  <c r="R81" i="559"/>
  <c r="R79" i="559"/>
  <c r="J60" i="559"/>
  <c r="R60" i="559" s="1"/>
  <c r="R72" i="559"/>
  <c r="P59" i="559"/>
  <c r="P81" i="559"/>
  <c r="P79" i="559"/>
  <c r="N43" i="559"/>
  <c r="P43" i="559" s="1"/>
  <c r="P72" i="559"/>
  <c r="R80" i="559"/>
  <c r="N54" i="559"/>
  <c r="P54" i="559" s="1"/>
  <c r="R78" i="559"/>
  <c r="R73" i="559"/>
  <c r="P46" i="559"/>
  <c r="P56" i="559"/>
  <c r="N73" i="559"/>
  <c r="P73" i="559" s="1"/>
  <c r="P58" i="559"/>
  <c r="J85" i="557"/>
  <c r="R77" i="557"/>
  <c r="P57" i="557"/>
  <c r="R47" i="557"/>
  <c r="P10" i="557"/>
  <c r="P14" i="557" s="1"/>
  <c r="R74" i="557"/>
  <c r="R43" i="557"/>
  <c r="R84" i="557"/>
  <c r="P77" i="557"/>
  <c r="P55" i="557"/>
  <c r="P47" i="557"/>
  <c r="A35" i="476"/>
  <c r="A35" i="481"/>
  <c r="A35" i="480"/>
  <c r="A35" i="27"/>
  <c r="R40" i="557"/>
  <c r="J61" i="557"/>
  <c r="R61" i="557" s="1"/>
  <c r="P81" i="557"/>
  <c r="R76" i="557"/>
  <c r="R70" i="557"/>
  <c r="P44" i="557"/>
  <c r="R57" i="557"/>
  <c r="R55" i="557"/>
  <c r="N70" i="557"/>
  <c r="P70" i="557" s="1"/>
  <c r="N68" i="557"/>
  <c r="P68" i="557" s="1"/>
  <c r="R59" i="557"/>
  <c r="N44" i="551"/>
  <c r="P44" i="551" s="1"/>
  <c r="P71" i="551"/>
  <c r="P69" i="551"/>
  <c r="N64" i="551"/>
  <c r="P64" i="551" s="1"/>
  <c r="N57" i="551"/>
  <c r="P40" i="551"/>
  <c r="N13" i="551"/>
  <c r="P13" i="551" s="1"/>
  <c r="R65" i="551"/>
  <c r="R62" i="551"/>
  <c r="A39" i="476"/>
  <c r="A39" i="480"/>
  <c r="A39" i="27"/>
  <c r="A39" i="481"/>
  <c r="R41" i="551"/>
  <c r="R32" i="551"/>
  <c r="P65" i="551"/>
  <c r="P62" i="551"/>
  <c r="R10" i="551"/>
  <c r="P41" i="551"/>
  <c r="P32" i="551"/>
  <c r="P10" i="551"/>
  <c r="J14" i="551"/>
  <c r="J72" i="551"/>
  <c r="P66" i="551"/>
  <c r="R64" i="551"/>
  <c r="P58" i="551"/>
  <c r="R57" i="551"/>
  <c r="P33" i="551"/>
  <c r="R13" i="551"/>
  <c r="P12" i="551"/>
  <c r="J50" i="551"/>
  <c r="R50" i="551" s="1"/>
  <c r="A36" i="27"/>
  <c r="A36" i="481"/>
  <c r="A36" i="480"/>
  <c r="A36" i="476"/>
  <c r="N58" i="553"/>
  <c r="P58" i="553" s="1"/>
  <c r="N35" i="553"/>
  <c r="P35" i="553" s="1"/>
  <c r="N13" i="553"/>
  <c r="P13" i="553" s="1"/>
  <c r="A37" i="481"/>
  <c r="A37" i="480"/>
  <c r="A37" i="476"/>
  <c r="A37" i="27"/>
  <c r="R67" i="553"/>
  <c r="N64" i="553"/>
  <c r="P64" i="553" s="1"/>
  <c r="N61" i="553"/>
  <c r="P61" i="553" s="1"/>
  <c r="R60" i="553"/>
  <c r="R36" i="553"/>
  <c r="N40" i="553"/>
  <c r="P40" i="553" s="1"/>
  <c r="N31" i="553"/>
  <c r="P31" i="553" s="1"/>
  <c r="P10" i="553"/>
  <c r="R65" i="553"/>
  <c r="R57" i="553"/>
  <c r="R32" i="553"/>
  <c r="J71" i="553"/>
  <c r="P65" i="553"/>
  <c r="P57" i="553"/>
  <c r="P32" i="553"/>
  <c r="J49" i="553"/>
  <c r="R49" i="553" s="1"/>
  <c r="R12" i="553"/>
  <c r="P12" i="553"/>
  <c r="N11" i="553"/>
  <c r="P66" i="553"/>
  <c r="P46" i="553"/>
  <c r="R42" i="555"/>
  <c r="J68" i="555"/>
  <c r="R65" i="555"/>
  <c r="R61" i="555"/>
  <c r="R59" i="555"/>
  <c r="P42" i="555"/>
  <c r="R36" i="555"/>
  <c r="R67" i="555"/>
  <c r="N63" i="555"/>
  <c r="P63" i="555" s="1"/>
  <c r="P61" i="555"/>
  <c r="P59" i="555"/>
  <c r="P65" i="555"/>
  <c r="P36" i="555"/>
  <c r="R41" i="555"/>
  <c r="P67" i="555"/>
  <c r="R37" i="555"/>
  <c r="N55" i="555"/>
  <c r="P43" i="555"/>
  <c r="P26" i="555"/>
  <c r="J46" i="555"/>
  <c r="R46" i="555" s="1"/>
  <c r="P58" i="555"/>
  <c r="R53" i="555"/>
  <c r="N42" i="440"/>
  <c r="P42" i="440" s="1"/>
  <c r="J13" i="555"/>
  <c r="P26" i="440"/>
  <c r="R26" i="440"/>
  <c r="R59" i="440"/>
  <c r="R12" i="555"/>
  <c r="P59" i="440"/>
  <c r="J66" i="440"/>
  <c r="P12" i="555"/>
  <c r="P36" i="440"/>
  <c r="R36" i="440"/>
  <c r="P40" i="440"/>
  <c r="P63" i="440"/>
  <c r="R63" i="440"/>
  <c r="R58" i="440"/>
  <c r="N58" i="440"/>
  <c r="P58" i="440" s="1"/>
  <c r="N57" i="440"/>
  <c r="P57" i="440" s="1"/>
  <c r="J46" i="440"/>
  <c r="R46" i="440" s="1"/>
  <c r="P65" i="440"/>
  <c r="R65" i="440"/>
  <c r="R37" i="440"/>
  <c r="A38" i="481"/>
  <c r="A38" i="27"/>
  <c r="A38" i="480"/>
  <c r="A38" i="476"/>
  <c r="R56" i="440"/>
  <c r="N45" i="440"/>
  <c r="P45" i="440" s="1"/>
  <c r="P37" i="440"/>
  <c r="N60" i="440"/>
  <c r="P60" i="440" s="1"/>
  <c r="N53" i="440"/>
  <c r="P53" i="440" s="1"/>
  <c r="N29" i="440"/>
  <c r="P29" i="440" s="1"/>
  <c r="N39" i="549"/>
  <c r="P39" i="549" s="1"/>
  <c r="R39" i="549"/>
  <c r="P66" i="549"/>
  <c r="N28" i="549"/>
  <c r="P28" i="549" s="1"/>
  <c r="R28" i="549"/>
  <c r="N30" i="549"/>
  <c r="P30" i="549" s="1"/>
  <c r="R30" i="549"/>
  <c r="J48" i="549"/>
  <c r="R48" i="549" s="1"/>
  <c r="A13" i="481"/>
  <c r="A13" i="476"/>
  <c r="A13" i="480"/>
  <c r="A13" i="27"/>
  <c r="J13" i="440"/>
  <c r="P11" i="440"/>
  <c r="P10" i="440"/>
  <c r="R40" i="440"/>
  <c r="J68" i="549"/>
  <c r="P34" i="549"/>
  <c r="Z13" i="481"/>
  <c r="Y13" i="476"/>
  <c r="J13" i="480"/>
  <c r="L13" i="481"/>
  <c r="K13" i="476"/>
  <c r="I13" i="27"/>
  <c r="N63" i="549"/>
  <c r="P63" i="549" s="1"/>
  <c r="N47" i="549"/>
  <c r="P47" i="549" s="1"/>
  <c r="N45" i="549"/>
  <c r="P45" i="549" s="1"/>
  <c r="N74" i="442"/>
  <c r="P74" i="442" s="1"/>
  <c r="R74" i="442"/>
  <c r="P65" i="442"/>
  <c r="N43" i="549"/>
  <c r="P43" i="549" s="1"/>
  <c r="N61" i="549"/>
  <c r="P61" i="549" s="1"/>
  <c r="N58" i="549"/>
  <c r="P58" i="549" s="1"/>
  <c r="N11" i="549"/>
  <c r="P11" i="549" s="1"/>
  <c r="N10" i="549"/>
  <c r="P52" i="442"/>
  <c r="R52" i="442"/>
  <c r="P70" i="442"/>
  <c r="R70" i="442"/>
  <c r="P54" i="442"/>
  <c r="R54" i="442"/>
  <c r="N35" i="442"/>
  <c r="P35" i="442" s="1"/>
  <c r="R35" i="442"/>
  <c r="P12" i="442"/>
  <c r="R12" i="442"/>
  <c r="J13" i="442"/>
  <c r="N72" i="442"/>
  <c r="P72" i="442" s="1"/>
  <c r="R72" i="442"/>
  <c r="R68" i="442"/>
  <c r="J75" i="442"/>
  <c r="R63" i="549"/>
  <c r="R47" i="549"/>
  <c r="R45" i="549"/>
  <c r="P68" i="442"/>
  <c r="N50" i="442"/>
  <c r="P50" i="442" s="1"/>
  <c r="N45" i="442"/>
  <c r="P45" i="442" s="1"/>
  <c r="R45" i="442"/>
  <c r="R56" i="549"/>
  <c r="R34" i="549"/>
  <c r="R65" i="442"/>
  <c r="A14" i="481"/>
  <c r="A14" i="476"/>
  <c r="A14" i="480"/>
  <c r="A14" i="27"/>
  <c r="R69" i="442"/>
  <c r="R62" i="442"/>
  <c r="R38" i="442"/>
  <c r="L66" i="293"/>
  <c r="N57" i="293"/>
  <c r="N66" i="293" s="1"/>
  <c r="A18" i="476"/>
  <c r="A18" i="480"/>
  <c r="A18" i="27"/>
  <c r="A18" i="481"/>
  <c r="N23" i="353"/>
  <c r="L47" i="353"/>
  <c r="N47" i="353" s="1"/>
  <c r="J55" i="442"/>
  <c r="R55" i="442" s="1"/>
  <c r="Y43" i="481"/>
  <c r="K43" i="481"/>
  <c r="I43" i="480"/>
  <c r="L50" i="293"/>
  <c r="N50" i="293" s="1"/>
  <c r="A44" i="480"/>
  <c r="A44" i="481"/>
  <c r="A44" i="27"/>
  <c r="A44" i="476"/>
  <c r="L48" i="523"/>
  <c r="N48" i="523" s="1"/>
  <c r="N49" i="523" s="1"/>
  <c r="D81" i="293"/>
  <c r="N12" i="293"/>
  <c r="N17" i="293" s="1"/>
  <c r="L17" i="293"/>
  <c r="L63" i="353"/>
  <c r="N56" i="353"/>
  <c r="N63" i="353" s="1"/>
  <c r="N23" i="293"/>
  <c r="L12" i="480"/>
  <c r="K12" i="480"/>
  <c r="Y43" i="476"/>
  <c r="J43" i="480"/>
  <c r="Z43" i="481"/>
  <c r="K43" i="476"/>
  <c r="I43" i="27"/>
  <c r="L43" i="481"/>
  <c r="C115" i="508"/>
  <c r="D115" i="508" s="1"/>
  <c r="C112" i="508"/>
  <c r="D112" i="508" s="1"/>
  <c r="C116" i="508"/>
  <c r="D116" i="508" s="1"/>
  <c r="C113" i="508"/>
  <c r="D113" i="508" s="1"/>
  <c r="D114" i="508"/>
  <c r="H84" i="508"/>
  <c r="L14" i="353"/>
  <c r="N11" i="523"/>
  <c r="L14" i="523"/>
  <c r="K39" i="480"/>
  <c r="A43" i="27"/>
  <c r="A43" i="481"/>
  <c r="A43" i="480"/>
  <c r="A43" i="476"/>
  <c r="N64" i="523"/>
  <c r="H25" i="508"/>
  <c r="C24" i="508"/>
  <c r="F139" i="509"/>
  <c r="G128" i="509"/>
  <c r="G139" i="509" s="1"/>
  <c r="L27" i="480"/>
  <c r="K27" i="480"/>
  <c r="L64" i="523"/>
  <c r="G18" i="509"/>
  <c r="A45" i="481"/>
  <c r="A45" i="480"/>
  <c r="A45" i="27"/>
  <c r="A45" i="476"/>
  <c r="G18" i="508"/>
  <c r="K30" i="480"/>
  <c r="L30" i="480"/>
  <c r="AB32" i="481"/>
  <c r="AC32" i="481"/>
  <c r="O32" i="481"/>
  <c r="AA32" i="481"/>
  <c r="AC29" i="481"/>
  <c r="N29" i="481"/>
  <c r="AB29" i="481"/>
  <c r="O29" i="481"/>
  <c r="AA29" i="481"/>
  <c r="M29" i="481"/>
  <c r="F116" i="509"/>
  <c r="G116" i="509" s="1"/>
  <c r="G118" i="509" s="1"/>
  <c r="G141" i="509" s="1"/>
  <c r="AC22" i="481"/>
  <c r="M22" i="481"/>
  <c r="O22" i="481"/>
  <c r="N22" i="481"/>
  <c r="AA22" i="481"/>
  <c r="AB22" i="481"/>
  <c r="G84" i="508"/>
  <c r="AA38" i="481"/>
  <c r="AB38" i="481"/>
  <c r="N38" i="481"/>
  <c r="O38" i="481"/>
  <c r="AC38" i="481"/>
  <c r="AC35" i="481"/>
  <c r="N35" i="481"/>
  <c r="AA35" i="481"/>
  <c r="AB35" i="481"/>
  <c r="O35" i="481"/>
  <c r="C29" i="508"/>
  <c r="G152" i="509"/>
  <c r="L34" i="480"/>
  <c r="G61" i="508"/>
  <c r="H61" i="508" s="1"/>
  <c r="L49" i="480"/>
  <c r="K25" i="480"/>
  <c r="H39" i="508"/>
  <c r="M30" i="481"/>
  <c r="AA30" i="481"/>
  <c r="O30" i="481"/>
  <c r="AC27" i="481"/>
  <c r="N27" i="481"/>
  <c r="M27" i="481"/>
  <c r="AB27" i="481"/>
  <c r="E67" i="508"/>
  <c r="E90" i="508"/>
  <c r="L37" i="480"/>
  <c r="K37" i="480"/>
  <c r="L31" i="480"/>
  <c r="K31" i="480"/>
  <c r="K19" i="480"/>
  <c r="L19" i="480"/>
  <c r="AC37" i="481"/>
  <c r="N37" i="481"/>
  <c r="M37" i="481"/>
  <c r="AC9" i="481"/>
  <c r="N9" i="481"/>
  <c r="M9" i="481"/>
  <c r="O9" i="481"/>
  <c r="AB9" i="481"/>
  <c r="L13" i="480"/>
  <c r="K13" i="480"/>
  <c r="AC21" i="481"/>
  <c r="N21" i="481"/>
  <c r="O21" i="481"/>
  <c r="AC19" i="481"/>
  <c r="N19" i="481"/>
  <c r="M19" i="481"/>
  <c r="O19" i="481"/>
  <c r="AA19" i="481"/>
  <c r="AA37" i="481"/>
  <c r="O36" i="481"/>
  <c r="AC36" i="481"/>
  <c r="N36" i="481"/>
  <c r="AB30" i="481"/>
  <c r="AB21" i="481"/>
  <c r="AA27" i="481"/>
  <c r="AA21" i="481"/>
  <c r="D97" i="508"/>
  <c r="G97" i="508" s="1"/>
  <c r="H30" i="508"/>
  <c r="AC33" i="481"/>
  <c r="N33" i="481"/>
  <c r="O33" i="481"/>
  <c r="AC23" i="481"/>
  <c r="N23" i="481"/>
  <c r="AA23" i="481"/>
  <c r="AB7" i="481"/>
  <c r="AA26" i="481"/>
  <c r="AC26" i="481"/>
  <c r="O26" i="481"/>
  <c r="M13" i="481"/>
  <c r="N13" i="481"/>
  <c r="L35" i="480"/>
  <c r="M24" i="481"/>
  <c r="AC7" i="481"/>
  <c r="AC12" i="481"/>
  <c r="N12" i="481"/>
  <c r="L45" i="480"/>
  <c r="L26" i="480"/>
  <c r="N34" i="481"/>
  <c r="O31" i="481"/>
  <c r="AC14" i="481"/>
  <c r="N14" i="481"/>
  <c r="AC31" i="481"/>
  <c r="N31" i="481"/>
  <c r="AC25" i="481"/>
  <c r="N25" i="481"/>
  <c r="AA14" i="481"/>
  <c r="AC39" i="481"/>
  <c r="N39" i="481"/>
  <c r="L48" i="353" l="1"/>
  <c r="P13" i="442"/>
  <c r="R68" i="549"/>
  <c r="R13" i="549"/>
  <c r="R68" i="555"/>
  <c r="N13" i="555"/>
  <c r="R51" i="551"/>
  <c r="R72" i="551"/>
  <c r="N14" i="557"/>
  <c r="R14" i="557"/>
  <c r="N14" i="559"/>
  <c r="R14" i="438"/>
  <c r="P14" i="531"/>
  <c r="J68" i="535"/>
  <c r="R14" i="535"/>
  <c r="R14" i="533"/>
  <c r="J69" i="533"/>
  <c r="R13" i="547"/>
  <c r="N90" i="529"/>
  <c r="N13" i="529"/>
  <c r="N13" i="525"/>
  <c r="R13" i="525"/>
  <c r="N87" i="545"/>
  <c r="R13" i="543"/>
  <c r="J56" i="430"/>
  <c r="N76" i="426"/>
  <c r="J50" i="371"/>
  <c r="N13" i="371"/>
  <c r="N71" i="371"/>
  <c r="Z34" i="481"/>
  <c r="K34" i="476"/>
  <c r="I14" i="27"/>
  <c r="I34" i="27"/>
  <c r="J35" i="476"/>
  <c r="H35" i="27"/>
  <c r="X35" i="476"/>
  <c r="X23" i="476"/>
  <c r="J23" i="476"/>
  <c r="H23" i="27"/>
  <c r="H11" i="27"/>
  <c r="J11" i="27" s="1"/>
  <c r="J11" i="476"/>
  <c r="Z11" i="476" s="1"/>
  <c r="X11" i="476"/>
  <c r="L31" i="481"/>
  <c r="H13" i="27"/>
  <c r="K13" i="27" s="1"/>
  <c r="X13" i="476"/>
  <c r="J13" i="476"/>
  <c r="AA13" i="476" s="1"/>
  <c r="H7" i="27"/>
  <c r="K7" i="27" s="1"/>
  <c r="L19" i="481"/>
  <c r="J27" i="480"/>
  <c r="Y27" i="476"/>
  <c r="I27" i="27"/>
  <c r="Z27" i="481"/>
  <c r="L27" i="481"/>
  <c r="K27" i="476"/>
  <c r="H22" i="27"/>
  <c r="H25" i="27"/>
  <c r="J25" i="480"/>
  <c r="J25" i="476"/>
  <c r="Y25" i="476"/>
  <c r="X25" i="476"/>
  <c r="Z25" i="481"/>
  <c r="I25" i="27"/>
  <c r="K25" i="476"/>
  <c r="J19" i="480"/>
  <c r="Y19" i="476"/>
  <c r="I19" i="27"/>
  <c r="Z19" i="481"/>
  <c r="X27" i="476"/>
  <c r="J27" i="476"/>
  <c r="H27" i="27"/>
  <c r="Y26" i="476"/>
  <c r="I26" i="27"/>
  <c r="J26" i="480"/>
  <c r="L26" i="481"/>
  <c r="K26" i="476"/>
  <c r="Y31" i="476"/>
  <c r="J31" i="480"/>
  <c r="Z14" i="481"/>
  <c r="K31" i="476"/>
  <c r="X22" i="476"/>
  <c r="Y14" i="476"/>
  <c r="J22" i="476"/>
  <c r="L14" i="481"/>
  <c r="K14" i="476"/>
  <c r="H24" i="27"/>
  <c r="X24" i="476"/>
  <c r="Z31" i="481"/>
  <c r="J7" i="476"/>
  <c r="L7" i="476" s="1"/>
  <c r="X7" i="476"/>
  <c r="Z39" i="481"/>
  <c r="Y37" i="476"/>
  <c r="K37" i="476"/>
  <c r="I37" i="27"/>
  <c r="J37" i="480"/>
  <c r="L37" i="481"/>
  <c r="N13" i="477"/>
  <c r="R72" i="477"/>
  <c r="N13" i="436"/>
  <c r="J62" i="525"/>
  <c r="J63" i="525" s="1"/>
  <c r="R30" i="481" s="1"/>
  <c r="N13" i="440"/>
  <c r="R13" i="440"/>
  <c r="N51" i="293"/>
  <c r="N67" i="293" s="1"/>
  <c r="N68" i="293" s="1"/>
  <c r="R14" i="559"/>
  <c r="L39" i="481"/>
  <c r="K39" i="476"/>
  <c r="Y39" i="476"/>
  <c r="I39" i="27"/>
  <c r="P13" i="525"/>
  <c r="J61" i="460"/>
  <c r="U34" i="481" s="1"/>
  <c r="N82" i="460"/>
  <c r="X14" i="476"/>
  <c r="H14" i="27"/>
  <c r="J14" i="27" s="1"/>
  <c r="H26" i="27"/>
  <c r="J14" i="476"/>
  <c r="M14" i="476" s="1"/>
  <c r="J26" i="476"/>
  <c r="X26" i="476"/>
  <c r="H30" i="27"/>
  <c r="X30" i="476"/>
  <c r="J30" i="476"/>
  <c r="R14" i="553"/>
  <c r="J58" i="432"/>
  <c r="J59" i="432" s="1"/>
  <c r="R13" i="432"/>
  <c r="J47" i="555"/>
  <c r="G38" i="480" s="1"/>
  <c r="N48" i="353"/>
  <c r="N65" i="353" s="1"/>
  <c r="R57" i="428"/>
  <c r="R58" i="428" s="1"/>
  <c r="R59" i="428" s="1"/>
  <c r="J58" i="428"/>
  <c r="R47" i="440"/>
  <c r="F118" i="509"/>
  <c r="R75" i="442"/>
  <c r="N14" i="553"/>
  <c r="R54" i="446"/>
  <c r="R55" i="446" s="1"/>
  <c r="J55" i="446"/>
  <c r="G33" i="480" s="1"/>
  <c r="N13" i="426"/>
  <c r="P14" i="460"/>
  <c r="J64" i="545"/>
  <c r="G23" i="480" s="1"/>
  <c r="R55" i="477"/>
  <c r="R91" i="535"/>
  <c r="N75" i="442"/>
  <c r="P85" i="557"/>
  <c r="R13" i="555"/>
  <c r="N49" i="553"/>
  <c r="N50" i="553" s="1"/>
  <c r="R85" i="557"/>
  <c r="R71" i="553"/>
  <c r="R14" i="460"/>
  <c r="R13" i="442"/>
  <c r="N82" i="559"/>
  <c r="N60" i="460"/>
  <c r="N61" i="460" s="1"/>
  <c r="R56" i="442"/>
  <c r="R47" i="555"/>
  <c r="R69" i="555" s="1"/>
  <c r="P13" i="555"/>
  <c r="P11" i="553"/>
  <c r="P14" i="553" s="1"/>
  <c r="R50" i="553"/>
  <c r="R51" i="553" s="1"/>
  <c r="R82" i="559"/>
  <c r="H63" i="508"/>
  <c r="N68" i="555"/>
  <c r="R90" i="547"/>
  <c r="R81" i="432"/>
  <c r="N83" i="525"/>
  <c r="P10" i="436"/>
  <c r="R14" i="430"/>
  <c r="N77" i="428"/>
  <c r="R88" i="539"/>
  <c r="P14" i="533"/>
  <c r="P65" i="426"/>
  <c r="P76" i="426" s="1"/>
  <c r="N13" i="432"/>
  <c r="J63" i="543"/>
  <c r="R77" i="430"/>
  <c r="N13" i="442"/>
  <c r="R68" i="535"/>
  <c r="R92" i="535" s="1"/>
  <c r="R94" i="535" s="1"/>
  <c r="P90" i="533"/>
  <c r="R76" i="426"/>
  <c r="N91" i="531"/>
  <c r="P13" i="428"/>
  <c r="R14" i="531"/>
  <c r="N14" i="545"/>
  <c r="N64" i="539"/>
  <c r="N65" i="539" s="1"/>
  <c r="R83" i="525"/>
  <c r="R66" i="541"/>
  <c r="P14" i="438"/>
  <c r="P13" i="426"/>
  <c r="N14" i="438"/>
  <c r="R68" i="531"/>
  <c r="R69" i="533"/>
  <c r="R70" i="533" s="1"/>
  <c r="N66" i="529"/>
  <c r="N67" i="529" s="1"/>
  <c r="N68" i="529" s="1"/>
  <c r="S26" i="481" s="1"/>
  <c r="R64" i="545"/>
  <c r="R77" i="428"/>
  <c r="R13" i="446"/>
  <c r="N13" i="428"/>
  <c r="N13" i="543"/>
  <c r="N90" i="533"/>
  <c r="R56" i="430"/>
  <c r="H86" i="508"/>
  <c r="H88" i="508" s="1"/>
  <c r="H65" i="508"/>
  <c r="P48" i="549"/>
  <c r="P49" i="549" s="1"/>
  <c r="P71" i="553"/>
  <c r="P61" i="557"/>
  <c r="P62" i="557" s="1"/>
  <c r="N14" i="523"/>
  <c r="N51" i="523" s="1"/>
  <c r="N68" i="523" s="1"/>
  <c r="J49" i="549"/>
  <c r="P82" i="436"/>
  <c r="G50" i="480"/>
  <c r="F141" i="509"/>
  <c r="K43" i="480"/>
  <c r="L43" i="480"/>
  <c r="N13" i="549"/>
  <c r="P10" i="549"/>
  <c r="P13" i="549" s="1"/>
  <c r="P46" i="555"/>
  <c r="P47" i="555" s="1"/>
  <c r="N14" i="551"/>
  <c r="J62" i="557"/>
  <c r="P14" i="559"/>
  <c r="N60" i="559"/>
  <c r="N61" i="559" s="1"/>
  <c r="L33" i="481"/>
  <c r="J33" i="480"/>
  <c r="Z33" i="481"/>
  <c r="Y33" i="476"/>
  <c r="I33" i="27"/>
  <c r="K33" i="476"/>
  <c r="J56" i="446"/>
  <c r="P13" i="432"/>
  <c r="L49" i="523"/>
  <c r="M43" i="481"/>
  <c r="O60" i="481"/>
  <c r="AA43" i="481"/>
  <c r="J36" i="480"/>
  <c r="L36" i="481"/>
  <c r="Z36" i="481"/>
  <c r="K36" i="476"/>
  <c r="Y36" i="476"/>
  <c r="I36" i="27"/>
  <c r="P54" i="446"/>
  <c r="P55" i="446" s="1"/>
  <c r="P13" i="446"/>
  <c r="L51" i="293"/>
  <c r="L53" i="293" s="1"/>
  <c r="P67" i="535"/>
  <c r="P68" i="535" s="1"/>
  <c r="N14" i="353"/>
  <c r="N50" i="353" s="1"/>
  <c r="N67" i="353" s="1"/>
  <c r="L50" i="353"/>
  <c r="P55" i="555"/>
  <c r="P68" i="555" s="1"/>
  <c r="N72" i="551"/>
  <c r="P81" i="432"/>
  <c r="G63" i="508"/>
  <c r="N55" i="442"/>
  <c r="N56" i="442" s="1"/>
  <c r="J38" i="476"/>
  <c r="X38" i="476"/>
  <c r="H38" i="27"/>
  <c r="P14" i="551"/>
  <c r="R62" i="557"/>
  <c r="P57" i="551"/>
  <c r="P72" i="551" s="1"/>
  <c r="N66" i="523"/>
  <c r="P66" i="440"/>
  <c r="N71" i="553"/>
  <c r="P82" i="559"/>
  <c r="G120" i="509"/>
  <c r="G143" i="509"/>
  <c r="N66" i="440"/>
  <c r="X36" i="476"/>
  <c r="J36" i="476"/>
  <c r="H36" i="27"/>
  <c r="R49" i="549"/>
  <c r="R69" i="549" s="1"/>
  <c r="R71" i="549" s="1"/>
  <c r="J56" i="442"/>
  <c r="J57" i="442" s="1"/>
  <c r="P13" i="440"/>
  <c r="P46" i="440"/>
  <c r="P47" i="440" s="1"/>
  <c r="R73" i="551"/>
  <c r="R61" i="559"/>
  <c r="R58" i="432"/>
  <c r="N46" i="440"/>
  <c r="N47" i="440" s="1"/>
  <c r="R66" i="440"/>
  <c r="R67" i="440" s="1"/>
  <c r="R14" i="551"/>
  <c r="P60" i="559"/>
  <c r="P61" i="559" s="1"/>
  <c r="P60" i="460"/>
  <c r="G65" i="508"/>
  <c r="D49" i="480" s="1"/>
  <c r="C97" i="508"/>
  <c r="N68" i="549"/>
  <c r="P68" i="549"/>
  <c r="P50" i="551"/>
  <c r="P51" i="551" s="1"/>
  <c r="J34" i="476"/>
  <c r="X34" i="476"/>
  <c r="H34" i="27"/>
  <c r="P82" i="460"/>
  <c r="R76" i="446"/>
  <c r="J47" i="440"/>
  <c r="J48" i="440" s="1"/>
  <c r="P49" i="553"/>
  <c r="P50" i="553" s="1"/>
  <c r="X37" i="476"/>
  <c r="H37" i="27"/>
  <c r="J37" i="476"/>
  <c r="P90" i="547"/>
  <c r="P55" i="442"/>
  <c r="P56" i="442" s="1"/>
  <c r="P75" i="442"/>
  <c r="N48" i="549"/>
  <c r="N49" i="549" s="1"/>
  <c r="N46" i="555"/>
  <c r="N47" i="555" s="1"/>
  <c r="N48" i="555" s="1"/>
  <c r="S38" i="481" s="1"/>
  <c r="N85" i="557"/>
  <c r="R61" i="460"/>
  <c r="Y18" i="476"/>
  <c r="I18" i="27"/>
  <c r="Z18" i="481"/>
  <c r="J18" i="480"/>
  <c r="L18" i="481"/>
  <c r="K18" i="476"/>
  <c r="N14" i="460"/>
  <c r="R82" i="460"/>
  <c r="G44" i="480"/>
  <c r="U44" i="481"/>
  <c r="L65" i="353"/>
  <c r="J38" i="480"/>
  <c r="Z38" i="481"/>
  <c r="Y38" i="476"/>
  <c r="L38" i="481"/>
  <c r="K38" i="476"/>
  <c r="I38" i="27"/>
  <c r="N50" i="551"/>
  <c r="N51" i="551" s="1"/>
  <c r="N61" i="557"/>
  <c r="N62" i="557" s="1"/>
  <c r="P57" i="432"/>
  <c r="P58" i="432" s="1"/>
  <c r="P68" i="533"/>
  <c r="P69" i="533" s="1"/>
  <c r="P62" i="543"/>
  <c r="P63" i="543" s="1"/>
  <c r="F120" i="509"/>
  <c r="D50" i="480" s="1"/>
  <c r="J50" i="553"/>
  <c r="J51" i="551"/>
  <c r="J61" i="559"/>
  <c r="N54" i="446"/>
  <c r="N55" i="446" s="1"/>
  <c r="P91" i="535"/>
  <c r="J32" i="476"/>
  <c r="X32" i="476"/>
  <c r="H32" i="27"/>
  <c r="N76" i="446"/>
  <c r="R91" i="531"/>
  <c r="J67" i="547"/>
  <c r="J68" i="547" s="1"/>
  <c r="J67" i="529"/>
  <c r="P13" i="539"/>
  <c r="J54" i="426"/>
  <c r="N52" i="426"/>
  <c r="N53" i="426" s="1"/>
  <c r="P71" i="371"/>
  <c r="R67" i="438"/>
  <c r="N81" i="432"/>
  <c r="N14" i="535"/>
  <c r="P66" i="547"/>
  <c r="P67" i="547" s="1"/>
  <c r="P14" i="541"/>
  <c r="R87" i="545"/>
  <c r="R13" i="539"/>
  <c r="N63" i="545"/>
  <c r="N64" i="545" s="1"/>
  <c r="R82" i="436"/>
  <c r="G11" i="480"/>
  <c r="U11" i="481"/>
  <c r="J77" i="426"/>
  <c r="J79" i="426" s="1"/>
  <c r="P13" i="477"/>
  <c r="J67" i="438"/>
  <c r="J68" i="438" s="1"/>
  <c r="J29" i="476"/>
  <c r="X29" i="476"/>
  <c r="H29" i="27"/>
  <c r="P14" i="535"/>
  <c r="N90" i="547"/>
  <c r="R13" i="436"/>
  <c r="R13" i="529"/>
  <c r="P48" i="529"/>
  <c r="P66" i="529" s="1"/>
  <c r="P67" i="529" s="1"/>
  <c r="R65" i="539"/>
  <c r="R89" i="539" s="1"/>
  <c r="N88" i="539"/>
  <c r="N60" i="436"/>
  <c r="N61" i="436" s="1"/>
  <c r="J61" i="436"/>
  <c r="N55" i="430"/>
  <c r="N56" i="430" s="1"/>
  <c r="R50" i="371"/>
  <c r="N91" i="535"/>
  <c r="J24" i="480"/>
  <c r="Z24" i="481"/>
  <c r="K24" i="476"/>
  <c r="Y24" i="476"/>
  <c r="L24" i="481"/>
  <c r="I24" i="27"/>
  <c r="J66" i="541"/>
  <c r="J67" i="541" s="1"/>
  <c r="X21" i="476"/>
  <c r="J21" i="476"/>
  <c r="H21" i="27"/>
  <c r="P55" i="430"/>
  <c r="P56" i="430" s="1"/>
  <c r="R63" i="543"/>
  <c r="P67" i="531"/>
  <c r="P68" i="531" s="1"/>
  <c r="R67" i="547"/>
  <c r="P60" i="436"/>
  <c r="P61" i="436" s="1"/>
  <c r="K12" i="476"/>
  <c r="J12" i="480"/>
  <c r="Z12" i="481"/>
  <c r="I12" i="27"/>
  <c r="Y12" i="476"/>
  <c r="L12" i="481"/>
  <c r="N57" i="428"/>
  <c r="N58" i="428" s="1"/>
  <c r="P66" i="438"/>
  <c r="P67" i="438" s="1"/>
  <c r="J28" i="476"/>
  <c r="H28" i="27"/>
  <c r="X28" i="476"/>
  <c r="R67" i="529"/>
  <c r="N65" i="541"/>
  <c r="N66" i="541" s="1"/>
  <c r="P14" i="545"/>
  <c r="P64" i="539"/>
  <c r="P65" i="539" s="1"/>
  <c r="N77" i="430"/>
  <c r="P13" i="371"/>
  <c r="P77" i="430"/>
  <c r="P14" i="430"/>
  <c r="N49" i="371"/>
  <c r="N50" i="371" s="1"/>
  <c r="G7" i="480"/>
  <c r="U7" i="481"/>
  <c r="J72" i="371"/>
  <c r="J74" i="371" s="1"/>
  <c r="Z32" i="481"/>
  <c r="Y32" i="476"/>
  <c r="J32" i="480"/>
  <c r="I32" i="27"/>
  <c r="L32" i="481"/>
  <c r="K32" i="476"/>
  <c r="G28" i="480"/>
  <c r="U28" i="481"/>
  <c r="J91" i="533"/>
  <c r="J70" i="533"/>
  <c r="N67" i="531"/>
  <c r="N68" i="531" s="1"/>
  <c r="R14" i="541"/>
  <c r="R14" i="545"/>
  <c r="N62" i="543"/>
  <c r="N63" i="543" s="1"/>
  <c r="P88" i="539"/>
  <c r="J65" i="539"/>
  <c r="J66" i="539" s="1"/>
  <c r="N13" i="539"/>
  <c r="X19" i="476"/>
  <c r="J19" i="476"/>
  <c r="H19" i="27"/>
  <c r="P13" i="436"/>
  <c r="P67" i="428"/>
  <c r="J51" i="371"/>
  <c r="X31" i="476"/>
  <c r="J31" i="476"/>
  <c r="H31" i="27"/>
  <c r="Z29" i="481"/>
  <c r="K29" i="476"/>
  <c r="Y29" i="476"/>
  <c r="J29" i="480"/>
  <c r="L29" i="481"/>
  <c r="I29" i="27"/>
  <c r="R90" i="533"/>
  <c r="P83" i="525"/>
  <c r="N66" i="547"/>
  <c r="N67" i="547" s="1"/>
  <c r="X20" i="476"/>
  <c r="H20" i="27"/>
  <c r="J20" i="476"/>
  <c r="P72" i="543"/>
  <c r="P86" i="543" s="1"/>
  <c r="R13" i="371"/>
  <c r="P75" i="531"/>
  <c r="P91" i="531" s="1"/>
  <c r="N68" i="533"/>
  <c r="N69" i="533" s="1"/>
  <c r="G22" i="480"/>
  <c r="U22" i="481"/>
  <c r="J87" i="543"/>
  <c r="J89" i="543" s="1"/>
  <c r="U12" i="481"/>
  <c r="G12" i="480"/>
  <c r="J59" i="428"/>
  <c r="J78" i="428"/>
  <c r="R13" i="426"/>
  <c r="P77" i="428"/>
  <c r="P49" i="371"/>
  <c r="P50" i="371" s="1"/>
  <c r="N66" i="438"/>
  <c r="N67" i="438" s="1"/>
  <c r="R90" i="529"/>
  <c r="N61" i="525"/>
  <c r="N62" i="525" s="1"/>
  <c r="N63" i="525" s="1"/>
  <c r="S30" i="481" s="1"/>
  <c r="R86" i="543"/>
  <c r="P13" i="543"/>
  <c r="K21" i="476"/>
  <c r="J21" i="480"/>
  <c r="L21" i="481"/>
  <c r="Z21" i="481"/>
  <c r="I21" i="27"/>
  <c r="Y21" i="476"/>
  <c r="N82" i="436"/>
  <c r="J55" i="477"/>
  <c r="N72" i="477"/>
  <c r="P61" i="477"/>
  <c r="P72" i="477" s="1"/>
  <c r="R90" i="438"/>
  <c r="G25" i="480"/>
  <c r="U25" i="481"/>
  <c r="J69" i="531"/>
  <c r="J92" i="531"/>
  <c r="U29" i="481"/>
  <c r="G29" i="480"/>
  <c r="J92" i="535"/>
  <c r="J94" i="535" s="1"/>
  <c r="R89" i="541"/>
  <c r="P78" i="545"/>
  <c r="P87" i="545" s="1"/>
  <c r="R71" i="371"/>
  <c r="R13" i="477"/>
  <c r="P90" i="438"/>
  <c r="J69" i="535"/>
  <c r="P13" i="547"/>
  <c r="R62" i="525"/>
  <c r="J64" i="543"/>
  <c r="P72" i="541"/>
  <c r="P89" i="541" s="1"/>
  <c r="N89" i="541"/>
  <c r="R61" i="436"/>
  <c r="R53" i="426"/>
  <c r="R77" i="426" s="1"/>
  <c r="P52" i="426"/>
  <c r="P53" i="426" s="1"/>
  <c r="H9" i="27"/>
  <c r="X9" i="476"/>
  <c r="J9" i="476"/>
  <c r="N54" i="477"/>
  <c r="N55" i="477" s="1"/>
  <c r="N56" i="477" s="1"/>
  <c r="S9" i="481" s="1"/>
  <c r="P76" i="446"/>
  <c r="N57" i="432"/>
  <c r="N58" i="432" s="1"/>
  <c r="N90" i="438"/>
  <c r="N67" i="535"/>
  <c r="N68" i="535" s="1"/>
  <c r="P90" i="529"/>
  <c r="P13" i="529"/>
  <c r="G19" i="480"/>
  <c r="U19" i="481"/>
  <c r="J57" i="430"/>
  <c r="J78" i="430"/>
  <c r="P57" i="428"/>
  <c r="P58" i="428" s="1"/>
  <c r="K9" i="476"/>
  <c r="Z9" i="481"/>
  <c r="Y9" i="476"/>
  <c r="J9" i="480"/>
  <c r="L9" i="481"/>
  <c r="I9" i="27"/>
  <c r="R64" i="543" l="1"/>
  <c r="N53" i="293"/>
  <c r="R76" i="442"/>
  <c r="R57" i="442"/>
  <c r="R78" i="442"/>
  <c r="R48" i="440"/>
  <c r="R69" i="440"/>
  <c r="R71" i="555"/>
  <c r="R48" i="555"/>
  <c r="R72" i="553"/>
  <c r="R74" i="553" s="1"/>
  <c r="N51" i="553"/>
  <c r="S37" i="481" s="1"/>
  <c r="R86" i="557"/>
  <c r="R88" i="557" s="1"/>
  <c r="R63" i="557"/>
  <c r="R83" i="559"/>
  <c r="R85" i="559" s="1"/>
  <c r="R62" i="559"/>
  <c r="J62" i="460"/>
  <c r="G34" i="480"/>
  <c r="J83" i="460"/>
  <c r="J85" i="460" s="1"/>
  <c r="R62" i="460"/>
  <c r="U33" i="481"/>
  <c r="J77" i="446"/>
  <c r="J79" i="446" s="1"/>
  <c r="R82" i="432"/>
  <c r="R84" i="432" s="1"/>
  <c r="R92" i="531"/>
  <c r="R69" i="531"/>
  <c r="R94" i="531"/>
  <c r="R69" i="535"/>
  <c r="R91" i="533"/>
  <c r="R93" i="533" s="1"/>
  <c r="R91" i="547"/>
  <c r="R93" i="547" s="1"/>
  <c r="U30" i="481"/>
  <c r="J84" i="525"/>
  <c r="R84" i="525"/>
  <c r="R86" i="525" s="1"/>
  <c r="G30" i="480"/>
  <c r="R90" i="541"/>
  <c r="U23" i="481"/>
  <c r="J65" i="545"/>
  <c r="J88" i="545"/>
  <c r="J90" i="545" s="1"/>
  <c r="R88" i="545"/>
  <c r="R90" i="545" s="1"/>
  <c r="R78" i="430"/>
  <c r="R80" i="430"/>
  <c r="R57" i="430"/>
  <c r="P59" i="428"/>
  <c r="R12" i="481" s="1"/>
  <c r="K11" i="27"/>
  <c r="M11" i="476"/>
  <c r="L11" i="476"/>
  <c r="N11" i="476"/>
  <c r="AA11" i="476"/>
  <c r="AB11" i="476"/>
  <c r="J13" i="27"/>
  <c r="N13" i="476"/>
  <c r="Z13" i="476"/>
  <c r="AB13" i="476"/>
  <c r="M13" i="476"/>
  <c r="L13" i="476"/>
  <c r="J7" i="27"/>
  <c r="R73" i="477"/>
  <c r="R75" i="477" s="1"/>
  <c r="AB7" i="476"/>
  <c r="AA7" i="476"/>
  <c r="N7" i="476"/>
  <c r="Z7" i="476"/>
  <c r="M7" i="476"/>
  <c r="Z14" i="476"/>
  <c r="L14" i="476"/>
  <c r="AA14" i="476"/>
  <c r="N14" i="476"/>
  <c r="AB14" i="476"/>
  <c r="D30" i="480"/>
  <c r="J69" i="555"/>
  <c r="J71" i="555" s="1"/>
  <c r="C38" i="481" s="1"/>
  <c r="U38" i="481"/>
  <c r="J48" i="555"/>
  <c r="Q30" i="481"/>
  <c r="K14" i="27"/>
  <c r="R83" i="436"/>
  <c r="R85" i="436" s="1"/>
  <c r="J82" i="432"/>
  <c r="J84" i="432" s="1"/>
  <c r="C32" i="481" s="1"/>
  <c r="G32" i="480"/>
  <c r="U32" i="481"/>
  <c r="R78" i="428"/>
  <c r="R80" i="428" s="1"/>
  <c r="V11" i="481"/>
  <c r="P77" i="426"/>
  <c r="P54" i="426"/>
  <c r="R11" i="481" s="1"/>
  <c r="V26" i="481"/>
  <c r="P91" i="529"/>
  <c r="H26" i="481" s="1"/>
  <c r="W20" i="481"/>
  <c r="N83" i="436"/>
  <c r="N62" i="436"/>
  <c r="S20" i="481" s="1"/>
  <c r="C33" i="481"/>
  <c r="C33" i="480"/>
  <c r="V38" i="481"/>
  <c r="P69" i="555"/>
  <c r="P48" i="555"/>
  <c r="R38" i="481" s="1"/>
  <c r="W22" i="481"/>
  <c r="N87" i="543"/>
  <c r="N64" i="543"/>
  <c r="S22" i="481" s="1"/>
  <c r="W12" i="481"/>
  <c r="N78" i="428"/>
  <c r="N59" i="428"/>
  <c r="S12" i="481" s="1"/>
  <c r="W28" i="481"/>
  <c r="N91" i="533"/>
  <c r="N70" i="533"/>
  <c r="S28" i="481" s="1"/>
  <c r="V21" i="481"/>
  <c r="P89" i="539"/>
  <c r="H21" i="481" s="1"/>
  <c r="V36" i="481"/>
  <c r="P86" i="557"/>
  <c r="P63" i="557"/>
  <c r="R36" i="481" s="1"/>
  <c r="Q21" i="481"/>
  <c r="D21" i="480"/>
  <c r="R21" i="481"/>
  <c r="W25" i="481"/>
  <c r="N92" i="531"/>
  <c r="N69" i="531"/>
  <c r="S25" i="481" s="1"/>
  <c r="W24" i="481"/>
  <c r="N90" i="541"/>
  <c r="N67" i="541"/>
  <c r="S24" i="481" s="1"/>
  <c r="W11" i="481"/>
  <c r="N77" i="426"/>
  <c r="N54" i="426"/>
  <c r="S11" i="481" s="1"/>
  <c r="W13" i="481"/>
  <c r="N67" i="440"/>
  <c r="N48" i="440"/>
  <c r="S13" i="481" s="1"/>
  <c r="V33" i="481"/>
  <c r="P77" i="446"/>
  <c r="H33" i="481" s="1"/>
  <c r="W31" i="481"/>
  <c r="N91" i="438"/>
  <c r="N68" i="438"/>
  <c r="S31" i="481" s="1"/>
  <c r="V35" i="481"/>
  <c r="P83" i="559"/>
  <c r="H35" i="481" s="1"/>
  <c r="W32" i="481"/>
  <c r="N82" i="432"/>
  <c r="N59" i="432"/>
  <c r="S32" i="481" s="1"/>
  <c r="V31" i="481"/>
  <c r="P91" i="438"/>
  <c r="P68" i="438"/>
  <c r="R31" i="481" s="1"/>
  <c r="W29" i="481"/>
  <c r="N92" i="535"/>
  <c r="I29" i="481" s="1"/>
  <c r="W27" i="481"/>
  <c r="N91" i="547"/>
  <c r="N68" i="547"/>
  <c r="S27" i="481" s="1"/>
  <c r="W39" i="481"/>
  <c r="N73" i="551"/>
  <c r="I39" i="481" s="1"/>
  <c r="C11" i="480"/>
  <c r="C11" i="481"/>
  <c r="V27" i="481"/>
  <c r="P91" i="547"/>
  <c r="H27" i="481" s="1"/>
  <c r="V7" i="481"/>
  <c r="P72" i="371"/>
  <c r="H7" i="481" s="1"/>
  <c r="W23" i="481"/>
  <c r="N88" i="545"/>
  <c r="N65" i="545"/>
  <c r="S23" i="481" s="1"/>
  <c r="W33" i="481"/>
  <c r="N77" i="446"/>
  <c r="N56" i="446"/>
  <c r="S33" i="481" s="1"/>
  <c r="V20" i="481"/>
  <c r="P83" i="436"/>
  <c r="H20" i="481" s="1"/>
  <c r="V19" i="481"/>
  <c r="P78" i="430"/>
  <c r="H19" i="481" s="1"/>
  <c r="W19" i="481"/>
  <c r="N78" i="430"/>
  <c r="N57" i="430"/>
  <c r="S19" i="481" s="1"/>
  <c r="V39" i="481"/>
  <c r="P73" i="551"/>
  <c r="H39" i="481" s="1"/>
  <c r="W7" i="481"/>
  <c r="N72" i="371"/>
  <c r="N51" i="371"/>
  <c r="S7" i="481" s="1"/>
  <c r="V25" i="481"/>
  <c r="P92" i="531"/>
  <c r="P69" i="531"/>
  <c r="R67" i="541"/>
  <c r="R92" i="541"/>
  <c r="G35" i="480"/>
  <c r="U35" i="481"/>
  <c r="J83" i="559"/>
  <c r="J62" i="559"/>
  <c r="N62" i="460"/>
  <c r="S34" i="481" s="1"/>
  <c r="F34" i="480"/>
  <c r="G34" i="481"/>
  <c r="P61" i="460"/>
  <c r="G49" i="480"/>
  <c r="G86" i="508"/>
  <c r="G22" i="481"/>
  <c r="F22" i="480"/>
  <c r="U24" i="481"/>
  <c r="G24" i="480"/>
  <c r="J90" i="541"/>
  <c r="D23" i="480"/>
  <c r="Q23" i="481"/>
  <c r="R23" i="481"/>
  <c r="P69" i="535"/>
  <c r="U31" i="481"/>
  <c r="G31" i="480"/>
  <c r="J91" i="438"/>
  <c r="D13" i="480"/>
  <c r="Q13" i="481"/>
  <c r="E98" i="508"/>
  <c r="E97" i="508"/>
  <c r="E96" i="508"/>
  <c r="E95" i="508"/>
  <c r="E99" i="508"/>
  <c r="R52" i="551"/>
  <c r="R75" i="551"/>
  <c r="Q33" i="481"/>
  <c r="D33" i="480"/>
  <c r="D22" i="480"/>
  <c r="Q22" i="481"/>
  <c r="R22" i="481"/>
  <c r="G9" i="480"/>
  <c r="U9" i="481"/>
  <c r="J56" i="477"/>
  <c r="J73" i="477"/>
  <c r="R51" i="371"/>
  <c r="V18" i="481"/>
  <c r="P76" i="442"/>
  <c r="P63" i="545"/>
  <c r="P64" i="545" s="1"/>
  <c r="R63" i="525"/>
  <c r="C22" i="480"/>
  <c r="C22" i="481"/>
  <c r="P62" i="436"/>
  <c r="F30" i="480"/>
  <c r="G30" i="481"/>
  <c r="J86" i="525"/>
  <c r="W14" i="481"/>
  <c r="N69" i="549"/>
  <c r="I14" i="481" s="1"/>
  <c r="P51" i="553"/>
  <c r="R37" i="481" s="1"/>
  <c r="Q44" i="481"/>
  <c r="D44" i="480"/>
  <c r="L67" i="353"/>
  <c r="W35" i="481"/>
  <c r="N83" i="559"/>
  <c r="U36" i="481"/>
  <c r="G36" i="480"/>
  <c r="J63" i="557"/>
  <c r="J86" i="557"/>
  <c r="P54" i="477"/>
  <c r="P55" i="477" s="1"/>
  <c r="V32" i="481"/>
  <c r="P82" i="432"/>
  <c r="H32" i="481" s="1"/>
  <c r="D24" i="480"/>
  <c r="R24" i="481"/>
  <c r="Q24" i="481"/>
  <c r="R91" i="438"/>
  <c r="R93" i="438" s="1"/>
  <c r="W38" i="481"/>
  <c r="N69" i="555"/>
  <c r="D43" i="480"/>
  <c r="Q43" i="481"/>
  <c r="R59" i="432"/>
  <c r="G45" i="480"/>
  <c r="U45" i="481"/>
  <c r="L66" i="523"/>
  <c r="N52" i="551"/>
  <c r="S39" i="481" s="1"/>
  <c r="P50" i="549"/>
  <c r="R14" i="481" s="1"/>
  <c r="L51" i="523"/>
  <c r="W26" i="481"/>
  <c r="N91" i="529"/>
  <c r="G29" i="481"/>
  <c r="F29" i="480"/>
  <c r="W30" i="481"/>
  <c r="N84" i="525"/>
  <c r="U21" i="481"/>
  <c r="G21" i="480"/>
  <c r="J89" i="539"/>
  <c r="R87" i="543"/>
  <c r="R89" i="543" s="1"/>
  <c r="D11" i="480"/>
  <c r="Q11" i="481"/>
  <c r="V13" i="481"/>
  <c r="P67" i="440"/>
  <c r="H13" i="481" s="1"/>
  <c r="R56" i="446"/>
  <c r="R77" i="446"/>
  <c r="R79" i="446" s="1"/>
  <c r="N50" i="549"/>
  <c r="S14" i="481" s="1"/>
  <c r="P61" i="525"/>
  <c r="P62" i="525" s="1"/>
  <c r="R65" i="545"/>
  <c r="R91" i="529"/>
  <c r="R93" i="529" s="1"/>
  <c r="G26" i="480"/>
  <c r="U26" i="481"/>
  <c r="J91" i="529"/>
  <c r="J68" i="529"/>
  <c r="G27" i="480"/>
  <c r="U27" i="481"/>
  <c r="J91" i="547"/>
  <c r="V28" i="481"/>
  <c r="P91" i="533"/>
  <c r="W36" i="481"/>
  <c r="N86" i="557"/>
  <c r="D18" i="480"/>
  <c r="Q18" i="481"/>
  <c r="R83" i="460"/>
  <c r="R85" i="460" s="1"/>
  <c r="P70" i="533"/>
  <c r="G38" i="481"/>
  <c r="P56" i="446"/>
  <c r="R33" i="481" s="1"/>
  <c r="R50" i="549"/>
  <c r="C29" i="481"/>
  <c r="C29" i="480"/>
  <c r="C7" i="480"/>
  <c r="C7" i="481"/>
  <c r="G11" i="481"/>
  <c r="F11" i="480"/>
  <c r="U39" i="481"/>
  <c r="G39" i="480"/>
  <c r="J73" i="551"/>
  <c r="G19" i="481"/>
  <c r="F19" i="480"/>
  <c r="J80" i="430"/>
  <c r="R29" i="481"/>
  <c r="D29" i="480"/>
  <c r="Q29" i="481"/>
  <c r="G25" i="481"/>
  <c r="F25" i="480"/>
  <c r="J94" i="531"/>
  <c r="Q7" i="481"/>
  <c r="D7" i="480"/>
  <c r="G7" i="481"/>
  <c r="F7" i="480"/>
  <c r="G37" i="480"/>
  <c r="U37" i="481"/>
  <c r="J72" i="553"/>
  <c r="J51" i="553"/>
  <c r="N63" i="557"/>
  <c r="S36" i="481" s="1"/>
  <c r="U18" i="481"/>
  <c r="G18" i="480"/>
  <c r="J76" i="442"/>
  <c r="P57" i="442"/>
  <c r="R18" i="481" s="1"/>
  <c r="V14" i="481"/>
  <c r="P69" i="549"/>
  <c r="H14" i="481" s="1"/>
  <c r="D19" i="480"/>
  <c r="Q19" i="481"/>
  <c r="Q25" i="481"/>
  <c r="D25" i="480"/>
  <c r="R25" i="481"/>
  <c r="W18" i="481"/>
  <c r="N76" i="442"/>
  <c r="N57" i="442"/>
  <c r="S18" i="481" s="1"/>
  <c r="P52" i="551"/>
  <c r="R39" i="481" s="1"/>
  <c r="P75" i="551"/>
  <c r="D39" i="481" s="1"/>
  <c r="G43" i="480"/>
  <c r="U43" i="481"/>
  <c r="L67" i="293"/>
  <c r="P62" i="559"/>
  <c r="R35" i="481" s="1"/>
  <c r="P68" i="547"/>
  <c r="R68" i="529"/>
  <c r="G44" i="481"/>
  <c r="F44" i="480"/>
  <c r="C34" i="481"/>
  <c r="C34" i="480"/>
  <c r="D38" i="480"/>
  <c r="Q38" i="481"/>
  <c r="W9" i="481"/>
  <c r="N73" i="477"/>
  <c r="W21" i="481"/>
  <c r="N89" i="539"/>
  <c r="I21" i="481" s="1"/>
  <c r="D34" i="480"/>
  <c r="Q34" i="481"/>
  <c r="V37" i="481"/>
  <c r="P72" i="553"/>
  <c r="H37" i="481" s="1"/>
  <c r="D32" i="480"/>
  <c r="Q32" i="481"/>
  <c r="D31" i="480"/>
  <c r="Q31" i="481"/>
  <c r="P64" i="543"/>
  <c r="P51" i="371"/>
  <c r="R7" i="481" s="1"/>
  <c r="W34" i="481"/>
  <c r="N83" i="460"/>
  <c r="I34" i="481" s="1"/>
  <c r="J52" i="551"/>
  <c r="R68" i="438"/>
  <c r="W37" i="481"/>
  <c r="N72" i="553"/>
  <c r="P68" i="529"/>
  <c r="F12" i="480"/>
  <c r="G12" i="481"/>
  <c r="J80" i="428"/>
  <c r="P57" i="430"/>
  <c r="R19" i="481" s="1"/>
  <c r="V22" i="481"/>
  <c r="P87" i="543"/>
  <c r="H22" i="481" s="1"/>
  <c r="R62" i="436"/>
  <c r="R66" i="539"/>
  <c r="R91" i="539"/>
  <c r="R27" i="481"/>
  <c r="D27" i="480"/>
  <c r="Q27" i="481"/>
  <c r="P66" i="539"/>
  <c r="P91" i="539"/>
  <c r="D21" i="481" s="1"/>
  <c r="R68" i="547"/>
  <c r="G14" i="480"/>
  <c r="U14" i="481"/>
  <c r="J69" i="549"/>
  <c r="J50" i="549"/>
  <c r="R56" i="477"/>
  <c r="V12" i="481"/>
  <c r="P78" i="428"/>
  <c r="Q12" i="481"/>
  <c r="D12" i="480"/>
  <c r="D28" i="480"/>
  <c r="R28" i="481"/>
  <c r="Q28" i="481"/>
  <c r="P65" i="541"/>
  <c r="P66" i="541" s="1"/>
  <c r="G20" i="480"/>
  <c r="U20" i="481"/>
  <c r="J83" i="436"/>
  <c r="J62" i="436"/>
  <c r="P48" i="440"/>
  <c r="R13" i="481" s="1"/>
  <c r="V29" i="481"/>
  <c r="P92" i="535"/>
  <c r="H29" i="481" s="1"/>
  <c r="P59" i="432"/>
  <c r="R32" i="481" s="1"/>
  <c r="R54" i="426"/>
  <c r="R79" i="426"/>
  <c r="N66" i="539"/>
  <c r="S21" i="481" s="1"/>
  <c r="G28" i="481"/>
  <c r="F28" i="480"/>
  <c r="J93" i="533"/>
  <c r="R72" i="371"/>
  <c r="R74" i="371" s="1"/>
  <c r="N69" i="535"/>
  <c r="S29" i="481" s="1"/>
  <c r="N94" i="535"/>
  <c r="E29" i="481" s="1"/>
  <c r="G13" i="480"/>
  <c r="U13" i="481"/>
  <c r="J67" i="440"/>
  <c r="F33" i="480"/>
  <c r="G33" i="481"/>
  <c r="F50" i="480"/>
  <c r="F143" i="509"/>
  <c r="C50" i="480" s="1"/>
  <c r="N62" i="559"/>
  <c r="S35" i="481" s="1"/>
  <c r="N71" i="549" l="1"/>
  <c r="E14" i="481" s="1"/>
  <c r="P69" i="440"/>
  <c r="D13" i="481" s="1"/>
  <c r="C38" i="480"/>
  <c r="F38" i="480"/>
  <c r="N75" i="551"/>
  <c r="E39" i="481" s="1"/>
  <c r="P79" i="446"/>
  <c r="D33" i="481" s="1"/>
  <c r="F32" i="480"/>
  <c r="G32" i="481"/>
  <c r="P93" i="529"/>
  <c r="D26" i="481" s="1"/>
  <c r="F23" i="480"/>
  <c r="G23" i="481"/>
  <c r="P74" i="371"/>
  <c r="D7" i="481" s="1"/>
  <c r="P85" i="559"/>
  <c r="D35" i="481" s="1"/>
  <c r="C32" i="480"/>
  <c r="P85" i="436"/>
  <c r="D20" i="481" s="1"/>
  <c r="N91" i="539"/>
  <c r="E21" i="481" s="1"/>
  <c r="P84" i="432"/>
  <c r="D32" i="481" s="1"/>
  <c r="P80" i="430"/>
  <c r="D19" i="481" s="1"/>
  <c r="P93" i="547"/>
  <c r="D27" i="481" s="1"/>
  <c r="V23" i="481"/>
  <c r="P88" i="545"/>
  <c r="P65" i="545"/>
  <c r="V9" i="481"/>
  <c r="P73" i="477"/>
  <c r="P56" i="477"/>
  <c r="R9" i="481" s="1"/>
  <c r="V30" i="481"/>
  <c r="P84" i="525"/>
  <c r="P63" i="525"/>
  <c r="I37" i="481"/>
  <c r="N74" i="553"/>
  <c r="E37" i="481" s="1"/>
  <c r="I18" i="481"/>
  <c r="N78" i="442"/>
  <c r="E18" i="481" s="1"/>
  <c r="I33" i="481"/>
  <c r="N79" i="446"/>
  <c r="E33" i="481" s="1"/>
  <c r="H38" i="481"/>
  <c r="P71" i="555"/>
  <c r="D38" i="481" s="1"/>
  <c r="C19" i="481"/>
  <c r="C19" i="480"/>
  <c r="F21" i="480"/>
  <c r="G21" i="481"/>
  <c r="J91" i="539"/>
  <c r="C23" i="481"/>
  <c r="C23" i="480"/>
  <c r="P94" i="535"/>
  <c r="D29" i="481" s="1"/>
  <c r="F49" i="480"/>
  <c r="G88" i="508"/>
  <c r="C49" i="480" s="1"/>
  <c r="H31" i="481"/>
  <c r="P93" i="438"/>
  <c r="D31" i="481" s="1"/>
  <c r="Q45" i="481"/>
  <c r="D45" i="480"/>
  <c r="L68" i="523"/>
  <c r="V34" i="481"/>
  <c r="P83" i="460"/>
  <c r="P62" i="460"/>
  <c r="R34" i="481" s="1"/>
  <c r="N85" i="460"/>
  <c r="E34" i="481" s="1"/>
  <c r="H36" i="481"/>
  <c r="P88" i="557"/>
  <c r="D36" i="481" s="1"/>
  <c r="I26" i="481"/>
  <c r="N93" i="529"/>
  <c r="E26" i="481" s="1"/>
  <c r="I35" i="481"/>
  <c r="N85" i="559"/>
  <c r="E35" i="481" s="1"/>
  <c r="G9" i="481"/>
  <c r="F9" i="480"/>
  <c r="J75" i="477"/>
  <c r="I19" i="481"/>
  <c r="N80" i="430"/>
  <c r="E19" i="481" s="1"/>
  <c r="I30" i="481"/>
  <c r="N86" i="525"/>
  <c r="E30" i="481" s="1"/>
  <c r="G45" i="481"/>
  <c r="F45" i="480"/>
  <c r="I38" i="481"/>
  <c r="N71" i="555"/>
  <c r="E38" i="481" s="1"/>
  <c r="D9" i="480"/>
  <c r="Q9" i="481"/>
  <c r="H25" i="481"/>
  <c r="P94" i="531"/>
  <c r="D25" i="481" s="1"/>
  <c r="I25" i="481"/>
  <c r="N94" i="531"/>
  <c r="E25" i="481" s="1"/>
  <c r="G39" i="481"/>
  <c r="F39" i="480"/>
  <c r="J75" i="551"/>
  <c r="C12" i="481"/>
  <c r="C12" i="480"/>
  <c r="G43" i="481"/>
  <c r="F43" i="480"/>
  <c r="L68" i="293"/>
  <c r="I12" i="481"/>
  <c r="N80" i="428"/>
  <c r="E12" i="481" s="1"/>
  <c r="V24" i="481"/>
  <c r="P90" i="541"/>
  <c r="H12" i="481"/>
  <c r="P80" i="428"/>
  <c r="D12" i="481" s="1"/>
  <c r="P89" i="543"/>
  <c r="D22" i="481" s="1"/>
  <c r="C25" i="481"/>
  <c r="C25" i="480"/>
  <c r="P74" i="553"/>
  <c r="D37" i="481" s="1"/>
  <c r="I13" i="481"/>
  <c r="N69" i="440"/>
  <c r="E13" i="481" s="1"/>
  <c r="G13" i="481"/>
  <c r="F13" i="480"/>
  <c r="J69" i="440"/>
  <c r="C30" i="480"/>
  <c r="C30" i="481"/>
  <c r="I7" i="481"/>
  <c r="N74" i="371"/>
  <c r="E7" i="481" s="1"/>
  <c r="I20" i="481"/>
  <c r="N85" i="436"/>
  <c r="E20" i="481" s="1"/>
  <c r="Q39" i="481"/>
  <c r="D39" i="480"/>
  <c r="I36" i="481"/>
  <c r="N88" i="557"/>
  <c r="E36" i="481" s="1"/>
  <c r="G27" i="481"/>
  <c r="F27" i="480"/>
  <c r="J93" i="547"/>
  <c r="F24" i="480"/>
  <c r="G24" i="481"/>
  <c r="J92" i="541"/>
  <c r="I22" i="481"/>
  <c r="N89" i="543"/>
  <c r="E22" i="481" s="1"/>
  <c r="P67" i="541"/>
  <c r="D37" i="480"/>
  <c r="Q37" i="481"/>
  <c r="I31" i="481"/>
  <c r="N93" i="438"/>
  <c r="E31" i="481" s="1"/>
  <c r="I11" i="481"/>
  <c r="N79" i="426"/>
  <c r="E11" i="481" s="1"/>
  <c r="I9" i="481"/>
  <c r="N75" i="477"/>
  <c r="E9" i="481" s="1"/>
  <c r="G37" i="481"/>
  <c r="F37" i="480"/>
  <c r="J74" i="553"/>
  <c r="F36" i="480"/>
  <c r="G36" i="481"/>
  <c r="J88" i="557"/>
  <c r="I23" i="481"/>
  <c r="N90" i="545"/>
  <c r="E23" i="481" s="1"/>
  <c r="D14" i="480"/>
  <c r="Q14" i="481"/>
  <c r="H28" i="481"/>
  <c r="P93" i="533"/>
  <c r="D28" i="481" s="1"/>
  <c r="P71" i="549"/>
  <c r="D14" i="481" s="1"/>
  <c r="Q36" i="481"/>
  <c r="D36" i="480"/>
  <c r="C44" i="481"/>
  <c r="C44" i="480"/>
  <c r="H18" i="481"/>
  <c r="P78" i="442"/>
  <c r="D18" i="481" s="1"/>
  <c r="C28" i="480"/>
  <c r="C28" i="481"/>
  <c r="G14" i="481"/>
  <c r="F14" i="480"/>
  <c r="J71" i="549"/>
  <c r="Q26" i="481"/>
  <c r="D26" i="480"/>
  <c r="R26" i="481"/>
  <c r="F31" i="480"/>
  <c r="G31" i="481"/>
  <c r="J93" i="438"/>
  <c r="I27" i="481"/>
  <c r="N93" i="547"/>
  <c r="E27" i="481" s="1"/>
  <c r="I32" i="481"/>
  <c r="N84" i="432"/>
  <c r="E32" i="481" s="1"/>
  <c r="I24" i="481"/>
  <c r="N92" i="541"/>
  <c r="E24" i="481" s="1"/>
  <c r="I28" i="481"/>
  <c r="N93" i="533"/>
  <c r="E28" i="481" s="1"/>
  <c r="F26" i="480"/>
  <c r="G26" i="481"/>
  <c r="J93" i="529"/>
  <c r="D35" i="480"/>
  <c r="Q35" i="481"/>
  <c r="H11" i="481"/>
  <c r="P79" i="426"/>
  <c r="D11" i="481" s="1"/>
  <c r="Q20" i="481"/>
  <c r="D20" i="480"/>
  <c r="R20" i="481"/>
  <c r="G20" i="481"/>
  <c r="F20" i="480"/>
  <c r="J85" i="436"/>
  <c r="G18" i="481"/>
  <c r="F18" i="480"/>
  <c r="J78" i="442"/>
  <c r="F35" i="480"/>
  <c r="G35" i="481"/>
  <c r="J85" i="559"/>
  <c r="C26" i="480" l="1"/>
  <c r="C26" i="481"/>
  <c r="K81" i="293"/>
  <c r="C9" i="481"/>
  <c r="C9" i="480"/>
  <c r="C18" i="481"/>
  <c r="C18" i="480"/>
  <c r="C43" i="481"/>
  <c r="C43" i="480"/>
  <c r="C31" i="480"/>
  <c r="C31" i="481"/>
  <c r="C14" i="480"/>
  <c r="C14" i="481"/>
  <c r="H9" i="481"/>
  <c r="P75" i="477"/>
  <c r="D9" i="481" s="1"/>
  <c r="H23" i="481"/>
  <c r="P90" i="545"/>
  <c r="D23" i="481" s="1"/>
  <c r="H34" i="481"/>
  <c r="P85" i="460"/>
  <c r="D34" i="481" s="1"/>
  <c r="C35" i="480"/>
  <c r="C35" i="481"/>
  <c r="C37" i="481"/>
  <c r="C37" i="480"/>
  <c r="C20" i="481"/>
  <c r="C20" i="480"/>
  <c r="C13" i="480"/>
  <c r="C13" i="481"/>
  <c r="C21" i="480"/>
  <c r="C21" i="481"/>
  <c r="C24" i="481"/>
  <c r="C24" i="480"/>
  <c r="C27" i="481"/>
  <c r="C27" i="480"/>
  <c r="H24" i="481"/>
  <c r="P92" i="541"/>
  <c r="D24" i="481" s="1"/>
  <c r="C39" i="480"/>
  <c r="C39" i="481"/>
  <c r="J45" i="476"/>
  <c r="X45" i="476"/>
  <c r="H45" i="27"/>
  <c r="C36" i="481"/>
  <c r="C36" i="480"/>
  <c r="C45" i="480"/>
  <c r="C45" i="481"/>
  <c r="H30" i="481"/>
  <c r="P86" i="525"/>
  <c r="D30" i="481" s="1"/>
  <c r="X44" i="476" l="1"/>
  <c r="J44" i="476"/>
  <c r="H44" i="27"/>
  <c r="X43" i="476"/>
  <c r="J43" i="476"/>
  <c r="H43" i="27"/>
  <c r="R10" i="476" l="1"/>
  <c r="U10" i="476"/>
  <c r="AA10" i="476" s="1"/>
  <c r="T10" i="476"/>
  <c r="Z10" i="476" s="1"/>
  <c r="P10" i="476"/>
  <c r="F10" i="27"/>
  <c r="K10" i="27" s="1"/>
  <c r="U36" i="476"/>
  <c r="AA36" i="476" s="1"/>
  <c r="T32" i="476"/>
  <c r="Z32" i="476" s="1"/>
  <c r="R12" i="476"/>
  <c r="T14" i="476"/>
  <c r="F37" i="27"/>
  <c r="K37" i="27" s="1"/>
  <c r="R37" i="476"/>
  <c r="C26" i="27"/>
  <c r="T7" i="476"/>
  <c r="V26" i="476"/>
  <c r="AB26" i="476" s="1"/>
  <c r="R26" i="476"/>
  <c r="V10" i="476" l="1"/>
  <c r="AB10" i="476" s="1"/>
  <c r="H10" i="476"/>
  <c r="N10" i="476" s="1"/>
  <c r="Q10" i="476"/>
  <c r="C10" i="27"/>
  <c r="B10" i="27"/>
  <c r="E10" i="27"/>
  <c r="J10" i="27" s="1"/>
  <c r="F10" i="476"/>
  <c r="L10" i="476" s="1"/>
  <c r="P36" i="476"/>
  <c r="F32" i="27"/>
  <c r="K32" i="27" s="1"/>
  <c r="E32" i="27"/>
  <c r="J32" i="27" s="1"/>
  <c r="V27" i="476"/>
  <c r="AB27" i="476" s="1"/>
  <c r="C32" i="27"/>
  <c r="H26" i="476"/>
  <c r="N26" i="476" s="1"/>
  <c r="C12" i="27"/>
  <c r="F12" i="27"/>
  <c r="K12" i="27" s="1"/>
  <c r="V12" i="476"/>
  <c r="AB12" i="476" s="1"/>
  <c r="D12" i="476"/>
  <c r="T12" i="476"/>
  <c r="Z12" i="476" s="1"/>
  <c r="E12" i="27"/>
  <c r="J12" i="27" s="1"/>
  <c r="P33" i="476"/>
  <c r="F33" i="27"/>
  <c r="K33" i="27" s="1"/>
  <c r="V7" i="476"/>
  <c r="V33" i="476"/>
  <c r="AB33" i="476" s="1"/>
  <c r="T33" i="476"/>
  <c r="Z33" i="476" s="1"/>
  <c r="U14" i="476"/>
  <c r="C27" i="27"/>
  <c r="F11" i="476"/>
  <c r="H14" i="476"/>
  <c r="R18" i="476"/>
  <c r="F27" i="27"/>
  <c r="K27" i="27" s="1"/>
  <c r="T27" i="476"/>
  <c r="Z27" i="476" s="1"/>
  <c r="U27" i="476"/>
  <c r="AA27" i="476" s="1"/>
  <c r="V14" i="476"/>
  <c r="V13" i="476"/>
  <c r="V19" i="476"/>
  <c r="AB19" i="476" s="1"/>
  <c r="F11" i="27"/>
  <c r="E31" i="27"/>
  <c r="J31" i="27" s="1"/>
  <c r="V37" i="476"/>
  <c r="AB37" i="476" s="1"/>
  <c r="T11" i="476"/>
  <c r="F31" i="27"/>
  <c r="K31" i="27" s="1"/>
  <c r="T31" i="476"/>
  <c r="Z31" i="476" s="1"/>
  <c r="P11" i="476"/>
  <c r="C31" i="27"/>
  <c r="C14" i="27"/>
  <c r="E14" i="27"/>
  <c r="F14" i="27"/>
  <c r="Q36" i="476"/>
  <c r="Q37" i="476"/>
  <c r="H37" i="476"/>
  <c r="N37" i="476" s="1"/>
  <c r="P37" i="476"/>
  <c r="T37" i="476"/>
  <c r="Z37" i="476" s="1"/>
  <c r="R14" i="476"/>
  <c r="V22" i="476"/>
  <c r="AB22" i="476" s="1"/>
  <c r="T26" i="476"/>
  <c r="Z26" i="476" s="1"/>
  <c r="F26" i="27"/>
  <c r="K26" i="27" s="1"/>
  <c r="F29" i="27"/>
  <c r="K29" i="27" s="1"/>
  <c r="V39" i="476"/>
  <c r="AB39" i="476" s="1"/>
  <c r="R23" i="476"/>
  <c r="H32" i="476"/>
  <c r="N32" i="476" s="1"/>
  <c r="V32" i="476"/>
  <c r="AB32" i="476" s="1"/>
  <c r="F7" i="27"/>
  <c r="P26" i="476"/>
  <c r="R32" i="476"/>
  <c r="P7" i="476"/>
  <c r="V29" i="476"/>
  <c r="AB29" i="476" s="1"/>
  <c r="U32" i="476"/>
  <c r="AA32" i="476" s="1"/>
  <c r="Q32" i="476"/>
  <c r="F24" i="27"/>
  <c r="K24" i="27" s="1"/>
  <c r="T24" i="476"/>
  <c r="Z24" i="476" s="1"/>
  <c r="U26" i="476"/>
  <c r="AA26" i="476" s="1"/>
  <c r="Q26" i="476"/>
  <c r="T28" i="476"/>
  <c r="Z28" i="476" s="1"/>
  <c r="F28" i="27"/>
  <c r="K28" i="27" s="1"/>
  <c r="U31" i="476"/>
  <c r="AA31" i="476" s="1"/>
  <c r="Q31" i="476"/>
  <c r="T9" i="476"/>
  <c r="Z9" i="476" s="1"/>
  <c r="F9" i="27"/>
  <c r="K9" i="27" s="1"/>
  <c r="T38" i="476"/>
  <c r="Z38" i="476" s="1"/>
  <c r="F38" i="27"/>
  <c r="K38" i="27" s="1"/>
  <c r="V11" i="476"/>
  <c r="R11" i="476"/>
  <c r="V9" i="476"/>
  <c r="AB9" i="476" s="1"/>
  <c r="R9" i="476"/>
  <c r="T30" i="476"/>
  <c r="Z30" i="476" s="1"/>
  <c r="F30" i="27"/>
  <c r="K30" i="27" s="1"/>
  <c r="V30" i="476"/>
  <c r="AB30" i="476" s="1"/>
  <c r="R30" i="476"/>
  <c r="V36" i="476"/>
  <c r="AB36" i="476" s="1"/>
  <c r="R36" i="476"/>
  <c r="F19" i="27"/>
  <c r="K19" i="27" s="1"/>
  <c r="T19" i="476"/>
  <c r="Z19" i="476" s="1"/>
  <c r="U7" i="476"/>
  <c r="Q7" i="476"/>
  <c r="V31" i="476"/>
  <c r="AB31" i="476" s="1"/>
  <c r="R31" i="476"/>
  <c r="V21" i="476"/>
  <c r="AB21" i="476" s="1"/>
  <c r="R21" i="476"/>
  <c r="V28" i="476"/>
  <c r="AB28" i="476" s="1"/>
  <c r="R28" i="476"/>
  <c r="F25" i="27"/>
  <c r="K25" i="27" s="1"/>
  <c r="T25" i="476"/>
  <c r="Z25" i="476" s="1"/>
  <c r="T35" i="476"/>
  <c r="Z35" i="476" s="1"/>
  <c r="F35" i="27"/>
  <c r="K35" i="27" s="1"/>
  <c r="T23" i="476"/>
  <c r="Z23" i="476" s="1"/>
  <c r="F23" i="27"/>
  <c r="K23" i="27" s="1"/>
  <c r="V25" i="476"/>
  <c r="AB25" i="476" s="1"/>
  <c r="R25" i="476"/>
  <c r="V35" i="476"/>
  <c r="AB35" i="476" s="1"/>
  <c r="R35" i="476"/>
  <c r="U11" i="476"/>
  <c r="Q11" i="476"/>
  <c r="C36" i="27" l="1"/>
  <c r="F36" i="27"/>
  <c r="K36" i="27" s="1"/>
  <c r="T36" i="476"/>
  <c r="Z36" i="476" s="1"/>
  <c r="D10" i="476"/>
  <c r="C10" i="476"/>
  <c r="G10" i="476"/>
  <c r="M10" i="476" s="1"/>
  <c r="B10" i="476"/>
  <c r="F32" i="476"/>
  <c r="L32" i="476" s="1"/>
  <c r="R27" i="476"/>
  <c r="B32" i="476"/>
  <c r="T8" i="476"/>
  <c r="F8" i="27"/>
  <c r="R8" i="476"/>
  <c r="V8" i="476"/>
  <c r="U8" i="476"/>
  <c r="Q8" i="476"/>
  <c r="H27" i="476"/>
  <c r="N27" i="476" s="1"/>
  <c r="U12" i="476"/>
  <c r="AA12" i="476" s="1"/>
  <c r="Q12" i="476"/>
  <c r="P32" i="476"/>
  <c r="H24" i="476"/>
  <c r="N24" i="476" s="1"/>
  <c r="P12" i="476"/>
  <c r="H12" i="476"/>
  <c r="N12" i="476" s="1"/>
  <c r="D26" i="476"/>
  <c r="E11" i="27"/>
  <c r="B11" i="27"/>
  <c r="P27" i="476"/>
  <c r="B12" i="476"/>
  <c r="F12" i="476"/>
  <c r="L12" i="476" s="1"/>
  <c r="U33" i="476"/>
  <c r="AA33" i="476" s="1"/>
  <c r="F33" i="476"/>
  <c r="L33" i="476" s="1"/>
  <c r="C33" i="27"/>
  <c r="R33" i="476"/>
  <c r="D33" i="476"/>
  <c r="V18" i="476"/>
  <c r="AB18" i="476" s="1"/>
  <c r="Q33" i="476"/>
  <c r="R7" i="476"/>
  <c r="H7" i="476"/>
  <c r="E27" i="27"/>
  <c r="J27" i="27" s="1"/>
  <c r="F27" i="476"/>
  <c r="L27" i="476" s="1"/>
  <c r="B27" i="476"/>
  <c r="C14" i="476"/>
  <c r="E33" i="27"/>
  <c r="J33" i="27" s="1"/>
  <c r="B33" i="476"/>
  <c r="P14" i="476"/>
  <c r="H18" i="476"/>
  <c r="N18" i="476" s="1"/>
  <c r="Q14" i="476"/>
  <c r="D14" i="476"/>
  <c r="F39" i="476"/>
  <c r="L39" i="476" s="1"/>
  <c r="V23" i="476"/>
  <c r="AB23" i="476" s="1"/>
  <c r="R24" i="476"/>
  <c r="H13" i="476"/>
  <c r="R13" i="476"/>
  <c r="Q27" i="476"/>
  <c r="F18" i="27"/>
  <c r="K18" i="27" s="1"/>
  <c r="T18" i="476"/>
  <c r="Z18" i="476" s="1"/>
  <c r="P39" i="476"/>
  <c r="T39" i="476"/>
  <c r="Z39" i="476" s="1"/>
  <c r="F39" i="27"/>
  <c r="K39" i="27" s="1"/>
  <c r="H19" i="476"/>
  <c r="N19" i="476" s="1"/>
  <c r="F31" i="476"/>
  <c r="L31" i="476" s="1"/>
  <c r="F14" i="476"/>
  <c r="C22" i="27"/>
  <c r="R19" i="476"/>
  <c r="C21" i="27"/>
  <c r="T21" i="476"/>
  <c r="Z21" i="476" s="1"/>
  <c r="H39" i="476"/>
  <c r="N39" i="476" s="1"/>
  <c r="R22" i="476"/>
  <c r="B31" i="27"/>
  <c r="F21" i="27"/>
  <c r="K21" i="27" s="1"/>
  <c r="V20" i="476"/>
  <c r="AB20" i="476" s="1"/>
  <c r="P31" i="476"/>
  <c r="R39" i="476"/>
  <c r="R20" i="476"/>
  <c r="F34" i="27"/>
  <c r="K34" i="27" s="1"/>
  <c r="T34" i="476"/>
  <c r="Z34" i="476" s="1"/>
  <c r="C34" i="27"/>
  <c r="C11" i="27"/>
  <c r="T20" i="476"/>
  <c r="Z20" i="476" s="1"/>
  <c r="D23" i="476"/>
  <c r="F20" i="27"/>
  <c r="K20" i="27" s="1"/>
  <c r="C20" i="27"/>
  <c r="D22" i="476"/>
  <c r="C36" i="476"/>
  <c r="F22" i="27"/>
  <c r="K22" i="27" s="1"/>
  <c r="B14" i="27"/>
  <c r="Q18" i="476"/>
  <c r="T22" i="476"/>
  <c r="Z22" i="476" s="1"/>
  <c r="Q28" i="476"/>
  <c r="U37" i="476"/>
  <c r="AA37" i="476" s="1"/>
  <c r="C37" i="27"/>
  <c r="B37" i="476"/>
  <c r="F37" i="476"/>
  <c r="L37" i="476" s="1"/>
  <c r="E37" i="27"/>
  <c r="J37" i="27" s="1"/>
  <c r="D37" i="476"/>
  <c r="D32" i="476"/>
  <c r="C29" i="27"/>
  <c r="F36" i="476"/>
  <c r="L36" i="476" s="1"/>
  <c r="B36" i="27"/>
  <c r="T29" i="476"/>
  <c r="Z29" i="476" s="1"/>
  <c r="G29" i="476"/>
  <c r="M29" i="476" s="1"/>
  <c r="U18" i="476"/>
  <c r="AA18" i="476" s="1"/>
  <c r="E26" i="27"/>
  <c r="J26" i="27" s="1"/>
  <c r="F26" i="476"/>
  <c r="L26" i="476" s="1"/>
  <c r="U28" i="476"/>
  <c r="AA28" i="476" s="1"/>
  <c r="U9" i="476"/>
  <c r="AA9" i="476" s="1"/>
  <c r="Q25" i="476"/>
  <c r="U25" i="476"/>
  <c r="AA25" i="476" s="1"/>
  <c r="C25" i="476"/>
  <c r="U22" i="476"/>
  <c r="AA22" i="476" s="1"/>
  <c r="C22" i="476"/>
  <c r="Q22" i="476"/>
  <c r="Q9" i="476"/>
  <c r="G36" i="476"/>
  <c r="M36" i="476" s="1"/>
  <c r="U29" i="476"/>
  <c r="AA29" i="476" s="1"/>
  <c r="F7" i="476"/>
  <c r="E7" i="27"/>
  <c r="Q29" i="476"/>
  <c r="C7" i="27"/>
  <c r="Q34" i="476"/>
  <c r="Q35" i="476"/>
  <c r="U35" i="476"/>
  <c r="AA35" i="476" s="1"/>
  <c r="G35" i="476"/>
  <c r="M35" i="476" s="1"/>
  <c r="U34" i="476"/>
  <c r="AA34" i="476" s="1"/>
  <c r="R29" i="476"/>
  <c r="D29" i="476"/>
  <c r="V24" i="476"/>
  <c r="AB24" i="476" s="1"/>
  <c r="H9" i="476"/>
  <c r="N9" i="476" s="1"/>
  <c r="D9" i="476"/>
  <c r="F23" i="476"/>
  <c r="L23" i="476" s="1"/>
  <c r="E23" i="27"/>
  <c r="J23" i="27" s="1"/>
  <c r="G7" i="476"/>
  <c r="C7" i="476"/>
  <c r="H25" i="476"/>
  <c r="N25" i="476" s="1"/>
  <c r="D25" i="476"/>
  <c r="H36" i="476"/>
  <c r="N36" i="476" s="1"/>
  <c r="D36" i="476"/>
  <c r="U20" i="476"/>
  <c r="AA20" i="476" s="1"/>
  <c r="Q20" i="476"/>
  <c r="P24" i="476"/>
  <c r="C24" i="27"/>
  <c r="C30" i="27"/>
  <c r="P30" i="476"/>
  <c r="V38" i="476"/>
  <c r="AB38" i="476" s="1"/>
  <c r="R38" i="476"/>
  <c r="P23" i="476"/>
  <c r="C23" i="27"/>
  <c r="C25" i="27"/>
  <c r="P25" i="476"/>
  <c r="H20" i="476"/>
  <c r="N20" i="476" s="1"/>
  <c r="D20" i="476"/>
  <c r="H31" i="476"/>
  <c r="N31" i="476" s="1"/>
  <c r="D31" i="476"/>
  <c r="H30" i="476"/>
  <c r="N30" i="476" s="1"/>
  <c r="D30" i="476"/>
  <c r="P35" i="476"/>
  <c r="C35" i="27"/>
  <c r="P9" i="476"/>
  <c r="C9" i="27"/>
  <c r="C28" i="27"/>
  <c r="P28" i="476"/>
  <c r="F22" i="476"/>
  <c r="L22" i="476" s="1"/>
  <c r="E22" i="27"/>
  <c r="J22" i="27" s="1"/>
  <c r="H28" i="476"/>
  <c r="N28" i="476" s="1"/>
  <c r="D28" i="476"/>
  <c r="F19" i="476"/>
  <c r="L19" i="476" s="1"/>
  <c r="E19" i="27"/>
  <c r="J19" i="27" s="1"/>
  <c r="U39" i="476"/>
  <c r="AA39" i="476" s="1"/>
  <c r="Q39" i="476"/>
  <c r="H21" i="476"/>
  <c r="N21" i="476" s="1"/>
  <c r="D21" i="476"/>
  <c r="V34" i="476"/>
  <c r="AB34" i="476" s="1"/>
  <c r="R34" i="476"/>
  <c r="G32" i="476"/>
  <c r="M32" i="476" s="1"/>
  <c r="C32" i="476"/>
  <c r="U38" i="476"/>
  <c r="AA38" i="476" s="1"/>
  <c r="Q38" i="476"/>
  <c r="F38" i="476"/>
  <c r="L38" i="476" s="1"/>
  <c r="E38" i="27"/>
  <c r="J38" i="27" s="1"/>
  <c r="H35" i="476"/>
  <c r="N35" i="476" s="1"/>
  <c r="D35" i="476"/>
  <c r="C18" i="27"/>
  <c r="P18" i="476"/>
  <c r="G31" i="476"/>
  <c r="M31" i="476" s="1"/>
  <c r="C31" i="476"/>
  <c r="G26" i="476"/>
  <c r="M26" i="476" s="1"/>
  <c r="C26" i="476"/>
  <c r="E24" i="27"/>
  <c r="J24" i="27" s="1"/>
  <c r="F24" i="476"/>
  <c r="L24" i="476" s="1"/>
  <c r="U21" i="476"/>
  <c r="AA21" i="476" s="1"/>
  <c r="Q21" i="476"/>
  <c r="E30" i="27"/>
  <c r="J30" i="27" s="1"/>
  <c r="F30" i="476"/>
  <c r="L30" i="476" s="1"/>
  <c r="U23" i="476"/>
  <c r="AA23" i="476" s="1"/>
  <c r="Q23" i="476"/>
  <c r="H11" i="476"/>
  <c r="D11" i="476"/>
  <c r="E9" i="27"/>
  <c r="J9" i="27" s="1"/>
  <c r="F9" i="476"/>
  <c r="L9" i="476" s="1"/>
  <c r="G11" i="476"/>
  <c r="C11" i="476"/>
  <c r="E25" i="27"/>
  <c r="J25" i="27" s="1"/>
  <c r="F25" i="476"/>
  <c r="L25" i="476" s="1"/>
  <c r="F13" i="27"/>
  <c r="T13" i="476"/>
  <c r="B7" i="476"/>
  <c r="B7" i="27"/>
  <c r="P19" i="476"/>
  <c r="C19" i="27"/>
  <c r="E35" i="27"/>
  <c r="J35" i="27" s="1"/>
  <c r="F35" i="476"/>
  <c r="L35" i="476" s="1"/>
  <c r="U30" i="476"/>
  <c r="AA30" i="476" s="1"/>
  <c r="Q30" i="476"/>
  <c r="C38" i="27"/>
  <c r="P38" i="476"/>
  <c r="F28" i="476"/>
  <c r="L28" i="476" s="1"/>
  <c r="E28" i="27"/>
  <c r="J28" i="27" s="1"/>
  <c r="E36" i="27" l="1"/>
  <c r="J36" i="27" s="1"/>
  <c r="B32" i="27"/>
  <c r="G12" i="476"/>
  <c r="M12" i="476" s="1"/>
  <c r="C12" i="476"/>
  <c r="D27" i="476"/>
  <c r="G8" i="476"/>
  <c r="C8" i="476"/>
  <c r="P8" i="476"/>
  <c r="C8" i="27"/>
  <c r="H8" i="476"/>
  <c r="D8" i="476"/>
  <c r="E8" i="27"/>
  <c r="F8" i="476"/>
  <c r="D24" i="476"/>
  <c r="H33" i="476"/>
  <c r="N33" i="476" s="1"/>
  <c r="B11" i="476"/>
  <c r="G33" i="476"/>
  <c r="M33" i="476" s="1"/>
  <c r="C33" i="476"/>
  <c r="B27" i="27"/>
  <c r="B12" i="27"/>
  <c r="D7" i="476"/>
  <c r="G14" i="476"/>
  <c r="D18" i="476"/>
  <c r="B33" i="27"/>
  <c r="E39" i="27"/>
  <c r="J39" i="27" s="1"/>
  <c r="B39" i="27"/>
  <c r="E18" i="27"/>
  <c r="J18" i="27" s="1"/>
  <c r="F18" i="476"/>
  <c r="L18" i="476" s="1"/>
  <c r="B18" i="476"/>
  <c r="U13" i="476"/>
  <c r="D13" i="476"/>
  <c r="Q13" i="476"/>
  <c r="G27" i="476"/>
  <c r="M27" i="476" s="1"/>
  <c r="D19" i="476"/>
  <c r="F21" i="476"/>
  <c r="L21" i="476" s="1"/>
  <c r="B21" i="27"/>
  <c r="D39" i="476"/>
  <c r="G19" i="476"/>
  <c r="M19" i="476" s="1"/>
  <c r="C27" i="476"/>
  <c r="P22" i="476"/>
  <c r="U19" i="476"/>
  <c r="AA19" i="476" s="1"/>
  <c r="C39" i="27"/>
  <c r="Q19" i="476"/>
  <c r="P21" i="476"/>
  <c r="E21" i="27"/>
  <c r="J21" i="27" s="1"/>
  <c r="H29" i="476"/>
  <c r="N29" i="476" s="1"/>
  <c r="E29" i="27"/>
  <c r="J29" i="27" s="1"/>
  <c r="P29" i="476"/>
  <c r="B31" i="476"/>
  <c r="G28" i="476"/>
  <c r="M28" i="476" s="1"/>
  <c r="H22" i="476"/>
  <c r="N22" i="476" s="1"/>
  <c r="C35" i="476"/>
  <c r="P20" i="476"/>
  <c r="F20" i="476"/>
  <c r="L20" i="476" s="1"/>
  <c r="E20" i="27"/>
  <c r="J20" i="27" s="1"/>
  <c r="C28" i="476"/>
  <c r="B20" i="476"/>
  <c r="G25" i="476"/>
  <c r="M25" i="476" s="1"/>
  <c r="H23" i="476"/>
  <c r="N23" i="476" s="1"/>
  <c r="E34" i="27"/>
  <c r="J34" i="27" s="1"/>
  <c r="B34" i="476"/>
  <c r="F34" i="476"/>
  <c r="L34" i="476" s="1"/>
  <c r="P34" i="476"/>
  <c r="B14" i="476"/>
  <c r="B36" i="476"/>
  <c r="G18" i="476"/>
  <c r="M18" i="476" s="1"/>
  <c r="G37" i="476"/>
  <c r="M37" i="476" s="1"/>
  <c r="C18" i="476"/>
  <c r="C29" i="476"/>
  <c r="C9" i="476"/>
  <c r="F29" i="476"/>
  <c r="L29" i="476" s="1"/>
  <c r="B29" i="27"/>
  <c r="G9" i="476"/>
  <c r="M9" i="476" s="1"/>
  <c r="B37" i="27"/>
  <c r="C37" i="476"/>
  <c r="G22" i="476"/>
  <c r="M22" i="476" s="1"/>
  <c r="B26" i="476"/>
  <c r="B26" i="27"/>
  <c r="G34" i="476"/>
  <c r="M34" i="476" s="1"/>
  <c r="C34" i="476"/>
  <c r="U24" i="476"/>
  <c r="AA24" i="476" s="1"/>
  <c r="Q24" i="476"/>
  <c r="G23" i="476"/>
  <c r="M23" i="476" s="1"/>
  <c r="C23" i="476"/>
  <c r="B25" i="27"/>
  <c r="B25" i="476"/>
  <c r="T45" i="476"/>
  <c r="Z45" i="476" s="1"/>
  <c r="F45" i="27"/>
  <c r="K45" i="27" s="1"/>
  <c r="B38" i="476"/>
  <c r="B38" i="27"/>
  <c r="G39" i="476"/>
  <c r="M39" i="476" s="1"/>
  <c r="C39" i="476"/>
  <c r="B30" i="476"/>
  <c r="B30" i="27"/>
  <c r="G20" i="476"/>
  <c r="M20" i="476" s="1"/>
  <c r="C20" i="476"/>
  <c r="B28" i="476"/>
  <c r="B28" i="27"/>
  <c r="G21" i="476"/>
  <c r="M21" i="476" s="1"/>
  <c r="C21" i="476"/>
  <c r="H34" i="476"/>
  <c r="N34" i="476" s="1"/>
  <c r="D34" i="476"/>
  <c r="G38" i="476"/>
  <c r="M38" i="476" s="1"/>
  <c r="C38" i="476"/>
  <c r="T43" i="476"/>
  <c r="Z43" i="476" s="1"/>
  <c r="F43" i="27"/>
  <c r="K43" i="27" s="1"/>
  <c r="B19" i="27"/>
  <c r="B19" i="476"/>
  <c r="B22" i="27"/>
  <c r="B22" i="476"/>
  <c r="B23" i="27"/>
  <c r="B23" i="476"/>
  <c r="G13" i="476"/>
  <c r="C13" i="476"/>
  <c r="G30" i="476"/>
  <c r="M30" i="476" s="1"/>
  <c r="C30" i="476"/>
  <c r="B35" i="27"/>
  <c r="B35" i="476"/>
  <c r="F13" i="476"/>
  <c r="E13" i="27"/>
  <c r="H38" i="476"/>
  <c r="N38" i="476" s="1"/>
  <c r="D38" i="476"/>
  <c r="P13" i="476"/>
  <c r="C13" i="27"/>
  <c r="B9" i="476"/>
  <c r="B9" i="27"/>
  <c r="B24" i="476"/>
  <c r="B24" i="27"/>
  <c r="B8" i="476" l="1"/>
  <c r="B8" i="27"/>
  <c r="B18" i="27"/>
  <c r="B39" i="476"/>
  <c r="C19" i="476"/>
  <c r="B21" i="476"/>
  <c r="B20" i="27"/>
  <c r="B34" i="27"/>
  <c r="B29" i="476"/>
  <c r="P43" i="476"/>
  <c r="C43" i="27"/>
  <c r="F43" i="476"/>
  <c r="L43" i="476" s="1"/>
  <c r="E43" i="27"/>
  <c r="J43" i="27" s="1"/>
  <c r="C45" i="27"/>
  <c r="P45" i="476"/>
  <c r="B13" i="476"/>
  <c r="B13" i="27"/>
  <c r="F45" i="476"/>
  <c r="L45" i="476" s="1"/>
  <c r="E45" i="27"/>
  <c r="J45" i="27" s="1"/>
  <c r="G24" i="476"/>
  <c r="M24" i="476" s="1"/>
  <c r="C24" i="476"/>
  <c r="B45" i="476" l="1"/>
  <c r="B45" i="27"/>
  <c r="B43" i="27"/>
  <c r="B43" i="476"/>
  <c r="F44" i="27"/>
  <c r="K44" i="27" s="1"/>
  <c r="T44" i="476"/>
  <c r="Z44" i="476" s="1"/>
  <c r="P44" i="476" l="1"/>
  <c r="C44" i="27"/>
  <c r="E44" i="27"/>
  <c r="J44" i="27" s="1"/>
  <c r="F44" i="476"/>
  <c r="L44" i="476" s="1"/>
  <c r="B44" i="27" l="1"/>
  <c r="B44" i="47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4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49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49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2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2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2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3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3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3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5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5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5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1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1" authorId="0" shapeId="0" xr:uid="{00000000-0006-0000-1B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1" authorId="0" shapeId="0" xr:uid="{00000000-0006-0000-1B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6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6" authorId="0" shapeId="0" xr:uid="{00000000-0006-0000-1D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6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6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6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6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8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8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8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7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7" authorId="0" shapeId="0" xr:uid="{00000000-0006-0000-23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7" authorId="0" shapeId="0" xr:uid="{00000000-0006-0000-23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7" authorId="0" shapeId="0" xr:uid="{00000000-0006-0000-25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7" authorId="0" shapeId="0" xr:uid="{00000000-0006-0000-25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7" authorId="0" shapeId="0" xr:uid="{00000000-0006-0000-25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6" authorId="0" shapeId="0" xr:uid="{00000000-0006-0000-27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6" authorId="0" shapeId="0" xr:uid="{00000000-0006-0000-27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6" authorId="0" shapeId="0" xr:uid="{00000000-0006-0000-27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51" authorId="0" shapeId="0" xr:uid="{B55981EF-57EA-4401-9EC0-90762639C5AC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51" authorId="0" shapeId="0" xr:uid="{B2C060C9-D75B-45D2-BCD0-63D2DBC05DD2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51" authorId="0" shapeId="0" xr:uid="{DF8F6D22-48C2-4887-87F8-D740E2AB1AF9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57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57" authorId="0" shapeId="0" xr:uid="{00000000-0006-0000-29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57" authorId="0" shapeId="0" xr:uid="{00000000-0006-0000-29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54" authorId="0" shapeId="0" xr:uid="{00000000-0006-0000-2B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54" authorId="0" shapeId="0" xr:uid="{00000000-0006-0000-2B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54" authorId="0" shapeId="0" xr:uid="{00000000-0006-0000-2B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0" authorId="0" shapeId="0" xr:uid="{00000000-0006-0000-2D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0" authorId="0" shapeId="0" xr:uid="{00000000-0006-0000-2D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0" authorId="0" shapeId="0" xr:uid="{00000000-0006-0000-2D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0" authorId="0" shapeId="0" xr:uid="{47B48CBB-BB4C-425C-8357-EC8529CCC6C8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0" authorId="0" shapeId="0" xr:uid="{BA0785D9-3475-445D-9699-51870F210A0D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0" authorId="0" shapeId="0" xr:uid="{66439B86-D98B-4900-A7AF-77B59A924FE2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1" authorId="0" shapeId="0" xr:uid="{762D530E-9ED2-46CA-AE8F-AF9DBEECF9EB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1" authorId="0" shapeId="0" xr:uid="{A64A5800-5968-49B7-870A-6E1C9AFA7499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1" authorId="0" shapeId="0" xr:uid="{A71C2FB6-ACC0-4D30-8738-5DDBE36E7715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50" authorId="0" shapeId="0" xr:uid="{B0C79407-315B-4879-8FF9-5F54FF88D126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50" authorId="0" shapeId="0" xr:uid="{4B9F2DCF-8603-4407-ACA0-ADE91010662D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50" authorId="0" shapeId="0" xr:uid="{C8D2C246-987D-479E-9C01-75CBEC60BACC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49" authorId="0" shapeId="0" xr:uid="{428D395A-7045-4512-904F-E49D23A32DEF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49" authorId="0" shapeId="0" xr:uid="{6C5DBC23-69AD-4386-8D37-FE53D2133624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49" authorId="0" shapeId="0" xr:uid="{7A0DF166-3B53-4097-8FA8-29C9EF89ADE8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46" authorId="0" shapeId="0" xr:uid="{50EB4D23-BB66-46BE-9CD2-05361D9BE466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46" authorId="0" shapeId="0" xr:uid="{E4B5D6FA-B5C1-49DF-AB5E-970F46B5C94C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46" authorId="0" shapeId="0" xr:uid="{C0265A78-D665-46DF-81F2-694D4FBB69E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46" authorId="0" shapeId="0" xr:uid="{00000000-0006-0000-2F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46" authorId="0" shapeId="0" xr:uid="{00000000-0006-0000-2F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46" authorId="0" shapeId="0" xr:uid="{00000000-0006-0000-2F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48" authorId="0" shapeId="0" xr:uid="{00000000-0006-0000-31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48" authorId="0" shapeId="0" xr:uid="{00000000-0006-0000-31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48" authorId="0" shapeId="0" xr:uid="{00000000-0006-0000-31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5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54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5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55" authorId="0" shapeId="0" xr:uid="{00000000-0006-0000-33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55" authorId="0" shapeId="0" xr:uid="{00000000-0006-0000-33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55" authorId="0" shapeId="0" xr:uid="{00000000-0006-0000-33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L50" authorId="0" shapeId="0" xr:uid="{00000000-0006-0000-35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L47" authorId="0" shapeId="0" xr:uid="{00000000-0006-0000-37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L48" authorId="0" shapeId="0" xr:uid="{00000000-0006-0000-39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A3" authorId="0" shapeId="0" xr:uid="{00000000-0006-0000-3B00-000001000000}">
      <text>
        <r>
          <rPr>
            <b/>
            <sz val="9"/>
            <color indexed="81"/>
            <rFont val="Tahoma"/>
            <family val="2"/>
          </rPr>
          <t>Type in the name of your livestock enterprise.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3B00-000002000000}">
      <text>
        <r>
          <rPr>
            <b/>
            <sz val="9"/>
            <color indexed="81"/>
            <rFont val="Tahoma"/>
            <family val="2"/>
          </rPr>
          <t>Enter the number of breeding females if the enterprise is a herd or flock.  Enter the number of head purchased or held for grazing or feeding if the enterprise is a grazing or feeding activity.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00000000-0006-0000-3B00-000003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 xr:uid="{00000000-0006-0000-3B00-000004000000}">
      <text>
        <r>
          <rPr>
            <b/>
            <sz val="9"/>
            <color indexed="81"/>
            <rFont val="Tahoma"/>
            <family val="2"/>
          </rPr>
          <t>Number of males sold from the herd or flock.</t>
        </r>
      </text>
    </comment>
    <comment ref="D9" authorId="0" shapeId="0" xr:uid="{00000000-0006-0000-3B00-000005000000}">
      <text>
        <r>
          <rPr>
            <b/>
            <sz val="9"/>
            <color indexed="81"/>
            <rFont val="Tahoma"/>
            <family val="2"/>
          </rPr>
          <t>Number of CWT, if unit is Head, number of Head.</t>
        </r>
      </text>
    </comment>
    <comment ref="E9" authorId="0" shapeId="0" xr:uid="{00000000-0006-0000-3B00-000006000000}">
      <text>
        <r>
          <rPr>
            <b/>
            <sz val="9"/>
            <color indexed="81"/>
            <rFont val="Tahoma"/>
            <family val="2"/>
          </rPr>
          <t>If Head not CWT, type in Head.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3B00-000007000000}">
      <text>
        <r>
          <rPr>
            <b/>
            <sz val="9"/>
            <color indexed="81"/>
            <rFont val="Tahoma"/>
            <family val="2"/>
          </rPr>
          <t xml:space="preserve">Price per CWT or Head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3B00-000008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00000000-0006-0000-3B00-000009000000}">
      <text>
        <r>
          <rPr>
            <b/>
            <sz val="9"/>
            <color indexed="81"/>
            <rFont val="Tahoma"/>
            <family val="2"/>
          </rPr>
          <t>Number of females sold from herd or flock.</t>
        </r>
      </text>
    </comment>
    <comment ref="D10" authorId="0" shapeId="0" xr:uid="{00000000-0006-0000-3B00-00000A000000}">
      <text>
        <r>
          <rPr>
            <b/>
            <sz val="9"/>
            <color indexed="81"/>
            <rFont val="Tahoma"/>
            <family val="2"/>
          </rPr>
          <t>Number of CWT, if unit is Head, number of Head.</t>
        </r>
      </text>
    </comment>
    <comment ref="E10" authorId="0" shapeId="0" xr:uid="{00000000-0006-0000-3B00-00000B000000}">
      <text>
        <r>
          <rPr>
            <b/>
            <sz val="9"/>
            <color indexed="81"/>
            <rFont val="Tahoma"/>
            <family val="2"/>
          </rPr>
          <t>If Head not CWT, type in Head.</t>
        </r>
      </text>
    </comment>
    <comment ref="F10" authorId="0" shapeId="0" xr:uid="{00000000-0006-0000-3B00-00000C000000}">
      <text>
        <r>
          <rPr>
            <b/>
            <sz val="9"/>
            <color indexed="81"/>
            <rFont val="Tahoma"/>
            <family val="2"/>
          </rPr>
          <t xml:space="preserve">Price per CWT or Head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3B00-00000D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3B00-00000E000000}">
      <text>
        <r>
          <rPr>
            <b/>
            <sz val="9"/>
            <color indexed="81"/>
            <rFont val="Tahoma"/>
            <family val="2"/>
          </rPr>
          <t>Number of cull breeding females sold from herd or flock.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 xr:uid="{00000000-0006-0000-3B00-00000F000000}">
      <text>
        <r>
          <rPr>
            <b/>
            <sz val="9"/>
            <color indexed="81"/>
            <rFont val="Tahoma"/>
            <family val="2"/>
          </rPr>
          <t>Number of CWT, if unit is Head, number of Head.</t>
        </r>
      </text>
    </comment>
    <comment ref="E11" authorId="0" shapeId="0" xr:uid="{00000000-0006-0000-3B00-000010000000}">
      <text>
        <r>
          <rPr>
            <b/>
            <sz val="9"/>
            <color indexed="81"/>
            <rFont val="Tahoma"/>
            <family val="2"/>
          </rPr>
          <t>If Head not CWT, type in Head.</t>
        </r>
      </text>
    </comment>
    <comment ref="F11" authorId="0" shapeId="0" xr:uid="{00000000-0006-0000-3B00-000011000000}">
      <text>
        <r>
          <rPr>
            <b/>
            <sz val="9"/>
            <color indexed="81"/>
            <rFont val="Tahoma"/>
            <family val="2"/>
          </rPr>
          <t xml:space="preserve">Price per CWT or Head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 xr:uid="{00000000-0006-0000-3B00-000012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3B00-000013000000}">
      <text>
        <r>
          <rPr>
            <b/>
            <sz val="9"/>
            <color indexed="81"/>
            <rFont val="Tahoma"/>
            <family val="2"/>
          </rPr>
          <t>Number of cull breeding males sold from herd or flock.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3B00-000014000000}">
      <text>
        <r>
          <rPr>
            <b/>
            <sz val="9"/>
            <color indexed="81"/>
            <rFont val="Tahoma"/>
            <family val="2"/>
          </rPr>
          <t>Number of CWT, if unit is Head, number of Head.</t>
        </r>
      </text>
    </comment>
    <comment ref="E12" authorId="0" shapeId="0" xr:uid="{00000000-0006-0000-3B00-000015000000}">
      <text>
        <r>
          <rPr>
            <b/>
            <sz val="9"/>
            <color indexed="81"/>
            <rFont val="Tahoma"/>
            <family val="2"/>
          </rPr>
          <t>If Head not CWT, type in Head.</t>
        </r>
      </text>
    </comment>
    <comment ref="F12" authorId="0" shapeId="0" xr:uid="{00000000-0006-0000-3B00-000016000000}">
      <text>
        <r>
          <rPr>
            <b/>
            <sz val="9"/>
            <color indexed="81"/>
            <rFont val="Tahoma"/>
            <family val="2"/>
          </rPr>
          <t xml:space="preserve">Price per CWT or Head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 xr:uid="{00000000-0006-0000-3B00-000017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3B00-000018000000}">
      <text>
        <r>
          <rPr>
            <b/>
            <sz val="9"/>
            <color indexed="81"/>
            <rFont val="Tahoma"/>
            <family val="2"/>
          </rPr>
          <t>Number of head sold after grazing or feeding.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00000000-0006-0000-3B00-000019000000}">
      <text>
        <r>
          <rPr>
            <b/>
            <sz val="9"/>
            <color indexed="81"/>
            <rFont val="Tahoma"/>
            <family val="2"/>
          </rPr>
          <t>Number of CWT, if unit is Head, number of Head.</t>
        </r>
      </text>
    </comment>
    <comment ref="E13" authorId="0" shapeId="0" xr:uid="{00000000-0006-0000-3B00-00001A000000}">
      <text>
        <r>
          <rPr>
            <b/>
            <sz val="9"/>
            <color indexed="81"/>
            <rFont val="Tahoma"/>
            <family val="2"/>
          </rPr>
          <t>If Head not CWT, type in Head.</t>
        </r>
      </text>
    </comment>
    <comment ref="F13" authorId="0" shapeId="0" xr:uid="{00000000-0006-0000-3B00-00001B000000}">
      <text>
        <r>
          <rPr>
            <b/>
            <sz val="9"/>
            <color indexed="81"/>
            <rFont val="Tahoma"/>
            <family val="2"/>
          </rPr>
          <t xml:space="preserve">Price per CWT or Head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 xr:uid="{00000000-0006-0000-3B00-00001C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3B00-00001D000000}">
      <text>
        <r>
          <rPr>
            <b/>
            <sz val="9"/>
            <color indexed="81"/>
            <rFont val="Tahoma"/>
            <family val="2"/>
          </rPr>
          <t>Number of Head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 xr:uid="{00000000-0006-0000-3B00-00001E000000}">
      <text>
        <r>
          <rPr>
            <b/>
            <sz val="9"/>
            <color indexed="81"/>
            <rFont val="Tahoma"/>
            <family val="2"/>
          </rPr>
          <t>Number of CWT, if unit is Head, number of Head.</t>
        </r>
      </text>
    </comment>
    <comment ref="E14" authorId="0" shapeId="0" xr:uid="{00000000-0006-0000-3B00-00001F000000}">
      <text>
        <r>
          <rPr>
            <b/>
            <sz val="9"/>
            <color indexed="81"/>
            <rFont val="Tahoma"/>
            <family val="2"/>
          </rPr>
          <t>If Head not CWT, type in Head.</t>
        </r>
      </text>
    </comment>
    <comment ref="F14" authorId="0" shapeId="0" xr:uid="{00000000-0006-0000-3B00-000020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 xr:uid="{00000000-0006-0000-3B00-000021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3B00-000022000000}">
      <text>
        <r>
          <rPr>
            <b/>
            <sz val="9"/>
            <color indexed="81"/>
            <rFont val="Tahoma"/>
            <family val="2"/>
          </rPr>
          <t>Number of Head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0" shapeId="0" xr:uid="{00000000-0006-0000-3B00-000023000000}">
      <text>
        <r>
          <rPr>
            <b/>
            <sz val="9"/>
            <color indexed="81"/>
            <rFont val="Tahoma"/>
            <family val="2"/>
          </rPr>
          <t>Number of CWT, if unit is Head, number of Head.</t>
        </r>
      </text>
    </comment>
    <comment ref="E15" authorId="0" shapeId="0" xr:uid="{00000000-0006-0000-3B00-000024000000}">
      <text>
        <r>
          <rPr>
            <b/>
            <sz val="9"/>
            <color indexed="81"/>
            <rFont val="Tahoma"/>
            <family val="2"/>
          </rPr>
          <t>If Head not CWT, type in Head.</t>
        </r>
      </text>
    </comment>
    <comment ref="F15" authorId="0" shapeId="0" xr:uid="{00000000-0006-0000-3B00-00002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 xr:uid="{00000000-0006-0000-3B00-000026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3B00-000027000000}">
      <text>
        <r>
          <rPr>
            <b/>
            <sz val="9"/>
            <color indexed="81"/>
            <rFont val="Tahoma"/>
            <family val="2"/>
          </rPr>
          <t>Number of Head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 xr:uid="{00000000-0006-0000-3B00-000028000000}">
      <text>
        <r>
          <rPr>
            <b/>
            <sz val="9"/>
            <color indexed="81"/>
            <rFont val="Tahoma"/>
            <family val="2"/>
          </rPr>
          <t>Number of CWT, if unit is Head, number of Head.</t>
        </r>
      </text>
    </comment>
    <comment ref="E16" authorId="0" shapeId="0" xr:uid="{00000000-0006-0000-3B00-000029000000}">
      <text>
        <r>
          <rPr>
            <b/>
            <sz val="9"/>
            <color indexed="81"/>
            <rFont val="Tahoma"/>
            <family val="2"/>
          </rPr>
          <t>If Head not CWT, type in Head.</t>
        </r>
      </text>
    </comment>
    <comment ref="F16" authorId="0" shapeId="0" xr:uid="{00000000-0006-0000-3B00-00002A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 shapeId="0" xr:uid="{00000000-0006-0000-3B00-00002B00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E23" authorId="0" shapeId="0" xr:uid="{00000000-0006-0000-3B00-00002C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 xr:uid="{00000000-0006-0000-3B00-00002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 xr:uid="{00000000-0006-0000-3B00-00002E000000}">
      <text>
        <r>
          <rPr>
            <b/>
            <sz val="9"/>
            <color indexed="81"/>
            <rFont val="Tahoma"/>
            <family val="2"/>
          </rPr>
          <t>Enter Pasture Name or Reference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0" shapeId="0" xr:uid="{00000000-0006-0000-3B00-00002F000000}">
      <text>
        <r>
          <rPr>
            <b/>
            <sz val="9"/>
            <color indexed="81"/>
            <rFont val="Tahoma"/>
            <family val="2"/>
          </rPr>
          <t>Number of Acres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 xr:uid="{00000000-0006-0000-3B00-000030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5" authorId="0" shapeId="0" xr:uid="{00000000-0006-0000-3B00-000031000000}">
      <text>
        <r>
          <rPr>
            <b/>
            <sz val="9"/>
            <color indexed="81"/>
            <rFont val="Tahoma"/>
            <family val="2"/>
          </rPr>
          <t>Price per Acre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 xr:uid="{00000000-0006-0000-3B00-000032000000}">
      <text>
        <r>
          <rPr>
            <b/>
            <sz val="9"/>
            <color indexed="81"/>
            <rFont val="Tahoma"/>
            <family val="2"/>
          </rPr>
          <t>Enter Pasture Name or Reference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shapeId="0" xr:uid="{00000000-0006-0000-3B00-000033000000}">
      <text>
        <r>
          <rPr>
            <b/>
            <sz val="9"/>
            <color indexed="81"/>
            <rFont val="Tahoma"/>
            <family val="2"/>
          </rPr>
          <t>Number of Acres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00000000-0006-0000-3B00-000034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 xr:uid="{00000000-0006-0000-3B00-000035000000}">
      <text>
        <r>
          <rPr>
            <b/>
            <sz val="9"/>
            <color indexed="81"/>
            <rFont val="Tahoma"/>
            <family val="2"/>
          </rPr>
          <t>Price per Acre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 xr:uid="{00000000-0006-0000-3B00-000036000000}">
      <text>
        <r>
          <rPr>
            <b/>
            <sz val="9"/>
            <color indexed="81"/>
            <rFont val="Tahoma"/>
            <family val="2"/>
          </rPr>
          <t>Enter Pasture Name or Reference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 xr:uid="{00000000-0006-0000-3B00-000037000000}">
      <text>
        <r>
          <rPr>
            <b/>
            <sz val="9"/>
            <color indexed="81"/>
            <rFont val="Tahoma"/>
            <family val="2"/>
          </rPr>
          <t>Number of Acres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" authorId="0" shapeId="0" xr:uid="{00000000-0006-0000-3B00-000038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 shapeId="0" xr:uid="{00000000-0006-0000-3B00-000039000000}">
      <text>
        <r>
          <rPr>
            <b/>
            <sz val="9"/>
            <color indexed="81"/>
            <rFont val="Tahoma"/>
            <family val="2"/>
          </rPr>
          <t>Price per Acre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 xr:uid="{00000000-0006-0000-3B00-00003A000000}">
      <text>
        <r>
          <rPr>
            <b/>
            <sz val="9"/>
            <color indexed="81"/>
            <rFont val="Tahoma"/>
            <family val="2"/>
          </rPr>
          <t>Enter Pasture Name or Reference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 xr:uid="{00000000-0006-0000-3B00-00003B000000}">
      <text>
        <r>
          <rPr>
            <b/>
            <sz val="9"/>
            <color indexed="81"/>
            <rFont val="Tahoma"/>
            <family val="2"/>
          </rPr>
          <t>Number of Acres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00000000-0006-0000-3B00-00003C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 xr:uid="{00000000-0006-0000-3B00-00003D000000}">
      <text>
        <r>
          <rPr>
            <b/>
            <sz val="9"/>
            <color indexed="81"/>
            <rFont val="Tahoma"/>
            <family val="2"/>
          </rPr>
          <t>Price per Acre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 xr:uid="{00000000-0006-0000-3B00-00003E000000}">
      <text>
        <r>
          <rPr>
            <b/>
            <sz val="9"/>
            <color indexed="81"/>
            <rFont val="Tahoma"/>
            <family val="2"/>
          </rPr>
          <t>Number of Bales</t>
        </r>
      </text>
    </comment>
    <comment ref="E30" authorId="0" shapeId="0" xr:uid="{00000000-0006-0000-3B00-00003F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30" authorId="0" shapeId="0" xr:uid="{00000000-0006-0000-3B00-000040000000}">
      <text>
        <r>
          <rPr>
            <b/>
            <sz val="9"/>
            <color indexed="81"/>
            <rFont val="Tahoma"/>
            <family val="2"/>
          </rPr>
          <t>Price per Bale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0" shapeId="0" xr:uid="{00000000-0006-0000-3B00-000041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 shapeId="0" xr:uid="{00000000-0006-0000-3B00-000042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31" authorId="0" shapeId="0" xr:uid="{00000000-0006-0000-3B00-000043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 xr:uid="{00000000-0006-0000-3B00-000044000000}">
      <text>
        <r>
          <rPr>
            <b/>
            <sz val="9"/>
            <color indexed="81"/>
            <rFont val="Tahoma"/>
            <family val="2"/>
          </rPr>
          <t xml:space="preserve">Number of CWT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0" shapeId="0" xr:uid="{00000000-0006-0000-3B00-000045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32" authorId="0" shapeId="0" xr:uid="{00000000-0006-0000-3B00-000046000000}">
      <text>
        <r>
          <rPr>
            <b/>
            <sz val="9"/>
            <color indexed="81"/>
            <rFont val="Tahoma"/>
            <family val="2"/>
          </rPr>
          <t>Price per CWT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 xr:uid="{00000000-0006-0000-3B00-000047000000}">
      <text>
        <r>
          <rPr>
            <b/>
            <sz val="9"/>
            <color indexed="81"/>
            <rFont val="Tahoma"/>
            <family val="2"/>
          </rPr>
          <t>If other feed cost, enter feed name.</t>
        </r>
      </text>
    </comment>
    <comment ref="D33" authorId="0" shapeId="0" xr:uid="{00000000-0006-0000-3B00-000048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 shapeId="0" xr:uid="{00000000-0006-0000-3B00-000049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33" authorId="0" shapeId="0" xr:uid="{00000000-0006-0000-3B00-00004A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 shapeId="0" xr:uid="{00000000-0006-0000-3B00-00004B000000}">
      <text>
        <r>
          <rPr>
            <b/>
            <sz val="9"/>
            <color indexed="81"/>
            <rFont val="Tahoma"/>
            <family val="2"/>
          </rPr>
          <t>If other feed cost, enter feed name.</t>
        </r>
      </text>
    </comment>
    <comment ref="D34" authorId="0" shapeId="0" xr:uid="{00000000-0006-0000-3B00-00004C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0" shapeId="0" xr:uid="{00000000-0006-0000-3B00-00004D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34" authorId="0" shapeId="0" xr:uid="{00000000-0006-0000-3B00-00004E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0" shapeId="0" xr:uid="{00000000-0006-0000-3B00-00004F000000}">
      <text>
        <r>
          <rPr>
            <b/>
            <sz val="9"/>
            <color indexed="81"/>
            <rFont val="Tahoma"/>
            <family val="2"/>
          </rPr>
          <t>If other feed cost, enter feed name.</t>
        </r>
      </text>
    </comment>
    <comment ref="D35" authorId="0" shapeId="0" xr:uid="{00000000-0006-0000-3B00-000050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" authorId="0" shapeId="0" xr:uid="{00000000-0006-0000-3B00-000051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35" authorId="0" shapeId="0" xr:uid="{00000000-0006-0000-3B00-000052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6" authorId="0" shapeId="0" xr:uid="{00000000-0006-0000-3B00-000053000000}">
      <text>
        <r>
          <rPr>
            <b/>
            <sz val="9"/>
            <color indexed="81"/>
            <rFont val="Tahoma"/>
            <family val="2"/>
          </rPr>
          <t>If other feed cost, enter feed name.</t>
        </r>
      </text>
    </comment>
    <comment ref="D36" authorId="0" shapeId="0" xr:uid="{00000000-0006-0000-3B00-000054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0" shapeId="0" xr:uid="{00000000-0006-0000-3B00-000055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36" authorId="0" shapeId="0" xr:uid="{00000000-0006-0000-3B00-000056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7" authorId="0" shapeId="0" xr:uid="{00000000-0006-0000-3B00-000057000000}">
      <text>
        <r>
          <rPr>
            <b/>
            <sz val="9"/>
            <color indexed="81"/>
            <rFont val="Tahoma"/>
            <family val="2"/>
          </rPr>
          <t>If other feed cost, enter feed name.</t>
        </r>
      </text>
    </comment>
    <comment ref="D37" authorId="0" shapeId="0" xr:uid="{00000000-0006-0000-3B00-000058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" authorId="0" shapeId="0" xr:uid="{00000000-0006-0000-3B00-000059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37" authorId="0" shapeId="0" xr:uid="{00000000-0006-0000-3B00-00005A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3B00-00005B000000}">
      <text>
        <r>
          <rPr>
            <b/>
            <sz val="9"/>
            <color indexed="81"/>
            <rFont val="Tahoma"/>
            <family val="2"/>
          </rPr>
          <t>Enter Vet or Medicine Expense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0" shapeId="0" xr:uid="{00000000-0006-0000-3B00-00005C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9" authorId="0" shapeId="0" xr:uid="{00000000-0006-0000-3B00-00005D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39" authorId="0" shapeId="0" xr:uid="{00000000-0006-0000-3B00-00005E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3B00-00005F000000}">
      <text>
        <r>
          <rPr>
            <b/>
            <sz val="9"/>
            <color indexed="81"/>
            <rFont val="Tahoma"/>
            <family val="2"/>
          </rPr>
          <t>Enter Vet or Medicine Expense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0" authorId="0" shapeId="0" xr:uid="{00000000-0006-0000-3B00-000060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 xr:uid="{00000000-0006-0000-3B00-000061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40" authorId="0" shapeId="0" xr:uid="{00000000-0006-0000-3B00-000062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3B00-000063000000}">
      <text>
        <r>
          <rPr>
            <b/>
            <sz val="9"/>
            <color indexed="81"/>
            <rFont val="Tahoma"/>
            <family val="2"/>
          </rPr>
          <t>Enter Vet or Medicine Expense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1" authorId="0" shapeId="0" xr:uid="{00000000-0006-0000-3B00-000064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" authorId="0" shapeId="0" xr:uid="{00000000-0006-0000-3B00-000065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41" authorId="0" shapeId="0" xr:uid="{00000000-0006-0000-3B00-000066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00000000-0006-0000-3B00-000067000000}">
      <text>
        <r>
          <rPr>
            <b/>
            <sz val="9"/>
            <color indexed="81"/>
            <rFont val="Tahoma"/>
            <family val="2"/>
          </rPr>
          <t>Enter Vet or Medicine Expense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 shapeId="0" xr:uid="{00000000-0006-0000-3B00-000068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2" authorId="0" shapeId="0" xr:uid="{00000000-0006-0000-3B00-000069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42" authorId="0" shapeId="0" xr:uid="{00000000-0006-0000-3B00-00006A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3B00-00006B000000}">
      <text>
        <r>
          <rPr>
            <b/>
            <sz val="9"/>
            <color indexed="81"/>
            <rFont val="Tahoma"/>
            <family val="2"/>
          </rPr>
          <t>Enter Vet or Medicine Expense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 xr:uid="{00000000-0006-0000-3B00-00006C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0" shapeId="0" xr:uid="{00000000-0006-0000-3B00-00006D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43" authorId="0" shapeId="0" xr:uid="{00000000-0006-0000-3B00-00006E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00000000-0006-0000-3B00-00006F000000}">
      <text>
        <r>
          <rPr>
            <b/>
            <sz val="9"/>
            <color indexed="81"/>
            <rFont val="Tahoma"/>
            <family val="2"/>
          </rPr>
          <t>Enter Vet or Medicine Expense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0" shapeId="0" xr:uid="{00000000-0006-0000-3B00-000070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4" authorId="0" shapeId="0" xr:uid="{00000000-0006-0000-3B00-000071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44" authorId="0" shapeId="0" xr:uid="{00000000-0006-0000-3B00-000072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 shapeId="0" xr:uid="{00000000-0006-0000-3B00-000073000000}">
      <text>
        <r>
          <rPr>
            <b/>
            <sz val="9"/>
            <color indexed="81"/>
            <rFont val="Tahoma"/>
            <family val="2"/>
          </rPr>
          <t>Enter Vet or Medicine Expense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5" authorId="0" shapeId="0" xr:uid="{00000000-0006-0000-3B00-000074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 shapeId="0" xr:uid="{00000000-0006-0000-3B00-000075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45" authorId="0" shapeId="0" xr:uid="{00000000-0006-0000-3B00-000076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 shapeId="0" xr:uid="{00000000-0006-0000-3B00-000077000000}">
      <text>
        <r>
          <rPr>
            <b/>
            <sz val="9"/>
            <color indexed="81"/>
            <rFont val="Tahoma"/>
            <family val="2"/>
          </rPr>
          <t>Enter Vet or Medicine Expense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6" authorId="0" shapeId="0" xr:uid="{00000000-0006-0000-3B00-000078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6" authorId="0" shapeId="0" xr:uid="{00000000-0006-0000-3B00-000079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46" authorId="0" shapeId="0" xr:uid="{00000000-0006-0000-3B00-00007A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 shapeId="0" xr:uid="{00000000-0006-0000-3B00-00007B000000}">
      <text>
        <r>
          <rPr>
            <b/>
            <sz val="9"/>
            <color indexed="81"/>
            <rFont val="Tahoma"/>
            <family val="2"/>
          </rPr>
          <t>Enter Vet or Medicine Expense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7" authorId="0" shapeId="0" xr:uid="{00000000-0006-0000-3B00-00007C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7" authorId="0" shapeId="0" xr:uid="{00000000-0006-0000-3B00-00007D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47" authorId="0" shapeId="0" xr:uid="{00000000-0006-0000-3B00-00007E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 shapeId="0" xr:uid="{00000000-0006-0000-3B00-00007F000000}">
      <text>
        <r>
          <rPr>
            <b/>
            <sz val="9"/>
            <color indexed="81"/>
            <rFont val="Tahoma"/>
            <family val="2"/>
          </rPr>
          <t>Enter Vet or Medicine Expense Name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 shapeId="0" xr:uid="{00000000-0006-0000-3B00-000080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8" authorId="0" shapeId="0" xr:uid="{00000000-0006-0000-3B00-000081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48" authorId="0" shapeId="0" xr:uid="{00000000-0006-0000-3B00-000082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0" authorId="0" shapeId="0" xr:uid="{00000000-0006-0000-3B00-000083000000}">
      <text>
        <r>
          <rPr>
            <b/>
            <sz val="9"/>
            <color indexed="81"/>
            <rFont val="Tahoma"/>
            <family val="2"/>
          </rPr>
          <t>Cost per Head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2" authorId="0" shapeId="0" xr:uid="{00000000-0006-0000-3B00-000084000000}">
      <text>
        <r>
          <rPr>
            <b/>
            <sz val="9"/>
            <color indexed="81"/>
            <rFont val="Tahoma"/>
            <family val="2"/>
          </rPr>
          <t>Number of Hours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2" authorId="0" shapeId="0" xr:uid="{00000000-0006-0000-3B00-000085000000}">
      <text>
        <r>
          <rPr>
            <b/>
            <sz val="9"/>
            <color indexed="81"/>
            <rFont val="Tahoma"/>
            <family val="2"/>
          </rPr>
          <t>Price per Hour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4" authorId="0" shapeId="0" xr:uid="{00000000-0006-0000-3B00-000086000000}">
      <text>
        <r>
          <rPr>
            <b/>
            <sz val="9"/>
            <color indexed="81"/>
            <rFont val="Tahoma"/>
            <family val="2"/>
          </rPr>
          <t xml:space="preserve">If other variable expense, enter expense name. </t>
        </r>
      </text>
    </comment>
    <comment ref="D54" authorId="0" shapeId="0" xr:uid="{00000000-0006-0000-3B00-000087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4" authorId="0" shapeId="0" xr:uid="{00000000-0006-0000-3B00-000088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4" authorId="0" shapeId="0" xr:uid="{00000000-0006-0000-3B00-00008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5" authorId="0" shapeId="0" xr:uid="{00000000-0006-0000-3B00-00008A000000}">
      <text>
        <r>
          <rPr>
            <b/>
            <sz val="9"/>
            <color indexed="81"/>
            <rFont val="Tahoma"/>
            <family val="2"/>
          </rPr>
          <t xml:space="preserve">If other variable expense, enter expense name. </t>
        </r>
      </text>
    </comment>
    <comment ref="D55" authorId="0" shapeId="0" xr:uid="{00000000-0006-0000-3B00-00008B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0" shapeId="0" xr:uid="{00000000-0006-0000-3B00-00008C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5" authorId="0" shapeId="0" xr:uid="{00000000-0006-0000-3B00-00008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6" authorId="0" shapeId="0" xr:uid="{00000000-0006-0000-3B00-00008E000000}">
      <text>
        <r>
          <rPr>
            <b/>
            <sz val="9"/>
            <color indexed="81"/>
            <rFont val="Tahoma"/>
            <family val="2"/>
          </rPr>
          <t xml:space="preserve">If other variable expense, enter expense name. </t>
        </r>
      </text>
    </comment>
    <comment ref="D56" authorId="0" shapeId="0" xr:uid="{00000000-0006-0000-3B00-00008F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 shapeId="0" xr:uid="{00000000-0006-0000-3B00-000090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6" authorId="0" shapeId="0" xr:uid="{00000000-0006-0000-3B00-00009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0" shapeId="0" xr:uid="{00000000-0006-0000-3B00-000092000000}">
      <text>
        <r>
          <rPr>
            <b/>
            <sz val="9"/>
            <color indexed="81"/>
            <rFont val="Tahoma"/>
            <family val="2"/>
          </rPr>
          <t xml:space="preserve">If other variable expense, enter expense name. </t>
        </r>
      </text>
    </comment>
    <comment ref="D57" authorId="0" shapeId="0" xr:uid="{00000000-0006-0000-3B00-000093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7" authorId="0" shapeId="0" xr:uid="{00000000-0006-0000-3B00-000094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 shapeId="0" xr:uid="{00000000-0006-0000-3B00-00009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8" authorId="0" shapeId="0" xr:uid="{00000000-0006-0000-3B00-000096000000}">
      <text>
        <r>
          <rPr>
            <b/>
            <sz val="9"/>
            <color indexed="81"/>
            <rFont val="Tahoma"/>
            <family val="2"/>
          </rPr>
          <t xml:space="preserve">If other variable expense, enter expense name. </t>
        </r>
      </text>
    </comment>
    <comment ref="D58" authorId="0" shapeId="0" xr:uid="{00000000-0006-0000-3B00-000097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8" authorId="0" shapeId="0" xr:uid="{00000000-0006-0000-3B00-00009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F58" authorId="0" shapeId="0" xr:uid="{00000000-0006-0000-3B00-00009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 shapeId="0" xr:uid="{00000000-0006-0000-3B00-00009A000000}">
      <text>
        <r>
          <rPr>
            <b/>
            <sz val="9"/>
            <color indexed="81"/>
            <rFont val="Tahoma"/>
            <family val="2"/>
          </rPr>
          <t xml:space="preserve">If other variable expense, enter expense name. </t>
        </r>
      </text>
    </comment>
    <comment ref="D59" authorId="0" shapeId="0" xr:uid="{00000000-0006-0000-3B00-00009B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9" authorId="0" shapeId="0" xr:uid="{00000000-0006-0000-3B00-00009C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9" authorId="0" shapeId="0" xr:uid="{00000000-0006-0000-3B00-00009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1" authorId="0" shapeId="0" xr:uid="{00000000-0006-0000-3B00-00009E000000}">
      <text>
        <r>
          <rPr>
            <b/>
            <sz val="9"/>
            <color indexed="81"/>
            <rFont val="Tahoma"/>
            <family val="2"/>
          </rPr>
          <t>Interest Rate to Borrow Operating Funds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1" authorId="0" shapeId="0" xr:uid="{00000000-0006-0000-3B00-00009F000000}">
      <text>
        <r>
          <rPr>
            <b/>
            <sz val="9"/>
            <color indexed="81"/>
            <rFont val="Tahoma"/>
            <family val="2"/>
          </rPr>
          <t>Calculated from the total of the expenses listed above borrowed for 6 months at the interest rate entered to the left.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1" authorId="0" shapeId="0" xr:uid="{00000000-0006-0000-3B00-0000A0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1" authorId="0" shapeId="0" xr:uid="{00000000-0006-0000-3B00-0000A1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1" authorId="0" shapeId="0" xr:uid="{00000000-0006-0000-3B00-0000A2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2" authorId="0" shapeId="0" xr:uid="{00000000-0006-0000-3B00-0000A3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" authorId="0" shapeId="0" xr:uid="{00000000-0006-0000-3B00-0000A4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2" authorId="0" shapeId="0" xr:uid="{00000000-0006-0000-3B00-0000A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3" authorId="0" shapeId="0" xr:uid="{00000000-0006-0000-3B00-0000A600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E73" authorId="0" shapeId="0" xr:uid="{00000000-0006-0000-3B00-0000A7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3" authorId="0" shapeId="0" xr:uid="{00000000-0006-0000-3B00-0000A8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4" authorId="0" shapeId="0" xr:uid="{00000000-0006-0000-3B00-0000A900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E74" authorId="0" shapeId="0" xr:uid="{00000000-0006-0000-3B00-0000AA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4" authorId="0" shapeId="0" xr:uid="{00000000-0006-0000-3B00-0000AB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5" authorId="0" shapeId="0" xr:uid="{00000000-0006-0000-3B00-0000AC00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E75" authorId="0" shapeId="0" xr:uid="{00000000-0006-0000-3B00-0000AD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5" authorId="0" shapeId="0" xr:uid="{00000000-0006-0000-3B00-0000AE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6" authorId="0" shapeId="0" xr:uid="{00000000-0006-0000-3B00-0000AF00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E76" authorId="0" shapeId="0" xr:uid="{00000000-0006-0000-3B00-0000B0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6" authorId="0" shapeId="0" xr:uid="{00000000-0006-0000-3B00-0000B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7" authorId="0" shapeId="0" xr:uid="{00000000-0006-0000-3B00-0000B200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E77" authorId="0" shapeId="0" xr:uid="{00000000-0006-0000-3B00-0000B3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7" authorId="0" shapeId="0" xr:uid="{00000000-0006-0000-3B00-0000B4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8" authorId="0" shapeId="0" xr:uid="{00000000-0006-0000-3B00-0000B5000000}">
      <text>
        <r>
          <rPr>
            <b/>
            <sz val="9"/>
            <color indexed="81"/>
            <rFont val="Tahoma"/>
            <family val="2"/>
          </rPr>
          <t xml:space="preserve">If other fixed expense, enter expense name. </t>
        </r>
      </text>
    </comment>
    <comment ref="D78" authorId="0" shapeId="0" xr:uid="{00000000-0006-0000-3B00-0000B600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E78" authorId="0" shapeId="0" xr:uid="{00000000-0006-0000-3B00-0000B7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8" authorId="0" shapeId="0" xr:uid="{00000000-0006-0000-3B00-0000B8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9" authorId="0" shapeId="0" xr:uid="{00000000-0006-0000-3B00-0000B9000000}">
      <text>
        <r>
          <rPr>
            <b/>
            <sz val="9"/>
            <color indexed="81"/>
            <rFont val="Tahoma"/>
            <family val="2"/>
          </rPr>
          <t xml:space="preserve">If other fixed expense, enter expense name. </t>
        </r>
      </text>
    </comment>
    <comment ref="D79" authorId="0" shapeId="0" xr:uid="{00000000-0006-0000-3B00-0000BA00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E79" authorId="0" shapeId="0" xr:uid="{00000000-0006-0000-3B00-0000BB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9" authorId="0" shapeId="0" xr:uid="{00000000-0006-0000-3B00-0000BC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0" authorId="0" shapeId="0" xr:uid="{00000000-0006-0000-3B00-0000BD000000}">
      <text>
        <r>
          <rPr>
            <b/>
            <sz val="9"/>
            <color indexed="81"/>
            <rFont val="Tahoma"/>
            <family val="2"/>
          </rPr>
          <t xml:space="preserve">If other fixed expense, enter expense name. </t>
        </r>
      </text>
    </comment>
    <comment ref="D80" authorId="0" shapeId="0" xr:uid="{00000000-0006-0000-3B00-0000BE00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E80" authorId="0" shapeId="0" xr:uid="{00000000-0006-0000-3B00-0000BF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0" authorId="0" shapeId="0" xr:uid="{00000000-0006-0000-3B00-0000C0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1" authorId="0" shapeId="0" xr:uid="{00000000-0006-0000-3B00-0000C1000000}">
      <text>
        <r>
          <rPr>
            <b/>
            <sz val="9"/>
            <color indexed="81"/>
            <rFont val="Tahoma"/>
            <family val="2"/>
          </rPr>
          <t xml:space="preserve">If other fixed expense, enter expense name. </t>
        </r>
      </text>
    </comment>
    <comment ref="D81" authorId="0" shapeId="0" xr:uid="{00000000-0006-0000-3B00-0000C2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1" authorId="0" shapeId="0" xr:uid="{00000000-0006-0000-3B00-0000C3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1" authorId="0" shapeId="0" xr:uid="{00000000-0006-0000-3B00-0000C4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2" authorId="0" shapeId="0" xr:uid="{00000000-0006-0000-3B00-0000C5000000}">
      <text>
        <r>
          <rPr>
            <b/>
            <sz val="9"/>
            <color indexed="81"/>
            <rFont val="Tahoma"/>
            <family val="2"/>
          </rPr>
          <t xml:space="preserve">If other fixed expense, enter expense name. </t>
        </r>
      </text>
    </comment>
    <comment ref="D82" authorId="0" shapeId="0" xr:uid="{00000000-0006-0000-3B00-0000C600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2" authorId="0" shapeId="0" xr:uid="{00000000-0006-0000-3B00-0000C700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2" authorId="0" shapeId="0" xr:uid="{00000000-0006-0000-3B00-0000C8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7" authorId="0" shapeId="0" xr:uid="{00000000-0006-0000-3B00-0000C9000000}">
      <text>
        <r>
          <rPr>
            <b/>
            <sz val="9"/>
            <color indexed="81"/>
            <rFont val="Tahoma"/>
            <family val="2"/>
          </rPr>
          <t>Enter your weaning rate, animals weaned and sold or held as breeding replacements divided by breeding females in the herd or flock.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D5" authorId="0" shapeId="0" xr:uid="{00000000-0006-0000-3C00-000001000000}">
      <text>
        <r>
          <rPr>
            <b/>
            <sz val="9"/>
            <color indexed="81"/>
            <rFont val="Tahoma"/>
            <family val="2"/>
          </rPr>
          <t>Enter the number of acres used to grow this crop.  If necessary, enter a number less than 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 xr:uid="{00000000-0006-0000-3C00-000002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 xr:uid="{00000000-0006-0000-3C00-00000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9" authorId="0" shapeId="0" xr:uid="{00000000-0006-0000-3C00-00000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9" authorId="0" shapeId="0" xr:uid="{00000000-0006-0000-3C00-00000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3C00-000006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 xr:uid="{00000000-0006-0000-3C00-00000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0" authorId="0" shapeId="0" xr:uid="{00000000-0006-0000-3C00-00000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0" authorId="0" shapeId="0" xr:uid="{00000000-0006-0000-3C00-00000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3C00-00000A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3C00-00000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1" authorId="0" shapeId="0" xr:uid="{00000000-0006-0000-3C00-00000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1" authorId="0" shapeId="0" xr:uid="{00000000-0006-0000-3C00-00000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 xr:uid="{00000000-0006-0000-3C00-00000E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3C00-00000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2" authorId="0" shapeId="0" xr:uid="{00000000-0006-0000-3C00-00001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2" authorId="0" shapeId="0" xr:uid="{00000000-0006-0000-3C00-00001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 xr:uid="{00000000-0006-0000-3C00-000012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3C00-00001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3" authorId="0" shapeId="0" xr:uid="{00000000-0006-0000-3C00-00001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3" authorId="0" shapeId="0" xr:uid="{00000000-0006-0000-3C00-00001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 xr:uid="{00000000-0006-0000-3C00-000016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00000000-0006-0000-3C00-00001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4" authorId="0" shapeId="0" xr:uid="{00000000-0006-0000-3C00-00001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4" authorId="0" shapeId="0" xr:uid="{00000000-0006-0000-3C00-00001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 xr:uid="{00000000-0006-0000-3C00-00001A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3C00-00001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5" authorId="0" shapeId="0" xr:uid="{00000000-0006-0000-3C00-00001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5" authorId="0" shapeId="0" xr:uid="{00000000-0006-0000-3C00-00001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 xr:uid="{00000000-0006-0000-3C00-00001E000000}">
      <text>
        <r>
          <rPr>
            <b/>
            <sz val="9"/>
            <color indexed="81"/>
            <rFont val="Tahoma"/>
            <family val="2"/>
          </rPr>
          <t>Enter name of revenue item.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3C00-00001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6" authorId="0" shapeId="0" xr:uid="{00000000-0006-0000-3C00-00002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6" authorId="0" shapeId="0" xr:uid="{00000000-0006-0000-3C00-00002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" authorId="0" shapeId="0" xr:uid="{00000000-0006-0000-3C00-000022000000}">
      <text>
        <r>
          <rPr>
            <b/>
            <sz val="9"/>
            <color indexed="81"/>
            <rFont val="Tahoma"/>
            <family val="2"/>
          </rPr>
          <t>Enter name of custom field operation.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 xr:uid="{00000000-0006-0000-3C00-00002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24" authorId="0" shapeId="0" xr:uid="{00000000-0006-0000-3C00-00002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24" authorId="0" shapeId="0" xr:uid="{00000000-0006-0000-3C00-00002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 shapeId="0" xr:uid="{00000000-0006-0000-3C00-000026000000}">
      <text>
        <r>
          <rPr>
            <b/>
            <sz val="9"/>
            <color indexed="81"/>
            <rFont val="Tahoma"/>
            <family val="2"/>
          </rPr>
          <t>Enter name of custom field operation.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 xr:uid="{00000000-0006-0000-3C00-00002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25" authorId="0" shapeId="0" xr:uid="{00000000-0006-0000-3C00-00002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25" authorId="0" shapeId="0" xr:uid="{00000000-0006-0000-3C00-00002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 xr:uid="{00000000-0006-0000-3C00-00002A000000}">
      <text>
        <r>
          <rPr>
            <b/>
            <sz val="9"/>
            <color indexed="81"/>
            <rFont val="Tahoma"/>
            <family val="2"/>
          </rPr>
          <t>Enter name of custom field operation.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 xr:uid="{00000000-0006-0000-3C00-00002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26" authorId="0" shapeId="0" xr:uid="{00000000-0006-0000-3C00-00002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26" authorId="0" shapeId="0" xr:uid="{00000000-0006-0000-3C00-00002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 xr:uid="{00000000-0006-0000-3C00-00002E000000}">
      <text>
        <r>
          <rPr>
            <b/>
            <sz val="9"/>
            <color indexed="81"/>
            <rFont val="Tahoma"/>
            <family val="2"/>
          </rPr>
          <t>Enter name of custom field operation.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 xr:uid="{00000000-0006-0000-3C00-00002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27" authorId="0" shapeId="0" xr:uid="{00000000-0006-0000-3C00-00003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27" authorId="0" shapeId="0" xr:uid="{00000000-0006-0000-3C00-00003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 xr:uid="{00000000-0006-0000-3C00-000032000000}">
      <text>
        <r>
          <rPr>
            <b/>
            <sz val="9"/>
            <color indexed="81"/>
            <rFont val="Tahoma"/>
            <family val="2"/>
          </rPr>
          <t>Enter name of custom field operation.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 xr:uid="{00000000-0006-0000-3C00-00003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28" authorId="0" shapeId="0" xr:uid="{00000000-0006-0000-3C00-00003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28" authorId="0" shapeId="0" xr:uid="{00000000-0006-0000-3C00-00003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 xr:uid="{00000000-0006-0000-3C00-000036000000}">
      <text>
        <r>
          <rPr>
            <b/>
            <sz val="9"/>
            <color indexed="81"/>
            <rFont val="Tahoma"/>
            <family val="2"/>
          </rPr>
          <t>Enter name of custom field operation.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0" shapeId="0" xr:uid="{00000000-0006-0000-3C00-00003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29" authorId="0" shapeId="0" xr:uid="{00000000-0006-0000-3C00-00003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29" authorId="0" shapeId="0" xr:uid="{00000000-0006-0000-3C00-00003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 xr:uid="{00000000-0006-0000-3C00-00003A000000}">
      <text>
        <r>
          <rPr>
            <b/>
            <sz val="9"/>
            <color indexed="81"/>
            <rFont val="Tahoma"/>
            <family val="2"/>
          </rPr>
          <t>Enter name of machinery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00000000-0006-0000-3C00-00003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31" authorId="0" shapeId="0" xr:uid="{00000000-0006-0000-3C00-00003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31" authorId="0" shapeId="0" xr:uid="{00000000-0006-0000-3C00-00003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 shapeId="0" xr:uid="{00000000-0006-0000-3C00-00003E000000}">
      <text>
        <r>
          <rPr>
            <b/>
            <sz val="9"/>
            <color indexed="81"/>
            <rFont val="Tahoma"/>
            <family val="2"/>
          </rPr>
          <t>Enter name of custom field operation.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 shapeId="0" xr:uid="{00000000-0006-0000-3C00-00003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32" authorId="0" shapeId="0" xr:uid="{00000000-0006-0000-3C00-00004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32" authorId="0" shapeId="0" xr:uid="{00000000-0006-0000-3C00-00004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 xr:uid="{00000000-0006-0000-3C00-000042000000}">
      <text>
        <r>
          <rPr>
            <b/>
            <sz val="9"/>
            <color indexed="81"/>
            <rFont val="Tahoma"/>
            <family val="2"/>
          </rPr>
          <t>Enter name of custom field operation.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 xr:uid="{00000000-0006-0000-3C00-00004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33" authorId="0" shapeId="0" xr:uid="{00000000-0006-0000-3C00-00004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33" authorId="0" shapeId="0" xr:uid="{00000000-0006-0000-3C00-00004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0" shapeId="0" xr:uid="{00000000-0006-0000-3C00-000046000000}">
      <text>
        <r>
          <rPr>
            <b/>
            <sz val="9"/>
            <color indexed="81"/>
            <rFont val="Tahoma"/>
            <family val="2"/>
          </rPr>
          <t>Enter name of custom field operation.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 shapeId="0" xr:uid="{00000000-0006-0000-3C00-00004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34" authorId="0" shapeId="0" xr:uid="{00000000-0006-0000-3C00-00004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34" authorId="0" shapeId="0" xr:uid="{00000000-0006-0000-3C00-00004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" authorId="0" shapeId="0" xr:uid="{00000000-0006-0000-3C00-00004A000000}">
      <text>
        <r>
          <rPr>
            <b/>
            <sz val="9"/>
            <color indexed="81"/>
            <rFont val="Tahoma"/>
            <family val="2"/>
          </rPr>
          <t>Enter name of custom field operation.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0" shapeId="0" xr:uid="{00000000-0006-0000-3C00-00004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35" authorId="0" shapeId="0" xr:uid="{00000000-0006-0000-3C00-00004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35" authorId="0" shapeId="0" xr:uid="{00000000-0006-0000-3C00-00004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 shapeId="0" xr:uid="{00000000-0006-0000-3C00-00004E000000}">
      <text>
        <r>
          <rPr>
            <b/>
            <sz val="9"/>
            <color indexed="81"/>
            <rFont val="Tahoma"/>
            <family val="2"/>
          </rPr>
          <t>Enter name of custom field operation.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6" authorId="0" shapeId="0" xr:uid="{00000000-0006-0000-3C00-00004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36" authorId="0" shapeId="0" xr:uid="{00000000-0006-0000-3C00-00005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36" authorId="0" shapeId="0" xr:uid="{00000000-0006-0000-3C00-00005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8" authorId="0" shapeId="0" xr:uid="{00000000-0006-0000-3C00-000052000000}">
      <text>
        <r>
          <rPr>
            <b/>
            <sz val="9"/>
            <color indexed="81"/>
            <rFont val="Tahoma"/>
            <family val="2"/>
          </rPr>
          <t>Enter name of labor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 xr:uid="{00000000-0006-0000-3C00-00005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38" authorId="0" shapeId="0" xr:uid="{00000000-0006-0000-3C00-00005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38" authorId="0" shapeId="0" xr:uid="{00000000-0006-0000-3C00-00005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 xr:uid="{00000000-0006-0000-3C00-000056000000}">
      <text>
        <r>
          <rPr>
            <b/>
            <sz val="9"/>
            <color indexed="81"/>
            <rFont val="Tahoma"/>
            <family val="2"/>
          </rPr>
          <t>Enter name of labor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3C00-00005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39" authorId="0" shapeId="0" xr:uid="{00000000-0006-0000-3C00-00005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39" authorId="0" shapeId="0" xr:uid="{00000000-0006-0000-3C00-00005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" authorId="0" shapeId="0" xr:uid="{00000000-0006-0000-3C00-00005A000000}">
      <text>
        <r>
          <rPr>
            <b/>
            <sz val="9"/>
            <color indexed="81"/>
            <rFont val="Tahoma"/>
            <family val="2"/>
          </rPr>
          <t>Enter name of labor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00000000-0006-0000-3C00-00005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40" authorId="0" shapeId="0" xr:uid="{00000000-0006-0000-3C00-00005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40" authorId="0" shapeId="0" xr:uid="{00000000-0006-0000-3C00-00005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 xr:uid="{00000000-0006-0000-3C00-00005E000000}">
      <text>
        <r>
          <rPr>
            <b/>
            <sz val="9"/>
            <color indexed="81"/>
            <rFont val="Tahoma"/>
            <family val="2"/>
          </rPr>
          <t>Enter name of labor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3C00-00005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41" authorId="0" shapeId="0" xr:uid="{00000000-0006-0000-3C00-00006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41" authorId="0" shapeId="0" xr:uid="{00000000-0006-0000-3C00-00006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 xr:uid="{00000000-0006-0000-3C00-000062000000}">
      <text>
        <r>
          <rPr>
            <b/>
            <sz val="9"/>
            <color indexed="81"/>
            <rFont val="Tahoma"/>
            <family val="2"/>
          </rPr>
          <t>Enter name of labor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00000000-0006-0000-3C00-00006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42" authorId="0" shapeId="0" xr:uid="{00000000-0006-0000-3C00-00006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42" authorId="0" shapeId="0" xr:uid="{00000000-0006-0000-3C00-00006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 xr:uid="{00000000-0006-0000-3C00-000066000000}">
      <text>
        <r>
          <rPr>
            <b/>
            <sz val="9"/>
            <color indexed="81"/>
            <rFont val="Tahoma"/>
            <family val="2"/>
          </rPr>
          <t>Enter name of labor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3C00-00006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43" authorId="0" shapeId="0" xr:uid="{00000000-0006-0000-3C00-00006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43" authorId="0" shapeId="0" xr:uid="{00000000-0006-0000-3C00-00006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" authorId="0" shapeId="0" xr:uid="{00000000-0006-0000-3C00-00006A000000}">
      <text>
        <r>
          <rPr>
            <b/>
            <sz val="9"/>
            <color indexed="81"/>
            <rFont val="Tahoma"/>
            <family val="2"/>
          </rPr>
          <t>Enter name of seed or transplant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 shapeId="0" xr:uid="{00000000-0006-0000-3C00-00006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45" authorId="0" shapeId="0" xr:uid="{00000000-0006-0000-3C00-00006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45" authorId="0" shapeId="0" xr:uid="{00000000-0006-0000-3C00-00006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0" shapeId="0" xr:uid="{00000000-0006-0000-3C00-00006E000000}">
      <text>
        <r>
          <rPr>
            <b/>
            <sz val="9"/>
            <color indexed="81"/>
            <rFont val="Tahoma"/>
            <family val="2"/>
          </rPr>
          <t>Enter name of seed or transplant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 shapeId="0" xr:uid="{00000000-0006-0000-3C00-00006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46" authorId="0" shapeId="0" xr:uid="{00000000-0006-0000-3C00-00007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46" authorId="0" shapeId="0" xr:uid="{00000000-0006-0000-3C00-00007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 shapeId="0" xr:uid="{00000000-0006-0000-3C00-000072000000}">
      <text>
        <r>
          <rPr>
            <b/>
            <sz val="9"/>
            <color indexed="81"/>
            <rFont val="Tahoma"/>
            <family val="2"/>
          </rPr>
          <t>Enter name of seed or transplant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 shapeId="0" xr:uid="{00000000-0006-0000-3C00-00007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47" authorId="0" shapeId="0" xr:uid="{00000000-0006-0000-3C00-00007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47" authorId="0" shapeId="0" xr:uid="{00000000-0006-0000-3C00-00007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 xr:uid="{00000000-0006-0000-3C00-000076000000}">
      <text>
        <r>
          <rPr>
            <b/>
            <sz val="9"/>
            <color indexed="81"/>
            <rFont val="Tahoma"/>
            <family val="2"/>
          </rPr>
          <t>Enter name of seed or transplant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0" shapeId="0" xr:uid="{00000000-0006-0000-3C00-00007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48" authorId="0" shapeId="0" xr:uid="{00000000-0006-0000-3C00-00007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48" authorId="0" shapeId="0" xr:uid="{00000000-0006-0000-3C00-00007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 shapeId="0" xr:uid="{00000000-0006-0000-3C00-00007A000000}">
      <text>
        <r>
          <rPr>
            <b/>
            <sz val="9"/>
            <color indexed="81"/>
            <rFont val="Tahoma"/>
            <family val="2"/>
          </rPr>
          <t>Enter name of seed or transplant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0" shapeId="0" xr:uid="{00000000-0006-0000-3C00-00007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49" authorId="0" shapeId="0" xr:uid="{00000000-0006-0000-3C00-00007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49" authorId="0" shapeId="0" xr:uid="{00000000-0006-0000-3C00-00007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0" authorId="0" shapeId="0" xr:uid="{00000000-0006-0000-3C00-00007E000000}">
      <text>
        <r>
          <rPr>
            <b/>
            <sz val="9"/>
            <color indexed="81"/>
            <rFont val="Tahoma"/>
            <family val="2"/>
          </rPr>
          <t>Enter name of seed or transplant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 shapeId="0" xr:uid="{00000000-0006-0000-3C00-00007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50" authorId="0" shapeId="0" xr:uid="{00000000-0006-0000-3C00-00008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50" authorId="0" shapeId="0" xr:uid="{00000000-0006-0000-3C00-00008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2" authorId="0" shapeId="0" xr:uid="{00000000-0006-0000-3C00-000082000000}">
      <text>
        <r>
          <rPr>
            <b/>
            <sz val="9"/>
            <color indexed="81"/>
            <rFont val="Tahoma"/>
            <family val="2"/>
          </rPr>
          <t>Enter name of fertilizer or lime.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 shapeId="0" xr:uid="{00000000-0006-0000-3C00-00008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52" authorId="0" shapeId="0" xr:uid="{00000000-0006-0000-3C00-00008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52" authorId="0" shapeId="0" xr:uid="{00000000-0006-0000-3C00-00008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0" shapeId="0" xr:uid="{00000000-0006-0000-3C00-000086000000}">
      <text>
        <r>
          <rPr>
            <b/>
            <sz val="9"/>
            <color indexed="81"/>
            <rFont val="Tahoma"/>
            <family val="2"/>
          </rPr>
          <t>Enter name of fertilizer or lime.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 xr:uid="{00000000-0006-0000-3C00-00008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53" authorId="0" shapeId="0" xr:uid="{00000000-0006-0000-3C00-00008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53" authorId="0" shapeId="0" xr:uid="{00000000-0006-0000-3C00-00008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4" authorId="0" shapeId="0" xr:uid="{00000000-0006-0000-3C00-00008A000000}">
      <text>
        <r>
          <rPr>
            <b/>
            <sz val="9"/>
            <color indexed="81"/>
            <rFont val="Tahoma"/>
            <family val="2"/>
          </rPr>
          <t>Enter name of fertilizer or lime.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 xr:uid="{00000000-0006-0000-3C00-00008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54" authorId="0" shapeId="0" xr:uid="{00000000-0006-0000-3C00-00008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54" authorId="0" shapeId="0" xr:uid="{00000000-0006-0000-3C00-00008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5" authorId="0" shapeId="0" xr:uid="{00000000-0006-0000-3C00-00008E000000}">
      <text>
        <r>
          <rPr>
            <b/>
            <sz val="9"/>
            <color indexed="81"/>
            <rFont val="Tahoma"/>
            <family val="2"/>
          </rPr>
          <t>Enter name of fertilizer or lime.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" authorId="0" shapeId="0" xr:uid="{00000000-0006-0000-3C00-00008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55" authorId="0" shapeId="0" xr:uid="{00000000-0006-0000-3C00-00009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55" authorId="0" shapeId="0" xr:uid="{00000000-0006-0000-3C00-00009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6" authorId="0" shapeId="0" xr:uid="{00000000-0006-0000-3C00-000092000000}">
      <text>
        <r>
          <rPr>
            <b/>
            <sz val="9"/>
            <color indexed="81"/>
            <rFont val="Tahoma"/>
            <family val="2"/>
          </rPr>
          <t>Enter name of fertilizer or lime.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6" authorId="0" shapeId="0" xr:uid="{00000000-0006-0000-3C00-00009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56" authorId="0" shapeId="0" xr:uid="{00000000-0006-0000-3C00-00009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56" authorId="0" shapeId="0" xr:uid="{00000000-0006-0000-3C00-00009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7" authorId="0" shapeId="0" xr:uid="{00000000-0006-0000-3C00-000096000000}">
      <text>
        <r>
          <rPr>
            <b/>
            <sz val="9"/>
            <color indexed="81"/>
            <rFont val="Tahoma"/>
            <family val="2"/>
          </rPr>
          <t>Enter name of fertilizer or lime.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7" authorId="0" shapeId="0" xr:uid="{00000000-0006-0000-3C00-00009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57" authorId="0" shapeId="0" xr:uid="{00000000-0006-0000-3C00-00009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57" authorId="0" shapeId="0" xr:uid="{00000000-0006-0000-3C00-00009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8" authorId="0" shapeId="0" xr:uid="{00000000-0006-0000-3C00-00009A000000}">
      <text>
        <r>
          <rPr>
            <b/>
            <sz val="9"/>
            <color indexed="81"/>
            <rFont val="Tahoma"/>
            <family val="2"/>
          </rPr>
          <t>Enter name of fertilizer or lime.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8" authorId="0" shapeId="0" xr:uid="{00000000-0006-0000-3C00-00009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58" authorId="0" shapeId="0" xr:uid="{00000000-0006-0000-3C00-00009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58" authorId="0" shapeId="0" xr:uid="{00000000-0006-0000-3C00-00009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 shapeId="0" xr:uid="{00000000-0006-0000-3C00-00009E000000}">
      <text>
        <r>
          <rPr>
            <b/>
            <sz val="9"/>
            <color indexed="81"/>
            <rFont val="Tahoma"/>
            <family val="2"/>
          </rPr>
          <t>Enter name of fertilizer or lime.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 shapeId="0" xr:uid="{00000000-0006-0000-3C00-00009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59" authorId="0" shapeId="0" xr:uid="{00000000-0006-0000-3C00-0000A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59" authorId="0" shapeId="0" xr:uid="{00000000-0006-0000-3C00-0000A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1" authorId="0" shapeId="0" xr:uid="{00000000-0006-0000-3C00-0000A2000000}">
      <text>
        <r>
          <rPr>
            <b/>
            <sz val="9"/>
            <color indexed="81"/>
            <rFont val="Tahoma"/>
            <family val="2"/>
          </rPr>
          <t>Enter name of herbicide.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" authorId="0" shapeId="0" xr:uid="{00000000-0006-0000-3C00-0000A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61" authorId="0" shapeId="0" xr:uid="{00000000-0006-0000-3C00-0000A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61" authorId="0" shapeId="0" xr:uid="{00000000-0006-0000-3C00-0000A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2" authorId="0" shapeId="0" xr:uid="{00000000-0006-0000-3C00-0000A6000000}">
      <text>
        <r>
          <rPr>
            <b/>
            <sz val="9"/>
            <color indexed="81"/>
            <rFont val="Tahoma"/>
            <family val="2"/>
          </rPr>
          <t>Enter name of herbicide.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2" authorId="0" shapeId="0" xr:uid="{00000000-0006-0000-3C00-0000A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62" authorId="0" shapeId="0" xr:uid="{00000000-0006-0000-3C00-0000A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62" authorId="0" shapeId="0" xr:uid="{00000000-0006-0000-3C00-0000A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3" authorId="0" shapeId="0" xr:uid="{00000000-0006-0000-3C00-0000AA000000}">
      <text>
        <r>
          <rPr>
            <b/>
            <sz val="9"/>
            <color indexed="81"/>
            <rFont val="Tahoma"/>
            <family val="2"/>
          </rPr>
          <t>Enter name of herbicide.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 shapeId="0" xr:uid="{00000000-0006-0000-3C00-0000A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63" authorId="0" shapeId="0" xr:uid="{00000000-0006-0000-3C00-0000A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63" authorId="0" shapeId="0" xr:uid="{00000000-0006-0000-3C00-0000A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4" authorId="0" shapeId="0" xr:uid="{00000000-0006-0000-3C00-0000AE000000}">
      <text>
        <r>
          <rPr>
            <b/>
            <sz val="9"/>
            <color indexed="81"/>
            <rFont val="Tahoma"/>
            <family val="2"/>
          </rPr>
          <t>Enter name of herbicide.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4" authorId="0" shapeId="0" xr:uid="{00000000-0006-0000-3C00-0000A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64" authorId="0" shapeId="0" xr:uid="{00000000-0006-0000-3C00-0000B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64" authorId="0" shapeId="0" xr:uid="{00000000-0006-0000-3C00-0000B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5" authorId="0" shapeId="0" xr:uid="{00000000-0006-0000-3C00-0000B2000000}">
      <text>
        <r>
          <rPr>
            <b/>
            <sz val="9"/>
            <color indexed="81"/>
            <rFont val="Tahoma"/>
            <family val="2"/>
          </rPr>
          <t>Enter name of herbicide.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0" shapeId="0" xr:uid="{00000000-0006-0000-3C00-0000B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65" authorId="0" shapeId="0" xr:uid="{00000000-0006-0000-3C00-0000B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65" authorId="0" shapeId="0" xr:uid="{00000000-0006-0000-3C00-0000B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6" authorId="0" shapeId="0" xr:uid="{00000000-0006-0000-3C00-0000B6000000}">
      <text>
        <r>
          <rPr>
            <b/>
            <sz val="9"/>
            <color indexed="81"/>
            <rFont val="Tahoma"/>
            <family val="2"/>
          </rPr>
          <t>Enter name of herbicide.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6" authorId="0" shapeId="0" xr:uid="{00000000-0006-0000-3C00-0000B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66" authorId="0" shapeId="0" xr:uid="{00000000-0006-0000-3C00-0000B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66" authorId="0" shapeId="0" xr:uid="{00000000-0006-0000-3C00-0000B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8" authorId="0" shapeId="0" xr:uid="{00000000-0006-0000-3C00-0000BA000000}">
      <text>
        <r>
          <rPr>
            <b/>
            <sz val="9"/>
            <color indexed="81"/>
            <rFont val="Tahoma"/>
            <family val="2"/>
          </rPr>
          <t>Enter name of insecticide.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8" authorId="0" shapeId="0" xr:uid="{00000000-0006-0000-3C00-0000B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68" authorId="0" shapeId="0" xr:uid="{00000000-0006-0000-3C00-0000B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68" authorId="0" shapeId="0" xr:uid="{00000000-0006-0000-3C00-0000B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9" authorId="0" shapeId="0" xr:uid="{00000000-0006-0000-3C00-0000BE000000}">
      <text>
        <r>
          <rPr>
            <b/>
            <sz val="9"/>
            <color indexed="81"/>
            <rFont val="Tahoma"/>
            <family val="2"/>
          </rPr>
          <t>Enter name of insecticide.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9" authorId="0" shapeId="0" xr:uid="{00000000-0006-0000-3C00-0000B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69" authorId="0" shapeId="0" xr:uid="{00000000-0006-0000-3C00-0000C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69" authorId="0" shapeId="0" xr:uid="{00000000-0006-0000-3C00-0000C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0" authorId="0" shapeId="0" xr:uid="{00000000-0006-0000-3C00-0000C2000000}">
      <text>
        <r>
          <rPr>
            <b/>
            <sz val="9"/>
            <color indexed="81"/>
            <rFont val="Tahoma"/>
            <family val="2"/>
          </rPr>
          <t>Enter name of insecticide.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0" authorId="0" shapeId="0" xr:uid="{00000000-0006-0000-3C00-0000C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70" authorId="0" shapeId="0" xr:uid="{00000000-0006-0000-3C00-0000C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70" authorId="0" shapeId="0" xr:uid="{00000000-0006-0000-3C00-0000C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1" authorId="0" shapeId="0" xr:uid="{00000000-0006-0000-3C00-0000C6000000}">
      <text>
        <r>
          <rPr>
            <b/>
            <sz val="9"/>
            <color indexed="81"/>
            <rFont val="Tahoma"/>
            <family val="2"/>
          </rPr>
          <t>Enter name of insecticide.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1" authorId="0" shapeId="0" xr:uid="{00000000-0006-0000-3C00-0000C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71" authorId="0" shapeId="0" xr:uid="{00000000-0006-0000-3C00-0000C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71" authorId="0" shapeId="0" xr:uid="{00000000-0006-0000-3C00-0000C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2" authorId="0" shapeId="0" xr:uid="{00000000-0006-0000-3C00-0000CA000000}">
      <text>
        <r>
          <rPr>
            <b/>
            <sz val="9"/>
            <color indexed="81"/>
            <rFont val="Tahoma"/>
            <family val="2"/>
          </rPr>
          <t>Enter name of insecticide.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2" authorId="0" shapeId="0" xr:uid="{00000000-0006-0000-3C00-0000C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72" authorId="0" shapeId="0" xr:uid="{00000000-0006-0000-3C00-0000C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72" authorId="0" shapeId="0" xr:uid="{00000000-0006-0000-3C00-0000C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3" authorId="0" shapeId="0" xr:uid="{00000000-0006-0000-3C00-0000CE000000}">
      <text>
        <r>
          <rPr>
            <b/>
            <sz val="9"/>
            <color indexed="81"/>
            <rFont val="Tahoma"/>
            <family val="2"/>
          </rPr>
          <t>Enter name of insecticide.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 shapeId="0" xr:uid="{00000000-0006-0000-3C00-0000C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73" authorId="0" shapeId="0" xr:uid="{00000000-0006-0000-3C00-0000D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73" authorId="0" shapeId="0" xr:uid="{00000000-0006-0000-3C00-0000D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5" authorId="0" shapeId="0" xr:uid="{00000000-0006-0000-3C00-0000D2000000}">
      <text>
        <r>
          <rPr>
            <b/>
            <sz val="9"/>
            <color indexed="81"/>
            <rFont val="Tahoma"/>
            <family val="2"/>
          </rPr>
          <t>Enter name of fungicide.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5" authorId="0" shapeId="0" xr:uid="{00000000-0006-0000-3C00-0000D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75" authorId="0" shapeId="0" xr:uid="{00000000-0006-0000-3C00-0000D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75" authorId="0" shapeId="0" xr:uid="{00000000-0006-0000-3C00-0000D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6" authorId="0" shapeId="0" xr:uid="{00000000-0006-0000-3C00-0000D6000000}">
      <text>
        <r>
          <rPr>
            <b/>
            <sz val="9"/>
            <color indexed="81"/>
            <rFont val="Tahoma"/>
            <family val="2"/>
          </rPr>
          <t>Enter name of fungicide.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6" authorId="0" shapeId="0" xr:uid="{00000000-0006-0000-3C00-0000D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76" authorId="0" shapeId="0" xr:uid="{00000000-0006-0000-3C00-0000D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76" authorId="0" shapeId="0" xr:uid="{00000000-0006-0000-3C00-0000D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7" authorId="0" shapeId="0" xr:uid="{00000000-0006-0000-3C00-0000DA000000}">
      <text>
        <r>
          <rPr>
            <b/>
            <sz val="9"/>
            <color indexed="81"/>
            <rFont val="Tahoma"/>
            <family val="2"/>
          </rPr>
          <t>Enter name of fungicide.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7" authorId="0" shapeId="0" xr:uid="{00000000-0006-0000-3C00-0000D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77" authorId="0" shapeId="0" xr:uid="{00000000-0006-0000-3C00-0000D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77" authorId="0" shapeId="0" xr:uid="{00000000-0006-0000-3C00-0000D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8" authorId="0" shapeId="0" xr:uid="{00000000-0006-0000-3C00-0000DE000000}">
      <text>
        <r>
          <rPr>
            <b/>
            <sz val="9"/>
            <color indexed="81"/>
            <rFont val="Tahoma"/>
            <family val="2"/>
          </rPr>
          <t>Enter name of fungicide.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8" authorId="0" shapeId="0" xr:uid="{00000000-0006-0000-3C00-0000D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78" authorId="0" shapeId="0" xr:uid="{00000000-0006-0000-3C00-0000E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78" authorId="0" shapeId="0" xr:uid="{00000000-0006-0000-3C00-0000E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9" authorId="0" shapeId="0" xr:uid="{00000000-0006-0000-3C00-0000E2000000}">
      <text>
        <r>
          <rPr>
            <b/>
            <sz val="9"/>
            <color indexed="81"/>
            <rFont val="Tahoma"/>
            <family val="2"/>
          </rPr>
          <t>Enter name of fungicide.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9" authorId="0" shapeId="0" xr:uid="{00000000-0006-0000-3C00-0000E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79" authorId="0" shapeId="0" xr:uid="{00000000-0006-0000-3C00-0000E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79" authorId="0" shapeId="0" xr:uid="{00000000-0006-0000-3C00-0000E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0" authorId="0" shapeId="0" xr:uid="{00000000-0006-0000-3C00-0000E6000000}">
      <text>
        <r>
          <rPr>
            <b/>
            <sz val="9"/>
            <color indexed="81"/>
            <rFont val="Tahoma"/>
            <family val="2"/>
          </rPr>
          <t>Enter name of fungicide.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0" authorId="0" shapeId="0" xr:uid="{00000000-0006-0000-3C00-0000E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80" authorId="0" shapeId="0" xr:uid="{00000000-0006-0000-3C00-0000E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80" authorId="0" shapeId="0" xr:uid="{00000000-0006-0000-3C00-0000E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2" authorId="0" shapeId="0" xr:uid="{00000000-0006-0000-3C00-0000EA000000}">
      <text>
        <r>
          <rPr>
            <b/>
            <sz val="9"/>
            <color indexed="81"/>
            <rFont val="Tahoma"/>
            <family val="2"/>
          </rPr>
          <t>Enter name of growth regulator.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0" shapeId="0" xr:uid="{00000000-0006-0000-3C00-0000E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82" authorId="0" shapeId="0" xr:uid="{00000000-0006-0000-3C00-0000E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82" authorId="0" shapeId="0" xr:uid="{00000000-0006-0000-3C00-0000E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3" authorId="0" shapeId="0" xr:uid="{00000000-0006-0000-3C00-0000EE000000}">
      <text>
        <r>
          <rPr>
            <b/>
            <sz val="9"/>
            <color indexed="81"/>
            <rFont val="Tahoma"/>
            <family val="2"/>
          </rPr>
          <t>Enter name of growth regulator.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3" authorId="0" shapeId="0" xr:uid="{00000000-0006-0000-3C00-0000E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83" authorId="0" shapeId="0" xr:uid="{00000000-0006-0000-3C00-0000F0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83" authorId="0" shapeId="0" xr:uid="{00000000-0006-0000-3C00-0000F1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4" authorId="0" shapeId="0" xr:uid="{00000000-0006-0000-3C00-0000F2000000}">
      <text>
        <r>
          <rPr>
            <b/>
            <sz val="9"/>
            <color indexed="81"/>
            <rFont val="Tahoma"/>
            <family val="2"/>
          </rPr>
          <t>Enter name of growth regulator.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4" authorId="0" shapeId="0" xr:uid="{00000000-0006-0000-3C00-0000F3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84" authorId="0" shapeId="0" xr:uid="{00000000-0006-0000-3C00-0000F4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84" authorId="0" shapeId="0" xr:uid="{00000000-0006-0000-3C00-0000F5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5" authorId="0" shapeId="0" xr:uid="{00000000-0006-0000-3C00-0000F6000000}">
      <text>
        <r>
          <rPr>
            <b/>
            <sz val="9"/>
            <color indexed="81"/>
            <rFont val="Tahoma"/>
            <family val="2"/>
          </rPr>
          <t>Enter name of growth regulator.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0" shapeId="0" xr:uid="{00000000-0006-0000-3C00-0000F7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85" authorId="0" shapeId="0" xr:uid="{00000000-0006-0000-3C00-0000F8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85" authorId="0" shapeId="0" xr:uid="{00000000-0006-0000-3C00-0000F9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6" authorId="0" shapeId="0" xr:uid="{00000000-0006-0000-3C00-0000FA000000}">
      <text>
        <r>
          <rPr>
            <b/>
            <sz val="9"/>
            <color indexed="81"/>
            <rFont val="Tahoma"/>
            <family val="2"/>
          </rPr>
          <t>Enter name of growth regulator.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6" authorId="0" shapeId="0" xr:uid="{00000000-0006-0000-3C00-0000FB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86" authorId="0" shapeId="0" xr:uid="{00000000-0006-0000-3C00-0000FC00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86" authorId="0" shapeId="0" xr:uid="{00000000-0006-0000-3C00-0000FD00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7" authorId="0" shapeId="0" xr:uid="{00000000-0006-0000-3C00-0000FE000000}">
      <text>
        <r>
          <rPr>
            <b/>
            <sz val="9"/>
            <color indexed="81"/>
            <rFont val="Tahoma"/>
            <family val="2"/>
          </rPr>
          <t>Enter name of growth regulator.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7" authorId="0" shapeId="0" xr:uid="{00000000-0006-0000-3C00-0000FF00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87" authorId="0" shapeId="0" xr:uid="{00000000-0006-0000-3C00-000000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87" authorId="0" shapeId="0" xr:uid="{00000000-0006-0000-3C00-000001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9" authorId="0" shapeId="0" xr:uid="{00000000-0006-0000-3C00-000002010000}">
      <text>
        <r>
          <rPr>
            <b/>
            <sz val="9"/>
            <color indexed="81"/>
            <rFont val="Tahoma"/>
            <family val="2"/>
          </rPr>
          <t>Enter name of other chemical.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9" authorId="0" shapeId="0" xr:uid="{00000000-0006-0000-3C00-000003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89" authorId="0" shapeId="0" xr:uid="{00000000-0006-0000-3C00-000004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89" authorId="0" shapeId="0" xr:uid="{00000000-0006-0000-3C00-000005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0" authorId="0" shapeId="0" xr:uid="{00000000-0006-0000-3C00-000006010000}">
      <text>
        <r>
          <rPr>
            <b/>
            <sz val="9"/>
            <color indexed="81"/>
            <rFont val="Tahoma"/>
            <family val="2"/>
          </rPr>
          <t>Enter name of other chemical.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0" authorId="0" shapeId="0" xr:uid="{00000000-0006-0000-3C00-000007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90" authorId="0" shapeId="0" xr:uid="{00000000-0006-0000-3C00-000008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90" authorId="0" shapeId="0" xr:uid="{00000000-0006-0000-3C00-000009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1" authorId="0" shapeId="0" xr:uid="{00000000-0006-0000-3C00-00000A010000}">
      <text>
        <r>
          <rPr>
            <b/>
            <sz val="9"/>
            <color indexed="81"/>
            <rFont val="Tahoma"/>
            <family val="2"/>
          </rPr>
          <t>Enter name of other chemical.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0" shapeId="0" xr:uid="{00000000-0006-0000-3C00-00000B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91" authorId="0" shapeId="0" xr:uid="{00000000-0006-0000-3C00-00000C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91" authorId="0" shapeId="0" xr:uid="{00000000-0006-0000-3C00-00000D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2" authorId="0" shapeId="0" xr:uid="{00000000-0006-0000-3C00-00000E010000}">
      <text>
        <r>
          <rPr>
            <b/>
            <sz val="9"/>
            <color indexed="81"/>
            <rFont val="Tahoma"/>
            <family val="2"/>
          </rPr>
          <t>Enter name of other chemical.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2" authorId="0" shapeId="0" xr:uid="{00000000-0006-0000-3C00-00000F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92" authorId="0" shapeId="0" xr:uid="{00000000-0006-0000-3C00-000010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92" authorId="0" shapeId="0" xr:uid="{00000000-0006-0000-3C00-000011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3" authorId="0" shapeId="0" xr:uid="{00000000-0006-0000-3C00-000012010000}">
      <text>
        <r>
          <rPr>
            <b/>
            <sz val="9"/>
            <color indexed="81"/>
            <rFont val="Tahoma"/>
            <family val="2"/>
          </rPr>
          <t>Enter name of other chemical.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3" authorId="0" shapeId="0" xr:uid="{00000000-0006-0000-3C00-000013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93" authorId="0" shapeId="0" xr:uid="{00000000-0006-0000-3C00-000014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93" authorId="0" shapeId="0" xr:uid="{00000000-0006-0000-3C00-000015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4" authorId="0" shapeId="0" xr:uid="{00000000-0006-0000-3C00-000016010000}">
      <text>
        <r>
          <rPr>
            <b/>
            <sz val="9"/>
            <color indexed="81"/>
            <rFont val="Tahoma"/>
            <family val="2"/>
          </rPr>
          <t>Enter name of other chemical.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0" shapeId="0" xr:uid="{00000000-0006-0000-3C00-000017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94" authorId="0" shapeId="0" xr:uid="{00000000-0006-0000-3C00-000018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94" authorId="0" shapeId="0" xr:uid="{00000000-0006-0000-3C00-000019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6" authorId="0" shapeId="0" xr:uid="{00000000-0006-0000-3C00-00001A010000}">
      <text>
        <r>
          <rPr>
            <b/>
            <sz val="9"/>
            <color indexed="81"/>
            <rFont val="Tahoma"/>
            <family val="2"/>
          </rPr>
          <t>Enter name of irrigation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6" authorId="0" shapeId="0" xr:uid="{00000000-0006-0000-3C00-00001B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96" authorId="0" shapeId="0" xr:uid="{00000000-0006-0000-3C00-00001C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96" authorId="0" shapeId="0" xr:uid="{00000000-0006-0000-3C00-00001D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7" authorId="0" shapeId="0" xr:uid="{00000000-0006-0000-3C00-00001E010000}">
      <text>
        <r>
          <rPr>
            <b/>
            <sz val="9"/>
            <color indexed="81"/>
            <rFont val="Tahoma"/>
            <family val="2"/>
          </rPr>
          <t>Enter name of irrigation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7" authorId="0" shapeId="0" xr:uid="{00000000-0006-0000-3C00-00001F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97" authorId="0" shapeId="0" xr:uid="{00000000-0006-0000-3C00-000020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97" authorId="0" shapeId="0" xr:uid="{00000000-0006-0000-3C00-000021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8" authorId="0" shapeId="0" xr:uid="{00000000-0006-0000-3C00-000022010000}">
      <text>
        <r>
          <rPr>
            <b/>
            <sz val="9"/>
            <color indexed="81"/>
            <rFont val="Tahoma"/>
            <family val="2"/>
          </rPr>
          <t>Enter name of irrigation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8" authorId="0" shapeId="0" xr:uid="{00000000-0006-0000-3C00-000023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98" authorId="0" shapeId="0" xr:uid="{00000000-0006-0000-3C00-000024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98" authorId="0" shapeId="0" xr:uid="{00000000-0006-0000-3C00-000025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9" authorId="0" shapeId="0" xr:uid="{00000000-0006-0000-3C00-000026010000}">
      <text>
        <r>
          <rPr>
            <b/>
            <sz val="9"/>
            <color indexed="81"/>
            <rFont val="Tahoma"/>
            <family val="2"/>
          </rPr>
          <t>Enter name of irrigation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9" authorId="0" shapeId="0" xr:uid="{00000000-0006-0000-3C00-000027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99" authorId="0" shapeId="0" xr:uid="{00000000-0006-0000-3C00-000028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99" authorId="0" shapeId="0" xr:uid="{00000000-0006-0000-3C00-000029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0" authorId="0" shapeId="0" xr:uid="{00000000-0006-0000-3C00-00002A010000}">
      <text>
        <r>
          <rPr>
            <b/>
            <sz val="9"/>
            <color indexed="81"/>
            <rFont val="Tahoma"/>
            <family val="2"/>
          </rPr>
          <t>Enter name of irrigation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0" authorId="0" shapeId="0" xr:uid="{00000000-0006-0000-3C00-00002B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00" authorId="0" shapeId="0" xr:uid="{00000000-0006-0000-3C00-00002C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00" authorId="0" shapeId="0" xr:uid="{00000000-0006-0000-3C00-00002D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1" authorId="0" shapeId="0" xr:uid="{00000000-0006-0000-3C00-00002E010000}">
      <text>
        <r>
          <rPr>
            <b/>
            <sz val="9"/>
            <color indexed="81"/>
            <rFont val="Tahoma"/>
            <family val="2"/>
          </rPr>
          <t>Enter name of irrigation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1" authorId="0" shapeId="0" xr:uid="{00000000-0006-0000-3C00-00002F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01" authorId="0" shapeId="0" xr:uid="{00000000-0006-0000-3C00-000030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01" authorId="0" shapeId="0" xr:uid="{00000000-0006-0000-3C00-000031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2" authorId="0" shapeId="0" xr:uid="{00000000-0006-0000-3C00-000032010000}">
      <text>
        <r>
          <rPr>
            <b/>
            <sz val="9"/>
            <color indexed="81"/>
            <rFont val="Tahoma"/>
            <family val="2"/>
          </rPr>
          <t>Enter name of irrigation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2" authorId="0" shapeId="0" xr:uid="{00000000-0006-0000-3C00-000033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02" authorId="0" shapeId="0" xr:uid="{00000000-0006-0000-3C00-000034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02" authorId="0" shapeId="0" xr:uid="{00000000-0006-0000-3C00-000035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3" authorId="0" shapeId="0" xr:uid="{00000000-0006-0000-3C00-000036010000}">
      <text>
        <r>
          <rPr>
            <b/>
            <sz val="9"/>
            <color indexed="81"/>
            <rFont val="Tahoma"/>
            <family val="2"/>
          </rPr>
          <t>Enter name of irrigation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3" authorId="0" shapeId="0" xr:uid="{00000000-0006-0000-3C00-000037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03" authorId="0" shapeId="0" xr:uid="{00000000-0006-0000-3C00-000038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03" authorId="0" shapeId="0" xr:uid="{00000000-0006-0000-3C00-000039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4" authorId="0" shapeId="0" xr:uid="{00000000-0006-0000-3C00-00003A010000}">
      <text>
        <r>
          <rPr>
            <b/>
            <sz val="9"/>
            <color indexed="81"/>
            <rFont val="Tahoma"/>
            <family val="2"/>
          </rPr>
          <t>Enter name of irrigation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4" authorId="0" shapeId="0" xr:uid="{00000000-0006-0000-3C00-00003B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04" authorId="0" shapeId="0" xr:uid="{00000000-0006-0000-3C00-00003C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04" authorId="0" shapeId="0" xr:uid="{00000000-0006-0000-3C00-00003D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6" authorId="0" shapeId="0" xr:uid="{00000000-0006-0000-3C00-00003E010000}">
      <text>
        <r>
          <rPr>
            <b/>
            <sz val="9"/>
            <color indexed="81"/>
            <rFont val="Tahoma"/>
            <family val="2"/>
          </rPr>
          <t>Enter name of miscellaneous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6" authorId="0" shapeId="0" xr:uid="{00000000-0006-0000-3C00-00003F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06" authorId="0" shapeId="0" xr:uid="{00000000-0006-0000-3C00-000040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06" authorId="0" shapeId="0" xr:uid="{00000000-0006-0000-3C00-000041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7" authorId="0" shapeId="0" xr:uid="{00000000-0006-0000-3C00-000042010000}">
      <text>
        <r>
          <rPr>
            <b/>
            <sz val="9"/>
            <color indexed="81"/>
            <rFont val="Tahoma"/>
            <family val="2"/>
          </rPr>
          <t>Enter name of miscellaneous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7" authorId="0" shapeId="0" xr:uid="{00000000-0006-0000-3C00-000043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07" authorId="0" shapeId="0" xr:uid="{00000000-0006-0000-3C00-000044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07" authorId="0" shapeId="0" xr:uid="{00000000-0006-0000-3C00-000045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8" authorId="0" shapeId="0" xr:uid="{00000000-0006-0000-3C00-000046010000}">
      <text>
        <r>
          <rPr>
            <b/>
            <sz val="9"/>
            <color indexed="81"/>
            <rFont val="Tahoma"/>
            <family val="2"/>
          </rPr>
          <t>Enter name of miscellaneous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8" authorId="0" shapeId="0" xr:uid="{00000000-0006-0000-3C00-000047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08" authorId="0" shapeId="0" xr:uid="{00000000-0006-0000-3C00-000048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08" authorId="0" shapeId="0" xr:uid="{00000000-0006-0000-3C00-000049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9" authorId="0" shapeId="0" xr:uid="{00000000-0006-0000-3C00-00004A010000}">
      <text>
        <r>
          <rPr>
            <b/>
            <sz val="9"/>
            <color indexed="81"/>
            <rFont val="Tahoma"/>
            <family val="2"/>
          </rPr>
          <t>Enter name of miscellaneous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9" authorId="0" shapeId="0" xr:uid="{00000000-0006-0000-3C00-00004B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09" authorId="0" shapeId="0" xr:uid="{00000000-0006-0000-3C00-00004C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09" authorId="0" shapeId="0" xr:uid="{00000000-0006-0000-3C00-00004D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0" authorId="0" shapeId="0" xr:uid="{00000000-0006-0000-3C00-00004E010000}">
      <text>
        <r>
          <rPr>
            <b/>
            <sz val="9"/>
            <color indexed="81"/>
            <rFont val="Tahoma"/>
            <family val="2"/>
          </rPr>
          <t>Enter name of miscellaneous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0" authorId="0" shapeId="0" xr:uid="{00000000-0006-0000-3C00-00004F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10" authorId="0" shapeId="0" xr:uid="{00000000-0006-0000-3C00-000050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10" authorId="0" shapeId="0" xr:uid="{00000000-0006-0000-3C00-000051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1" authorId="0" shapeId="0" xr:uid="{00000000-0006-0000-3C00-000052010000}">
      <text>
        <r>
          <rPr>
            <b/>
            <sz val="9"/>
            <color indexed="81"/>
            <rFont val="Tahoma"/>
            <family val="2"/>
          </rPr>
          <t>Enter name of miscellaneous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1" authorId="0" shapeId="0" xr:uid="{00000000-0006-0000-3C00-000053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11" authorId="0" shapeId="0" xr:uid="{00000000-0006-0000-3C00-000054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11" authorId="0" shapeId="0" xr:uid="{00000000-0006-0000-3C00-000055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2" authorId="0" shapeId="0" xr:uid="{00000000-0006-0000-3C00-000056010000}">
      <text>
        <r>
          <rPr>
            <b/>
            <sz val="9"/>
            <color indexed="81"/>
            <rFont val="Tahoma"/>
            <family val="2"/>
          </rPr>
          <t>Enter name of miscellaneous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2" authorId="0" shapeId="0" xr:uid="{00000000-0006-0000-3C00-000057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12" authorId="0" shapeId="0" xr:uid="{00000000-0006-0000-3C00-000058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12" authorId="0" shapeId="0" xr:uid="{00000000-0006-0000-3C00-000059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3" authorId="0" shapeId="0" xr:uid="{00000000-0006-0000-3C00-00005A010000}">
      <text>
        <r>
          <rPr>
            <b/>
            <sz val="9"/>
            <color indexed="81"/>
            <rFont val="Tahoma"/>
            <family val="2"/>
          </rPr>
          <t>Enter name of miscellaneous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3" authorId="0" shapeId="0" xr:uid="{00000000-0006-0000-3C00-00005B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13" authorId="0" shapeId="0" xr:uid="{00000000-0006-0000-3C00-00005C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13" authorId="0" shapeId="0" xr:uid="{00000000-0006-0000-3C00-00005D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4" authorId="0" shapeId="0" xr:uid="{00000000-0006-0000-3C00-00005E010000}">
      <text>
        <r>
          <rPr>
            <b/>
            <sz val="9"/>
            <color indexed="81"/>
            <rFont val="Tahoma"/>
            <family val="2"/>
          </rPr>
          <t>Enter name of miscellaneous expense.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4" authorId="0" shapeId="0" xr:uid="{00000000-0006-0000-3C00-00005F010000}">
      <text>
        <r>
          <rPr>
            <b/>
            <sz val="9"/>
            <color indexed="81"/>
            <rFont val="Tahoma"/>
            <family val="2"/>
          </rPr>
          <t>Number of units specified to the right.</t>
        </r>
      </text>
    </comment>
    <comment ref="D114" authorId="0" shapeId="0" xr:uid="{00000000-0006-0000-3C00-000060010000}">
      <text>
        <r>
          <rPr>
            <b/>
            <sz val="9"/>
            <color indexed="81"/>
            <rFont val="Tahoma"/>
            <family val="2"/>
          </rPr>
          <t>Type in correct Unit</t>
        </r>
      </text>
    </comment>
    <comment ref="E114" authorId="0" shapeId="0" xr:uid="{00000000-0006-0000-3C00-000061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6" authorId="0" shapeId="0" xr:uid="{00000000-0006-0000-3C00-000062010000}">
      <text>
        <r>
          <rPr>
            <b/>
            <sz val="9"/>
            <color indexed="81"/>
            <rFont val="Tahoma"/>
            <family val="2"/>
          </rPr>
          <t>Interest Rate to Borrow Operating Funds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6" authorId="0" shapeId="0" xr:uid="{00000000-0006-0000-3C00-000063010000}">
      <text>
        <r>
          <rPr>
            <b/>
            <sz val="9"/>
            <color indexed="81"/>
            <rFont val="Tahoma"/>
            <family val="2"/>
          </rPr>
          <t>Calculated from the total of the expenses listed above borrowed for 6 months at the interest rate entered to the left.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6" authorId="0" shapeId="0" xr:uid="{00000000-0006-0000-3C00-00006401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6" authorId="0" shapeId="0" xr:uid="{00000000-0006-0000-3C00-00006501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6" authorId="0" shapeId="0" xr:uid="{00000000-0006-0000-3C00-000066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7" authorId="0" shapeId="0" xr:uid="{00000000-0006-0000-3C00-00006701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7" authorId="0" shapeId="0" xr:uid="{00000000-0006-0000-3C00-00006801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7" authorId="0" shapeId="0" xr:uid="{00000000-0006-0000-3C00-000069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8" authorId="0" shapeId="0" xr:uid="{00000000-0006-0000-3C00-00006A01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D128" authorId="0" shapeId="0" xr:uid="{00000000-0006-0000-3C00-00006B01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8" authorId="0" shapeId="0" xr:uid="{00000000-0006-0000-3C00-00006C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9" authorId="0" shapeId="0" xr:uid="{00000000-0006-0000-3C00-00006D01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D129" authorId="0" shapeId="0" xr:uid="{00000000-0006-0000-3C00-00006E01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9" authorId="0" shapeId="0" xr:uid="{00000000-0006-0000-3C00-00006F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0" authorId="0" shapeId="0" xr:uid="{00000000-0006-0000-3C00-00007001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D130" authorId="0" shapeId="0" xr:uid="{00000000-0006-0000-3C00-00007101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0" authorId="0" shapeId="0" xr:uid="{00000000-0006-0000-3C00-000072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1" authorId="0" shapeId="0" xr:uid="{00000000-0006-0000-3C00-00007301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D131" authorId="0" shapeId="0" xr:uid="{00000000-0006-0000-3C00-00007401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1" authorId="0" shapeId="0" xr:uid="{00000000-0006-0000-3C00-000075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2" authorId="0" shapeId="0" xr:uid="{00000000-0006-0000-3C00-00007601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D132" authorId="0" shapeId="0" xr:uid="{00000000-0006-0000-3C00-00007701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2" authorId="0" shapeId="0" xr:uid="{00000000-0006-0000-3C00-000078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3" authorId="0" shapeId="0" xr:uid="{00000000-0006-0000-3C00-000079010000}">
      <text>
        <r>
          <rPr>
            <b/>
            <sz val="9"/>
            <color indexed="81"/>
            <rFont val="Tahoma"/>
            <family val="2"/>
          </rPr>
          <t xml:space="preserve">If other fixed expense, enter expense name. </t>
        </r>
      </text>
    </comment>
    <comment ref="C133" authorId="0" shapeId="0" xr:uid="{00000000-0006-0000-3C00-00007A01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D133" authorId="0" shapeId="0" xr:uid="{00000000-0006-0000-3C00-00007B01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3" authorId="0" shapeId="0" xr:uid="{00000000-0006-0000-3C00-00007C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4" authorId="0" shapeId="0" xr:uid="{00000000-0006-0000-3C00-00007D010000}">
      <text>
        <r>
          <rPr>
            <b/>
            <sz val="9"/>
            <color indexed="81"/>
            <rFont val="Tahoma"/>
            <family val="2"/>
          </rPr>
          <t xml:space="preserve">If other fixed expense, enter expense name. </t>
        </r>
      </text>
    </comment>
    <comment ref="C134" authorId="0" shapeId="0" xr:uid="{00000000-0006-0000-3C00-00007E01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D134" authorId="0" shapeId="0" xr:uid="{00000000-0006-0000-3C00-00007F01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4" authorId="0" shapeId="0" xr:uid="{00000000-0006-0000-3C00-000080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5" authorId="0" shapeId="0" xr:uid="{00000000-0006-0000-3C00-000081010000}">
      <text>
        <r>
          <rPr>
            <b/>
            <sz val="9"/>
            <color indexed="81"/>
            <rFont val="Tahoma"/>
            <family val="2"/>
          </rPr>
          <t xml:space="preserve">If other fixed expense, enter expense name. </t>
        </r>
      </text>
    </comment>
    <comment ref="C135" authorId="0" shapeId="0" xr:uid="{00000000-0006-0000-3C00-000082010000}">
      <text>
        <r>
          <rPr>
            <b/>
            <sz val="9"/>
            <color indexed="81"/>
            <rFont val="Tahoma"/>
            <family val="2"/>
          </rPr>
          <t>Number of Units</t>
        </r>
      </text>
    </comment>
    <comment ref="D135" authorId="0" shapeId="0" xr:uid="{00000000-0006-0000-3C00-00008301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5" authorId="0" shapeId="0" xr:uid="{00000000-0006-0000-3C00-000084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6" authorId="0" shapeId="0" xr:uid="{00000000-0006-0000-3C00-000085010000}">
      <text>
        <r>
          <rPr>
            <b/>
            <sz val="9"/>
            <color indexed="81"/>
            <rFont val="Tahoma"/>
            <family val="2"/>
          </rPr>
          <t xml:space="preserve">If other fixed expense, enter expense name. </t>
        </r>
      </text>
    </comment>
    <comment ref="C136" authorId="0" shapeId="0" xr:uid="{00000000-0006-0000-3C00-00008601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6" authorId="0" shapeId="0" xr:uid="{00000000-0006-0000-3C00-00008701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6" authorId="0" shapeId="0" xr:uid="{00000000-0006-0000-3C00-000088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7" authorId="0" shapeId="0" xr:uid="{00000000-0006-0000-3C00-000089010000}">
      <text>
        <r>
          <rPr>
            <b/>
            <sz val="9"/>
            <color indexed="81"/>
            <rFont val="Tahoma"/>
            <family val="2"/>
          </rPr>
          <t xml:space="preserve">If other fixed expense, enter expense name. </t>
        </r>
      </text>
    </comment>
    <comment ref="C137" authorId="0" shapeId="0" xr:uid="{00000000-0006-0000-3C00-00008A010000}">
      <text>
        <r>
          <rPr>
            <b/>
            <sz val="9"/>
            <color indexed="81"/>
            <rFont val="Tahoma"/>
            <family val="2"/>
          </rPr>
          <t>Number of Units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7" authorId="0" shapeId="0" xr:uid="{00000000-0006-0000-3C00-00008B010000}">
      <text>
        <r>
          <rPr>
            <b/>
            <sz val="9"/>
            <color indexed="81"/>
            <rFont val="Tahoma"/>
            <family val="2"/>
          </rPr>
          <t>Type in correct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7" authorId="0" shapeId="0" xr:uid="{00000000-0006-0000-3C00-00008C010000}">
      <text>
        <r>
          <rPr>
            <b/>
            <sz val="9"/>
            <color indexed="81"/>
            <rFont val="Tahoma"/>
            <family val="2"/>
          </rPr>
          <t>Price per Unit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52" authorId="0" shapeId="0" xr:uid="{80C52277-3299-4B92-BD35-0964B01BFA9F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52" authorId="0" shapeId="0" xr:uid="{1D7CD657-1300-4B8F-8F79-83866BFF4AF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52" authorId="0" shapeId="0" xr:uid="{815D47F2-DE3A-4A65-8076-EB5C4A699E9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52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52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52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57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57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57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55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55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55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0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0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0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Jerry Cornforth</author>
  </authors>
  <commentList>
    <comment ref="J64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N64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  <comment ref="P64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Operating interest is calculated for 6 months on the total of the the expenses listed above.</t>
        </r>
      </text>
    </comment>
  </commentList>
</comments>
</file>

<file path=xl/sharedStrings.xml><?xml version="1.0" encoding="utf-8"?>
<sst xmlns="http://schemas.openxmlformats.org/spreadsheetml/2006/main" count="6777" uniqueCount="502">
  <si>
    <t>Fertilizer</t>
  </si>
  <si>
    <t>Seed</t>
  </si>
  <si>
    <t>Quantity</t>
  </si>
  <si>
    <t>Unit</t>
  </si>
  <si>
    <t>Price</t>
  </si>
  <si>
    <t>Implements</t>
  </si>
  <si>
    <t>Total Direct Expenses</t>
  </si>
  <si>
    <t>Returns Above Total Specified Expenses</t>
  </si>
  <si>
    <t>CWT</t>
  </si>
  <si>
    <t>Tenant</t>
  </si>
  <si>
    <t>Landlord</t>
  </si>
  <si>
    <t>Share</t>
  </si>
  <si>
    <t>Total</t>
  </si>
  <si>
    <t>Labor</t>
  </si>
  <si>
    <t>Contact Us</t>
  </si>
  <si>
    <t>Extension Ag Economics</t>
  </si>
  <si>
    <t>Master Marketer</t>
  </si>
  <si>
    <t>Budgets</t>
  </si>
  <si>
    <r>
      <t xml:space="preserve">Projections for Planning Purposes Only -- </t>
    </r>
    <r>
      <rPr>
        <b/>
        <i/>
        <sz val="10"/>
        <color indexed="10"/>
        <rFont val="Arial"/>
        <family val="2"/>
      </rPr>
      <t>Not to be Used without Updating</t>
    </r>
  </si>
  <si>
    <t>Enterprise</t>
  </si>
  <si>
    <t>Head</t>
  </si>
  <si>
    <t>Units</t>
  </si>
  <si>
    <t>$/Unit</t>
  </si>
  <si>
    <t>Other Revenue</t>
  </si>
  <si>
    <t>Total Revenue</t>
  </si>
  <si>
    <t>VARIABLE COSTS</t>
  </si>
  <si>
    <t>Production Costs</t>
  </si>
  <si>
    <t>Miscellaneous</t>
  </si>
  <si>
    <t>Diesel</t>
  </si>
  <si>
    <t>Gasoline</t>
  </si>
  <si>
    <t>Percent</t>
  </si>
  <si>
    <t>Hours</t>
  </si>
  <si>
    <t>Interest on Credit Line</t>
  </si>
  <si>
    <t>Total Variable Costs</t>
  </si>
  <si>
    <t>Planned Returns Above Variable Costs:</t>
  </si>
  <si>
    <t>Breakeven Price to Cover Variable Costs</t>
  </si>
  <si>
    <t>FIXED COSTS</t>
  </si>
  <si>
    <t>Total Fixed Costs</t>
  </si>
  <si>
    <t xml:space="preserve">    Breakeven Price to Cover Total Costs</t>
  </si>
  <si>
    <t>Days</t>
  </si>
  <si>
    <t>Pasture</t>
  </si>
  <si>
    <t>Pounds</t>
  </si>
  <si>
    <t>Acre</t>
  </si>
  <si>
    <t>Fuel</t>
  </si>
  <si>
    <t>Hour</t>
  </si>
  <si>
    <t>Irrigation</t>
  </si>
  <si>
    <t>Irrigation Equipment</t>
  </si>
  <si>
    <t>Repairs &amp; Maintenance</t>
  </si>
  <si>
    <t>Insecticide</t>
  </si>
  <si>
    <t>Herbicide</t>
  </si>
  <si>
    <t>Custom</t>
  </si>
  <si>
    <t>Diesel Fuel</t>
  </si>
  <si>
    <t>Total Specified Costs</t>
  </si>
  <si>
    <t>Returns Above Specifiied Costs</t>
  </si>
  <si>
    <t>Hay</t>
  </si>
  <si>
    <t>Supplement</t>
  </si>
  <si>
    <t>Livestock</t>
  </si>
  <si>
    <t>Cwt,lb,etc</t>
  </si>
  <si>
    <t>Fungicides</t>
  </si>
  <si>
    <t>Insecticides</t>
  </si>
  <si>
    <t>Growth Regulators</t>
  </si>
  <si>
    <t>Estimated Costs and Returns per Acre</t>
  </si>
  <si>
    <t>Number of Acres of Crop</t>
  </si>
  <si>
    <t>Planned Returns Above Variable Costs</t>
  </si>
  <si>
    <t>Operating Interest</t>
  </si>
  <si>
    <t>Other Fixed Expense</t>
  </si>
  <si>
    <t>Bales</t>
  </si>
  <si>
    <t>Salt Minerals</t>
  </si>
  <si>
    <t>Cwt</t>
  </si>
  <si>
    <t>Other Feed</t>
  </si>
  <si>
    <t>Crop Enterprise</t>
  </si>
  <si>
    <t>Number of Head of Livestock</t>
  </si>
  <si>
    <t>Other Variable Expense</t>
  </si>
  <si>
    <t>REVENUE</t>
  </si>
  <si>
    <t>Your</t>
  </si>
  <si>
    <t>Crop Acres</t>
  </si>
  <si>
    <t>Your Acres</t>
  </si>
  <si>
    <t>Head,$,etc</t>
  </si>
  <si>
    <t>Grazing</t>
  </si>
  <si>
    <t>Gallon</t>
  </si>
  <si>
    <t>Yield</t>
  </si>
  <si>
    <t>Total Costs</t>
  </si>
  <si>
    <t>Pound</t>
  </si>
  <si>
    <t>Bushel</t>
  </si>
  <si>
    <t>Planned Returns to Management, Risk, and Profit:</t>
  </si>
  <si>
    <t>Acres</t>
  </si>
  <si>
    <t>Insurance</t>
  </si>
  <si>
    <t>dollars</t>
  </si>
  <si>
    <t>Equipment Investment</t>
  </si>
  <si>
    <t>Depreciation - Livestock</t>
  </si>
  <si>
    <t>Depreciation - Equipment</t>
  </si>
  <si>
    <t xml:space="preserve">Repairs </t>
  </si>
  <si>
    <t>Lube (As a % of fuel)</t>
  </si>
  <si>
    <t>Vet. Medicine</t>
  </si>
  <si>
    <t>Cull Bull</t>
  </si>
  <si>
    <t>Cull Cow</t>
  </si>
  <si>
    <t>Breeding Females</t>
  </si>
  <si>
    <t>Utilities</t>
  </si>
  <si>
    <t>Costs</t>
  </si>
  <si>
    <t>Dollars</t>
  </si>
  <si>
    <t>Per Head</t>
  </si>
  <si>
    <t>Other Chemicals</t>
  </si>
  <si>
    <t>Pickup/General Use Equipment</t>
  </si>
  <si>
    <t>Tractors/Self-Propelled</t>
  </si>
  <si>
    <t>Machinery Depreciation</t>
  </si>
  <si>
    <t>Other Labor</t>
  </si>
  <si>
    <t>Machinery Labor</t>
  </si>
  <si>
    <t>Feed</t>
  </si>
  <si>
    <t>Month</t>
  </si>
  <si>
    <t>Marketing Expense</t>
  </si>
  <si>
    <t>Your Weaning Percent</t>
  </si>
  <si>
    <t>Sensitivity Analysis for Example</t>
  </si>
  <si>
    <t>Example Weaning Percent</t>
  </si>
  <si>
    <t>Example Breakeven Prices</t>
  </si>
  <si>
    <t>Example</t>
  </si>
  <si>
    <t>Your Head</t>
  </si>
  <si>
    <t>Pay Weight</t>
  </si>
  <si>
    <t>Stocker</t>
  </si>
  <si>
    <t>Health</t>
  </si>
  <si>
    <t>Gain Contract</t>
  </si>
  <si>
    <t>Marketing</t>
  </si>
  <si>
    <t>Depreciation</t>
  </si>
  <si>
    <t>ADG (Lbs/day)</t>
  </si>
  <si>
    <t>Sales Price/Cwt of $Total</t>
  </si>
  <si>
    <t>Weight</t>
  </si>
  <si>
    <t>Grazing by Month</t>
  </si>
  <si>
    <t>Acre Lease</t>
  </si>
  <si>
    <t>On Weight Per Month</t>
  </si>
  <si>
    <t>Your Sale Shrink</t>
  </si>
  <si>
    <t>Your Average Daily Gain</t>
  </si>
  <si>
    <t>Pounds per Day</t>
  </si>
  <si>
    <t>Texas Crop and Livestock Budgets</t>
  </si>
  <si>
    <t>Machinery, Livestock and Other Assets</t>
  </si>
  <si>
    <t>Cotton Lint</t>
  </si>
  <si>
    <t>Cottonseed</t>
  </si>
  <si>
    <t>Ton</t>
  </si>
  <si>
    <t>Irrigation Labor</t>
  </si>
  <si>
    <t>Allocated Establishment Cost</t>
  </si>
  <si>
    <t>None</t>
  </si>
  <si>
    <t>Pasture Cost</t>
  </si>
  <si>
    <t>Information presented is prepared solely as a general guide and not intended to recognize or predict the costs and returns from any one operation.  Brand names are mentioned only as examples and imply no endorsement.</t>
  </si>
  <si>
    <t>Canola</t>
  </si>
  <si>
    <t>AcreInch</t>
  </si>
  <si>
    <t>FORAGE CROPS</t>
  </si>
  <si>
    <t>LIVESTOCK</t>
  </si>
  <si>
    <t>Forage Crops</t>
  </si>
  <si>
    <t>Energy Cost</t>
  </si>
  <si>
    <t>Animal Units (AU)</t>
  </si>
  <si>
    <t>AU</t>
  </si>
  <si>
    <t>Number of Head</t>
  </si>
  <si>
    <r>
      <t xml:space="preserve">Projections for Planning Purposes Only -- </t>
    </r>
    <r>
      <rPr>
        <b/>
        <i/>
        <sz val="10"/>
        <color rgb="FFFF0000"/>
        <rFont val="Arial"/>
        <family val="2"/>
      </rPr>
      <t>Not to be Used without Updating</t>
    </r>
  </si>
  <si>
    <t>Water Cost</t>
  </si>
  <si>
    <t>Management Fee, Owner/Operator Labor</t>
  </si>
  <si>
    <t>Returns Above Specified Costs</t>
  </si>
  <si>
    <t>Calf</t>
  </si>
  <si>
    <t>Animal Unit</t>
  </si>
  <si>
    <t>Salaried Labor</t>
  </si>
  <si>
    <t>Variable</t>
  </si>
  <si>
    <t>or Amount</t>
  </si>
  <si>
    <t>Property Taxes</t>
  </si>
  <si>
    <t>Whole Farm Insurance</t>
  </si>
  <si>
    <t>Cash</t>
  </si>
  <si>
    <t>Comparative Returns - Cash Rent</t>
  </si>
  <si>
    <t>Comparative Returns - Share Rent</t>
  </si>
  <si>
    <t>Variable Costs to the right of Total Costs</t>
  </si>
  <si>
    <t>Returns Above Variable Specified Expenses</t>
  </si>
  <si>
    <t>Variable Direct Expenses</t>
  </si>
  <si>
    <t>Your Returns - Cash Rent</t>
  </si>
  <si>
    <t>Your Returns - Share Rent</t>
  </si>
  <si>
    <t>Variable Costs</t>
  </si>
  <si>
    <t>To Cover</t>
  </si>
  <si>
    <t>Example Average Breakeven Price to Cover Total Cost</t>
  </si>
  <si>
    <t>Your Average Breakeven Price to Cover Total Cost</t>
  </si>
  <si>
    <t>Wheat</t>
  </si>
  <si>
    <t>Heifer</t>
  </si>
  <si>
    <t>Steer</t>
  </si>
  <si>
    <t>Fertilizer Application</t>
  </si>
  <si>
    <t>Herbicide Application</t>
  </si>
  <si>
    <t>Salt and Mineral</t>
  </si>
  <si>
    <t>Cash Rent - Peanuts</t>
  </si>
  <si>
    <t>Make Spreadsheet Budgets</t>
  </si>
  <si>
    <t xml:space="preserve">Quantity </t>
  </si>
  <si>
    <t>Acres, AUs,  or Head</t>
  </si>
  <si>
    <t>Estimated Costs and Returns per Animal or Breeding Female</t>
  </si>
  <si>
    <r>
      <t xml:space="preserve">Enter Your Values in the cells highlighed in </t>
    </r>
    <r>
      <rPr>
        <b/>
        <sz val="10"/>
        <color theme="5" tint="-0.249977111117893"/>
        <rFont val="Univers"/>
        <family val="2"/>
      </rPr>
      <t>MAROON</t>
    </r>
    <r>
      <rPr>
        <b/>
        <sz val="10"/>
        <rFont val="Univers"/>
        <family val="2"/>
      </rPr>
      <t>.</t>
    </r>
  </si>
  <si>
    <t>Males Sold</t>
  </si>
  <si>
    <t>Females Sold</t>
  </si>
  <si>
    <t>Cull Breeding Females</t>
  </si>
  <si>
    <t>Cull Breeding Males</t>
  </si>
  <si>
    <t>Stocker or Feed Animal</t>
  </si>
  <si>
    <t>Animal Purchase Price, if applicable</t>
  </si>
  <si>
    <t>Pasture 1</t>
  </si>
  <si>
    <t>Pasture 2</t>
  </si>
  <si>
    <t>Pasture 3</t>
  </si>
  <si>
    <t>Pasture 4</t>
  </si>
  <si>
    <t>Vet/Medicine 1</t>
  </si>
  <si>
    <t>Visit,dose,cc's, etc.</t>
  </si>
  <si>
    <t>Vet/Medicine 2</t>
  </si>
  <si>
    <t>Vet/Medicine 3</t>
  </si>
  <si>
    <t>Vet/Medicine 4</t>
  </si>
  <si>
    <t>Vet/Medicine 5</t>
  </si>
  <si>
    <t>Vet/Medicine 6</t>
  </si>
  <si>
    <t>Vet/Medicine 7</t>
  </si>
  <si>
    <t>Vet/Medicine 8</t>
  </si>
  <si>
    <t>Vet/Medicine 9</t>
  </si>
  <si>
    <t>Vet/Medicine 10</t>
  </si>
  <si>
    <t>Management Fee</t>
  </si>
  <si>
    <t>Owner/Operator Labor</t>
  </si>
  <si>
    <t>Breakeven Price to Cover Total Costs</t>
  </si>
  <si>
    <t>Sensitivity Analysis for Your Breeding Herd or Flock Values</t>
  </si>
  <si>
    <t>Your Male Price</t>
  </si>
  <si>
    <t>Your Female Price</t>
  </si>
  <si>
    <t>Your Weighted Average Price ($/cwt)</t>
  </si>
  <si>
    <t>Average Daily Gain    (Pounds/day)</t>
  </si>
  <si>
    <t>Net Pay Weight with Shrink   (Pounds)</t>
  </si>
  <si>
    <t>Primary Product</t>
  </si>
  <si>
    <t>Secondary Product</t>
  </si>
  <si>
    <t>Custom Field and Harvest Operations</t>
  </si>
  <si>
    <t>Custom Field Operation 1</t>
  </si>
  <si>
    <t>Custom Field Operation 2</t>
  </si>
  <si>
    <t>Custom Field Operation 3</t>
  </si>
  <si>
    <t>Custom Field Operation 4</t>
  </si>
  <si>
    <t>Custom Field Operation 5</t>
  </si>
  <si>
    <t>Custom Field Operation 6</t>
  </si>
  <si>
    <t>Machinery Expenses</t>
  </si>
  <si>
    <t>Lube</t>
  </si>
  <si>
    <t>Repairs</t>
  </si>
  <si>
    <t>Other Machinery Expense 1</t>
  </si>
  <si>
    <t>Other Machinery Expense 2</t>
  </si>
  <si>
    <t>Labor 1</t>
  </si>
  <si>
    <t>Labor 2</t>
  </si>
  <si>
    <t>Labor 3</t>
  </si>
  <si>
    <t>Labor 4</t>
  </si>
  <si>
    <t>Labor 5</t>
  </si>
  <si>
    <t>Seed or Transplants</t>
  </si>
  <si>
    <t>Seed Treatment</t>
  </si>
  <si>
    <t>Seed Fee</t>
  </si>
  <si>
    <t>Transplants</t>
  </si>
  <si>
    <t>Thousand</t>
  </si>
  <si>
    <t>Mulch</t>
  </si>
  <si>
    <t>Foot</t>
  </si>
  <si>
    <t>Other Seed or Transplant</t>
  </si>
  <si>
    <t>Fertilizer and Lime</t>
  </si>
  <si>
    <t>Fertlizer 1</t>
  </si>
  <si>
    <t>Fertlizer 2</t>
  </si>
  <si>
    <t>Fertlizer 3</t>
  </si>
  <si>
    <t>Fertlizer 4</t>
  </si>
  <si>
    <t>Fertlizer 5</t>
  </si>
  <si>
    <t>Lime</t>
  </si>
  <si>
    <t>Other Soil Amendment 1</t>
  </si>
  <si>
    <t>Other Soil Amendment 2</t>
  </si>
  <si>
    <t>Herbicides</t>
  </si>
  <si>
    <t>Herbicide 1</t>
  </si>
  <si>
    <t>Lb,Oz,Acre</t>
  </si>
  <si>
    <t>Herbicide 2</t>
  </si>
  <si>
    <t>Herbicide 3</t>
  </si>
  <si>
    <t>Herbicide 4</t>
  </si>
  <si>
    <t>Herbicide 5</t>
  </si>
  <si>
    <t>Herbicide 6</t>
  </si>
  <si>
    <t>Insecticide 1</t>
  </si>
  <si>
    <t>Insecticide 2</t>
  </si>
  <si>
    <t>Insecticide 3</t>
  </si>
  <si>
    <t>Insecticide 4</t>
  </si>
  <si>
    <t>Insecticide 5</t>
  </si>
  <si>
    <t>Insecticide 6</t>
  </si>
  <si>
    <t>Fungicide 1</t>
  </si>
  <si>
    <t>Fungicide 2</t>
  </si>
  <si>
    <t>Fungicide 3</t>
  </si>
  <si>
    <t>Fungicide 4</t>
  </si>
  <si>
    <t>Fungicide 5</t>
  </si>
  <si>
    <t>Fungicide 6</t>
  </si>
  <si>
    <t>Growth Regulator 1</t>
  </si>
  <si>
    <t>Growth Regulator 2</t>
  </si>
  <si>
    <t>Growth Regulator 3</t>
  </si>
  <si>
    <t>Growth Regulator 4</t>
  </si>
  <si>
    <t>Growth Regulator 5</t>
  </si>
  <si>
    <t>Growth Regulator 6</t>
  </si>
  <si>
    <t>Fumigant</t>
  </si>
  <si>
    <t>Other Chemical 1</t>
  </si>
  <si>
    <t>Other Chemical 2</t>
  </si>
  <si>
    <t>Other Chemical 3</t>
  </si>
  <si>
    <t>Other Chemical 4</t>
  </si>
  <si>
    <t>Other Chemical 5</t>
  </si>
  <si>
    <t>Well Expense</t>
  </si>
  <si>
    <t>Pump Fuel</t>
  </si>
  <si>
    <t>Mcf,kWh,Gallon</t>
  </si>
  <si>
    <t>Pump Expense</t>
  </si>
  <si>
    <t>Irrigation Equipment Expense</t>
  </si>
  <si>
    <t>Drip Tape</t>
  </si>
  <si>
    <t>Foot,Acre</t>
  </si>
  <si>
    <t>AcIn,Gallon</t>
  </si>
  <si>
    <t>Other Irrigation Expense 1</t>
  </si>
  <si>
    <t>Other Irrigation Expense 2</t>
  </si>
  <si>
    <t>Miscellaneous Expenses</t>
  </si>
  <si>
    <t>Crop Insurance</t>
  </si>
  <si>
    <t>Other Variable Expense 1</t>
  </si>
  <si>
    <t>Enter Unit</t>
  </si>
  <si>
    <t>Other Variable Expense 2</t>
  </si>
  <si>
    <t>Other Variable Expense 3</t>
  </si>
  <si>
    <t>Other Variable Expense 4</t>
  </si>
  <si>
    <t>Other Variable Expense 5</t>
  </si>
  <si>
    <t>Other Variable Expense 6</t>
  </si>
  <si>
    <t>Other Variable Expense 7</t>
  </si>
  <si>
    <t>Other Variable Expense 8</t>
  </si>
  <si>
    <t>Land Rent or Expense</t>
  </si>
  <si>
    <t>Acre,$,etc</t>
  </si>
  <si>
    <t>Breakeven Prices for Your Crop</t>
  </si>
  <si>
    <t>Other Budgets</t>
  </si>
  <si>
    <t>n/a</t>
  </si>
  <si>
    <t>Grain Sorghum</t>
  </si>
  <si>
    <t>Stocker Purchase</t>
  </si>
  <si>
    <t>Stocker Delivery</t>
  </si>
  <si>
    <t>OTHER BUDGETS</t>
  </si>
  <si>
    <t>Your Gross Sales per Head</t>
  </si>
  <si>
    <t>Pounds Produced per Head</t>
  </si>
  <si>
    <t>Livestock Budget</t>
  </si>
  <si>
    <t>Pint</t>
  </si>
  <si>
    <t>Insecticide Application</t>
  </si>
  <si>
    <t>Purchase Breeding Female</t>
  </si>
  <si>
    <t>Purchase Breeding Male</t>
  </si>
  <si>
    <t>Purchase Older Repalcement Female</t>
  </si>
  <si>
    <t>Purchase Younger Repalcement Female</t>
  </si>
  <si>
    <t>Example Breakeven Sensitivity Analysis</t>
  </si>
  <si>
    <t>Net Pay Weight with Shrink</t>
  </si>
  <si>
    <t>Breakeven Purchase Price ($/CWT)</t>
  </si>
  <si>
    <t>Breakeven Sales Price ($/CWT)</t>
  </si>
  <si>
    <t>Your Stocker or Feeder Breakeven Sensitivity Analysis</t>
  </si>
  <si>
    <t>Fuel, Lube, Repair</t>
  </si>
  <si>
    <t>$</t>
  </si>
  <si>
    <t>Price To Cover</t>
  </si>
  <si>
    <t>Breakeven Yield to Cover Total Costs at Price Entered</t>
  </si>
  <si>
    <t>Breakeven Yield to Cover Variavle Costs at Price Entered</t>
  </si>
  <si>
    <t>Resources</t>
  </si>
  <si>
    <t>Basis Data</t>
  </si>
  <si>
    <t>Custom Rate Survey</t>
  </si>
  <si>
    <t>Decision Aids (includes Machinery Cost Estimator)</t>
  </si>
  <si>
    <t>Department of Agricultural Economics</t>
  </si>
  <si>
    <t>Clickable Logos</t>
  </si>
  <si>
    <t>A Program of the Texas A&amp;M AgriLife Extension Service</t>
  </si>
  <si>
    <t>Agricultural Economics Department, The Texas A&amp;M University System</t>
  </si>
  <si>
    <t>Developed by Texas A&amp;M AgriLife Extension Service Economists and Other Specialists</t>
  </si>
  <si>
    <t>Menu Page</t>
  </si>
  <si>
    <t>Fertilizer (N)</t>
  </si>
  <si>
    <t>Salt &amp; Mineral - Stocker</t>
  </si>
  <si>
    <t>Sulfur</t>
  </si>
  <si>
    <t>Vet/Medicine - Cow-Calf</t>
  </si>
  <si>
    <t>Vet/Medicine - Stocker</t>
  </si>
  <si>
    <t>Vet/Medicine - Stocker 1</t>
  </si>
  <si>
    <t>Vet/Medicine - Stocker 2</t>
  </si>
  <si>
    <t>Irrigated Alfalfa Establishment</t>
  </si>
  <si>
    <t>Dryland Wheat</t>
  </si>
  <si>
    <t>Rolling Plains Cow-Calf Production</t>
  </si>
  <si>
    <t>Brush Control</t>
  </si>
  <si>
    <t>Ranch Repairs</t>
  </si>
  <si>
    <t>Stocker Calf Budget - Pull off Wheat March 1</t>
  </si>
  <si>
    <t>Stocker Calf Budget - Grazeout</t>
  </si>
  <si>
    <t>Alfalfa Hay</t>
  </si>
  <si>
    <t>Cotton Lint - Irrigated</t>
  </si>
  <si>
    <t>Runner Peanuts</t>
  </si>
  <si>
    <t>Wheat Pasture</t>
  </si>
  <si>
    <t>Pound of Gain</t>
  </si>
  <si>
    <t>Alfalfa Seed - RR</t>
  </si>
  <si>
    <t>Atrazine</t>
  </si>
  <si>
    <t>Bollweevil Eradication</t>
  </si>
  <si>
    <t>Butyrac</t>
  </si>
  <si>
    <t>Canola Seed</t>
  </si>
  <si>
    <t>Cobra</t>
  </si>
  <si>
    <t>Combine</t>
  </si>
  <si>
    <t>Cotton Seed</t>
  </si>
  <si>
    <t>Custom Baling - Alfalfa</t>
  </si>
  <si>
    <t>Custom Harvest Sorghum</t>
  </si>
  <si>
    <t>Custom Harvest Wheat</t>
  </si>
  <si>
    <t>Custom Haul Sorghum</t>
  </si>
  <si>
    <t>Custom Haul Wheat</t>
  </si>
  <si>
    <t>Custom Picking</t>
  </si>
  <si>
    <t>Custom Stripping</t>
  </si>
  <si>
    <t>Drying - Peanut</t>
  </si>
  <si>
    <t>Fertilizer (N) - Small Grain</t>
  </si>
  <si>
    <t>Fertilizer (P)</t>
  </si>
  <si>
    <t>Folicular Fungicide-Abound</t>
  </si>
  <si>
    <t>Fungicide - Bravo</t>
  </si>
  <si>
    <t>Fungicide Application</t>
  </si>
  <si>
    <t>Gin, Bag, Ties</t>
  </si>
  <si>
    <t>Grain Sorghum Seed</t>
  </si>
  <si>
    <t>Harvest Aid - Prep</t>
  </si>
  <si>
    <t>Harvest Aid Application</t>
  </si>
  <si>
    <t>Harvest Aid -Def</t>
  </si>
  <si>
    <t>Hauling - Canola</t>
  </si>
  <si>
    <t>Herbicide - Wheat</t>
  </si>
  <si>
    <t>Insecticide - Alfalfa 1</t>
  </si>
  <si>
    <t>Insecticide - Alfalfa 2 Baythroid</t>
  </si>
  <si>
    <t>Insecticide - Canola</t>
  </si>
  <si>
    <t>Insecticide - Cotton</t>
  </si>
  <si>
    <t>Insurance - Canola</t>
  </si>
  <si>
    <t>Insurance - Dryland Cotton</t>
  </si>
  <si>
    <t>Insurance - Grain Sorghum</t>
  </si>
  <si>
    <t>Insurance - Irrigated Cotton</t>
  </si>
  <si>
    <t>Insurance - Wheat</t>
  </si>
  <si>
    <t>Overage - Wheat</t>
  </si>
  <si>
    <t>Peanut Seed</t>
  </si>
  <si>
    <t>Potash (K)</t>
  </si>
  <si>
    <t>Prowl</t>
  </si>
  <si>
    <t>Roundup</t>
  </si>
  <si>
    <t>Roundup - Canola</t>
  </si>
  <si>
    <t>Swath</t>
  </si>
  <si>
    <t>Valor SX</t>
  </si>
  <si>
    <t>Valpar</t>
  </si>
  <si>
    <t>Wheat Seed</t>
  </si>
  <si>
    <t>Xtend flew</t>
  </si>
  <si>
    <t>Quart</t>
  </si>
  <si>
    <t>Ounce</t>
  </si>
  <si>
    <t>Fluid Ounce</t>
  </si>
  <si>
    <t>Cash Rent - Canola</t>
  </si>
  <si>
    <t>Cash Rent - Dryland Alfalfa</t>
  </si>
  <si>
    <t>Cash Rent - Dryland Cotton</t>
  </si>
  <si>
    <t>Cash Rent - Grain Sorghum</t>
  </si>
  <si>
    <t>Cash Rent - Irrigated Alfalfa</t>
  </si>
  <si>
    <t>Cash Rent - Irrigated Cotton</t>
  </si>
  <si>
    <t>Cash Rent - Small Grains</t>
  </si>
  <si>
    <t>Cash Rent - Wheat</t>
  </si>
  <si>
    <t xml:space="preserve">     Rolling Plains Extension District - 3     </t>
  </si>
  <si>
    <t>Dryland Alfalfa Establishment</t>
  </si>
  <si>
    <t>Alfalfa Seed</t>
  </si>
  <si>
    <t>Dryland Alfalfa Hay</t>
  </si>
  <si>
    <t>Irrigated Alfalfa Hay</t>
  </si>
  <si>
    <t>Dryland Cotton (2X1 Planting Pattern)</t>
  </si>
  <si>
    <t>Dryland Cotton (Solid 40" Rows)</t>
  </si>
  <si>
    <t>Sprinkler Irrigated Cotton</t>
  </si>
  <si>
    <t>Dryland Sorghum</t>
  </si>
  <si>
    <t>Insecticide &amp; Application - Wheat</t>
  </si>
  <si>
    <t>Small Grain Grazing</t>
  </si>
  <si>
    <t>Dryland Canola</t>
  </si>
  <si>
    <t>Field Crops</t>
  </si>
  <si>
    <t>FIELD CROPS</t>
  </si>
  <si>
    <t>Francisco Abelló, Assistant Professor and Extension Specialist, Texas A&amp;M AgriLife Extension, 940-647-3908</t>
  </si>
  <si>
    <t>Ounces</t>
  </si>
  <si>
    <t>Caparol</t>
  </si>
  <si>
    <t>Dual Magnun</t>
  </si>
  <si>
    <t>2,4D</t>
  </si>
  <si>
    <t>Liberty</t>
  </si>
  <si>
    <t>Enlist Duo</t>
  </si>
  <si>
    <t>Paraquat</t>
  </si>
  <si>
    <t>Prevathon</t>
  </si>
  <si>
    <t>Brigade</t>
  </si>
  <si>
    <t xml:space="preserve">NT Irrig L Cotton </t>
  </si>
  <si>
    <t>NT-Cover Crop Irrig M Cotton</t>
  </si>
  <si>
    <t>NT-Cover Crop Irrig L Cotton</t>
  </si>
  <si>
    <t>Red Till Irrig Low Cotton</t>
  </si>
  <si>
    <t>Conventional Low Irrig Cotton</t>
  </si>
  <si>
    <t>Summer Dormant Fescue</t>
  </si>
  <si>
    <t>Chisolm Fescue</t>
  </si>
  <si>
    <t>Triticale</t>
  </si>
  <si>
    <t>Irrigated Peanuts</t>
  </si>
  <si>
    <t>Cotton NT - Cover Crop Wheat Irrig</t>
  </si>
  <si>
    <t>Conventional Irrig Cotton</t>
  </si>
  <si>
    <t xml:space="preserve">Cotton - Red Till Irrig </t>
  </si>
  <si>
    <t>Cotton - No-Till Irrigated</t>
  </si>
  <si>
    <t xml:space="preserve">Cotton - No Till Dryland </t>
  </si>
  <si>
    <t/>
  </si>
  <si>
    <t>Manure Compost + Application</t>
  </si>
  <si>
    <t>Lb</t>
  </si>
  <si>
    <t>Organic Wheat</t>
  </si>
  <si>
    <t>Cowpea Seed</t>
  </si>
  <si>
    <t>Winter Pea Seed</t>
  </si>
  <si>
    <t>Vetch</t>
  </si>
  <si>
    <t>Organic wheat Y3</t>
  </si>
  <si>
    <t>Organic Wheat Y1</t>
  </si>
  <si>
    <t>Organic summer Hay Crop</t>
  </si>
  <si>
    <t>OrganicSummer Hay</t>
  </si>
  <si>
    <t>Irrigated Wheat</t>
  </si>
  <si>
    <t>Glyphosate</t>
  </si>
  <si>
    <t>Sorghum Insecticide</t>
  </si>
  <si>
    <t>Dryland Wheat - No till</t>
  </si>
  <si>
    <t>Hay Pre and Post Herbicide</t>
  </si>
  <si>
    <t>Cut and Bale</t>
  </si>
  <si>
    <t>Roll</t>
  </si>
  <si>
    <t>Custom Sprig</t>
  </si>
  <si>
    <t>Bermuda Sprigs</t>
  </si>
  <si>
    <t>Coastal Bermudagrass Establishment</t>
  </si>
  <si>
    <t>Coastal Bermudagrass Hay Dryland</t>
  </si>
  <si>
    <t>Round Bale</t>
  </si>
  <si>
    <t>Bermudagrass Round Bale</t>
  </si>
  <si>
    <t>Enter  Your Values in the cells highlighed in MAROON.</t>
  </si>
  <si>
    <t>(100 acres)</t>
  </si>
  <si>
    <t>2024 Estimated Costs and Returns per Acre</t>
  </si>
  <si>
    <t>Enter your name for this budget in the cell above.</t>
  </si>
  <si>
    <t>(640 acres)</t>
  </si>
  <si>
    <t>(120 acres)</t>
  </si>
  <si>
    <t>Your Cows</t>
  </si>
  <si>
    <t>Average Calf Breakeven Price to Cover Variable Costs</t>
  </si>
  <si>
    <t>Average Calf Breakeven Price to Cover Total Costs</t>
  </si>
  <si>
    <t>2024 Estimated Costs and Returns per Animal Unit</t>
  </si>
  <si>
    <t>Example Gross Sales per Animal Unit</t>
  </si>
  <si>
    <t>Pounds Produced per Animal Unit</t>
  </si>
  <si>
    <t>Example Breakeven Calf Pay Weight to Cover Total Cost</t>
  </si>
  <si>
    <t>2024 Estimated Costs and Returns per Animal</t>
  </si>
  <si>
    <t>Purchase Weight (Lbs/Hd): 475</t>
  </si>
  <si>
    <t>Sales Price/Cwt  280.00</t>
  </si>
  <si>
    <t>Purchase Price/Cwt  340.00</t>
  </si>
  <si>
    <t>Sales Price/Cwt  262.00</t>
  </si>
  <si>
    <t>Links</t>
  </si>
  <si>
    <t>Links last checked 1/25/2024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</si>
</sst>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0.000"/>
    <numFmt numFmtId="167" formatCode="0.0%"/>
    <numFmt numFmtId="168" formatCode="#,##0.0_);\(#,##0.0\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39"/>
      <name val="Univers"/>
      <family val="2"/>
    </font>
    <font>
      <sz val="10"/>
      <color indexed="39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8"/>
      <name val="Arial"/>
      <family val="2"/>
    </font>
    <font>
      <sz val="10"/>
      <color rgb="FFC00000"/>
      <name val="Arial"/>
      <family val="2"/>
    </font>
    <font>
      <sz val="10"/>
      <color theme="0"/>
      <name val="Univers"/>
      <family val="2"/>
    </font>
    <font>
      <b/>
      <i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sz val="10"/>
      <name val="Cambria"/>
      <family val="1"/>
    </font>
    <font>
      <b/>
      <sz val="10"/>
      <color theme="5" tint="-0.249977111117893"/>
      <name val="Univers"/>
      <family val="2"/>
    </font>
    <font>
      <b/>
      <sz val="12"/>
      <color rgb="FFC00000"/>
      <name val="Arial"/>
      <family val="2"/>
    </font>
    <font>
      <sz val="14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Univers"/>
      <family val="2"/>
    </font>
    <font>
      <sz val="10"/>
      <color rgb="FFC00000"/>
      <name val="Univers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450666829432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2363">
    <xf numFmtId="0" fontId="0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7" fillId="0" borderId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34" fillId="0" borderId="0"/>
    <xf numFmtId="0" fontId="19" fillId="0" borderId="0"/>
    <xf numFmtId="44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/>
    <xf numFmtId="2" fontId="0" fillId="0" borderId="0" xfId="0" applyNumberFormat="1" applyAlignment="1">
      <alignment horizontal="right"/>
    </xf>
    <xf numFmtId="7" fontId="0" fillId="0" borderId="0" xfId="1" applyNumberFormat="1" applyFont="1" applyBorder="1"/>
    <xf numFmtId="0" fontId="22" fillId="0" borderId="0" xfId="0" applyFont="1"/>
    <xf numFmtId="0" fontId="22" fillId="0" borderId="0" xfId="0" applyFont="1" applyAlignment="1">
      <alignment horizontal="left"/>
    </xf>
    <xf numFmtId="168" fontId="0" fillId="0" borderId="0" xfId="1" applyNumberFormat="1" applyFont="1" applyBorder="1"/>
    <xf numFmtId="0" fontId="0" fillId="0" borderId="0" xfId="0" applyAlignment="1">
      <alignment horizontal="right"/>
    </xf>
    <xf numFmtId="0" fontId="27" fillId="0" borderId="0" xfId="0" applyFont="1"/>
    <xf numFmtId="8" fontId="0" fillId="0" borderId="0" xfId="0" applyNumberFormat="1"/>
    <xf numFmtId="0" fontId="23" fillId="0" borderId="0" xfId="5" applyAlignment="1" applyProtection="1"/>
    <xf numFmtId="0" fontId="25" fillId="0" borderId="0" xfId="0" applyFont="1" applyAlignment="1">
      <alignment horizontal="center" vertical="center"/>
    </xf>
    <xf numFmtId="0" fontId="32" fillId="0" borderId="0" xfId="6" applyFont="1" applyProtection="1">
      <protection locked="0"/>
    </xf>
    <xf numFmtId="0" fontId="21" fillId="0" borderId="0" xfId="0" applyFont="1"/>
    <xf numFmtId="2" fontId="21" fillId="0" borderId="0" xfId="0" applyNumberFormat="1" applyFont="1" applyAlignment="1">
      <alignment horizontal="right"/>
    </xf>
    <xf numFmtId="164" fontId="22" fillId="0" borderId="0" xfId="1" applyNumberFormat="1" applyFont="1" applyBorder="1"/>
    <xf numFmtId="8" fontId="22" fillId="0" borderId="0" xfId="0" applyNumberFormat="1" applyFont="1"/>
    <xf numFmtId="0" fontId="28" fillId="0" borderId="0" xfId="0" applyFont="1" applyAlignment="1">
      <alignment horizontal="center"/>
    </xf>
    <xf numFmtId="0" fontId="21" fillId="0" borderId="0" xfId="6"/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6" applyFont="1" applyAlignment="1">
      <alignment horizontal="center"/>
    </xf>
    <xf numFmtId="0" fontId="31" fillId="0" borderId="0" xfId="6" applyFont="1" applyAlignment="1">
      <alignment horizontal="center"/>
    </xf>
    <xf numFmtId="0" fontId="21" fillId="0" borderId="0" xfId="6" applyAlignment="1">
      <alignment horizontal="center"/>
    </xf>
    <xf numFmtId="0" fontId="31" fillId="0" borderId="1" xfId="6" applyFont="1" applyBorder="1"/>
    <xf numFmtId="0" fontId="31" fillId="0" borderId="1" xfId="6" applyFont="1" applyBorder="1" applyAlignment="1">
      <alignment horizontal="center"/>
    </xf>
    <xf numFmtId="0" fontId="31" fillId="0" borderId="0" xfId="6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21" fillId="0" borderId="0" xfId="6" applyNumberFormat="1" applyAlignment="1">
      <alignment horizontal="center"/>
    </xf>
    <xf numFmtId="0" fontId="21" fillId="0" borderId="0" xfId="0" applyFont="1" applyAlignment="1">
      <alignment horizontal="right"/>
    </xf>
    <xf numFmtId="164" fontId="21" fillId="0" borderId="0" xfId="6" applyNumberFormat="1"/>
    <xf numFmtId="8" fontId="21" fillId="0" borderId="0" xfId="6" applyNumberFormat="1"/>
    <xf numFmtId="0" fontId="21" fillId="0" borderId="0" xfId="6" applyAlignment="1">
      <alignment horizontal="left"/>
    </xf>
    <xf numFmtId="166" fontId="31" fillId="0" borderId="0" xfId="6" applyNumberFormat="1" applyFont="1"/>
    <xf numFmtId="2" fontId="31" fillId="0" borderId="0" xfId="6" applyNumberFormat="1" applyFont="1"/>
    <xf numFmtId="8" fontId="31" fillId="0" borderId="0" xfId="6" applyNumberFormat="1" applyFont="1"/>
    <xf numFmtId="8" fontId="31" fillId="0" borderId="14" xfId="6" applyNumberFormat="1" applyFont="1" applyBorder="1"/>
    <xf numFmtId="165" fontId="31" fillId="0" borderId="0" xfId="6" applyNumberFormat="1" applyFont="1"/>
    <xf numFmtId="167" fontId="31" fillId="0" borderId="0" xfId="6" applyNumberFormat="1" applyFont="1"/>
    <xf numFmtId="10" fontId="31" fillId="0" borderId="0" xfId="6" applyNumberFormat="1" applyFont="1"/>
    <xf numFmtId="8" fontId="31" fillId="0" borderId="0" xfId="6" applyNumberFormat="1" applyFont="1" applyAlignment="1">
      <alignment horizontal="center"/>
    </xf>
    <xf numFmtId="164" fontId="31" fillId="0" borderId="0" xfId="6" applyNumberFormat="1" applyFont="1"/>
    <xf numFmtId="8" fontId="31" fillId="0" borderId="2" xfId="6" applyNumberFormat="1" applyFont="1" applyBorder="1"/>
    <xf numFmtId="8" fontId="31" fillId="0" borderId="24" xfId="6" applyNumberFormat="1" applyFont="1" applyBorder="1"/>
    <xf numFmtId="0" fontId="31" fillId="0" borderId="3" xfId="6" applyFont="1" applyBorder="1"/>
    <xf numFmtId="8" fontId="31" fillId="0" borderId="3" xfId="6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3" fontId="21" fillId="0" borderId="0" xfId="6" applyNumberFormat="1" applyAlignment="1">
      <alignment horizontal="center"/>
    </xf>
    <xf numFmtId="4" fontId="31" fillId="0" borderId="0" xfId="6" applyNumberFormat="1" applyFont="1"/>
    <xf numFmtId="0" fontId="21" fillId="0" borderId="0" xfId="6" applyAlignment="1">
      <alignment wrapText="1"/>
    </xf>
    <xf numFmtId="0" fontId="21" fillId="0" borderId="8" xfId="6" applyBorder="1" applyAlignment="1">
      <alignment wrapText="1"/>
    </xf>
    <xf numFmtId="0" fontId="21" fillId="0" borderId="18" xfId="6" applyBorder="1" applyAlignment="1">
      <alignment wrapText="1"/>
    </xf>
    <xf numFmtId="0" fontId="39" fillId="0" borderId="7" xfId="6" applyFont="1" applyBorder="1" applyAlignment="1">
      <alignment horizontal="center" wrapText="1"/>
    </xf>
    <xf numFmtId="0" fontId="39" fillId="0" borderId="27" xfId="6" applyFont="1" applyBorder="1" applyAlignment="1">
      <alignment horizontal="center" wrapText="1"/>
    </xf>
    <xf numFmtId="0" fontId="39" fillId="0" borderId="9" xfId="6" applyFont="1" applyBorder="1" applyAlignment="1">
      <alignment horizontal="center" wrapText="1"/>
    </xf>
    <xf numFmtId="0" fontId="39" fillId="0" borderId="26" xfId="6" applyFont="1" applyBorder="1" applyAlignment="1">
      <alignment horizontal="center" wrapText="1"/>
    </xf>
    <xf numFmtId="0" fontId="39" fillId="0" borderId="19" xfId="6" applyFont="1" applyBorder="1" applyAlignment="1">
      <alignment horizontal="center" wrapText="1"/>
    </xf>
    <xf numFmtId="0" fontId="39" fillId="0" borderId="28" xfId="6" applyFont="1" applyBorder="1" applyAlignment="1">
      <alignment horizontal="center" wrapText="1"/>
    </xf>
    <xf numFmtId="0" fontId="39" fillId="0" borderId="22" xfId="6" applyFont="1" applyBorder="1" applyAlignment="1">
      <alignment horizontal="center" wrapText="1"/>
    </xf>
    <xf numFmtId="2" fontId="21" fillId="0" borderId="12" xfId="6" applyNumberFormat="1" applyBorder="1" applyAlignment="1">
      <alignment horizontal="center"/>
    </xf>
    <xf numFmtId="1" fontId="21" fillId="0" borderId="7" xfId="6" applyNumberFormat="1" applyBorder="1" applyAlignment="1">
      <alignment horizontal="center"/>
    </xf>
    <xf numFmtId="164" fontId="21" fillId="0" borderId="7" xfId="1" applyNumberFormat="1" applyFont="1" applyBorder="1" applyAlignment="1" applyProtection="1">
      <alignment horizontal="center"/>
    </xf>
    <xf numFmtId="164" fontId="21" fillId="0" borderId="18" xfId="1" applyNumberFormat="1" applyFont="1" applyBorder="1" applyAlignment="1" applyProtection="1">
      <alignment horizontal="center"/>
    </xf>
    <xf numFmtId="164" fontId="21" fillId="0" borderId="10" xfId="1" applyNumberFormat="1" applyFont="1" applyBorder="1" applyAlignment="1" applyProtection="1">
      <alignment horizontal="center"/>
    </xf>
    <xf numFmtId="2" fontId="21" fillId="0" borderId="21" xfId="6" applyNumberFormat="1" applyBorder="1" applyAlignment="1">
      <alignment horizontal="center"/>
    </xf>
    <xf numFmtId="164" fontId="21" fillId="0" borderId="27" xfId="1" applyNumberFormat="1" applyFont="1" applyBorder="1" applyAlignment="1" applyProtection="1">
      <alignment horizontal="center"/>
    </xf>
    <xf numFmtId="164" fontId="21" fillId="0" borderId="9" xfId="1" applyNumberFormat="1" applyFont="1" applyBorder="1" applyAlignment="1" applyProtection="1">
      <alignment horizontal="center"/>
    </xf>
    <xf numFmtId="2" fontId="21" fillId="5" borderId="21" xfId="6" applyNumberFormat="1" applyFill="1" applyBorder="1" applyAlignment="1">
      <alignment horizontal="center"/>
    </xf>
    <xf numFmtId="1" fontId="21" fillId="5" borderId="7" xfId="6" applyNumberFormat="1" applyFill="1" applyBorder="1" applyAlignment="1">
      <alignment horizontal="center"/>
    </xf>
    <xf numFmtId="164" fontId="21" fillId="5" borderId="7" xfId="1" applyNumberFormat="1" applyFont="1" applyFill="1" applyBorder="1" applyAlignment="1" applyProtection="1">
      <alignment horizontal="center"/>
    </xf>
    <xf numFmtId="164" fontId="21" fillId="5" borderId="27" xfId="1" applyNumberFormat="1" applyFont="1" applyFill="1" applyBorder="1" applyAlignment="1" applyProtection="1">
      <alignment horizontal="center"/>
    </xf>
    <xf numFmtId="164" fontId="21" fillId="5" borderId="9" xfId="1" applyNumberFormat="1" applyFont="1" applyFill="1" applyBorder="1" applyAlignment="1" applyProtection="1">
      <alignment horizontal="center"/>
    </xf>
    <xf numFmtId="2" fontId="21" fillId="0" borderId="26" xfId="6" applyNumberFormat="1" applyBorder="1" applyAlignment="1">
      <alignment horizontal="center"/>
    </xf>
    <xf numFmtId="1" fontId="21" fillId="0" borderId="19" xfId="6" applyNumberFormat="1" applyBorder="1" applyAlignment="1">
      <alignment horizontal="center"/>
    </xf>
    <xf numFmtId="164" fontId="21" fillId="0" borderId="19" xfId="1" applyNumberFormat="1" applyFont="1" applyBorder="1" applyAlignment="1" applyProtection="1">
      <alignment horizontal="center"/>
    </xf>
    <xf numFmtId="164" fontId="21" fillId="0" borderId="28" xfId="1" applyNumberFormat="1" applyFont="1" applyBorder="1" applyAlignment="1" applyProtection="1">
      <alignment horizontal="center"/>
    </xf>
    <xf numFmtId="164" fontId="21" fillId="0" borderId="22" xfId="1" applyNumberFormat="1" applyFont="1" applyBorder="1" applyAlignment="1" applyProtection="1">
      <alignment horizontal="center"/>
    </xf>
    <xf numFmtId="2" fontId="21" fillId="0" borderId="0" xfId="6" applyNumberFormat="1" applyAlignment="1">
      <alignment horizontal="center"/>
    </xf>
    <xf numFmtId="1" fontId="21" fillId="0" borderId="0" xfId="6" applyNumberFormat="1" applyAlignment="1">
      <alignment horizontal="center"/>
    </xf>
    <xf numFmtId="164" fontId="21" fillId="0" borderId="0" xfId="1" applyNumberFormat="1" applyFont="1" applyBorder="1" applyAlignment="1" applyProtection="1">
      <alignment horizontal="center"/>
    </xf>
    <xf numFmtId="164" fontId="21" fillId="0" borderId="0" xfId="1" applyNumberFormat="1" applyFont="1" applyBorder="1" applyAlignment="1" applyProtection="1">
      <alignment horizontal="left"/>
    </xf>
    <xf numFmtId="164" fontId="0" fillId="0" borderId="0" xfId="0" applyNumberFormat="1" applyAlignment="1">
      <alignment horizontal="center"/>
    </xf>
    <xf numFmtId="0" fontId="21" fillId="0" borderId="0" xfId="6" applyAlignment="1">
      <alignment horizontal="centerContinuous"/>
    </xf>
    <xf numFmtId="0" fontId="31" fillId="0" borderId="0" xfId="6" applyFont="1" applyAlignment="1">
      <alignment horizontal="left"/>
    </xf>
    <xf numFmtId="9" fontId="24" fillId="0" borderId="0" xfId="8" applyFont="1" applyBorder="1" applyProtection="1"/>
    <xf numFmtId="8" fontId="31" fillId="0" borderId="3" xfId="6" applyNumberFormat="1" applyFont="1" applyBorder="1"/>
    <xf numFmtId="0" fontId="0" fillId="2" borderId="0" xfId="0" applyFill="1"/>
    <xf numFmtId="0" fontId="0" fillId="4" borderId="0" xfId="0" applyFill="1"/>
    <xf numFmtId="9" fontId="24" fillId="4" borderId="0" xfId="8" applyFont="1" applyFill="1" applyBorder="1" applyAlignment="1" applyProtection="1">
      <alignment horizontal="center"/>
    </xf>
    <xf numFmtId="2" fontId="0" fillId="2" borderId="0" xfId="0" applyNumberFormat="1" applyFill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25" xfId="0" applyNumberFormat="1" applyFill="1" applyBorder="1" applyAlignment="1">
      <alignment horizontal="center"/>
    </xf>
    <xf numFmtId="9" fontId="24" fillId="0" borderId="0" xfId="8" applyFont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6" applyAlignment="1" applyProtection="1">
      <alignment horizontal="center"/>
      <protection locked="0"/>
    </xf>
    <xf numFmtId="1" fontId="0" fillId="0" borderId="0" xfId="0" applyNumberFormat="1"/>
    <xf numFmtId="9" fontId="0" fillId="0" borderId="0" xfId="0" applyNumberFormat="1"/>
    <xf numFmtId="0" fontId="23" fillId="0" borderId="0" xfId="5" applyAlignment="1" applyProtection="1">
      <alignment horizontal="center"/>
    </xf>
    <xf numFmtId="0" fontId="40" fillId="0" borderId="0" xfId="0" applyFont="1"/>
    <xf numFmtId="0" fontId="30" fillId="0" borderId="0" xfId="6" applyFont="1" applyAlignment="1">
      <alignment horizontal="center"/>
    </xf>
    <xf numFmtId="1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/>
    <xf numFmtId="8" fontId="0" fillId="2" borderId="0" xfId="0" applyNumberFormat="1" applyFill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6" applyFont="1" applyAlignment="1">
      <alignment horizontal="center"/>
    </xf>
    <xf numFmtId="0" fontId="41" fillId="0" borderId="0" xfId="6" applyFont="1"/>
    <xf numFmtId="168" fontId="0" fillId="0" borderId="0" xfId="1" applyNumberFormat="1" applyFont="1" applyFill="1" applyBorder="1"/>
    <xf numFmtId="3" fontId="31" fillId="0" borderId="0" xfId="6" applyNumberFormat="1" applyFont="1"/>
    <xf numFmtId="3" fontId="44" fillId="0" borderId="0" xfId="6" applyNumberFormat="1" applyFont="1" applyAlignment="1">
      <alignment horizontal="center"/>
    </xf>
    <xf numFmtId="8" fontId="31" fillId="0" borderId="23" xfId="6" applyNumberFormat="1" applyFont="1" applyBorder="1"/>
    <xf numFmtId="0" fontId="21" fillId="0" borderId="0" xfId="0" applyFont="1" applyAlignment="1">
      <alignment horizontal="left"/>
    </xf>
    <xf numFmtId="0" fontId="30" fillId="0" borderId="0" xfId="6" applyFont="1" applyAlignment="1">
      <alignment horizontal="left"/>
    </xf>
    <xf numFmtId="49" fontId="21" fillId="0" borderId="0" xfId="0" applyNumberFormat="1" applyFont="1"/>
    <xf numFmtId="49" fontId="0" fillId="0" borderId="0" xfId="0" applyNumberFormat="1"/>
    <xf numFmtId="0" fontId="21" fillId="0" borderId="11" xfId="0" applyFont="1" applyBorder="1" applyAlignment="1">
      <alignment horizontal="center"/>
    </xf>
    <xf numFmtId="49" fontId="22" fillId="0" borderId="0" xfId="0" applyNumberFormat="1" applyFont="1"/>
    <xf numFmtId="0" fontId="23" fillId="0" borderId="0" xfId="5" quotePrefix="1" applyAlignment="1" applyProtection="1">
      <alignment horizontal="center"/>
    </xf>
    <xf numFmtId="0" fontId="21" fillId="0" borderId="0" xfId="0" applyFont="1" applyAlignment="1">
      <alignment horizontal="right" wrapText="1"/>
    </xf>
    <xf numFmtId="0" fontId="32" fillId="0" borderId="0" xfId="6" applyFont="1" applyAlignment="1" applyProtection="1">
      <alignment horizontal="center"/>
      <protection locked="0"/>
    </xf>
    <xf numFmtId="0" fontId="30" fillId="0" borderId="0" xfId="6" applyFont="1" applyAlignment="1" applyProtection="1">
      <alignment horizontal="center"/>
      <protection locked="0"/>
    </xf>
    <xf numFmtId="0" fontId="30" fillId="0" borderId="0" xfId="6" applyFont="1" applyAlignment="1" applyProtection="1">
      <alignment horizontal="left"/>
      <protection locked="0"/>
    </xf>
    <xf numFmtId="0" fontId="40" fillId="6" borderId="1" xfId="6" applyFont="1" applyFill="1" applyBorder="1" applyAlignment="1" applyProtection="1">
      <alignment horizontal="center"/>
      <protection locked="0"/>
    </xf>
    <xf numFmtId="164" fontId="40" fillId="6" borderId="1" xfId="6" applyNumberFormat="1" applyFont="1" applyFill="1" applyBorder="1" applyAlignment="1" applyProtection="1">
      <alignment horizontal="center"/>
      <protection locked="0"/>
    </xf>
    <xf numFmtId="0" fontId="40" fillId="0" borderId="1" xfId="6" applyFont="1" applyBorder="1" applyAlignment="1" applyProtection="1">
      <alignment horizontal="center"/>
      <protection locked="0"/>
    </xf>
    <xf numFmtId="164" fontId="40" fillId="0" borderId="1" xfId="6" applyNumberFormat="1" applyFont="1" applyBorder="1" applyAlignment="1" applyProtection="1">
      <alignment horizontal="center"/>
      <protection locked="0"/>
    </xf>
    <xf numFmtId="0" fontId="40" fillId="6" borderId="0" xfId="6" applyFont="1" applyFill="1" applyAlignment="1" applyProtection="1">
      <alignment horizontal="center"/>
      <protection locked="0"/>
    </xf>
    <xf numFmtId="10" fontId="40" fillId="6" borderId="1" xfId="6" applyNumberFormat="1" applyFont="1" applyFill="1" applyBorder="1" applyAlignment="1" applyProtection="1">
      <alignment horizontal="center"/>
      <protection locked="0"/>
    </xf>
    <xf numFmtId="9" fontId="40" fillId="3" borderId="0" xfId="6" applyNumberFormat="1" applyFont="1" applyFill="1" applyAlignment="1">
      <alignment horizontal="center"/>
    </xf>
    <xf numFmtId="8" fontId="40" fillId="3" borderId="0" xfId="6" applyNumberFormat="1" applyFont="1" applyFill="1" applyAlignment="1">
      <alignment horizontal="center"/>
    </xf>
    <xf numFmtId="1" fontId="40" fillId="3" borderId="0" xfId="6" applyNumberFormat="1" applyFont="1" applyFill="1" applyAlignment="1">
      <alignment horizontal="center"/>
    </xf>
    <xf numFmtId="9" fontId="40" fillId="0" borderId="0" xfId="6" applyNumberFormat="1" applyFont="1" applyAlignment="1">
      <alignment horizontal="center"/>
    </xf>
    <xf numFmtId="8" fontId="40" fillId="0" borderId="0" xfId="6" applyNumberFormat="1" applyFont="1" applyAlignment="1">
      <alignment horizontal="center"/>
    </xf>
    <xf numFmtId="1" fontId="40" fillId="0" borderId="0" xfId="6" applyNumberFormat="1" applyFont="1" applyAlignment="1">
      <alignment horizontal="center"/>
    </xf>
    <xf numFmtId="9" fontId="40" fillId="6" borderId="0" xfId="6" applyNumberFormat="1" applyFont="1" applyFill="1" applyAlignment="1" applyProtection="1">
      <alignment horizontal="center"/>
      <protection locked="0"/>
    </xf>
    <xf numFmtId="0" fontId="44" fillId="0" borderId="0" xfId="6" applyFont="1"/>
    <xf numFmtId="2" fontId="21" fillId="0" borderId="32" xfId="6" applyNumberFormat="1" applyBorder="1" applyAlignment="1">
      <alignment horizontal="left"/>
    </xf>
    <xf numFmtId="2" fontId="33" fillId="6" borderId="0" xfId="6" applyNumberFormat="1" applyFont="1" applyFill="1" applyProtection="1">
      <protection locked="0"/>
    </xf>
    <xf numFmtId="164" fontId="21" fillId="0" borderId="33" xfId="1" applyNumberFormat="1" applyFont="1" applyBorder="1" applyAlignment="1" applyProtection="1">
      <alignment horizontal="center"/>
    </xf>
    <xf numFmtId="2" fontId="21" fillId="0" borderId="11" xfId="6" applyNumberFormat="1" applyBorder="1" applyAlignment="1">
      <alignment horizontal="left"/>
    </xf>
    <xf numFmtId="3" fontId="33" fillId="6" borderId="0" xfId="6" applyNumberFormat="1" applyFont="1" applyFill="1" applyProtection="1">
      <protection locked="0"/>
    </xf>
    <xf numFmtId="164" fontId="21" fillId="0" borderId="25" xfId="1" applyNumberFormat="1" applyFont="1" applyBorder="1" applyAlignment="1" applyProtection="1">
      <alignment horizontal="center"/>
    </xf>
    <xf numFmtId="2" fontId="21" fillId="0" borderId="34" xfId="6" applyNumberFormat="1" applyBorder="1" applyAlignment="1">
      <alignment horizontal="left"/>
    </xf>
    <xf numFmtId="10" fontId="33" fillId="6" borderId="0" xfId="6" applyNumberFormat="1" applyFont="1" applyFill="1" applyProtection="1">
      <protection locked="0"/>
    </xf>
    <xf numFmtId="164" fontId="21" fillId="0" borderId="35" xfId="1" applyNumberFormat="1" applyFont="1" applyBorder="1" applyAlignment="1" applyProtection="1">
      <alignment horizontal="center"/>
    </xf>
    <xf numFmtId="0" fontId="49" fillId="0" borderId="7" xfId="6" applyFont="1" applyBorder="1" applyAlignment="1">
      <alignment horizontal="center" wrapText="1"/>
    </xf>
    <xf numFmtId="0" fontId="50" fillId="0" borderId="27" xfId="6" applyFont="1" applyBorder="1" applyAlignment="1">
      <alignment horizontal="center" wrapText="1"/>
    </xf>
    <xf numFmtId="0" fontId="49" fillId="0" borderId="9" xfId="6" applyFont="1" applyBorder="1" applyAlignment="1">
      <alignment horizontal="center" wrapText="1"/>
    </xf>
    <xf numFmtId="0" fontId="50" fillId="0" borderId="28" xfId="6" applyFont="1" applyBorder="1" applyAlignment="1">
      <alignment horizontal="center" wrapText="1"/>
    </xf>
    <xf numFmtId="2" fontId="40" fillId="0" borderId="12" xfId="6" applyNumberFormat="1" applyFont="1" applyBorder="1" applyAlignment="1">
      <alignment horizontal="center"/>
    </xf>
    <xf numFmtId="1" fontId="40" fillId="0" borderId="7" xfId="6" applyNumberFormat="1" applyFont="1" applyBorder="1" applyAlignment="1">
      <alignment horizontal="center"/>
    </xf>
    <xf numFmtId="164" fontId="40" fillId="0" borderId="7" xfId="1" applyNumberFormat="1" applyFont="1" applyBorder="1" applyAlignment="1" applyProtection="1">
      <alignment horizontal="center"/>
    </xf>
    <xf numFmtId="164" fontId="40" fillId="0" borderId="18" xfId="1" applyNumberFormat="1" applyFont="1" applyBorder="1" applyAlignment="1" applyProtection="1">
      <alignment horizontal="center"/>
    </xf>
    <xf numFmtId="164" fontId="40" fillId="0" borderId="10" xfId="1" applyNumberFormat="1" applyFont="1" applyBorder="1" applyAlignment="1" applyProtection="1">
      <alignment horizontal="center"/>
    </xf>
    <xf numFmtId="2" fontId="40" fillId="0" borderId="21" xfId="6" applyNumberFormat="1" applyFont="1" applyBorder="1" applyAlignment="1">
      <alignment horizontal="center"/>
    </xf>
    <xf numFmtId="164" fontId="40" fillId="0" borderId="27" xfId="1" applyNumberFormat="1" applyFont="1" applyBorder="1" applyAlignment="1" applyProtection="1">
      <alignment horizontal="center"/>
    </xf>
    <xf numFmtId="164" fontId="40" fillId="0" borderId="9" xfId="1" applyNumberFormat="1" applyFont="1" applyBorder="1" applyAlignment="1" applyProtection="1">
      <alignment horizontal="center"/>
    </xf>
    <xf numFmtId="2" fontId="40" fillId="5" borderId="21" xfId="6" applyNumberFormat="1" applyFont="1" applyFill="1" applyBorder="1" applyAlignment="1">
      <alignment horizontal="center"/>
    </xf>
    <xf numFmtId="1" fontId="40" fillId="5" borderId="7" xfId="6" applyNumberFormat="1" applyFont="1" applyFill="1" applyBorder="1" applyAlignment="1">
      <alignment horizontal="center"/>
    </xf>
    <xf numFmtId="164" fontId="40" fillId="5" borderId="7" xfId="1" applyNumberFormat="1" applyFont="1" applyFill="1" applyBorder="1" applyAlignment="1" applyProtection="1">
      <alignment horizontal="center"/>
    </xf>
    <xf numFmtId="164" fontId="40" fillId="5" borderId="27" xfId="1" applyNumberFormat="1" applyFont="1" applyFill="1" applyBorder="1" applyAlignment="1" applyProtection="1">
      <alignment horizontal="center"/>
    </xf>
    <xf numFmtId="164" fontId="40" fillId="5" borderId="9" xfId="1" applyNumberFormat="1" applyFont="1" applyFill="1" applyBorder="1" applyAlignment="1" applyProtection="1">
      <alignment horizontal="center"/>
    </xf>
    <xf numFmtId="2" fontId="40" fillId="0" borderId="26" xfId="6" applyNumberFormat="1" applyFont="1" applyBorder="1" applyAlignment="1">
      <alignment horizontal="center"/>
    </xf>
    <xf numFmtId="1" fontId="40" fillId="0" borderId="19" xfId="6" applyNumberFormat="1" applyFont="1" applyBorder="1" applyAlignment="1">
      <alignment horizontal="center"/>
    </xf>
    <xf numFmtId="164" fontId="40" fillId="0" borderId="19" xfId="1" applyNumberFormat="1" applyFont="1" applyBorder="1" applyAlignment="1" applyProtection="1">
      <alignment horizontal="center"/>
    </xf>
    <xf numFmtId="164" fontId="40" fillId="0" borderId="28" xfId="1" applyNumberFormat="1" applyFont="1" applyBorder="1" applyAlignment="1" applyProtection="1">
      <alignment horizontal="center"/>
    </xf>
    <xf numFmtId="164" fontId="40" fillId="0" borderId="22" xfId="1" applyNumberFormat="1" applyFont="1" applyBorder="1" applyAlignment="1" applyProtection="1">
      <alignment horizontal="center"/>
    </xf>
    <xf numFmtId="2" fontId="40" fillId="6" borderId="1" xfId="6" applyNumberFormat="1" applyFont="1" applyFill="1" applyBorder="1" applyAlignment="1" applyProtection="1">
      <alignment horizontal="center"/>
      <protection locked="0"/>
    </xf>
    <xf numFmtId="0" fontId="40" fillId="0" borderId="0" xfId="6" applyFont="1" applyAlignment="1">
      <alignment horizontal="center"/>
    </xf>
    <xf numFmtId="9" fontId="40" fillId="3" borderId="0" xfId="8" applyFont="1" applyFill="1" applyBorder="1" applyAlignment="1" applyProtection="1">
      <alignment horizontal="center"/>
    </xf>
    <xf numFmtId="2" fontId="40" fillId="3" borderId="0" xfId="6" applyNumberFormat="1" applyFont="1" applyFill="1" applyAlignment="1">
      <alignment horizontal="center"/>
    </xf>
    <xf numFmtId="164" fontId="40" fillId="3" borderId="0" xfId="6" applyNumberFormat="1" applyFont="1" applyFill="1" applyAlignment="1">
      <alignment horizontal="center"/>
    </xf>
    <xf numFmtId="9" fontId="40" fillId="0" borderId="0" xfId="8" applyFont="1" applyBorder="1" applyAlignment="1" applyProtection="1">
      <alignment horizontal="center"/>
    </xf>
    <xf numFmtId="2" fontId="40" fillId="0" borderId="0" xfId="6" applyNumberFormat="1" applyFont="1" applyAlignment="1">
      <alignment horizontal="center"/>
    </xf>
    <xf numFmtId="164" fontId="40" fillId="0" borderId="0" xfId="6" applyNumberFormat="1" applyFont="1" applyAlignment="1">
      <alignment horizontal="center"/>
    </xf>
    <xf numFmtId="2" fontId="22" fillId="0" borderId="0" xfId="0" applyNumberFormat="1" applyFont="1"/>
    <xf numFmtId="49" fontId="31" fillId="0" borderId="0" xfId="6" applyNumberFormat="1" applyFont="1"/>
    <xf numFmtId="0" fontId="43" fillId="0" borderId="19" xfId="6" applyFont="1" applyBorder="1" applyAlignment="1">
      <alignment horizontal="center" wrapText="1"/>
    </xf>
    <xf numFmtId="0" fontId="43" fillId="0" borderId="22" xfId="6" applyFont="1" applyBorder="1" applyAlignment="1">
      <alignment horizontal="center" wrapText="1"/>
    </xf>
    <xf numFmtId="0" fontId="43" fillId="0" borderId="0" xfId="6" applyFont="1" applyAlignment="1">
      <alignment horizontal="center" wrapText="1"/>
    </xf>
    <xf numFmtId="0" fontId="43" fillId="0" borderId="0" xfId="6" applyFont="1" applyAlignment="1">
      <alignment horizontal="center"/>
    </xf>
    <xf numFmtId="0" fontId="51" fillId="0" borderId="1" xfId="6" applyFont="1" applyBorder="1" applyAlignment="1">
      <alignment horizontal="center"/>
    </xf>
    <xf numFmtId="164" fontId="43" fillId="0" borderId="0" xfId="6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51" fillId="0" borderId="0" xfId="6" applyFont="1" applyAlignment="1">
      <alignment horizontal="center"/>
    </xf>
    <xf numFmtId="8" fontId="52" fillId="0" borderId="0" xfId="6" applyNumberFormat="1" applyFont="1"/>
    <xf numFmtId="0" fontId="52" fillId="0" borderId="1" xfId="6" applyFont="1" applyBorder="1" applyAlignment="1">
      <alignment horizontal="center"/>
    </xf>
    <xf numFmtId="0" fontId="52" fillId="0" borderId="0" xfId="6" applyFont="1"/>
    <xf numFmtId="164" fontId="40" fillId="0" borderId="0" xfId="6" applyNumberFormat="1" applyFont="1" applyAlignment="1" applyProtection="1">
      <alignment horizontal="center"/>
      <protection locked="0"/>
    </xf>
    <xf numFmtId="0" fontId="40" fillId="0" borderId="0" xfId="6" applyFont="1" applyProtection="1">
      <protection locked="0"/>
    </xf>
    <xf numFmtId="0" fontId="52" fillId="0" borderId="0" xfId="6" applyFont="1" applyAlignment="1">
      <alignment horizontal="center"/>
    </xf>
    <xf numFmtId="0" fontId="52" fillId="0" borderId="3" xfId="6" applyFont="1" applyBorder="1"/>
    <xf numFmtId="164" fontId="40" fillId="0" borderId="1" xfId="6" applyNumberFormat="1" applyFont="1" applyBorder="1" applyAlignment="1">
      <alignment horizontal="center"/>
    </xf>
    <xf numFmtId="164" fontId="40" fillId="0" borderId="15" xfId="6" applyNumberFormat="1" applyFont="1" applyBorder="1" applyAlignment="1">
      <alignment horizontal="center"/>
    </xf>
    <xf numFmtId="164" fontId="40" fillId="0" borderId="23" xfId="6" applyNumberFormat="1" applyFont="1" applyBorder="1" applyAlignment="1">
      <alignment horizontal="center"/>
    </xf>
    <xf numFmtId="164" fontId="40" fillId="0" borderId="24" xfId="6" applyNumberFormat="1" applyFont="1" applyBorder="1" applyAlignment="1">
      <alignment horizontal="center"/>
    </xf>
    <xf numFmtId="164" fontId="52" fillId="0" borderId="0" xfId="6" applyNumberFormat="1" applyFont="1" applyAlignment="1">
      <alignment horizontal="center"/>
    </xf>
    <xf numFmtId="164" fontId="52" fillId="0" borderId="3" xfId="6" applyNumberFormat="1" applyFont="1" applyBorder="1" applyAlignment="1">
      <alignment horizontal="center"/>
    </xf>
    <xf numFmtId="164" fontId="52" fillId="0" borderId="1" xfId="6" applyNumberFormat="1" applyFont="1" applyBorder="1" applyAlignment="1">
      <alignment horizontal="center"/>
    </xf>
    <xf numFmtId="0" fontId="40" fillId="0" borderId="0" xfId="6" applyFont="1" applyAlignment="1" applyProtection="1">
      <alignment horizontal="center"/>
      <protection locked="0"/>
    </xf>
    <xf numFmtId="8" fontId="52" fillId="0" borderId="0" xfId="6" applyNumberFormat="1" applyFont="1" applyAlignment="1">
      <alignment horizontal="center"/>
    </xf>
    <xf numFmtId="0" fontId="40" fillId="0" borderId="0" xfId="6" applyFont="1"/>
    <xf numFmtId="8" fontId="52" fillId="0" borderId="3" xfId="6" applyNumberFormat="1" applyFont="1" applyBorder="1" applyAlignment="1">
      <alignment horizontal="center"/>
    </xf>
    <xf numFmtId="0" fontId="21" fillId="6" borderId="1" xfId="6" applyFill="1" applyBorder="1" applyAlignment="1" applyProtection="1">
      <alignment horizontal="center"/>
      <protection locked="0"/>
    </xf>
    <xf numFmtId="9" fontId="40" fillId="6" borderId="1" xfId="6" applyNumberFormat="1" applyFont="1" applyFill="1" applyBorder="1" applyAlignment="1" applyProtection="1">
      <alignment horizontal="center"/>
      <protection locked="0"/>
    </xf>
    <xf numFmtId="10" fontId="40" fillId="6" borderId="1" xfId="6" applyNumberFormat="1" applyFont="1" applyFill="1" applyBorder="1" applyProtection="1">
      <protection locked="0"/>
    </xf>
    <xf numFmtId="0" fontId="43" fillId="0" borderId="0" xfId="6" quotePrefix="1" applyFont="1" applyAlignment="1">
      <alignment horizontal="center"/>
    </xf>
    <xf numFmtId="164" fontId="40" fillId="0" borderId="2" xfId="6" applyNumberFormat="1" applyFont="1" applyBorder="1" applyAlignment="1">
      <alignment horizontal="center"/>
    </xf>
    <xf numFmtId="0" fontId="26" fillId="0" borderId="0" xfId="5" applyFont="1" applyAlignment="1" applyProtection="1">
      <alignment horizontal="left"/>
    </xf>
    <xf numFmtId="0" fontId="39" fillId="0" borderId="0" xfId="0" applyFont="1" applyAlignment="1">
      <alignment horizontal="center"/>
    </xf>
    <xf numFmtId="0" fontId="26" fillId="0" borderId="0" xfId="5" applyFont="1" applyAlignment="1" applyProtection="1"/>
    <xf numFmtId="0" fontId="28" fillId="0" borderId="0" xfId="6" applyFont="1" applyAlignment="1">
      <alignment horizontal="center" vertical="top" wrapText="1"/>
    </xf>
    <xf numFmtId="0" fontId="28" fillId="0" borderId="0" xfId="6" applyFont="1" applyAlignment="1">
      <alignment horizontal="center"/>
    </xf>
    <xf numFmtId="0" fontId="22" fillId="0" borderId="0" xfId="6" applyFont="1" applyAlignment="1">
      <alignment horizontal="center"/>
    </xf>
    <xf numFmtId="0" fontId="30" fillId="6" borderId="0" xfId="6" applyFont="1" applyFill="1" applyAlignment="1" applyProtection="1">
      <alignment horizontal="center"/>
      <protection locked="0"/>
    </xf>
    <xf numFmtId="9" fontId="45" fillId="0" borderId="0" xfId="8" applyFont="1" applyBorder="1" applyProtection="1"/>
    <xf numFmtId="164" fontId="40" fillId="6" borderId="16" xfId="6" applyNumberFormat="1" applyFont="1" applyFill="1" applyBorder="1" applyAlignment="1" applyProtection="1">
      <alignment horizontal="center"/>
      <protection locked="0"/>
    </xf>
    <xf numFmtId="0" fontId="40" fillId="6" borderId="16" xfId="6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26" fillId="0" borderId="0" xfId="5" applyFont="1" applyAlignment="1" applyProtection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6" fillId="0" borderId="0" xfId="5" applyFont="1" applyAlignment="1" applyProtection="1">
      <alignment horizontal="left"/>
    </xf>
    <xf numFmtId="0" fontId="2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8" fillId="0" borderId="0" xfId="6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8" fillId="0" borderId="0" xfId="6" applyFont="1" applyAlignment="1">
      <alignment horizontal="center"/>
    </xf>
    <xf numFmtId="0" fontId="22" fillId="0" borderId="0" xfId="6" applyFont="1" applyAlignment="1">
      <alignment horizontal="center"/>
    </xf>
    <xf numFmtId="0" fontId="30" fillId="6" borderId="0" xfId="6" applyFont="1" applyFill="1" applyAlignment="1" applyProtection="1">
      <alignment horizontal="center"/>
      <protection locked="0"/>
    </xf>
    <xf numFmtId="0" fontId="30" fillId="0" borderId="0" xfId="6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/>
    <xf numFmtId="8" fontId="0" fillId="2" borderId="0" xfId="0" applyNumberFormat="1" applyFill="1" applyAlignment="1">
      <alignment horizontal="center"/>
    </xf>
    <xf numFmtId="0" fontId="0" fillId="2" borderId="0" xfId="0" applyFill="1"/>
    <xf numFmtId="1" fontId="0" fillId="0" borderId="0" xfId="0" applyNumberFormat="1" applyAlignment="1">
      <alignment horizontal="center"/>
    </xf>
    <xf numFmtId="1" fontId="0" fillId="0" borderId="0" xfId="0" applyNumberFormat="1"/>
    <xf numFmtId="8" fontId="0" fillId="0" borderId="0" xfId="0" applyNumberFormat="1" applyAlignment="1">
      <alignment horizontal="center"/>
    </xf>
    <xf numFmtId="0" fontId="38" fillId="0" borderId="29" xfId="6" applyFont="1" applyBorder="1" applyAlignment="1">
      <alignment horizontal="center"/>
    </xf>
    <xf numFmtId="0" fontId="38" fillId="0" borderId="13" xfId="6" applyFont="1" applyBorder="1" applyAlignment="1">
      <alignment horizontal="center"/>
    </xf>
    <xf numFmtId="0" fontId="38" fillId="0" borderId="6" xfId="6" applyFont="1" applyBorder="1" applyAlignment="1">
      <alignment horizontal="center"/>
    </xf>
    <xf numFmtId="0" fontId="21" fillId="0" borderId="30" xfId="6" applyBorder="1" applyAlignment="1">
      <alignment horizontal="center" wrapText="1"/>
    </xf>
    <xf numFmtId="0" fontId="21" fillId="0" borderId="12" xfId="6" applyBorder="1" applyAlignment="1">
      <alignment horizontal="center" wrapText="1"/>
    </xf>
    <xf numFmtId="0" fontId="39" fillId="0" borderId="4" xfId="6" applyFont="1" applyBorder="1" applyAlignment="1">
      <alignment horizontal="center" wrapText="1"/>
    </xf>
    <xf numFmtId="0" fontId="39" fillId="0" borderId="15" xfId="6" applyFont="1" applyBorder="1" applyAlignment="1">
      <alignment horizontal="center" wrapText="1"/>
    </xf>
    <xf numFmtId="0" fontId="39" fillId="0" borderId="31" xfId="6" applyFont="1" applyBorder="1" applyAlignment="1">
      <alignment horizontal="center" wrapText="1"/>
    </xf>
    <xf numFmtId="1" fontId="40" fillId="3" borderId="0" xfId="6" applyNumberFormat="1" applyFont="1" applyFill="1" applyAlignment="1">
      <alignment horizontal="center"/>
    </xf>
    <xf numFmtId="0" fontId="21" fillId="0" borderId="0" xfId="6" applyAlignment="1">
      <alignment horizontal="center"/>
    </xf>
    <xf numFmtId="8" fontId="40" fillId="3" borderId="0" xfId="6" applyNumberFormat="1" applyFont="1" applyFill="1" applyAlignment="1">
      <alignment horizontal="center"/>
    </xf>
    <xf numFmtId="0" fontId="21" fillId="0" borderId="0" xfId="6"/>
    <xf numFmtId="0" fontId="48" fillId="0" borderId="29" xfId="6" applyFont="1" applyBorder="1" applyAlignment="1">
      <alignment horizontal="center"/>
    </xf>
    <xf numFmtId="0" fontId="48" fillId="0" borderId="13" xfId="6" applyFont="1" applyBorder="1" applyAlignment="1">
      <alignment horizontal="center"/>
    </xf>
    <xf numFmtId="0" fontId="48" fillId="0" borderId="6" xfId="6" applyFont="1" applyBorder="1" applyAlignment="1">
      <alignment horizontal="center"/>
    </xf>
    <xf numFmtId="0" fontId="43" fillId="0" borderId="30" xfId="6" applyFont="1" applyBorder="1" applyAlignment="1">
      <alignment horizontal="center" wrapText="1"/>
    </xf>
    <xf numFmtId="0" fontId="22" fillId="0" borderId="36" xfId="6" applyFont="1" applyBorder="1" applyAlignment="1">
      <alignment horizontal="center" wrapText="1"/>
    </xf>
    <xf numFmtId="0" fontId="22" fillId="0" borderId="37" xfId="6" applyFont="1" applyBorder="1" applyAlignment="1">
      <alignment horizontal="center" wrapText="1"/>
    </xf>
    <xf numFmtId="0" fontId="43" fillId="0" borderId="5" xfId="6" applyFont="1" applyBorder="1" applyAlignment="1">
      <alignment horizontal="center" wrapText="1"/>
    </xf>
    <xf numFmtId="0" fontId="22" fillId="0" borderId="17" xfId="6" applyFont="1" applyBorder="1" applyAlignment="1">
      <alignment horizontal="center" wrapText="1"/>
    </xf>
    <xf numFmtId="0" fontId="22" fillId="0" borderId="20" xfId="6" applyFont="1" applyBorder="1" applyAlignment="1">
      <alignment horizontal="center" wrapText="1"/>
    </xf>
    <xf numFmtId="0" fontId="40" fillId="0" borderId="5" xfId="6" applyFont="1" applyBorder="1" applyAlignment="1">
      <alignment wrapText="1"/>
    </xf>
    <xf numFmtId="0" fontId="21" fillId="0" borderId="17" xfId="6" applyBorder="1" applyAlignment="1">
      <alignment wrapText="1"/>
    </xf>
    <xf numFmtId="0" fontId="21" fillId="0" borderId="20" xfId="6" applyBorder="1" applyAlignment="1">
      <alignment wrapText="1"/>
    </xf>
    <xf numFmtId="0" fontId="43" fillId="0" borderId="4" xfId="6" applyFont="1" applyBorder="1" applyAlignment="1">
      <alignment horizontal="center" wrapText="1"/>
    </xf>
    <xf numFmtId="0" fontId="43" fillId="0" borderId="15" xfId="6" applyFont="1" applyBorder="1" applyAlignment="1">
      <alignment horizontal="center" wrapText="1"/>
    </xf>
    <xf numFmtId="0" fontId="43" fillId="0" borderId="31" xfId="6" applyFont="1" applyBorder="1" applyAlignment="1">
      <alignment horizontal="center" wrapText="1"/>
    </xf>
    <xf numFmtId="1" fontId="40" fillId="0" borderId="0" xfId="6" applyNumberFormat="1" applyFont="1" applyAlignment="1">
      <alignment horizontal="center"/>
    </xf>
    <xf numFmtId="8" fontId="40" fillId="0" borderId="0" xfId="6" applyNumberFormat="1" applyFont="1" applyAlignment="1">
      <alignment horizontal="center"/>
    </xf>
    <xf numFmtId="0" fontId="47" fillId="3" borderId="0" xfId="6" applyFont="1" applyFill="1" applyAlignment="1">
      <alignment horizontal="center"/>
    </xf>
    <xf numFmtId="0" fontId="43" fillId="0" borderId="0" xfId="6" applyFont="1" applyAlignment="1">
      <alignment horizontal="center" wrapText="1"/>
    </xf>
    <xf numFmtId="0" fontId="22" fillId="0" borderId="0" xfId="6" applyFont="1" applyAlignment="1">
      <alignment horizontal="center" wrapText="1"/>
    </xf>
    <xf numFmtId="0" fontId="22" fillId="0" borderId="0" xfId="6" applyFont="1"/>
    <xf numFmtId="0" fontId="22" fillId="0" borderId="0" xfId="0" applyFont="1" applyAlignment="1">
      <alignment horizontal="center"/>
    </xf>
  </cellXfs>
  <cellStyles count="12363">
    <cellStyle name="Currency" xfId="1" builtinId="4"/>
    <cellStyle name="Currency [0] 2" xfId="110" xr:uid="{00000000-0005-0000-0000-000001000000}"/>
    <cellStyle name="Currency [0] 2 2" xfId="220" xr:uid="{00000000-0005-0000-0000-000002000000}"/>
    <cellStyle name="Currency [0] 2 2 2" xfId="440" xr:uid="{00000000-0005-0000-0000-000003000000}"/>
    <cellStyle name="Currency [0] 2 2 2 2" xfId="881" xr:uid="{00000000-0005-0000-0000-000004000000}"/>
    <cellStyle name="Currency [0] 2 2 2 2 2" xfId="3529" xr:uid="{00000000-0005-0000-0000-000005000000}"/>
    <cellStyle name="Currency [0] 2 2 2 2 2 2" xfId="4422" xr:uid="{00000000-0005-0000-0000-000006000000}"/>
    <cellStyle name="Currency [0] 2 2 2 2 2 2 2" xfId="10599" xr:uid="{72979BB3-325B-41A8-80FB-3CC75835BB0B}"/>
    <cellStyle name="Currency [0] 2 2 2 2 2 3" xfId="9706" xr:uid="{A9C08705-4EE2-43CD-937F-6487199217FF}"/>
    <cellStyle name="Currency [0] 2 2 2 2 3" xfId="2647" xr:uid="{00000000-0005-0000-0000-000007000000}"/>
    <cellStyle name="Currency [0] 2 2 2 2 3 2" xfId="4423" xr:uid="{00000000-0005-0000-0000-000008000000}"/>
    <cellStyle name="Currency [0] 2 2 2 2 3 2 2" xfId="10600" xr:uid="{81CE5856-B346-4F14-B4B9-610D57617D28}"/>
    <cellStyle name="Currency [0] 2 2 2 2 3 3" xfId="8824" xr:uid="{5456A254-F7FC-41F8-82A3-A404D47C8E90}"/>
    <cellStyle name="Currency [0] 2 2 2 2 4" xfId="4411" xr:uid="{00000000-0005-0000-0000-000009000000}"/>
    <cellStyle name="Currency [0] 2 2 2 2 4 2" xfId="10588" xr:uid="{6A07ACF4-8D66-460D-B294-BE59AA7D88F9}"/>
    <cellStyle name="Currency [0] 2 2 2 2 5" xfId="1764" xr:uid="{00000000-0005-0000-0000-00000A000000}"/>
    <cellStyle name="Currency [0] 2 2 2 2 5 2" xfId="7941" xr:uid="{4A33F4A1-38CA-4C4E-A4A2-7BE256CD84A7}"/>
    <cellStyle name="Currency [0] 2 2 2 2 6" xfId="7058" xr:uid="{FE3E35E3-E6CC-42BA-862D-BE060DA38877}"/>
    <cellStyle name="Currency [0] 2 2 2 3" xfId="3088" xr:uid="{00000000-0005-0000-0000-00000B000000}"/>
    <cellStyle name="Currency [0] 2 2 2 3 2" xfId="4424" xr:uid="{00000000-0005-0000-0000-00000C000000}"/>
    <cellStyle name="Currency [0] 2 2 2 3 2 2" xfId="10601" xr:uid="{7CFB817A-5011-4007-8728-C9C54327AE54}"/>
    <cellStyle name="Currency [0] 2 2 2 3 3" xfId="9265" xr:uid="{4598B48E-2E83-4149-A03E-4D2407EACFD6}"/>
    <cellStyle name="Currency [0] 2 2 2 4" xfId="2206" xr:uid="{00000000-0005-0000-0000-00000D000000}"/>
    <cellStyle name="Currency [0] 2 2 2 4 2" xfId="4425" xr:uid="{00000000-0005-0000-0000-00000E000000}"/>
    <cellStyle name="Currency [0] 2 2 2 4 2 2" xfId="10602" xr:uid="{161594F4-D772-4054-A3D8-C7278C9D5CCF}"/>
    <cellStyle name="Currency [0] 2 2 2 4 3" xfId="8383" xr:uid="{AF288329-3934-4200-A846-47CF541F91C8}"/>
    <cellStyle name="Currency [0] 2 2 2 5" xfId="3970" xr:uid="{00000000-0005-0000-0000-00000F000000}"/>
    <cellStyle name="Currency [0] 2 2 2 5 2" xfId="10147" xr:uid="{F4471F7B-93AC-4B30-80DA-59F31E5A0107}"/>
    <cellStyle name="Currency [0] 2 2 2 6" xfId="1323" xr:uid="{00000000-0005-0000-0000-000010000000}"/>
    <cellStyle name="Currency [0] 2 2 2 6 2" xfId="7500" xr:uid="{28850F43-9BBC-4DC5-BB67-2C68E15A3C2E}"/>
    <cellStyle name="Currency [0] 2 2 2 7" xfId="6617" xr:uid="{4118EBA9-D7C9-450A-BB5F-C34B06DF3D13}"/>
    <cellStyle name="Currency [0] 2 2 3" xfId="661" xr:uid="{00000000-0005-0000-0000-000011000000}"/>
    <cellStyle name="Currency [0] 2 2 3 2" xfId="3309" xr:uid="{00000000-0005-0000-0000-000012000000}"/>
    <cellStyle name="Currency [0] 2 2 3 2 2" xfId="4426" xr:uid="{00000000-0005-0000-0000-000013000000}"/>
    <cellStyle name="Currency [0] 2 2 3 2 2 2" xfId="10603" xr:uid="{88CE4538-A724-4DA7-97E6-BAF2934EDE81}"/>
    <cellStyle name="Currency [0] 2 2 3 2 3" xfId="9486" xr:uid="{F26165C7-BC5A-433D-ADB2-D8AC9722529F}"/>
    <cellStyle name="Currency [0] 2 2 3 3" xfId="2427" xr:uid="{00000000-0005-0000-0000-000014000000}"/>
    <cellStyle name="Currency [0] 2 2 3 3 2" xfId="4427" xr:uid="{00000000-0005-0000-0000-000015000000}"/>
    <cellStyle name="Currency [0] 2 2 3 3 2 2" xfId="10604" xr:uid="{41274964-BC0B-48A9-A162-EF46766661EB}"/>
    <cellStyle name="Currency [0] 2 2 3 3 3" xfId="8604" xr:uid="{8C1A7767-CD16-4F5F-AEA4-3BB0384FD129}"/>
    <cellStyle name="Currency [0] 2 2 3 4" xfId="4191" xr:uid="{00000000-0005-0000-0000-000016000000}"/>
    <cellStyle name="Currency [0] 2 2 3 4 2" xfId="10368" xr:uid="{9E4C92C4-45D0-4217-9A55-E87F2F6E9962}"/>
    <cellStyle name="Currency [0] 2 2 3 5" xfId="1544" xr:uid="{00000000-0005-0000-0000-000017000000}"/>
    <cellStyle name="Currency [0] 2 2 3 5 2" xfId="7721" xr:uid="{9B2D9130-5532-4524-8E63-B6A668428251}"/>
    <cellStyle name="Currency [0] 2 2 3 6" xfId="6838" xr:uid="{D1F8CA3C-9A76-4D1D-9D20-5E448149D800}"/>
    <cellStyle name="Currency [0] 2 2 4" xfId="2868" xr:uid="{00000000-0005-0000-0000-000018000000}"/>
    <cellStyle name="Currency [0] 2 2 4 2" xfId="4428" xr:uid="{00000000-0005-0000-0000-000019000000}"/>
    <cellStyle name="Currency [0] 2 2 4 2 2" xfId="10605" xr:uid="{6C1C05E0-DBA5-462C-B1FD-4C0B66E8E263}"/>
    <cellStyle name="Currency [0] 2 2 4 3" xfId="9045" xr:uid="{E8A8E980-0D57-4FEB-A9A1-6C028F5DA140}"/>
    <cellStyle name="Currency [0] 2 2 5" xfId="1986" xr:uid="{00000000-0005-0000-0000-00001A000000}"/>
    <cellStyle name="Currency [0] 2 2 5 2" xfId="4429" xr:uid="{00000000-0005-0000-0000-00001B000000}"/>
    <cellStyle name="Currency [0] 2 2 5 2 2" xfId="10606" xr:uid="{564E8CCD-A0D7-4FE1-9170-5AB507315C40}"/>
    <cellStyle name="Currency [0] 2 2 5 3" xfId="8163" xr:uid="{154DCA9A-C5B1-4D9C-96C8-AD4FF919E492}"/>
    <cellStyle name="Currency [0] 2 2 6" xfId="3750" xr:uid="{00000000-0005-0000-0000-00001C000000}"/>
    <cellStyle name="Currency [0] 2 2 6 2" xfId="9927" xr:uid="{C5B199A0-1E80-4535-8FB8-B1F500539642}"/>
    <cellStyle name="Currency [0] 2 2 7" xfId="1103" xr:uid="{00000000-0005-0000-0000-00001D000000}"/>
    <cellStyle name="Currency [0] 2 2 7 2" xfId="7280" xr:uid="{A9760464-D4BF-46C0-A225-D94A2F4EE9A5}"/>
    <cellStyle name="Currency [0] 2 2 8" xfId="6397" xr:uid="{309D6D3D-D074-420D-8594-17A9E23B9F2D}"/>
    <cellStyle name="Currency [0] 2 3" xfId="330" xr:uid="{00000000-0005-0000-0000-00001E000000}"/>
    <cellStyle name="Currency [0] 2 3 2" xfId="771" xr:uid="{00000000-0005-0000-0000-00001F000000}"/>
    <cellStyle name="Currency [0] 2 3 2 2" xfId="3419" xr:uid="{00000000-0005-0000-0000-000020000000}"/>
    <cellStyle name="Currency [0] 2 3 2 2 2" xfId="4430" xr:uid="{00000000-0005-0000-0000-000021000000}"/>
    <cellStyle name="Currency [0] 2 3 2 2 2 2" xfId="10607" xr:uid="{40A692D9-9031-4A1E-A844-166EF847B922}"/>
    <cellStyle name="Currency [0] 2 3 2 2 3" xfId="9596" xr:uid="{EA57FE2B-72B8-4DF0-A2EA-ECF65B1CC59B}"/>
    <cellStyle name="Currency [0] 2 3 2 3" xfId="2537" xr:uid="{00000000-0005-0000-0000-000022000000}"/>
    <cellStyle name="Currency [0] 2 3 2 3 2" xfId="4431" xr:uid="{00000000-0005-0000-0000-000023000000}"/>
    <cellStyle name="Currency [0] 2 3 2 3 2 2" xfId="10608" xr:uid="{1E202F84-B00E-48C1-A281-775BB5A6234A}"/>
    <cellStyle name="Currency [0] 2 3 2 3 3" xfId="8714" xr:uid="{23265871-A67B-40C3-A141-9D6D57B1775A}"/>
    <cellStyle name="Currency [0] 2 3 2 4" xfId="4301" xr:uid="{00000000-0005-0000-0000-000024000000}"/>
    <cellStyle name="Currency [0] 2 3 2 4 2" xfId="10478" xr:uid="{911E002F-F785-4E8A-851F-13C547910CC2}"/>
    <cellStyle name="Currency [0] 2 3 2 5" xfId="1654" xr:uid="{00000000-0005-0000-0000-000025000000}"/>
    <cellStyle name="Currency [0] 2 3 2 5 2" xfId="7831" xr:uid="{70285188-7EEE-43F4-A9E6-38CDBEED6CC6}"/>
    <cellStyle name="Currency [0] 2 3 2 6" xfId="6948" xr:uid="{C715ED9E-67B2-468D-A7E4-DD4717610A7D}"/>
    <cellStyle name="Currency [0] 2 3 3" xfId="2978" xr:uid="{00000000-0005-0000-0000-000026000000}"/>
    <cellStyle name="Currency [0] 2 3 3 2" xfId="4432" xr:uid="{00000000-0005-0000-0000-000027000000}"/>
    <cellStyle name="Currency [0] 2 3 3 2 2" xfId="10609" xr:uid="{9F32A8D7-E87F-4F5D-9936-F36516A05805}"/>
    <cellStyle name="Currency [0] 2 3 3 3" xfId="9155" xr:uid="{A290BD82-1180-4E09-8251-FE9BFC851814}"/>
    <cellStyle name="Currency [0] 2 3 4" xfId="2096" xr:uid="{00000000-0005-0000-0000-000028000000}"/>
    <cellStyle name="Currency [0] 2 3 4 2" xfId="4433" xr:uid="{00000000-0005-0000-0000-000029000000}"/>
    <cellStyle name="Currency [0] 2 3 4 2 2" xfId="10610" xr:uid="{E7775E0E-ADF4-4D5E-BF88-1587300BBE4A}"/>
    <cellStyle name="Currency [0] 2 3 4 3" xfId="8273" xr:uid="{13893EBA-1F85-43C9-B2F2-A95E3EB3E54B}"/>
    <cellStyle name="Currency [0] 2 3 5" xfId="3860" xr:uid="{00000000-0005-0000-0000-00002A000000}"/>
    <cellStyle name="Currency [0] 2 3 5 2" xfId="10037" xr:uid="{531BF7C1-12F9-40B8-BE23-D8ED60106B87}"/>
    <cellStyle name="Currency [0] 2 3 6" xfId="1213" xr:uid="{00000000-0005-0000-0000-00002B000000}"/>
    <cellStyle name="Currency [0] 2 3 6 2" xfId="7390" xr:uid="{4C810BCE-8F01-4DD2-8A4F-74185217E1EE}"/>
    <cellStyle name="Currency [0] 2 3 7" xfId="6507" xr:uid="{3F87EA45-B842-403D-99A8-CE830835D2FE}"/>
    <cellStyle name="Currency [0] 2 4" xfId="551" xr:uid="{00000000-0005-0000-0000-00002C000000}"/>
    <cellStyle name="Currency [0] 2 4 2" xfId="3199" xr:uid="{00000000-0005-0000-0000-00002D000000}"/>
    <cellStyle name="Currency [0] 2 4 2 2" xfId="4434" xr:uid="{00000000-0005-0000-0000-00002E000000}"/>
    <cellStyle name="Currency [0] 2 4 2 2 2" xfId="10611" xr:uid="{1B862D4B-F197-4F6C-A954-369663431662}"/>
    <cellStyle name="Currency [0] 2 4 2 3" xfId="9376" xr:uid="{D0DEE7F5-69C9-4556-9ED5-394E3E08F682}"/>
    <cellStyle name="Currency [0] 2 4 3" xfId="2317" xr:uid="{00000000-0005-0000-0000-00002F000000}"/>
    <cellStyle name="Currency [0] 2 4 3 2" xfId="4435" xr:uid="{00000000-0005-0000-0000-000030000000}"/>
    <cellStyle name="Currency [0] 2 4 3 2 2" xfId="10612" xr:uid="{8D2B86B1-9BA4-40A6-8020-82B5B51DAD63}"/>
    <cellStyle name="Currency [0] 2 4 3 3" xfId="8494" xr:uid="{7761602B-44A0-412C-8E20-0F17602A9E98}"/>
    <cellStyle name="Currency [0] 2 4 4" xfId="4081" xr:uid="{00000000-0005-0000-0000-000031000000}"/>
    <cellStyle name="Currency [0] 2 4 4 2" xfId="10258" xr:uid="{4341BBC3-B908-4C31-B287-AD414047A03C}"/>
    <cellStyle name="Currency [0] 2 4 5" xfId="1434" xr:uid="{00000000-0005-0000-0000-000032000000}"/>
    <cellStyle name="Currency [0] 2 4 5 2" xfId="7611" xr:uid="{4ACB8E2E-C595-4A26-964E-9912CB68DA7C}"/>
    <cellStyle name="Currency [0] 2 4 6" xfId="6728" xr:uid="{163432D2-7513-4E1E-961F-DBA383FD3E5C}"/>
    <cellStyle name="Currency [0] 2 5" xfId="2758" xr:uid="{00000000-0005-0000-0000-000033000000}"/>
    <cellStyle name="Currency [0] 2 5 2" xfId="4436" xr:uid="{00000000-0005-0000-0000-000034000000}"/>
    <cellStyle name="Currency [0] 2 5 2 2" xfId="10613" xr:uid="{BF203E0B-ADC2-4A14-87D9-351BAEDA9BA1}"/>
    <cellStyle name="Currency [0] 2 5 3" xfId="8935" xr:uid="{9CFB5B16-3E47-48E1-A1A3-648CF499CEC9}"/>
    <cellStyle name="Currency [0] 2 6" xfId="1876" xr:uid="{00000000-0005-0000-0000-000035000000}"/>
    <cellStyle name="Currency [0] 2 6 2" xfId="4437" xr:uid="{00000000-0005-0000-0000-000036000000}"/>
    <cellStyle name="Currency [0] 2 6 2 2" xfId="10614" xr:uid="{84AC2ED5-B929-468D-A07B-33415558B856}"/>
    <cellStyle name="Currency [0] 2 6 3" xfId="8053" xr:uid="{3B7F7690-FE5E-4B80-8A7E-AE25C2056F7D}"/>
    <cellStyle name="Currency [0] 2 7" xfId="3640" xr:uid="{00000000-0005-0000-0000-000037000000}"/>
    <cellStyle name="Currency [0] 2 7 2" xfId="9817" xr:uid="{837142E5-4B61-414C-9BEB-6992851A1542}"/>
    <cellStyle name="Currency [0] 2 8" xfId="993" xr:uid="{00000000-0005-0000-0000-000038000000}"/>
    <cellStyle name="Currency [0] 2 8 2" xfId="7170" xr:uid="{EB90AC35-291A-4CAF-8EC5-A5E99C7782FD}"/>
    <cellStyle name="Currency [0] 2 9" xfId="6287" xr:uid="{D1F69CD9-E06F-476A-A497-C2B07B21C66E}"/>
    <cellStyle name="Currency [0] 3" xfId="111" xr:uid="{00000000-0005-0000-0000-000039000000}"/>
    <cellStyle name="Currency [0] 3 2" xfId="221" xr:uid="{00000000-0005-0000-0000-00003A000000}"/>
    <cellStyle name="Currency [0] 3 2 2" xfId="441" xr:uid="{00000000-0005-0000-0000-00003B000000}"/>
    <cellStyle name="Currency [0] 3 2 2 2" xfId="882" xr:uid="{00000000-0005-0000-0000-00003C000000}"/>
    <cellStyle name="Currency [0] 3 2 2 2 2" xfId="3530" xr:uid="{00000000-0005-0000-0000-00003D000000}"/>
    <cellStyle name="Currency [0] 3 2 2 2 2 2" xfId="4438" xr:uid="{00000000-0005-0000-0000-00003E000000}"/>
    <cellStyle name="Currency [0] 3 2 2 2 2 2 2" xfId="10615" xr:uid="{CCDF57D0-9CCC-472F-83E5-3FB7F24A577A}"/>
    <cellStyle name="Currency [0] 3 2 2 2 2 3" xfId="9707" xr:uid="{7800173B-FAD9-4AD0-B0A6-8FEB1229073E}"/>
    <cellStyle name="Currency [0] 3 2 2 2 3" xfId="2648" xr:uid="{00000000-0005-0000-0000-00003F000000}"/>
    <cellStyle name="Currency [0] 3 2 2 2 3 2" xfId="4439" xr:uid="{00000000-0005-0000-0000-000040000000}"/>
    <cellStyle name="Currency [0] 3 2 2 2 3 2 2" xfId="10616" xr:uid="{F033D4A5-4EE6-40DA-88F1-89F50D58FD44}"/>
    <cellStyle name="Currency [0] 3 2 2 2 3 3" xfId="8825" xr:uid="{B0EAFFB3-3BDD-4D29-A528-A2C1E1F15052}"/>
    <cellStyle name="Currency [0] 3 2 2 2 4" xfId="4412" xr:uid="{00000000-0005-0000-0000-000041000000}"/>
    <cellStyle name="Currency [0] 3 2 2 2 4 2" xfId="10589" xr:uid="{87782246-2BDD-4623-B905-71219E28B2E5}"/>
    <cellStyle name="Currency [0] 3 2 2 2 5" xfId="1765" xr:uid="{00000000-0005-0000-0000-000042000000}"/>
    <cellStyle name="Currency [0] 3 2 2 2 5 2" xfId="7942" xr:uid="{BA309D6D-8A00-49FA-BBF5-A4DE834C3969}"/>
    <cellStyle name="Currency [0] 3 2 2 2 6" xfId="7059" xr:uid="{067E0E38-6B88-4225-B662-0F27A4C37932}"/>
    <cellStyle name="Currency [0] 3 2 2 3" xfId="3089" xr:uid="{00000000-0005-0000-0000-000043000000}"/>
    <cellStyle name="Currency [0] 3 2 2 3 2" xfId="4440" xr:uid="{00000000-0005-0000-0000-000044000000}"/>
    <cellStyle name="Currency [0] 3 2 2 3 2 2" xfId="10617" xr:uid="{3E53FBA7-1C22-4666-B42F-ADD2141E9A13}"/>
    <cellStyle name="Currency [0] 3 2 2 3 3" xfId="9266" xr:uid="{3A82C388-4863-43C3-ACAF-1E315330C5B3}"/>
    <cellStyle name="Currency [0] 3 2 2 4" xfId="2207" xr:uid="{00000000-0005-0000-0000-000045000000}"/>
    <cellStyle name="Currency [0] 3 2 2 4 2" xfId="4441" xr:uid="{00000000-0005-0000-0000-000046000000}"/>
    <cellStyle name="Currency [0] 3 2 2 4 2 2" xfId="10618" xr:uid="{396877B2-4837-41A1-A628-8CB6A6944615}"/>
    <cellStyle name="Currency [0] 3 2 2 4 3" xfId="8384" xr:uid="{4D2C628F-921D-4D0D-A98E-6F924807FC89}"/>
    <cellStyle name="Currency [0] 3 2 2 5" xfId="3971" xr:uid="{00000000-0005-0000-0000-000047000000}"/>
    <cellStyle name="Currency [0] 3 2 2 5 2" xfId="10148" xr:uid="{616DAEE8-D3D8-4F76-99B4-FF21B29AD00B}"/>
    <cellStyle name="Currency [0] 3 2 2 6" xfId="1324" xr:uid="{00000000-0005-0000-0000-000048000000}"/>
    <cellStyle name="Currency [0] 3 2 2 6 2" xfId="7501" xr:uid="{3EE4C624-BD04-42EA-9547-243BBB9BF0E2}"/>
    <cellStyle name="Currency [0] 3 2 2 7" xfId="6618" xr:uid="{2A0433F3-BCA1-47AC-84FD-77F523779091}"/>
    <cellStyle name="Currency [0] 3 2 3" xfId="662" xr:uid="{00000000-0005-0000-0000-000049000000}"/>
    <cellStyle name="Currency [0] 3 2 3 2" xfId="3310" xr:uid="{00000000-0005-0000-0000-00004A000000}"/>
    <cellStyle name="Currency [0] 3 2 3 2 2" xfId="4442" xr:uid="{00000000-0005-0000-0000-00004B000000}"/>
    <cellStyle name="Currency [0] 3 2 3 2 2 2" xfId="10619" xr:uid="{C328DAB7-00D4-4188-891E-46AA134DB995}"/>
    <cellStyle name="Currency [0] 3 2 3 2 3" xfId="9487" xr:uid="{B821C088-7CC0-4B4D-9CDC-6CD3DCDD5B01}"/>
    <cellStyle name="Currency [0] 3 2 3 3" xfId="2428" xr:uid="{00000000-0005-0000-0000-00004C000000}"/>
    <cellStyle name="Currency [0] 3 2 3 3 2" xfId="4443" xr:uid="{00000000-0005-0000-0000-00004D000000}"/>
    <cellStyle name="Currency [0] 3 2 3 3 2 2" xfId="10620" xr:uid="{5900BBB9-A5A8-4519-8CC4-BBAF960F3666}"/>
    <cellStyle name="Currency [0] 3 2 3 3 3" xfId="8605" xr:uid="{69BBA7CA-D499-4052-B64C-1AF1470DF118}"/>
    <cellStyle name="Currency [0] 3 2 3 4" xfId="4192" xr:uid="{00000000-0005-0000-0000-00004E000000}"/>
    <cellStyle name="Currency [0] 3 2 3 4 2" xfId="10369" xr:uid="{F4E6F837-5DCC-4129-9152-D083A98349E5}"/>
    <cellStyle name="Currency [0] 3 2 3 5" xfId="1545" xr:uid="{00000000-0005-0000-0000-00004F000000}"/>
    <cellStyle name="Currency [0] 3 2 3 5 2" xfId="7722" xr:uid="{D66635AE-C1B9-4789-824E-CA567E67BEA1}"/>
    <cellStyle name="Currency [0] 3 2 3 6" xfId="6839" xr:uid="{C1E9617D-CE32-445C-9C74-801CBA256D0A}"/>
    <cellStyle name="Currency [0] 3 2 4" xfId="2869" xr:uid="{00000000-0005-0000-0000-000050000000}"/>
    <cellStyle name="Currency [0] 3 2 4 2" xfId="4444" xr:uid="{00000000-0005-0000-0000-000051000000}"/>
    <cellStyle name="Currency [0] 3 2 4 2 2" xfId="10621" xr:uid="{76E1579A-EE0E-439C-814E-D3B07CCBE907}"/>
    <cellStyle name="Currency [0] 3 2 4 3" xfId="9046" xr:uid="{8AC372C8-198C-4F16-8623-A281435A35BD}"/>
    <cellStyle name="Currency [0] 3 2 5" xfId="1987" xr:uid="{00000000-0005-0000-0000-000052000000}"/>
    <cellStyle name="Currency [0] 3 2 5 2" xfId="4445" xr:uid="{00000000-0005-0000-0000-000053000000}"/>
    <cellStyle name="Currency [0] 3 2 5 2 2" xfId="10622" xr:uid="{CE04EAF3-DDB0-44E9-81F6-12E11F4EE38E}"/>
    <cellStyle name="Currency [0] 3 2 5 3" xfId="8164" xr:uid="{7888FB67-4EDA-430F-B23E-BF1A6E1640B0}"/>
    <cellStyle name="Currency [0] 3 2 6" xfId="3751" xr:uid="{00000000-0005-0000-0000-000054000000}"/>
    <cellStyle name="Currency [0] 3 2 6 2" xfId="9928" xr:uid="{991FD4DE-6523-461D-BCF8-BAADD5613227}"/>
    <cellStyle name="Currency [0] 3 2 7" xfId="1104" xr:uid="{00000000-0005-0000-0000-000055000000}"/>
    <cellStyle name="Currency [0] 3 2 7 2" xfId="7281" xr:uid="{8F5A3680-38FF-49FA-80C8-69F7597A1A00}"/>
    <cellStyle name="Currency [0] 3 2 8" xfId="6398" xr:uid="{64735D03-74B5-42F3-9B68-093ABA07580D}"/>
    <cellStyle name="Currency [0] 3 3" xfId="331" xr:uid="{00000000-0005-0000-0000-000056000000}"/>
    <cellStyle name="Currency [0] 3 3 2" xfId="772" xr:uid="{00000000-0005-0000-0000-000057000000}"/>
    <cellStyle name="Currency [0] 3 3 2 2" xfId="3420" xr:uid="{00000000-0005-0000-0000-000058000000}"/>
    <cellStyle name="Currency [0] 3 3 2 2 2" xfId="4446" xr:uid="{00000000-0005-0000-0000-000059000000}"/>
    <cellStyle name="Currency [0] 3 3 2 2 2 2" xfId="10623" xr:uid="{0AF192F6-1C3E-4547-8E28-F9A95C91F576}"/>
    <cellStyle name="Currency [0] 3 3 2 2 3" xfId="9597" xr:uid="{AE1F12D3-C80D-4707-ADD0-4A614608BA42}"/>
    <cellStyle name="Currency [0] 3 3 2 3" xfId="2538" xr:uid="{00000000-0005-0000-0000-00005A000000}"/>
    <cellStyle name="Currency [0] 3 3 2 3 2" xfId="4447" xr:uid="{00000000-0005-0000-0000-00005B000000}"/>
    <cellStyle name="Currency [0] 3 3 2 3 2 2" xfId="10624" xr:uid="{7F67A737-66DA-4C15-8759-BA2B711082FE}"/>
    <cellStyle name="Currency [0] 3 3 2 3 3" xfId="8715" xr:uid="{36626DAE-C204-4A13-9096-F31B811A90FB}"/>
    <cellStyle name="Currency [0] 3 3 2 4" xfId="4302" xr:uid="{00000000-0005-0000-0000-00005C000000}"/>
    <cellStyle name="Currency [0] 3 3 2 4 2" xfId="10479" xr:uid="{DF9533BE-B607-409B-A515-32A0A4A179F6}"/>
    <cellStyle name="Currency [0] 3 3 2 5" xfId="1655" xr:uid="{00000000-0005-0000-0000-00005D000000}"/>
    <cellStyle name="Currency [0] 3 3 2 5 2" xfId="7832" xr:uid="{8DE50476-FC1C-4C82-9A2F-6C7AEE1913C1}"/>
    <cellStyle name="Currency [0] 3 3 2 6" xfId="6949" xr:uid="{82F28A7F-88A7-49B4-8381-72936D18E800}"/>
    <cellStyle name="Currency [0] 3 3 3" xfId="2979" xr:uid="{00000000-0005-0000-0000-00005E000000}"/>
    <cellStyle name="Currency [0] 3 3 3 2" xfId="4448" xr:uid="{00000000-0005-0000-0000-00005F000000}"/>
    <cellStyle name="Currency [0] 3 3 3 2 2" xfId="10625" xr:uid="{1F8371C8-2F99-4728-920F-9A1EA86484AE}"/>
    <cellStyle name="Currency [0] 3 3 3 3" xfId="9156" xr:uid="{61318BDF-B6A7-4AD4-8FC7-C32016E1FF0A}"/>
    <cellStyle name="Currency [0] 3 3 4" xfId="2097" xr:uid="{00000000-0005-0000-0000-000060000000}"/>
    <cellStyle name="Currency [0] 3 3 4 2" xfId="4449" xr:uid="{00000000-0005-0000-0000-000061000000}"/>
    <cellStyle name="Currency [0] 3 3 4 2 2" xfId="10626" xr:uid="{EC6A20B1-5F72-4A40-9013-E0A93B1A9445}"/>
    <cellStyle name="Currency [0] 3 3 4 3" xfId="8274" xr:uid="{D9AD28D1-09CA-4799-A509-99CDBB31C41A}"/>
    <cellStyle name="Currency [0] 3 3 5" xfId="3861" xr:uid="{00000000-0005-0000-0000-000062000000}"/>
    <cellStyle name="Currency [0] 3 3 5 2" xfId="10038" xr:uid="{BFAF5EAF-E1AF-439D-9671-B0A74F35A40B}"/>
    <cellStyle name="Currency [0] 3 3 6" xfId="1214" xr:uid="{00000000-0005-0000-0000-000063000000}"/>
    <cellStyle name="Currency [0] 3 3 6 2" xfId="7391" xr:uid="{E6A6A1D7-BA80-480E-A0AC-6A2AF7BDEF23}"/>
    <cellStyle name="Currency [0] 3 3 7" xfId="6508" xr:uid="{B75D8C93-D326-4E5E-B9A5-9AE576B6982A}"/>
    <cellStyle name="Currency [0] 3 4" xfId="552" xr:uid="{00000000-0005-0000-0000-000064000000}"/>
    <cellStyle name="Currency [0] 3 4 2" xfId="3200" xr:uid="{00000000-0005-0000-0000-000065000000}"/>
    <cellStyle name="Currency [0] 3 4 2 2" xfId="4450" xr:uid="{00000000-0005-0000-0000-000066000000}"/>
    <cellStyle name="Currency [0] 3 4 2 2 2" xfId="10627" xr:uid="{A9ABE8D7-05F0-4F69-B80F-17B0D4BD4E57}"/>
    <cellStyle name="Currency [0] 3 4 2 3" xfId="9377" xr:uid="{CF0A45C1-5D45-4B64-9BD8-B9C902023AAA}"/>
    <cellStyle name="Currency [0] 3 4 3" xfId="2318" xr:uid="{00000000-0005-0000-0000-000067000000}"/>
    <cellStyle name="Currency [0] 3 4 3 2" xfId="4451" xr:uid="{00000000-0005-0000-0000-000068000000}"/>
    <cellStyle name="Currency [0] 3 4 3 2 2" xfId="10628" xr:uid="{EB861CA1-D7D2-42D8-A4F3-95AADFCCE240}"/>
    <cellStyle name="Currency [0] 3 4 3 3" xfId="8495" xr:uid="{9915E615-244B-48D0-B5BF-B3818EBDBA32}"/>
    <cellStyle name="Currency [0] 3 4 4" xfId="4082" xr:uid="{00000000-0005-0000-0000-000069000000}"/>
    <cellStyle name="Currency [0] 3 4 4 2" xfId="10259" xr:uid="{9A67FC84-4279-4556-B411-D303E52E1FE7}"/>
    <cellStyle name="Currency [0] 3 4 5" xfId="1435" xr:uid="{00000000-0005-0000-0000-00006A000000}"/>
    <cellStyle name="Currency [0] 3 4 5 2" xfId="7612" xr:uid="{1361900D-C766-4E25-AB9F-234D0D255EFE}"/>
    <cellStyle name="Currency [0] 3 4 6" xfId="6729" xr:uid="{B86A24A9-E2D3-4EC5-9E78-0E42A2F412BE}"/>
    <cellStyle name="Currency [0] 3 5" xfId="2759" xr:uid="{00000000-0005-0000-0000-00006B000000}"/>
    <cellStyle name="Currency [0] 3 5 2" xfId="4452" xr:uid="{00000000-0005-0000-0000-00006C000000}"/>
    <cellStyle name="Currency [0] 3 5 2 2" xfId="10629" xr:uid="{4F3E025C-B0DC-4C4A-A012-4A8C4CF4D445}"/>
    <cellStyle name="Currency [0] 3 5 3" xfId="8936" xr:uid="{276FE42F-864B-4A20-9306-4ABFEC95A886}"/>
    <cellStyle name="Currency [0] 3 6" xfId="1877" xr:uid="{00000000-0005-0000-0000-00006D000000}"/>
    <cellStyle name="Currency [0] 3 6 2" xfId="4453" xr:uid="{00000000-0005-0000-0000-00006E000000}"/>
    <cellStyle name="Currency [0] 3 6 2 2" xfId="10630" xr:uid="{C065117E-7BBB-4FA5-8388-03FB60FBE44B}"/>
    <cellStyle name="Currency [0] 3 6 3" xfId="8054" xr:uid="{C31F8ECD-DC68-494E-9C4D-CE0B4177BA14}"/>
    <cellStyle name="Currency [0] 3 7" xfId="3641" xr:uid="{00000000-0005-0000-0000-00006F000000}"/>
    <cellStyle name="Currency [0] 3 7 2" xfId="9818" xr:uid="{BC807D20-C004-4C28-829A-9A36FD1DA830}"/>
    <cellStyle name="Currency [0] 3 8" xfId="994" xr:uid="{00000000-0005-0000-0000-000070000000}"/>
    <cellStyle name="Currency [0] 3 8 2" xfId="7171" xr:uid="{40C672F2-3873-4299-B75C-289E3A648F3A}"/>
    <cellStyle name="Currency [0] 3 9" xfId="6288" xr:uid="{515C3B46-AF8C-4F04-9D8F-2481786C2707}"/>
    <cellStyle name="Currency [0] 4" xfId="112" xr:uid="{00000000-0005-0000-0000-000071000000}"/>
    <cellStyle name="Currency [0] 4 2" xfId="222" xr:uid="{00000000-0005-0000-0000-000072000000}"/>
    <cellStyle name="Currency [0] 4 2 2" xfId="442" xr:uid="{00000000-0005-0000-0000-000073000000}"/>
    <cellStyle name="Currency [0] 4 2 2 2" xfId="883" xr:uid="{00000000-0005-0000-0000-000074000000}"/>
    <cellStyle name="Currency [0] 4 2 2 2 2" xfId="3531" xr:uid="{00000000-0005-0000-0000-000075000000}"/>
    <cellStyle name="Currency [0] 4 2 2 2 2 2" xfId="4454" xr:uid="{00000000-0005-0000-0000-000076000000}"/>
    <cellStyle name="Currency [0] 4 2 2 2 2 2 2" xfId="10631" xr:uid="{1C23AD36-31F0-4942-BFB2-685051228943}"/>
    <cellStyle name="Currency [0] 4 2 2 2 2 3" xfId="9708" xr:uid="{D0D34835-1F8B-4E53-AF19-17B8F1F217B0}"/>
    <cellStyle name="Currency [0] 4 2 2 2 3" xfId="2649" xr:uid="{00000000-0005-0000-0000-000077000000}"/>
    <cellStyle name="Currency [0] 4 2 2 2 3 2" xfId="4455" xr:uid="{00000000-0005-0000-0000-000078000000}"/>
    <cellStyle name="Currency [0] 4 2 2 2 3 2 2" xfId="10632" xr:uid="{CE5400AD-5591-4E6B-BF64-871F8BEA6F3F}"/>
    <cellStyle name="Currency [0] 4 2 2 2 3 3" xfId="8826" xr:uid="{9A0A7307-85B6-4051-BD9D-34E3D93122E1}"/>
    <cellStyle name="Currency [0] 4 2 2 2 4" xfId="4413" xr:uid="{00000000-0005-0000-0000-000079000000}"/>
    <cellStyle name="Currency [0] 4 2 2 2 4 2" xfId="10590" xr:uid="{8C788787-40BB-4056-9246-1DAF4F86A284}"/>
    <cellStyle name="Currency [0] 4 2 2 2 5" xfId="1766" xr:uid="{00000000-0005-0000-0000-00007A000000}"/>
    <cellStyle name="Currency [0] 4 2 2 2 5 2" xfId="7943" xr:uid="{664955AA-77AD-4818-BE25-D91F8DB9EC7F}"/>
    <cellStyle name="Currency [0] 4 2 2 2 6" xfId="7060" xr:uid="{F0384754-9D99-4A14-876F-BE465ED99E4E}"/>
    <cellStyle name="Currency [0] 4 2 2 3" xfId="3090" xr:uid="{00000000-0005-0000-0000-00007B000000}"/>
    <cellStyle name="Currency [0] 4 2 2 3 2" xfId="4456" xr:uid="{00000000-0005-0000-0000-00007C000000}"/>
    <cellStyle name="Currency [0] 4 2 2 3 2 2" xfId="10633" xr:uid="{1769673B-7F87-4A1B-909D-DE54DA0FA13E}"/>
    <cellStyle name="Currency [0] 4 2 2 3 3" xfId="9267" xr:uid="{9F587921-3511-4A46-9FF4-8F82B6989423}"/>
    <cellStyle name="Currency [0] 4 2 2 4" xfId="2208" xr:uid="{00000000-0005-0000-0000-00007D000000}"/>
    <cellStyle name="Currency [0] 4 2 2 4 2" xfId="4457" xr:uid="{00000000-0005-0000-0000-00007E000000}"/>
    <cellStyle name="Currency [0] 4 2 2 4 2 2" xfId="10634" xr:uid="{2B76BC39-76C1-4A75-99C7-9EB6E4918B15}"/>
    <cellStyle name="Currency [0] 4 2 2 4 3" xfId="8385" xr:uid="{7397AE54-17E9-45C5-844E-9070D620A493}"/>
    <cellStyle name="Currency [0] 4 2 2 5" xfId="3972" xr:uid="{00000000-0005-0000-0000-00007F000000}"/>
    <cellStyle name="Currency [0] 4 2 2 5 2" xfId="10149" xr:uid="{9A5B4CD0-86BC-4213-919E-C56F7D66663B}"/>
    <cellStyle name="Currency [0] 4 2 2 6" xfId="1325" xr:uid="{00000000-0005-0000-0000-000080000000}"/>
    <cellStyle name="Currency [0] 4 2 2 6 2" xfId="7502" xr:uid="{F55C90DB-2322-440E-B6E9-9B9AB77A0A98}"/>
    <cellStyle name="Currency [0] 4 2 2 7" xfId="6619" xr:uid="{B99DB841-45C2-4CCB-8F97-ECE80B9ABE37}"/>
    <cellStyle name="Currency [0] 4 2 3" xfId="663" xr:uid="{00000000-0005-0000-0000-000081000000}"/>
    <cellStyle name="Currency [0] 4 2 3 2" xfId="3311" xr:uid="{00000000-0005-0000-0000-000082000000}"/>
    <cellStyle name="Currency [0] 4 2 3 2 2" xfId="4458" xr:uid="{00000000-0005-0000-0000-000083000000}"/>
    <cellStyle name="Currency [0] 4 2 3 2 2 2" xfId="10635" xr:uid="{796E4606-A6E5-4739-925F-9C0E625AE3C1}"/>
    <cellStyle name="Currency [0] 4 2 3 2 3" xfId="9488" xr:uid="{B00064AC-8C90-433A-AC0B-995BCA70C524}"/>
    <cellStyle name="Currency [0] 4 2 3 3" xfId="2429" xr:uid="{00000000-0005-0000-0000-000084000000}"/>
    <cellStyle name="Currency [0] 4 2 3 3 2" xfId="4459" xr:uid="{00000000-0005-0000-0000-000085000000}"/>
    <cellStyle name="Currency [0] 4 2 3 3 2 2" xfId="10636" xr:uid="{9A10ADA5-1310-4BE4-ADA1-9A8C0AA3513B}"/>
    <cellStyle name="Currency [0] 4 2 3 3 3" xfId="8606" xr:uid="{67291B5F-1DD4-40DA-BEE1-3FDA1E5C9A70}"/>
    <cellStyle name="Currency [0] 4 2 3 4" xfId="4193" xr:uid="{00000000-0005-0000-0000-000086000000}"/>
    <cellStyle name="Currency [0] 4 2 3 4 2" xfId="10370" xr:uid="{E99B67F4-AB5C-4471-A421-11DFDBCA041D}"/>
    <cellStyle name="Currency [0] 4 2 3 5" xfId="1546" xr:uid="{00000000-0005-0000-0000-000087000000}"/>
    <cellStyle name="Currency [0] 4 2 3 5 2" xfId="7723" xr:uid="{46C41FBE-C264-40F0-A744-FDBDF6F09890}"/>
    <cellStyle name="Currency [0] 4 2 3 6" xfId="6840" xr:uid="{421FCB0B-1D8B-4B4A-A540-354BA315231B}"/>
    <cellStyle name="Currency [0] 4 2 4" xfId="2870" xr:uid="{00000000-0005-0000-0000-000088000000}"/>
    <cellStyle name="Currency [0] 4 2 4 2" xfId="4460" xr:uid="{00000000-0005-0000-0000-000089000000}"/>
    <cellStyle name="Currency [0] 4 2 4 2 2" xfId="10637" xr:uid="{2197B0FD-6305-4932-B73C-B111BBAAE880}"/>
    <cellStyle name="Currency [0] 4 2 4 3" xfId="9047" xr:uid="{7EA78418-62C6-4411-8C74-5AFAD053FB8F}"/>
    <cellStyle name="Currency [0] 4 2 5" xfId="1988" xr:uid="{00000000-0005-0000-0000-00008A000000}"/>
    <cellStyle name="Currency [0] 4 2 5 2" xfId="4461" xr:uid="{00000000-0005-0000-0000-00008B000000}"/>
    <cellStyle name="Currency [0] 4 2 5 2 2" xfId="10638" xr:uid="{424BFF23-FE6F-4C0B-AB5A-10CA3C3C6897}"/>
    <cellStyle name="Currency [0] 4 2 5 3" xfId="8165" xr:uid="{57CD7669-AE38-47B5-A7CA-8F324955BB26}"/>
    <cellStyle name="Currency [0] 4 2 6" xfId="3752" xr:uid="{00000000-0005-0000-0000-00008C000000}"/>
    <cellStyle name="Currency [0] 4 2 6 2" xfId="9929" xr:uid="{14513918-2E1A-475E-9752-DBFDD5DF2ABB}"/>
    <cellStyle name="Currency [0] 4 2 7" xfId="1105" xr:uid="{00000000-0005-0000-0000-00008D000000}"/>
    <cellStyle name="Currency [0] 4 2 7 2" xfId="7282" xr:uid="{9E0640B5-C7BE-4646-91D3-DEEA530D9E9F}"/>
    <cellStyle name="Currency [0] 4 2 8" xfId="6399" xr:uid="{F892C997-F3F9-4D48-8215-BE558FBDBE86}"/>
    <cellStyle name="Currency [0] 4 3" xfId="332" xr:uid="{00000000-0005-0000-0000-00008E000000}"/>
    <cellStyle name="Currency [0] 4 3 2" xfId="773" xr:uid="{00000000-0005-0000-0000-00008F000000}"/>
    <cellStyle name="Currency [0] 4 3 2 2" xfId="3421" xr:uid="{00000000-0005-0000-0000-000090000000}"/>
    <cellStyle name="Currency [0] 4 3 2 2 2" xfId="4462" xr:uid="{00000000-0005-0000-0000-000091000000}"/>
    <cellStyle name="Currency [0] 4 3 2 2 2 2" xfId="10639" xr:uid="{619D2A08-E16D-41EE-A048-3B1595FAD7BF}"/>
    <cellStyle name="Currency [0] 4 3 2 2 3" xfId="9598" xr:uid="{D6DEB937-542C-4CB7-A51C-681919FCA076}"/>
    <cellStyle name="Currency [0] 4 3 2 3" xfId="2539" xr:uid="{00000000-0005-0000-0000-000092000000}"/>
    <cellStyle name="Currency [0] 4 3 2 3 2" xfId="4463" xr:uid="{00000000-0005-0000-0000-000093000000}"/>
    <cellStyle name="Currency [0] 4 3 2 3 2 2" xfId="10640" xr:uid="{07C76848-CE39-405A-BF83-F69969BF0F2C}"/>
    <cellStyle name="Currency [0] 4 3 2 3 3" xfId="8716" xr:uid="{6794D8D6-8D58-497B-98A0-61A3172850C6}"/>
    <cellStyle name="Currency [0] 4 3 2 4" xfId="4303" xr:uid="{00000000-0005-0000-0000-000094000000}"/>
    <cellStyle name="Currency [0] 4 3 2 4 2" xfId="10480" xr:uid="{80F5F80C-CD13-441F-BC9A-7349BF013832}"/>
    <cellStyle name="Currency [0] 4 3 2 5" xfId="1656" xr:uid="{00000000-0005-0000-0000-000095000000}"/>
    <cellStyle name="Currency [0] 4 3 2 5 2" xfId="7833" xr:uid="{904B259D-E980-42AB-A53E-20BD43EEDBBD}"/>
    <cellStyle name="Currency [0] 4 3 2 6" xfId="6950" xr:uid="{918C1918-8006-4E8E-A69F-FC454B943603}"/>
    <cellStyle name="Currency [0] 4 3 3" xfId="2980" xr:uid="{00000000-0005-0000-0000-000096000000}"/>
    <cellStyle name="Currency [0] 4 3 3 2" xfId="4464" xr:uid="{00000000-0005-0000-0000-000097000000}"/>
    <cellStyle name="Currency [0] 4 3 3 2 2" xfId="10641" xr:uid="{39C4D29E-14CD-4AFA-B0F4-212C6030294B}"/>
    <cellStyle name="Currency [0] 4 3 3 3" xfId="9157" xr:uid="{DFF50680-1A74-4B75-A238-BCE898060EC2}"/>
    <cellStyle name="Currency [0] 4 3 4" xfId="2098" xr:uid="{00000000-0005-0000-0000-000098000000}"/>
    <cellStyle name="Currency [0] 4 3 4 2" xfId="4465" xr:uid="{00000000-0005-0000-0000-000099000000}"/>
    <cellStyle name="Currency [0] 4 3 4 2 2" xfId="10642" xr:uid="{B858138D-2311-4502-A6EF-10DA33219DBD}"/>
    <cellStyle name="Currency [0] 4 3 4 3" xfId="8275" xr:uid="{9EBD471D-F60F-45DF-B2B2-0027C781ADD2}"/>
    <cellStyle name="Currency [0] 4 3 5" xfId="3862" xr:uid="{00000000-0005-0000-0000-00009A000000}"/>
    <cellStyle name="Currency [0] 4 3 5 2" xfId="10039" xr:uid="{DEE9AE49-D992-4870-8F69-DD7182DEAC7D}"/>
    <cellStyle name="Currency [0] 4 3 6" xfId="1215" xr:uid="{00000000-0005-0000-0000-00009B000000}"/>
    <cellStyle name="Currency [0] 4 3 6 2" xfId="7392" xr:uid="{F488DF50-F996-4AF0-BE78-0992C1AD9A1F}"/>
    <cellStyle name="Currency [0] 4 3 7" xfId="6509" xr:uid="{6CDE40B6-18CD-4E17-A4C6-87028AD47369}"/>
    <cellStyle name="Currency [0] 4 4" xfId="553" xr:uid="{00000000-0005-0000-0000-00009C000000}"/>
    <cellStyle name="Currency [0] 4 4 2" xfId="3201" xr:uid="{00000000-0005-0000-0000-00009D000000}"/>
    <cellStyle name="Currency [0] 4 4 2 2" xfId="4466" xr:uid="{00000000-0005-0000-0000-00009E000000}"/>
    <cellStyle name="Currency [0] 4 4 2 2 2" xfId="10643" xr:uid="{71F92D1B-BA3D-4733-BFA5-4BB5DBA4FFB6}"/>
    <cellStyle name="Currency [0] 4 4 2 3" xfId="9378" xr:uid="{1A51125A-291D-44B0-96A6-312F456ACECE}"/>
    <cellStyle name="Currency [0] 4 4 3" xfId="2319" xr:uid="{00000000-0005-0000-0000-00009F000000}"/>
    <cellStyle name="Currency [0] 4 4 3 2" xfId="4467" xr:uid="{00000000-0005-0000-0000-0000A0000000}"/>
    <cellStyle name="Currency [0] 4 4 3 2 2" xfId="10644" xr:uid="{57C8EEB6-9851-4E0E-B3D9-1026F63F7C89}"/>
    <cellStyle name="Currency [0] 4 4 3 3" xfId="8496" xr:uid="{90439973-E0DD-45BA-8318-4CB85F48E128}"/>
    <cellStyle name="Currency [0] 4 4 4" xfId="4083" xr:uid="{00000000-0005-0000-0000-0000A1000000}"/>
    <cellStyle name="Currency [0] 4 4 4 2" xfId="10260" xr:uid="{8DEA90B4-CF36-47A6-B1CB-057F3E5997D8}"/>
    <cellStyle name="Currency [0] 4 4 5" xfId="1436" xr:uid="{00000000-0005-0000-0000-0000A2000000}"/>
    <cellStyle name="Currency [0] 4 4 5 2" xfId="7613" xr:uid="{2311023E-67D2-4F83-9AB1-493D36FF2985}"/>
    <cellStyle name="Currency [0] 4 4 6" xfId="6730" xr:uid="{BA689146-A028-49DC-B587-E0DBC73EDA9A}"/>
    <cellStyle name="Currency [0] 4 5" xfId="2760" xr:uid="{00000000-0005-0000-0000-0000A3000000}"/>
    <cellStyle name="Currency [0] 4 5 2" xfId="4468" xr:uid="{00000000-0005-0000-0000-0000A4000000}"/>
    <cellStyle name="Currency [0] 4 5 2 2" xfId="10645" xr:uid="{5F9792D9-A1EC-4E92-8CA0-C715E0A47372}"/>
    <cellStyle name="Currency [0] 4 5 3" xfId="8937" xr:uid="{830B36A5-5B1B-4C2A-BDF0-C33E4897B77A}"/>
    <cellStyle name="Currency [0] 4 6" xfId="1878" xr:uid="{00000000-0005-0000-0000-0000A5000000}"/>
    <cellStyle name="Currency [0] 4 6 2" xfId="4469" xr:uid="{00000000-0005-0000-0000-0000A6000000}"/>
    <cellStyle name="Currency [0] 4 6 2 2" xfId="10646" xr:uid="{084FB216-50CA-45E7-B141-2BAF6432CCD9}"/>
    <cellStyle name="Currency [0] 4 6 3" xfId="8055" xr:uid="{93514428-8EB2-4D41-8FA6-D4655591A655}"/>
    <cellStyle name="Currency [0] 4 7" xfId="3642" xr:uid="{00000000-0005-0000-0000-0000A7000000}"/>
    <cellStyle name="Currency [0] 4 7 2" xfId="9819" xr:uid="{9A85EEF9-1C17-4419-A1A2-B7C2AB2D3EB3}"/>
    <cellStyle name="Currency [0] 4 8" xfId="995" xr:uid="{00000000-0005-0000-0000-0000A8000000}"/>
    <cellStyle name="Currency [0] 4 8 2" xfId="7172" xr:uid="{021C2491-C759-4348-B521-44EE5E400681}"/>
    <cellStyle name="Currency [0] 4 9" xfId="6289" xr:uid="{EC45CAD4-D3AB-4988-A4DD-5B9D56AEA298}"/>
    <cellStyle name="Currency 2" xfId="2" xr:uid="{00000000-0005-0000-0000-0000A9000000}"/>
    <cellStyle name="Currency 3" xfId="3" xr:uid="{00000000-0005-0000-0000-0000AA000000}"/>
    <cellStyle name="Currency 3 2" xfId="4" xr:uid="{00000000-0005-0000-0000-0000AB000000}"/>
    <cellStyle name="Currency 3 2 10" xfId="59" xr:uid="{00000000-0005-0000-0000-0000AC000000}"/>
    <cellStyle name="Currency 3 2 10 2" xfId="169" xr:uid="{00000000-0005-0000-0000-0000AD000000}"/>
    <cellStyle name="Currency 3 2 10 2 2" xfId="389" xr:uid="{00000000-0005-0000-0000-0000AE000000}"/>
    <cellStyle name="Currency 3 2 10 2 2 2" xfId="830" xr:uid="{00000000-0005-0000-0000-0000AF000000}"/>
    <cellStyle name="Currency 3 2 10 2 2 2 2" xfId="3478" xr:uid="{00000000-0005-0000-0000-0000B0000000}"/>
    <cellStyle name="Currency 3 2 10 2 2 2 2 2" xfId="4470" xr:uid="{00000000-0005-0000-0000-0000B1000000}"/>
    <cellStyle name="Currency 3 2 10 2 2 2 2 2 2" xfId="10647" xr:uid="{68198C8D-BFF5-4B8E-B42D-1A14A305FDC1}"/>
    <cellStyle name="Currency 3 2 10 2 2 2 2 3" xfId="9655" xr:uid="{2066BD08-ED19-4118-B28E-F776F636EDA1}"/>
    <cellStyle name="Currency 3 2 10 2 2 2 3" xfId="2596" xr:uid="{00000000-0005-0000-0000-0000B2000000}"/>
    <cellStyle name="Currency 3 2 10 2 2 2 3 2" xfId="4471" xr:uid="{00000000-0005-0000-0000-0000B3000000}"/>
    <cellStyle name="Currency 3 2 10 2 2 2 3 2 2" xfId="10648" xr:uid="{487E7556-FFA1-459A-8E8A-25393D3CC170}"/>
    <cellStyle name="Currency 3 2 10 2 2 2 3 3" xfId="8773" xr:uid="{A9CC3355-70C4-4BCB-84C6-2732C0B5CBDD}"/>
    <cellStyle name="Currency 3 2 10 2 2 2 4" xfId="4360" xr:uid="{00000000-0005-0000-0000-0000B4000000}"/>
    <cellStyle name="Currency 3 2 10 2 2 2 4 2" xfId="10537" xr:uid="{95C33B52-AA7B-43FC-A04B-E7514C7DB0D1}"/>
    <cellStyle name="Currency 3 2 10 2 2 2 5" xfId="1713" xr:uid="{00000000-0005-0000-0000-0000B5000000}"/>
    <cellStyle name="Currency 3 2 10 2 2 2 5 2" xfId="7890" xr:uid="{08B14375-C4A7-42C0-AA66-60EBAB1E1432}"/>
    <cellStyle name="Currency 3 2 10 2 2 2 6" xfId="7007" xr:uid="{212C93EC-186F-4899-8472-B84602E30325}"/>
    <cellStyle name="Currency 3 2 10 2 2 3" xfId="3037" xr:uid="{00000000-0005-0000-0000-0000B6000000}"/>
    <cellStyle name="Currency 3 2 10 2 2 3 2" xfId="4472" xr:uid="{00000000-0005-0000-0000-0000B7000000}"/>
    <cellStyle name="Currency 3 2 10 2 2 3 2 2" xfId="10649" xr:uid="{FB37F521-F0AD-41F9-9023-2AC111A9D5D1}"/>
    <cellStyle name="Currency 3 2 10 2 2 3 3" xfId="9214" xr:uid="{3F21D3E4-6B7E-48FE-B778-86AB880E71FB}"/>
    <cellStyle name="Currency 3 2 10 2 2 4" xfId="2155" xr:uid="{00000000-0005-0000-0000-0000B8000000}"/>
    <cellStyle name="Currency 3 2 10 2 2 4 2" xfId="4473" xr:uid="{00000000-0005-0000-0000-0000B9000000}"/>
    <cellStyle name="Currency 3 2 10 2 2 4 2 2" xfId="10650" xr:uid="{28528CCB-486E-4164-93DA-D4B8AFD6C52C}"/>
    <cellStyle name="Currency 3 2 10 2 2 4 3" xfId="8332" xr:uid="{A812CA57-E29B-47F2-B098-998D35291AC3}"/>
    <cellStyle name="Currency 3 2 10 2 2 5" xfId="3919" xr:uid="{00000000-0005-0000-0000-0000BA000000}"/>
    <cellStyle name="Currency 3 2 10 2 2 5 2" xfId="10096" xr:uid="{370A73C1-4576-4812-868D-5A9C52F2B267}"/>
    <cellStyle name="Currency 3 2 10 2 2 6" xfId="1272" xr:uid="{00000000-0005-0000-0000-0000BB000000}"/>
    <cellStyle name="Currency 3 2 10 2 2 6 2" xfId="7449" xr:uid="{1C46341A-D279-42FE-9856-A166DF6EAF43}"/>
    <cellStyle name="Currency 3 2 10 2 2 7" xfId="6566" xr:uid="{72764104-9BFB-4396-A0C1-9F56ED76A17E}"/>
    <cellStyle name="Currency 3 2 10 2 3" xfId="610" xr:uid="{00000000-0005-0000-0000-0000BC000000}"/>
    <cellStyle name="Currency 3 2 10 2 3 2" xfId="3258" xr:uid="{00000000-0005-0000-0000-0000BD000000}"/>
    <cellStyle name="Currency 3 2 10 2 3 2 2" xfId="4474" xr:uid="{00000000-0005-0000-0000-0000BE000000}"/>
    <cellStyle name="Currency 3 2 10 2 3 2 2 2" xfId="10651" xr:uid="{94B45808-9835-4FFF-B0F9-584DE8DDD46C}"/>
    <cellStyle name="Currency 3 2 10 2 3 2 3" xfId="9435" xr:uid="{0FA5CB86-BD86-4D7E-9637-1ED5D8E3E8FB}"/>
    <cellStyle name="Currency 3 2 10 2 3 3" xfId="2376" xr:uid="{00000000-0005-0000-0000-0000BF000000}"/>
    <cellStyle name="Currency 3 2 10 2 3 3 2" xfId="4475" xr:uid="{00000000-0005-0000-0000-0000C0000000}"/>
    <cellStyle name="Currency 3 2 10 2 3 3 2 2" xfId="10652" xr:uid="{CF5BC38D-06AC-43A2-B556-777B9A102D15}"/>
    <cellStyle name="Currency 3 2 10 2 3 3 3" xfId="8553" xr:uid="{55EF8927-4E52-42D1-8AC5-81C91970BA9D}"/>
    <cellStyle name="Currency 3 2 10 2 3 4" xfId="4140" xr:uid="{00000000-0005-0000-0000-0000C1000000}"/>
    <cellStyle name="Currency 3 2 10 2 3 4 2" xfId="10317" xr:uid="{7C17901F-5C40-4780-BDAE-C669EF3A542A}"/>
    <cellStyle name="Currency 3 2 10 2 3 5" xfId="1493" xr:uid="{00000000-0005-0000-0000-0000C2000000}"/>
    <cellStyle name="Currency 3 2 10 2 3 5 2" xfId="7670" xr:uid="{60380595-968F-4F9A-8DB8-D976F749F01B}"/>
    <cellStyle name="Currency 3 2 10 2 3 6" xfId="6787" xr:uid="{F5BF40EC-C226-480C-A125-73CD8B5222C7}"/>
    <cellStyle name="Currency 3 2 10 2 4" xfId="2817" xr:uid="{00000000-0005-0000-0000-0000C3000000}"/>
    <cellStyle name="Currency 3 2 10 2 4 2" xfId="4476" xr:uid="{00000000-0005-0000-0000-0000C4000000}"/>
    <cellStyle name="Currency 3 2 10 2 4 2 2" xfId="10653" xr:uid="{5B66A26C-552A-4415-AFC3-29CE4A0C40BC}"/>
    <cellStyle name="Currency 3 2 10 2 4 3" xfId="8994" xr:uid="{5390BE55-9613-4AAA-AA20-15DA417E0A79}"/>
    <cellStyle name="Currency 3 2 10 2 5" xfId="1935" xr:uid="{00000000-0005-0000-0000-0000C5000000}"/>
    <cellStyle name="Currency 3 2 10 2 5 2" xfId="4477" xr:uid="{00000000-0005-0000-0000-0000C6000000}"/>
    <cellStyle name="Currency 3 2 10 2 5 2 2" xfId="10654" xr:uid="{D799FD76-C5C4-46C6-939E-2857177A245C}"/>
    <cellStyle name="Currency 3 2 10 2 5 3" xfId="8112" xr:uid="{7C046AF0-E024-47A3-A2E7-05ED6FA659DC}"/>
    <cellStyle name="Currency 3 2 10 2 6" xfId="3699" xr:uid="{00000000-0005-0000-0000-0000C7000000}"/>
    <cellStyle name="Currency 3 2 10 2 6 2" xfId="9876" xr:uid="{28A4EA47-816A-49F4-AF58-4E0BADA7505A}"/>
    <cellStyle name="Currency 3 2 10 2 7" xfId="1052" xr:uid="{00000000-0005-0000-0000-0000C8000000}"/>
    <cellStyle name="Currency 3 2 10 2 7 2" xfId="7229" xr:uid="{2C8A4133-879A-4724-A659-EB27BAB9DE5D}"/>
    <cellStyle name="Currency 3 2 10 2 8" xfId="6346" xr:uid="{7F4DF347-063B-4BAD-8D5E-819661B3AC61}"/>
    <cellStyle name="Currency 3 2 10 3" xfId="279" xr:uid="{00000000-0005-0000-0000-0000C9000000}"/>
    <cellStyle name="Currency 3 2 10 3 2" xfId="720" xr:uid="{00000000-0005-0000-0000-0000CA000000}"/>
    <cellStyle name="Currency 3 2 10 3 2 2" xfId="3368" xr:uid="{00000000-0005-0000-0000-0000CB000000}"/>
    <cellStyle name="Currency 3 2 10 3 2 2 2" xfId="4478" xr:uid="{00000000-0005-0000-0000-0000CC000000}"/>
    <cellStyle name="Currency 3 2 10 3 2 2 2 2" xfId="10655" xr:uid="{BA3FB2B3-71F7-4388-8B2A-9E75DB6DCC8F}"/>
    <cellStyle name="Currency 3 2 10 3 2 2 3" xfId="9545" xr:uid="{726C2BCD-C32F-43BE-8520-0528E778A596}"/>
    <cellStyle name="Currency 3 2 10 3 2 3" xfId="2486" xr:uid="{00000000-0005-0000-0000-0000CD000000}"/>
    <cellStyle name="Currency 3 2 10 3 2 3 2" xfId="4479" xr:uid="{00000000-0005-0000-0000-0000CE000000}"/>
    <cellStyle name="Currency 3 2 10 3 2 3 2 2" xfId="10656" xr:uid="{1EE623FA-662D-450F-A1EC-8FABCB4E091B}"/>
    <cellStyle name="Currency 3 2 10 3 2 3 3" xfId="8663" xr:uid="{FACBF68E-5091-4EB9-B8B7-743E33524812}"/>
    <cellStyle name="Currency 3 2 10 3 2 4" xfId="4250" xr:uid="{00000000-0005-0000-0000-0000CF000000}"/>
    <cellStyle name="Currency 3 2 10 3 2 4 2" xfId="10427" xr:uid="{78024ACB-2834-434B-8A0C-93A91DABC98C}"/>
    <cellStyle name="Currency 3 2 10 3 2 5" xfId="1603" xr:uid="{00000000-0005-0000-0000-0000D0000000}"/>
    <cellStyle name="Currency 3 2 10 3 2 5 2" xfId="7780" xr:uid="{A0FADEC2-DA71-4A4B-9D86-753380F94702}"/>
    <cellStyle name="Currency 3 2 10 3 2 6" xfId="6897" xr:uid="{B2E461BE-BB2D-4EB4-9392-9B549A293009}"/>
    <cellStyle name="Currency 3 2 10 3 3" xfId="2927" xr:uid="{00000000-0005-0000-0000-0000D1000000}"/>
    <cellStyle name="Currency 3 2 10 3 3 2" xfId="4480" xr:uid="{00000000-0005-0000-0000-0000D2000000}"/>
    <cellStyle name="Currency 3 2 10 3 3 2 2" xfId="10657" xr:uid="{863A79AB-EBE1-47B0-BFD1-E78C6AF097BA}"/>
    <cellStyle name="Currency 3 2 10 3 3 3" xfId="9104" xr:uid="{6E573905-84E2-4B84-95F2-2FD8F408ED2F}"/>
    <cellStyle name="Currency 3 2 10 3 4" xfId="2045" xr:uid="{00000000-0005-0000-0000-0000D3000000}"/>
    <cellStyle name="Currency 3 2 10 3 4 2" xfId="4481" xr:uid="{00000000-0005-0000-0000-0000D4000000}"/>
    <cellStyle name="Currency 3 2 10 3 4 2 2" xfId="10658" xr:uid="{563EECBA-9D31-4DCF-A3E6-7B0610BCDF23}"/>
    <cellStyle name="Currency 3 2 10 3 4 3" xfId="8222" xr:uid="{C08B9CD8-08CA-4967-835A-FD1F69C45A4D}"/>
    <cellStyle name="Currency 3 2 10 3 5" xfId="3809" xr:uid="{00000000-0005-0000-0000-0000D5000000}"/>
    <cellStyle name="Currency 3 2 10 3 5 2" xfId="9986" xr:uid="{DF2F1F8E-9A1C-4820-BF52-757D6997E224}"/>
    <cellStyle name="Currency 3 2 10 3 6" xfId="1162" xr:uid="{00000000-0005-0000-0000-0000D6000000}"/>
    <cellStyle name="Currency 3 2 10 3 6 2" xfId="7339" xr:uid="{15BA7F0D-D686-47FA-8A6C-E8A96166B163}"/>
    <cellStyle name="Currency 3 2 10 3 7" xfId="6456" xr:uid="{64E48057-3910-43FA-B1AD-EF950F239947}"/>
    <cellStyle name="Currency 3 2 10 4" xfId="500" xr:uid="{00000000-0005-0000-0000-0000D7000000}"/>
    <cellStyle name="Currency 3 2 10 4 2" xfId="3148" xr:uid="{00000000-0005-0000-0000-0000D8000000}"/>
    <cellStyle name="Currency 3 2 10 4 2 2" xfId="4482" xr:uid="{00000000-0005-0000-0000-0000D9000000}"/>
    <cellStyle name="Currency 3 2 10 4 2 2 2" xfId="10659" xr:uid="{E02ECBA0-E189-420D-95E8-D9121138EB8E}"/>
    <cellStyle name="Currency 3 2 10 4 2 3" xfId="9325" xr:uid="{60AE7E34-5464-41DF-B1DC-36132D73F573}"/>
    <cellStyle name="Currency 3 2 10 4 3" xfId="2266" xr:uid="{00000000-0005-0000-0000-0000DA000000}"/>
    <cellStyle name="Currency 3 2 10 4 3 2" xfId="4483" xr:uid="{00000000-0005-0000-0000-0000DB000000}"/>
    <cellStyle name="Currency 3 2 10 4 3 2 2" xfId="10660" xr:uid="{1832C4D0-19F9-4262-9F3B-45D1CBB08D2C}"/>
    <cellStyle name="Currency 3 2 10 4 3 3" xfId="8443" xr:uid="{8CDB2B38-EA7F-44EB-9263-40EA89419A49}"/>
    <cellStyle name="Currency 3 2 10 4 4" xfId="4030" xr:uid="{00000000-0005-0000-0000-0000DC000000}"/>
    <cellStyle name="Currency 3 2 10 4 4 2" xfId="10207" xr:uid="{AE59BD61-9A46-45A5-B2DC-4AF322E93F26}"/>
    <cellStyle name="Currency 3 2 10 4 5" xfId="1383" xr:uid="{00000000-0005-0000-0000-0000DD000000}"/>
    <cellStyle name="Currency 3 2 10 4 5 2" xfId="7560" xr:uid="{2D018767-89CB-46EE-BCA0-430BF3EDF550}"/>
    <cellStyle name="Currency 3 2 10 4 6" xfId="6677" xr:uid="{E818F8C0-69B9-4152-AEBE-29E666A1C147}"/>
    <cellStyle name="Currency 3 2 10 5" xfId="2707" xr:uid="{00000000-0005-0000-0000-0000DE000000}"/>
    <cellStyle name="Currency 3 2 10 5 2" xfId="4484" xr:uid="{00000000-0005-0000-0000-0000DF000000}"/>
    <cellStyle name="Currency 3 2 10 5 2 2" xfId="10661" xr:uid="{62D9406D-5DDF-4370-96F9-65EEA1AAA60F}"/>
    <cellStyle name="Currency 3 2 10 5 3" xfId="8884" xr:uid="{2138EA10-015D-483A-9D2B-2B7B10EC3DA5}"/>
    <cellStyle name="Currency 3 2 10 6" xfId="1825" xr:uid="{00000000-0005-0000-0000-0000E0000000}"/>
    <cellStyle name="Currency 3 2 10 6 2" xfId="4485" xr:uid="{00000000-0005-0000-0000-0000E1000000}"/>
    <cellStyle name="Currency 3 2 10 6 2 2" xfId="10662" xr:uid="{D676A88D-F3A7-4E0C-95F4-49DAC84C7E3B}"/>
    <cellStyle name="Currency 3 2 10 6 3" xfId="8002" xr:uid="{41AAEAE9-84F3-4F7E-8CDD-7EDC00B1336C}"/>
    <cellStyle name="Currency 3 2 10 7" xfId="3589" xr:uid="{00000000-0005-0000-0000-0000E2000000}"/>
    <cellStyle name="Currency 3 2 10 7 2" xfId="9766" xr:uid="{94A1F7C8-07C9-4350-B2BE-F8B4A17C8A8A}"/>
    <cellStyle name="Currency 3 2 10 8" xfId="942" xr:uid="{00000000-0005-0000-0000-0000E3000000}"/>
    <cellStyle name="Currency 3 2 10 8 2" xfId="7119" xr:uid="{4C7333C2-7719-41F7-AF73-9BD363AD15C1}"/>
    <cellStyle name="Currency 3 2 10 9" xfId="6236" xr:uid="{5495ECA7-9C44-4F53-B1DC-A1C0C581C179}"/>
    <cellStyle name="Currency 3 2 11" xfId="75" xr:uid="{00000000-0005-0000-0000-0000E4000000}"/>
    <cellStyle name="Currency 3 2 11 2" xfId="185" xr:uid="{00000000-0005-0000-0000-0000E5000000}"/>
    <cellStyle name="Currency 3 2 11 2 2" xfId="405" xr:uid="{00000000-0005-0000-0000-0000E6000000}"/>
    <cellStyle name="Currency 3 2 11 2 2 2" xfId="846" xr:uid="{00000000-0005-0000-0000-0000E7000000}"/>
    <cellStyle name="Currency 3 2 11 2 2 2 2" xfId="3494" xr:uid="{00000000-0005-0000-0000-0000E8000000}"/>
    <cellStyle name="Currency 3 2 11 2 2 2 2 2" xfId="4486" xr:uid="{00000000-0005-0000-0000-0000E9000000}"/>
    <cellStyle name="Currency 3 2 11 2 2 2 2 2 2" xfId="10663" xr:uid="{DA2AE998-CB70-43C0-948F-231E1430195A}"/>
    <cellStyle name="Currency 3 2 11 2 2 2 2 3" xfId="9671" xr:uid="{9C80E9BA-0053-4F99-AA1F-677A894C5F0B}"/>
    <cellStyle name="Currency 3 2 11 2 2 2 3" xfId="2612" xr:uid="{00000000-0005-0000-0000-0000EA000000}"/>
    <cellStyle name="Currency 3 2 11 2 2 2 3 2" xfId="4487" xr:uid="{00000000-0005-0000-0000-0000EB000000}"/>
    <cellStyle name="Currency 3 2 11 2 2 2 3 2 2" xfId="10664" xr:uid="{687AD827-1AC0-4DE6-ABB6-154DFA15EF23}"/>
    <cellStyle name="Currency 3 2 11 2 2 2 3 3" xfId="8789" xr:uid="{6CEB38A4-505A-44B4-A492-3B2F75AF726E}"/>
    <cellStyle name="Currency 3 2 11 2 2 2 4" xfId="4376" xr:uid="{00000000-0005-0000-0000-0000EC000000}"/>
    <cellStyle name="Currency 3 2 11 2 2 2 4 2" xfId="10553" xr:uid="{E298C2F9-1784-44A2-A504-D26D798CED5F}"/>
    <cellStyle name="Currency 3 2 11 2 2 2 5" xfId="1729" xr:uid="{00000000-0005-0000-0000-0000ED000000}"/>
    <cellStyle name="Currency 3 2 11 2 2 2 5 2" xfId="7906" xr:uid="{63F3511B-1070-49D9-BD40-CDFFC33DB422}"/>
    <cellStyle name="Currency 3 2 11 2 2 2 6" xfId="7023" xr:uid="{EA038BDB-D73D-498B-B60D-EE8B17793F2D}"/>
    <cellStyle name="Currency 3 2 11 2 2 3" xfId="3053" xr:uid="{00000000-0005-0000-0000-0000EE000000}"/>
    <cellStyle name="Currency 3 2 11 2 2 3 2" xfId="4488" xr:uid="{00000000-0005-0000-0000-0000EF000000}"/>
    <cellStyle name="Currency 3 2 11 2 2 3 2 2" xfId="10665" xr:uid="{5E213267-DFFA-4048-8383-6E45D2AC265D}"/>
    <cellStyle name="Currency 3 2 11 2 2 3 3" xfId="9230" xr:uid="{B5D5EC67-D691-4120-A382-BE3D3AFD7F97}"/>
    <cellStyle name="Currency 3 2 11 2 2 4" xfId="2171" xr:uid="{00000000-0005-0000-0000-0000F0000000}"/>
    <cellStyle name="Currency 3 2 11 2 2 4 2" xfId="4489" xr:uid="{00000000-0005-0000-0000-0000F1000000}"/>
    <cellStyle name="Currency 3 2 11 2 2 4 2 2" xfId="10666" xr:uid="{352B43F7-86D4-4CE2-BE58-6647764F741F}"/>
    <cellStyle name="Currency 3 2 11 2 2 4 3" xfId="8348" xr:uid="{D1924773-47D8-4D9C-8385-CC56EF1F84A1}"/>
    <cellStyle name="Currency 3 2 11 2 2 5" xfId="3935" xr:uid="{00000000-0005-0000-0000-0000F2000000}"/>
    <cellStyle name="Currency 3 2 11 2 2 5 2" xfId="10112" xr:uid="{22DC26BB-FEA6-4F2A-9723-74B1B114A4B8}"/>
    <cellStyle name="Currency 3 2 11 2 2 6" xfId="1288" xr:uid="{00000000-0005-0000-0000-0000F3000000}"/>
    <cellStyle name="Currency 3 2 11 2 2 6 2" xfId="7465" xr:uid="{03AB7FE6-4030-49D5-ADE5-A03965CC4567}"/>
    <cellStyle name="Currency 3 2 11 2 2 7" xfId="6582" xr:uid="{4B03902D-AE0F-437A-8350-49164B5D4BFB}"/>
    <cellStyle name="Currency 3 2 11 2 3" xfId="626" xr:uid="{00000000-0005-0000-0000-0000F4000000}"/>
    <cellStyle name="Currency 3 2 11 2 3 2" xfId="3274" xr:uid="{00000000-0005-0000-0000-0000F5000000}"/>
    <cellStyle name="Currency 3 2 11 2 3 2 2" xfId="4490" xr:uid="{00000000-0005-0000-0000-0000F6000000}"/>
    <cellStyle name="Currency 3 2 11 2 3 2 2 2" xfId="10667" xr:uid="{717A6A03-43D2-412A-898E-1AFD39216F28}"/>
    <cellStyle name="Currency 3 2 11 2 3 2 3" xfId="9451" xr:uid="{3A9B9F06-8B6E-4ACF-A79D-B70E5DA4BF6C}"/>
    <cellStyle name="Currency 3 2 11 2 3 3" xfId="2392" xr:uid="{00000000-0005-0000-0000-0000F7000000}"/>
    <cellStyle name="Currency 3 2 11 2 3 3 2" xfId="4491" xr:uid="{00000000-0005-0000-0000-0000F8000000}"/>
    <cellStyle name="Currency 3 2 11 2 3 3 2 2" xfId="10668" xr:uid="{08FA71E1-5839-453D-957D-F9F7098C8D85}"/>
    <cellStyle name="Currency 3 2 11 2 3 3 3" xfId="8569" xr:uid="{BB61695C-F185-489A-98E0-6561EAE6BF58}"/>
    <cellStyle name="Currency 3 2 11 2 3 4" xfId="4156" xr:uid="{00000000-0005-0000-0000-0000F9000000}"/>
    <cellStyle name="Currency 3 2 11 2 3 4 2" xfId="10333" xr:uid="{CEE3DCBD-5EF1-4554-A641-D7CA565949F7}"/>
    <cellStyle name="Currency 3 2 11 2 3 5" xfId="1509" xr:uid="{00000000-0005-0000-0000-0000FA000000}"/>
    <cellStyle name="Currency 3 2 11 2 3 5 2" xfId="7686" xr:uid="{8DF183E0-E0FE-42F8-9B84-2A6178BD2296}"/>
    <cellStyle name="Currency 3 2 11 2 3 6" xfId="6803" xr:uid="{8DB38FB3-76DD-41E7-B013-76234469A21D}"/>
    <cellStyle name="Currency 3 2 11 2 4" xfId="2833" xr:uid="{00000000-0005-0000-0000-0000FB000000}"/>
    <cellStyle name="Currency 3 2 11 2 4 2" xfId="4492" xr:uid="{00000000-0005-0000-0000-0000FC000000}"/>
    <cellStyle name="Currency 3 2 11 2 4 2 2" xfId="10669" xr:uid="{B16A00E0-48FB-49FE-8EAC-47312A62776C}"/>
    <cellStyle name="Currency 3 2 11 2 4 3" xfId="9010" xr:uid="{F8BB25B5-9F80-4664-9838-A1B44A75ED3D}"/>
    <cellStyle name="Currency 3 2 11 2 5" xfId="1951" xr:uid="{00000000-0005-0000-0000-0000FD000000}"/>
    <cellStyle name="Currency 3 2 11 2 5 2" xfId="4493" xr:uid="{00000000-0005-0000-0000-0000FE000000}"/>
    <cellStyle name="Currency 3 2 11 2 5 2 2" xfId="10670" xr:uid="{BFA97A27-D9D8-4798-B945-1A2CBAADCFD7}"/>
    <cellStyle name="Currency 3 2 11 2 5 3" xfId="8128" xr:uid="{978D3DB0-F38E-4E0F-9004-C3D9DE2292CD}"/>
    <cellStyle name="Currency 3 2 11 2 6" xfId="3715" xr:uid="{00000000-0005-0000-0000-0000FF000000}"/>
    <cellStyle name="Currency 3 2 11 2 6 2" xfId="9892" xr:uid="{21CF219F-C1EE-4183-AE70-7EB38C8BAE89}"/>
    <cellStyle name="Currency 3 2 11 2 7" xfId="1068" xr:uid="{00000000-0005-0000-0000-000000010000}"/>
    <cellStyle name="Currency 3 2 11 2 7 2" xfId="7245" xr:uid="{A5FCD1A6-FE26-46C4-8F91-16CC2C37FDD2}"/>
    <cellStyle name="Currency 3 2 11 2 8" xfId="6362" xr:uid="{6B9C609A-0866-491C-A56C-C6DEB056BC88}"/>
    <cellStyle name="Currency 3 2 11 3" xfId="295" xr:uid="{00000000-0005-0000-0000-000001010000}"/>
    <cellStyle name="Currency 3 2 11 3 2" xfId="736" xr:uid="{00000000-0005-0000-0000-000002010000}"/>
    <cellStyle name="Currency 3 2 11 3 2 2" xfId="3384" xr:uid="{00000000-0005-0000-0000-000003010000}"/>
    <cellStyle name="Currency 3 2 11 3 2 2 2" xfId="4494" xr:uid="{00000000-0005-0000-0000-000004010000}"/>
    <cellStyle name="Currency 3 2 11 3 2 2 2 2" xfId="10671" xr:uid="{F0138659-ECC8-4ED6-A283-DDA980B2C392}"/>
    <cellStyle name="Currency 3 2 11 3 2 2 3" xfId="9561" xr:uid="{4C36323A-E2E9-43C4-B6ED-1F65ACBE6382}"/>
    <cellStyle name="Currency 3 2 11 3 2 3" xfId="2502" xr:uid="{00000000-0005-0000-0000-000005010000}"/>
    <cellStyle name="Currency 3 2 11 3 2 3 2" xfId="4495" xr:uid="{00000000-0005-0000-0000-000006010000}"/>
    <cellStyle name="Currency 3 2 11 3 2 3 2 2" xfId="10672" xr:uid="{585D1907-0556-443E-9E54-9605EDB94804}"/>
    <cellStyle name="Currency 3 2 11 3 2 3 3" xfId="8679" xr:uid="{67FA1CB7-563E-48F5-B360-12583935C7A3}"/>
    <cellStyle name="Currency 3 2 11 3 2 4" xfId="4266" xr:uid="{00000000-0005-0000-0000-000007010000}"/>
    <cellStyle name="Currency 3 2 11 3 2 4 2" xfId="10443" xr:uid="{D4CDDF70-B4D6-4C7B-8E42-DF0DD6AA79F9}"/>
    <cellStyle name="Currency 3 2 11 3 2 5" xfId="1619" xr:uid="{00000000-0005-0000-0000-000008010000}"/>
    <cellStyle name="Currency 3 2 11 3 2 5 2" xfId="7796" xr:uid="{C9457CF3-12D0-4AB5-B8C6-743AB2734C04}"/>
    <cellStyle name="Currency 3 2 11 3 2 6" xfId="6913" xr:uid="{A9DCCFB6-1AF2-4EAF-B587-8DEC5B3566D9}"/>
    <cellStyle name="Currency 3 2 11 3 3" xfId="2943" xr:uid="{00000000-0005-0000-0000-000009010000}"/>
    <cellStyle name="Currency 3 2 11 3 3 2" xfId="4496" xr:uid="{00000000-0005-0000-0000-00000A010000}"/>
    <cellStyle name="Currency 3 2 11 3 3 2 2" xfId="10673" xr:uid="{6011D086-019B-4A94-8774-A76EAC0A341E}"/>
    <cellStyle name="Currency 3 2 11 3 3 3" xfId="9120" xr:uid="{E2084B5F-3928-48C4-AA04-18C2198AC77A}"/>
    <cellStyle name="Currency 3 2 11 3 4" xfId="2061" xr:uid="{00000000-0005-0000-0000-00000B010000}"/>
    <cellStyle name="Currency 3 2 11 3 4 2" xfId="4497" xr:uid="{00000000-0005-0000-0000-00000C010000}"/>
    <cellStyle name="Currency 3 2 11 3 4 2 2" xfId="10674" xr:uid="{F3C4F1F3-E198-45D9-9789-A40CBB59F508}"/>
    <cellStyle name="Currency 3 2 11 3 4 3" xfId="8238" xr:uid="{E9D2FE01-D3C2-4FBF-B6CD-32680862F562}"/>
    <cellStyle name="Currency 3 2 11 3 5" xfId="3825" xr:uid="{00000000-0005-0000-0000-00000D010000}"/>
    <cellStyle name="Currency 3 2 11 3 5 2" xfId="10002" xr:uid="{082E600B-F77B-48AA-8D97-4F22B7D9205F}"/>
    <cellStyle name="Currency 3 2 11 3 6" xfId="1178" xr:uid="{00000000-0005-0000-0000-00000E010000}"/>
    <cellStyle name="Currency 3 2 11 3 6 2" xfId="7355" xr:uid="{0FA796C4-8196-4BB9-9B05-2DDD5CF721C0}"/>
    <cellStyle name="Currency 3 2 11 3 7" xfId="6472" xr:uid="{BDD68424-7CA9-435B-9C0A-369C1DFA6663}"/>
    <cellStyle name="Currency 3 2 11 4" xfId="516" xr:uid="{00000000-0005-0000-0000-00000F010000}"/>
    <cellStyle name="Currency 3 2 11 4 2" xfId="3164" xr:uid="{00000000-0005-0000-0000-000010010000}"/>
    <cellStyle name="Currency 3 2 11 4 2 2" xfId="4498" xr:uid="{00000000-0005-0000-0000-000011010000}"/>
    <cellStyle name="Currency 3 2 11 4 2 2 2" xfId="10675" xr:uid="{F15ABEDC-8ECF-4B39-8F3B-A39CA31927C6}"/>
    <cellStyle name="Currency 3 2 11 4 2 3" xfId="9341" xr:uid="{C77D7D11-E4AF-48C9-858F-94CC120A0C5B}"/>
    <cellStyle name="Currency 3 2 11 4 3" xfId="2282" xr:uid="{00000000-0005-0000-0000-000012010000}"/>
    <cellStyle name="Currency 3 2 11 4 3 2" xfId="4499" xr:uid="{00000000-0005-0000-0000-000013010000}"/>
    <cellStyle name="Currency 3 2 11 4 3 2 2" xfId="10676" xr:uid="{297F97A7-11C9-4D06-A12A-6D4838D23521}"/>
    <cellStyle name="Currency 3 2 11 4 3 3" xfId="8459" xr:uid="{F00E0F8A-80E5-4606-A1C6-584B2F77A597}"/>
    <cellStyle name="Currency 3 2 11 4 4" xfId="4046" xr:uid="{00000000-0005-0000-0000-000014010000}"/>
    <cellStyle name="Currency 3 2 11 4 4 2" xfId="10223" xr:uid="{FB36FD6E-0FCB-4707-A6E0-03E2157434D9}"/>
    <cellStyle name="Currency 3 2 11 4 5" xfId="1399" xr:uid="{00000000-0005-0000-0000-000015010000}"/>
    <cellStyle name="Currency 3 2 11 4 5 2" xfId="7576" xr:uid="{5E208CC0-BB34-4D65-AE4E-5B07402DE2D4}"/>
    <cellStyle name="Currency 3 2 11 4 6" xfId="6693" xr:uid="{C8B90254-B87F-40B6-824E-A1FC5C974A57}"/>
    <cellStyle name="Currency 3 2 11 5" xfId="2723" xr:uid="{00000000-0005-0000-0000-000016010000}"/>
    <cellStyle name="Currency 3 2 11 5 2" xfId="4500" xr:uid="{00000000-0005-0000-0000-000017010000}"/>
    <cellStyle name="Currency 3 2 11 5 2 2" xfId="10677" xr:uid="{175F41AC-6140-43FE-BDEA-413D03A2312C}"/>
    <cellStyle name="Currency 3 2 11 5 3" xfId="8900" xr:uid="{7687C3DE-A4BA-4B65-BC12-54CE0A579305}"/>
    <cellStyle name="Currency 3 2 11 6" xfId="1841" xr:uid="{00000000-0005-0000-0000-000018010000}"/>
    <cellStyle name="Currency 3 2 11 6 2" xfId="4501" xr:uid="{00000000-0005-0000-0000-000019010000}"/>
    <cellStyle name="Currency 3 2 11 6 2 2" xfId="10678" xr:uid="{BDD1E3E7-C20A-45E0-B5BC-29650EE7CF7D}"/>
    <cellStyle name="Currency 3 2 11 6 3" xfId="8018" xr:uid="{5B8CF30D-A672-4C17-8B7D-DB43DE1494EB}"/>
    <cellStyle name="Currency 3 2 11 7" xfId="3605" xr:uid="{00000000-0005-0000-0000-00001A010000}"/>
    <cellStyle name="Currency 3 2 11 7 2" xfId="9782" xr:uid="{4004B2F2-78A0-4C01-BDCB-BAD7FF7C7936}"/>
    <cellStyle name="Currency 3 2 11 8" xfId="958" xr:uid="{00000000-0005-0000-0000-00001B010000}"/>
    <cellStyle name="Currency 3 2 11 8 2" xfId="7135" xr:uid="{250ED742-A172-40BD-B04B-3723684DBD58}"/>
    <cellStyle name="Currency 3 2 11 9" xfId="6252" xr:uid="{E0501F45-D8C0-4755-B589-67724B1B4591}"/>
    <cellStyle name="Currency 3 2 12" xfId="119" xr:uid="{00000000-0005-0000-0000-00001C010000}"/>
    <cellStyle name="Currency 3 2 12 2" xfId="339" xr:uid="{00000000-0005-0000-0000-00001D010000}"/>
    <cellStyle name="Currency 3 2 12 2 2" xfId="780" xr:uid="{00000000-0005-0000-0000-00001E010000}"/>
    <cellStyle name="Currency 3 2 12 2 2 2" xfId="3428" xr:uid="{00000000-0005-0000-0000-00001F010000}"/>
    <cellStyle name="Currency 3 2 12 2 2 2 2" xfId="4502" xr:uid="{00000000-0005-0000-0000-000020010000}"/>
    <cellStyle name="Currency 3 2 12 2 2 2 2 2" xfId="10679" xr:uid="{DE72A89E-2D5D-4892-B479-E7718879E123}"/>
    <cellStyle name="Currency 3 2 12 2 2 2 3" xfId="9605" xr:uid="{A871099D-026C-443E-BC72-52184DF411E8}"/>
    <cellStyle name="Currency 3 2 12 2 2 3" xfId="2546" xr:uid="{00000000-0005-0000-0000-000021010000}"/>
    <cellStyle name="Currency 3 2 12 2 2 3 2" xfId="4503" xr:uid="{00000000-0005-0000-0000-000022010000}"/>
    <cellStyle name="Currency 3 2 12 2 2 3 2 2" xfId="10680" xr:uid="{916277BA-0CF0-48F6-B1A6-25FA263FE0E4}"/>
    <cellStyle name="Currency 3 2 12 2 2 3 3" xfId="8723" xr:uid="{9B90E1A6-579F-4C76-A9A2-D1600EB8A278}"/>
    <cellStyle name="Currency 3 2 12 2 2 4" xfId="4310" xr:uid="{00000000-0005-0000-0000-000023010000}"/>
    <cellStyle name="Currency 3 2 12 2 2 4 2" xfId="10487" xr:uid="{DBA5FDAA-94B5-4E98-B28E-5A1E5403D78B}"/>
    <cellStyle name="Currency 3 2 12 2 2 5" xfId="1663" xr:uid="{00000000-0005-0000-0000-000024010000}"/>
    <cellStyle name="Currency 3 2 12 2 2 5 2" xfId="7840" xr:uid="{BA56CF97-6A60-4025-AC12-B2F904916F98}"/>
    <cellStyle name="Currency 3 2 12 2 2 6" xfId="6957" xr:uid="{041DBC7C-D65B-41B7-9784-C0D85D187609}"/>
    <cellStyle name="Currency 3 2 12 2 3" xfId="2987" xr:uid="{00000000-0005-0000-0000-000025010000}"/>
    <cellStyle name="Currency 3 2 12 2 3 2" xfId="4504" xr:uid="{00000000-0005-0000-0000-000026010000}"/>
    <cellStyle name="Currency 3 2 12 2 3 2 2" xfId="10681" xr:uid="{5BC0667E-1881-4378-AD3D-EBE1232E3A81}"/>
    <cellStyle name="Currency 3 2 12 2 3 3" xfId="9164" xr:uid="{9359F975-97D2-4E48-940D-61D7B28F9F24}"/>
    <cellStyle name="Currency 3 2 12 2 4" xfId="2105" xr:uid="{00000000-0005-0000-0000-000027010000}"/>
    <cellStyle name="Currency 3 2 12 2 4 2" xfId="4505" xr:uid="{00000000-0005-0000-0000-000028010000}"/>
    <cellStyle name="Currency 3 2 12 2 4 2 2" xfId="10682" xr:uid="{75DCF0B2-E870-4A09-99F7-567E6AF1A9E4}"/>
    <cellStyle name="Currency 3 2 12 2 4 3" xfId="8282" xr:uid="{D03652CF-4139-4FCA-9B8F-F52360C4317E}"/>
    <cellStyle name="Currency 3 2 12 2 5" xfId="3869" xr:uid="{00000000-0005-0000-0000-000029010000}"/>
    <cellStyle name="Currency 3 2 12 2 5 2" xfId="10046" xr:uid="{FE036A29-4694-4F39-9926-93A5EDF35B53}"/>
    <cellStyle name="Currency 3 2 12 2 6" xfId="1222" xr:uid="{00000000-0005-0000-0000-00002A010000}"/>
    <cellStyle name="Currency 3 2 12 2 6 2" xfId="7399" xr:uid="{496C083E-2EDC-4DC6-A6B6-EF3FC84340B7}"/>
    <cellStyle name="Currency 3 2 12 2 7" xfId="6516" xr:uid="{156865E6-6434-4254-8DBF-765B519318A3}"/>
    <cellStyle name="Currency 3 2 12 3" xfId="560" xr:uid="{00000000-0005-0000-0000-00002B010000}"/>
    <cellStyle name="Currency 3 2 12 3 2" xfId="3208" xr:uid="{00000000-0005-0000-0000-00002C010000}"/>
    <cellStyle name="Currency 3 2 12 3 2 2" xfId="4506" xr:uid="{00000000-0005-0000-0000-00002D010000}"/>
    <cellStyle name="Currency 3 2 12 3 2 2 2" xfId="10683" xr:uid="{0B48424E-C4EF-4EAB-B3D5-C89EBE7FDDE0}"/>
    <cellStyle name="Currency 3 2 12 3 2 3" xfId="9385" xr:uid="{B3411BEB-F3AF-403F-8E16-2A85CC7584E1}"/>
    <cellStyle name="Currency 3 2 12 3 3" xfId="2326" xr:uid="{00000000-0005-0000-0000-00002E010000}"/>
    <cellStyle name="Currency 3 2 12 3 3 2" xfId="4507" xr:uid="{00000000-0005-0000-0000-00002F010000}"/>
    <cellStyle name="Currency 3 2 12 3 3 2 2" xfId="10684" xr:uid="{ED784C37-26DA-4FD8-A455-972B3A3AA1CF}"/>
    <cellStyle name="Currency 3 2 12 3 3 3" xfId="8503" xr:uid="{BB60CCF3-13A2-4874-B3DC-3BE44AB5F298}"/>
    <cellStyle name="Currency 3 2 12 3 4" xfId="4090" xr:uid="{00000000-0005-0000-0000-000030010000}"/>
    <cellStyle name="Currency 3 2 12 3 4 2" xfId="10267" xr:uid="{176AFCE3-A895-4226-8875-CB1702C9F8BD}"/>
    <cellStyle name="Currency 3 2 12 3 5" xfId="1443" xr:uid="{00000000-0005-0000-0000-000031010000}"/>
    <cellStyle name="Currency 3 2 12 3 5 2" xfId="7620" xr:uid="{9DF07A64-7A80-4AB3-AEFD-466195832805}"/>
    <cellStyle name="Currency 3 2 12 3 6" xfId="6737" xr:uid="{E3176C1D-3F1D-43C6-A595-2C7B0CDCBFC0}"/>
    <cellStyle name="Currency 3 2 12 4" xfId="2767" xr:uid="{00000000-0005-0000-0000-000032010000}"/>
    <cellStyle name="Currency 3 2 12 4 2" xfId="4508" xr:uid="{00000000-0005-0000-0000-000033010000}"/>
    <cellStyle name="Currency 3 2 12 4 2 2" xfId="10685" xr:uid="{3A6DAF41-5B77-4E9B-93BD-F8EE58462D8E}"/>
    <cellStyle name="Currency 3 2 12 4 3" xfId="8944" xr:uid="{09E2A259-F9A9-4E65-B7F0-3F243FCD067C}"/>
    <cellStyle name="Currency 3 2 12 5" xfId="1885" xr:uid="{00000000-0005-0000-0000-000034010000}"/>
    <cellStyle name="Currency 3 2 12 5 2" xfId="4509" xr:uid="{00000000-0005-0000-0000-000035010000}"/>
    <cellStyle name="Currency 3 2 12 5 2 2" xfId="10686" xr:uid="{972A4EB8-5082-494C-8113-2E97AC7EB41D}"/>
    <cellStyle name="Currency 3 2 12 5 3" xfId="8062" xr:uid="{5920E748-DA39-43BD-9D28-7F9FB43D592C}"/>
    <cellStyle name="Currency 3 2 12 6" xfId="3649" xr:uid="{00000000-0005-0000-0000-000036010000}"/>
    <cellStyle name="Currency 3 2 12 6 2" xfId="9826" xr:uid="{EC5D581B-9FEB-441C-8BEB-5CE5A4E8B267}"/>
    <cellStyle name="Currency 3 2 12 7" xfId="1002" xr:uid="{00000000-0005-0000-0000-000037010000}"/>
    <cellStyle name="Currency 3 2 12 7 2" xfId="7179" xr:uid="{8129D4CC-BAC7-4740-B365-C8F1D080D052}"/>
    <cellStyle name="Currency 3 2 12 8" xfId="6296" xr:uid="{86ECFB61-827F-44B3-867B-46B476406569}"/>
    <cellStyle name="Currency 3 2 13" xfId="229" xr:uid="{00000000-0005-0000-0000-000038010000}"/>
    <cellStyle name="Currency 3 2 13 2" xfId="670" xr:uid="{00000000-0005-0000-0000-000039010000}"/>
    <cellStyle name="Currency 3 2 13 2 2" xfId="3318" xr:uid="{00000000-0005-0000-0000-00003A010000}"/>
    <cellStyle name="Currency 3 2 13 2 2 2" xfId="4510" xr:uid="{00000000-0005-0000-0000-00003B010000}"/>
    <cellStyle name="Currency 3 2 13 2 2 2 2" xfId="10687" xr:uid="{5AF0D877-931B-464A-99DB-61747A77AD63}"/>
    <cellStyle name="Currency 3 2 13 2 2 3" xfId="9495" xr:uid="{2D0984B0-330A-4D10-8447-438E2A487F6D}"/>
    <cellStyle name="Currency 3 2 13 2 3" xfId="2436" xr:uid="{00000000-0005-0000-0000-00003C010000}"/>
    <cellStyle name="Currency 3 2 13 2 3 2" xfId="4511" xr:uid="{00000000-0005-0000-0000-00003D010000}"/>
    <cellStyle name="Currency 3 2 13 2 3 2 2" xfId="10688" xr:uid="{AFDDCD1E-038B-44E0-82E5-B9ED3704585C}"/>
    <cellStyle name="Currency 3 2 13 2 3 3" xfId="8613" xr:uid="{49242992-B612-4B3E-892C-39812C1AC8A5}"/>
    <cellStyle name="Currency 3 2 13 2 4" xfId="4200" xr:uid="{00000000-0005-0000-0000-00003E010000}"/>
    <cellStyle name="Currency 3 2 13 2 4 2" xfId="10377" xr:uid="{44928AA4-E1F9-46CC-9878-871CC48D10AF}"/>
    <cellStyle name="Currency 3 2 13 2 5" xfId="1553" xr:uid="{00000000-0005-0000-0000-00003F010000}"/>
    <cellStyle name="Currency 3 2 13 2 5 2" xfId="7730" xr:uid="{5BC27EAC-049B-4271-8DA1-65883177DB8D}"/>
    <cellStyle name="Currency 3 2 13 2 6" xfId="6847" xr:uid="{EFCAFD47-903B-4841-8161-B01E6FC36D7D}"/>
    <cellStyle name="Currency 3 2 13 3" xfId="2877" xr:uid="{00000000-0005-0000-0000-000040010000}"/>
    <cellStyle name="Currency 3 2 13 3 2" xfId="4512" xr:uid="{00000000-0005-0000-0000-000041010000}"/>
    <cellStyle name="Currency 3 2 13 3 2 2" xfId="10689" xr:uid="{1DF9C63B-D1BC-4812-8ACA-EC8C7678563F}"/>
    <cellStyle name="Currency 3 2 13 3 3" xfId="9054" xr:uid="{97AD1473-5F35-4C07-90F1-7C4A6F2BCE9E}"/>
    <cellStyle name="Currency 3 2 13 4" xfId="1995" xr:uid="{00000000-0005-0000-0000-000042010000}"/>
    <cellStyle name="Currency 3 2 13 4 2" xfId="4513" xr:uid="{00000000-0005-0000-0000-000043010000}"/>
    <cellStyle name="Currency 3 2 13 4 2 2" xfId="10690" xr:uid="{3C44C77C-DAA0-4D5C-B0D3-484861783354}"/>
    <cellStyle name="Currency 3 2 13 4 3" xfId="8172" xr:uid="{637FC1DA-086B-469D-AF7E-C3BB6D09DAA3}"/>
    <cellStyle name="Currency 3 2 13 5" xfId="3759" xr:uid="{00000000-0005-0000-0000-000044010000}"/>
    <cellStyle name="Currency 3 2 13 5 2" xfId="9936" xr:uid="{D846003E-A66E-4970-B065-CCDDB39F70FC}"/>
    <cellStyle name="Currency 3 2 13 6" xfId="1112" xr:uid="{00000000-0005-0000-0000-000045010000}"/>
    <cellStyle name="Currency 3 2 13 6 2" xfId="7289" xr:uid="{4498206D-8D9F-4CF0-8C07-5F2CFD621D21}"/>
    <cellStyle name="Currency 3 2 13 7" xfId="6406" xr:uid="{D447A4F8-A2DA-4DE0-9D55-536116381C7A}"/>
    <cellStyle name="Currency 3 2 14" xfId="450" xr:uid="{00000000-0005-0000-0000-000046010000}"/>
    <cellStyle name="Currency 3 2 14 2" xfId="3098" xr:uid="{00000000-0005-0000-0000-000047010000}"/>
    <cellStyle name="Currency 3 2 14 2 2" xfId="4514" xr:uid="{00000000-0005-0000-0000-000048010000}"/>
    <cellStyle name="Currency 3 2 14 2 2 2" xfId="10691" xr:uid="{A3B2D8C7-F02D-4689-86ED-12A6C64C3420}"/>
    <cellStyle name="Currency 3 2 14 2 3" xfId="9275" xr:uid="{B0515127-5144-4009-AED6-20402A64EA75}"/>
    <cellStyle name="Currency 3 2 14 3" xfId="2216" xr:uid="{00000000-0005-0000-0000-000049010000}"/>
    <cellStyle name="Currency 3 2 14 3 2" xfId="4515" xr:uid="{00000000-0005-0000-0000-00004A010000}"/>
    <cellStyle name="Currency 3 2 14 3 2 2" xfId="10692" xr:uid="{C34626C2-8869-4896-B280-B0FB8E1B4CE4}"/>
    <cellStyle name="Currency 3 2 14 3 3" xfId="8393" xr:uid="{50078AF1-AFF0-4C8A-9989-63E3B4EC6224}"/>
    <cellStyle name="Currency 3 2 14 4" xfId="3980" xr:uid="{00000000-0005-0000-0000-00004B010000}"/>
    <cellStyle name="Currency 3 2 14 4 2" xfId="10157" xr:uid="{E5711BDB-5D80-4FEE-9A9A-88E8B3617C7D}"/>
    <cellStyle name="Currency 3 2 14 5" xfId="1333" xr:uid="{00000000-0005-0000-0000-00004C010000}"/>
    <cellStyle name="Currency 3 2 14 5 2" xfId="7510" xr:uid="{989CB326-F008-40E6-A6AD-5273AD8F37B3}"/>
    <cellStyle name="Currency 3 2 14 6" xfId="6627" xr:uid="{E25DF826-557C-4328-9A75-48EDC97D2841}"/>
    <cellStyle name="Currency 3 2 15" xfId="2657" xr:uid="{00000000-0005-0000-0000-00004D010000}"/>
    <cellStyle name="Currency 3 2 15 2" xfId="4516" xr:uid="{00000000-0005-0000-0000-00004E010000}"/>
    <cellStyle name="Currency 3 2 15 2 2" xfId="10693" xr:uid="{B806F8EE-8F59-46A0-A276-1FEE16F71683}"/>
    <cellStyle name="Currency 3 2 15 3" xfId="8834" xr:uid="{60577A5C-51BB-4187-B5BA-C66A366F2558}"/>
    <cellStyle name="Currency 3 2 16" xfId="1775" xr:uid="{00000000-0005-0000-0000-00004F010000}"/>
    <cellStyle name="Currency 3 2 16 2" xfId="4517" xr:uid="{00000000-0005-0000-0000-000050010000}"/>
    <cellStyle name="Currency 3 2 16 2 2" xfId="10694" xr:uid="{33E2A3F3-C1FA-41B3-9F5E-8A6B241BD2F3}"/>
    <cellStyle name="Currency 3 2 16 3" xfId="7952" xr:uid="{A91C31D6-4F03-4917-A46D-CE13CC2F5387}"/>
    <cellStyle name="Currency 3 2 17" xfId="3539" xr:uid="{00000000-0005-0000-0000-000051010000}"/>
    <cellStyle name="Currency 3 2 17 2" xfId="9716" xr:uid="{2F88DAF8-0FCA-42DB-AF44-C75347236D33}"/>
    <cellStyle name="Currency 3 2 18" xfId="892" xr:uid="{00000000-0005-0000-0000-000052010000}"/>
    <cellStyle name="Currency 3 2 18 2" xfId="7069" xr:uid="{66ACA1A6-7730-4A74-AAC9-0B7BE236E5A8}"/>
    <cellStyle name="Currency 3 2 19" xfId="6186" xr:uid="{601B68CE-CDA8-4439-97B2-304AC0844E20}"/>
    <cellStyle name="Currency 3 2 2" xfId="11" xr:uid="{00000000-0005-0000-0000-000053010000}"/>
    <cellStyle name="Currency 3 2 2 10" xfId="453" xr:uid="{00000000-0005-0000-0000-000054010000}"/>
    <cellStyle name="Currency 3 2 2 10 2" xfId="3101" xr:uid="{00000000-0005-0000-0000-000055010000}"/>
    <cellStyle name="Currency 3 2 2 10 2 2" xfId="4518" xr:uid="{00000000-0005-0000-0000-000056010000}"/>
    <cellStyle name="Currency 3 2 2 10 2 2 2" xfId="10695" xr:uid="{C2C43BD5-6F42-49B9-988D-A12B8AB6C7EB}"/>
    <cellStyle name="Currency 3 2 2 10 2 3" xfId="9278" xr:uid="{5E9BC3BA-993B-4291-8176-8F6890DF8D72}"/>
    <cellStyle name="Currency 3 2 2 10 3" xfId="2219" xr:uid="{00000000-0005-0000-0000-000057010000}"/>
    <cellStyle name="Currency 3 2 2 10 3 2" xfId="4519" xr:uid="{00000000-0005-0000-0000-000058010000}"/>
    <cellStyle name="Currency 3 2 2 10 3 2 2" xfId="10696" xr:uid="{A18F514E-78BC-4DFD-8388-27175B34F7A7}"/>
    <cellStyle name="Currency 3 2 2 10 3 3" xfId="8396" xr:uid="{B48DDD23-2E3A-4FE2-8810-AC5000E23255}"/>
    <cellStyle name="Currency 3 2 2 10 4" xfId="3983" xr:uid="{00000000-0005-0000-0000-000059010000}"/>
    <cellStyle name="Currency 3 2 2 10 4 2" xfId="10160" xr:uid="{A440B84E-E0DE-4A58-B1AD-256528A55F72}"/>
    <cellStyle name="Currency 3 2 2 10 5" xfId="1336" xr:uid="{00000000-0005-0000-0000-00005A010000}"/>
    <cellStyle name="Currency 3 2 2 10 5 2" xfId="7513" xr:uid="{6D49934D-67AC-4915-9F79-287CA6C4F5A1}"/>
    <cellStyle name="Currency 3 2 2 10 6" xfId="6630" xr:uid="{75BFED82-8FE4-4F16-AD06-932456762342}"/>
    <cellStyle name="Currency 3 2 2 11" xfId="2660" xr:uid="{00000000-0005-0000-0000-00005B010000}"/>
    <cellStyle name="Currency 3 2 2 11 2" xfId="4520" xr:uid="{00000000-0005-0000-0000-00005C010000}"/>
    <cellStyle name="Currency 3 2 2 11 2 2" xfId="10697" xr:uid="{6D6708B0-1E3B-48E6-B06E-FDD2F2416681}"/>
    <cellStyle name="Currency 3 2 2 11 3" xfId="8837" xr:uid="{AE6B164C-0F0A-42A5-AFCC-A3192E47B577}"/>
    <cellStyle name="Currency 3 2 2 12" xfId="1778" xr:uid="{00000000-0005-0000-0000-00005D010000}"/>
    <cellStyle name="Currency 3 2 2 12 2" xfId="4521" xr:uid="{00000000-0005-0000-0000-00005E010000}"/>
    <cellStyle name="Currency 3 2 2 12 2 2" xfId="10698" xr:uid="{F3B124B5-BF5B-461C-B6EE-CB19FC18B7C8}"/>
    <cellStyle name="Currency 3 2 2 12 3" xfId="7955" xr:uid="{F3ECC7C9-FE2A-4162-9AFA-B346A41E9112}"/>
    <cellStyle name="Currency 3 2 2 13" xfId="3542" xr:uid="{00000000-0005-0000-0000-00005F010000}"/>
    <cellStyle name="Currency 3 2 2 13 2" xfId="9719" xr:uid="{31040CF1-9F98-4FE2-9A4D-253636278934}"/>
    <cellStyle name="Currency 3 2 2 14" xfId="895" xr:uid="{00000000-0005-0000-0000-000060010000}"/>
    <cellStyle name="Currency 3 2 2 14 2" xfId="7072" xr:uid="{3C15D660-96A3-4BED-AB64-B19EC5803A4C}"/>
    <cellStyle name="Currency 3 2 2 15" xfId="6189" xr:uid="{B3BB75CE-FB49-40E2-BD57-36F400D565B1}"/>
    <cellStyle name="Currency 3 2 2 2" xfId="28" xr:uid="{00000000-0005-0000-0000-000061010000}"/>
    <cellStyle name="Currency 3 2 2 2 10" xfId="6205" xr:uid="{02982819-D499-46A1-B6FB-EEFC2EA723C4}"/>
    <cellStyle name="Currency 3 2 2 2 2" xfId="94" xr:uid="{00000000-0005-0000-0000-000062010000}"/>
    <cellStyle name="Currency 3 2 2 2 2 2" xfId="204" xr:uid="{00000000-0005-0000-0000-000063010000}"/>
    <cellStyle name="Currency 3 2 2 2 2 2 2" xfId="424" xr:uid="{00000000-0005-0000-0000-000064010000}"/>
    <cellStyle name="Currency 3 2 2 2 2 2 2 2" xfId="865" xr:uid="{00000000-0005-0000-0000-000065010000}"/>
    <cellStyle name="Currency 3 2 2 2 2 2 2 2 2" xfId="3513" xr:uid="{00000000-0005-0000-0000-000066010000}"/>
    <cellStyle name="Currency 3 2 2 2 2 2 2 2 2 2" xfId="4522" xr:uid="{00000000-0005-0000-0000-000067010000}"/>
    <cellStyle name="Currency 3 2 2 2 2 2 2 2 2 2 2" xfId="10699" xr:uid="{A01CA96C-4136-43E8-B4CE-422A477F6813}"/>
    <cellStyle name="Currency 3 2 2 2 2 2 2 2 2 3" xfId="9690" xr:uid="{263716AB-0881-4F0E-A91F-C25BB5334847}"/>
    <cellStyle name="Currency 3 2 2 2 2 2 2 2 3" xfId="2631" xr:uid="{00000000-0005-0000-0000-000068010000}"/>
    <cellStyle name="Currency 3 2 2 2 2 2 2 2 3 2" xfId="4523" xr:uid="{00000000-0005-0000-0000-000069010000}"/>
    <cellStyle name="Currency 3 2 2 2 2 2 2 2 3 2 2" xfId="10700" xr:uid="{70963148-9A80-454E-AACD-C094068D98E6}"/>
    <cellStyle name="Currency 3 2 2 2 2 2 2 2 3 3" xfId="8808" xr:uid="{14376A94-6096-4C03-8F56-3CED557C3680}"/>
    <cellStyle name="Currency 3 2 2 2 2 2 2 2 4" xfId="4395" xr:uid="{00000000-0005-0000-0000-00006A010000}"/>
    <cellStyle name="Currency 3 2 2 2 2 2 2 2 4 2" xfId="10572" xr:uid="{9787DE1D-EEB7-44A9-B499-2BEB6E1970C3}"/>
    <cellStyle name="Currency 3 2 2 2 2 2 2 2 5" xfId="1748" xr:uid="{00000000-0005-0000-0000-00006B010000}"/>
    <cellStyle name="Currency 3 2 2 2 2 2 2 2 5 2" xfId="7925" xr:uid="{26A0F946-1A5C-4B10-8159-4EB6255AF102}"/>
    <cellStyle name="Currency 3 2 2 2 2 2 2 2 6" xfId="7042" xr:uid="{23C3A258-37D0-47D2-86B6-1D769376D868}"/>
    <cellStyle name="Currency 3 2 2 2 2 2 2 3" xfId="3072" xr:uid="{00000000-0005-0000-0000-00006C010000}"/>
    <cellStyle name="Currency 3 2 2 2 2 2 2 3 2" xfId="4524" xr:uid="{00000000-0005-0000-0000-00006D010000}"/>
    <cellStyle name="Currency 3 2 2 2 2 2 2 3 2 2" xfId="10701" xr:uid="{873F64C5-B1F9-4316-8E0E-A7B7CCAB4BAE}"/>
    <cellStyle name="Currency 3 2 2 2 2 2 2 3 3" xfId="9249" xr:uid="{81D702DF-B13D-4908-B784-3488B613D019}"/>
    <cellStyle name="Currency 3 2 2 2 2 2 2 4" xfId="2190" xr:uid="{00000000-0005-0000-0000-00006E010000}"/>
    <cellStyle name="Currency 3 2 2 2 2 2 2 4 2" xfId="4525" xr:uid="{00000000-0005-0000-0000-00006F010000}"/>
    <cellStyle name="Currency 3 2 2 2 2 2 2 4 2 2" xfId="10702" xr:uid="{8A507C26-4385-487A-9535-B0C4A56DDA4E}"/>
    <cellStyle name="Currency 3 2 2 2 2 2 2 4 3" xfId="8367" xr:uid="{D4F7D871-8109-4824-98F3-EBFE98276F36}"/>
    <cellStyle name="Currency 3 2 2 2 2 2 2 5" xfId="3954" xr:uid="{00000000-0005-0000-0000-000070010000}"/>
    <cellStyle name="Currency 3 2 2 2 2 2 2 5 2" xfId="10131" xr:uid="{F0613BFC-51CB-45F2-8B2A-25A349502908}"/>
    <cellStyle name="Currency 3 2 2 2 2 2 2 6" xfId="1307" xr:uid="{00000000-0005-0000-0000-000071010000}"/>
    <cellStyle name="Currency 3 2 2 2 2 2 2 6 2" xfId="7484" xr:uid="{9A0AF4AE-4E32-4E3F-8D53-3F91FF2074D6}"/>
    <cellStyle name="Currency 3 2 2 2 2 2 2 7" xfId="6601" xr:uid="{2AF8427B-BAB0-4307-8664-E5B590C0480F}"/>
    <cellStyle name="Currency 3 2 2 2 2 2 3" xfId="645" xr:uid="{00000000-0005-0000-0000-000072010000}"/>
    <cellStyle name="Currency 3 2 2 2 2 2 3 2" xfId="3293" xr:uid="{00000000-0005-0000-0000-000073010000}"/>
    <cellStyle name="Currency 3 2 2 2 2 2 3 2 2" xfId="4526" xr:uid="{00000000-0005-0000-0000-000074010000}"/>
    <cellStyle name="Currency 3 2 2 2 2 2 3 2 2 2" xfId="10703" xr:uid="{C0C31FAB-6613-47D2-9433-9439543B3CD4}"/>
    <cellStyle name="Currency 3 2 2 2 2 2 3 2 3" xfId="9470" xr:uid="{AC34EEB2-027B-48D7-A8ED-AD0BC4DEAA5C}"/>
    <cellStyle name="Currency 3 2 2 2 2 2 3 3" xfId="2411" xr:uid="{00000000-0005-0000-0000-000075010000}"/>
    <cellStyle name="Currency 3 2 2 2 2 2 3 3 2" xfId="4527" xr:uid="{00000000-0005-0000-0000-000076010000}"/>
    <cellStyle name="Currency 3 2 2 2 2 2 3 3 2 2" xfId="10704" xr:uid="{D6BE86E7-AD3E-411F-BF8F-7FA5C7950F76}"/>
    <cellStyle name="Currency 3 2 2 2 2 2 3 3 3" xfId="8588" xr:uid="{EFE44185-C5A8-41F5-9471-78A2D38EE970}"/>
    <cellStyle name="Currency 3 2 2 2 2 2 3 4" xfId="4175" xr:uid="{00000000-0005-0000-0000-000077010000}"/>
    <cellStyle name="Currency 3 2 2 2 2 2 3 4 2" xfId="10352" xr:uid="{8A75D71C-B9FC-4E9A-BCEA-3A8F4037D76B}"/>
    <cellStyle name="Currency 3 2 2 2 2 2 3 5" xfId="1528" xr:uid="{00000000-0005-0000-0000-000078010000}"/>
    <cellStyle name="Currency 3 2 2 2 2 2 3 5 2" xfId="7705" xr:uid="{3D975CC9-302A-4A58-A613-FFA6646B12CD}"/>
    <cellStyle name="Currency 3 2 2 2 2 2 3 6" xfId="6822" xr:uid="{F687C90C-6EAD-4F83-8A88-0FB8CC3DD8ED}"/>
    <cellStyle name="Currency 3 2 2 2 2 2 4" xfId="2852" xr:uid="{00000000-0005-0000-0000-000079010000}"/>
    <cellStyle name="Currency 3 2 2 2 2 2 4 2" xfId="4528" xr:uid="{00000000-0005-0000-0000-00007A010000}"/>
    <cellStyle name="Currency 3 2 2 2 2 2 4 2 2" xfId="10705" xr:uid="{877DFE1B-9663-4BC2-8DFF-801D2DB3E008}"/>
    <cellStyle name="Currency 3 2 2 2 2 2 4 3" xfId="9029" xr:uid="{D6FA7251-EBD0-4FAC-A816-B3C0945458A2}"/>
    <cellStyle name="Currency 3 2 2 2 2 2 5" xfId="1970" xr:uid="{00000000-0005-0000-0000-00007B010000}"/>
    <cellStyle name="Currency 3 2 2 2 2 2 5 2" xfId="4529" xr:uid="{00000000-0005-0000-0000-00007C010000}"/>
    <cellStyle name="Currency 3 2 2 2 2 2 5 2 2" xfId="10706" xr:uid="{543DCB54-2AE0-4B0D-9497-31162943F5C8}"/>
    <cellStyle name="Currency 3 2 2 2 2 2 5 3" xfId="8147" xr:uid="{192E2213-FF17-4087-BEDA-8D45565ACF53}"/>
    <cellStyle name="Currency 3 2 2 2 2 2 6" xfId="3734" xr:uid="{00000000-0005-0000-0000-00007D010000}"/>
    <cellStyle name="Currency 3 2 2 2 2 2 6 2" xfId="9911" xr:uid="{A12650AF-36A9-4F89-84DC-2316D1B8331F}"/>
    <cellStyle name="Currency 3 2 2 2 2 2 7" xfId="1087" xr:uid="{00000000-0005-0000-0000-00007E010000}"/>
    <cellStyle name="Currency 3 2 2 2 2 2 7 2" xfId="7264" xr:uid="{2D226BD9-7DD8-4D13-BBE6-7CF3431C4734}"/>
    <cellStyle name="Currency 3 2 2 2 2 2 8" xfId="6381" xr:uid="{FC01F77C-04C4-4401-9684-21B81DEE1834}"/>
    <cellStyle name="Currency 3 2 2 2 2 3" xfId="314" xr:uid="{00000000-0005-0000-0000-00007F010000}"/>
    <cellStyle name="Currency 3 2 2 2 2 3 2" xfId="755" xr:uid="{00000000-0005-0000-0000-000080010000}"/>
    <cellStyle name="Currency 3 2 2 2 2 3 2 2" xfId="3403" xr:uid="{00000000-0005-0000-0000-000081010000}"/>
    <cellStyle name="Currency 3 2 2 2 2 3 2 2 2" xfId="4530" xr:uid="{00000000-0005-0000-0000-000082010000}"/>
    <cellStyle name="Currency 3 2 2 2 2 3 2 2 2 2" xfId="10707" xr:uid="{536EB57F-3B79-4130-9AD4-5D7ED3004233}"/>
    <cellStyle name="Currency 3 2 2 2 2 3 2 2 3" xfId="9580" xr:uid="{E4B63831-2F62-407C-9F6D-18682CCA0C0B}"/>
    <cellStyle name="Currency 3 2 2 2 2 3 2 3" xfId="2521" xr:uid="{00000000-0005-0000-0000-000083010000}"/>
    <cellStyle name="Currency 3 2 2 2 2 3 2 3 2" xfId="4531" xr:uid="{00000000-0005-0000-0000-000084010000}"/>
    <cellStyle name="Currency 3 2 2 2 2 3 2 3 2 2" xfId="10708" xr:uid="{3B62DC69-AF52-4DE4-B659-016DAF32AD2D}"/>
    <cellStyle name="Currency 3 2 2 2 2 3 2 3 3" xfId="8698" xr:uid="{C8F69665-84B4-4C3C-B839-E716FFF91846}"/>
    <cellStyle name="Currency 3 2 2 2 2 3 2 4" xfId="4285" xr:uid="{00000000-0005-0000-0000-000085010000}"/>
    <cellStyle name="Currency 3 2 2 2 2 3 2 4 2" xfId="10462" xr:uid="{C68C9BAD-905E-49EF-ADFB-DE2AF75384ED}"/>
    <cellStyle name="Currency 3 2 2 2 2 3 2 5" xfId="1638" xr:uid="{00000000-0005-0000-0000-000086010000}"/>
    <cellStyle name="Currency 3 2 2 2 2 3 2 5 2" xfId="7815" xr:uid="{AA4D3E94-40DF-4A52-8059-3F5383224989}"/>
    <cellStyle name="Currency 3 2 2 2 2 3 2 6" xfId="6932" xr:uid="{5C103BE5-EECB-4BB0-81DF-CE751728AC01}"/>
    <cellStyle name="Currency 3 2 2 2 2 3 3" xfId="2962" xr:uid="{00000000-0005-0000-0000-000087010000}"/>
    <cellStyle name="Currency 3 2 2 2 2 3 3 2" xfId="4532" xr:uid="{00000000-0005-0000-0000-000088010000}"/>
    <cellStyle name="Currency 3 2 2 2 2 3 3 2 2" xfId="10709" xr:uid="{52FDB87D-13C8-4C34-B293-CB2712537676}"/>
    <cellStyle name="Currency 3 2 2 2 2 3 3 3" xfId="9139" xr:uid="{E2D4CA13-FC46-4E2E-ABDB-AF250746B2E9}"/>
    <cellStyle name="Currency 3 2 2 2 2 3 4" xfId="2080" xr:uid="{00000000-0005-0000-0000-000089010000}"/>
    <cellStyle name="Currency 3 2 2 2 2 3 4 2" xfId="4533" xr:uid="{00000000-0005-0000-0000-00008A010000}"/>
    <cellStyle name="Currency 3 2 2 2 2 3 4 2 2" xfId="10710" xr:uid="{2A29F564-2B2D-4E49-A99F-1DC01AAA0ED0}"/>
    <cellStyle name="Currency 3 2 2 2 2 3 4 3" xfId="8257" xr:uid="{8D2CFEF2-B597-4F9C-BD35-ACE77B4D1A53}"/>
    <cellStyle name="Currency 3 2 2 2 2 3 5" xfId="3844" xr:uid="{00000000-0005-0000-0000-00008B010000}"/>
    <cellStyle name="Currency 3 2 2 2 2 3 5 2" xfId="10021" xr:uid="{E6E15A09-FCD5-4AF6-85FA-A6C2CD58B05E}"/>
    <cellStyle name="Currency 3 2 2 2 2 3 6" xfId="1197" xr:uid="{00000000-0005-0000-0000-00008C010000}"/>
    <cellStyle name="Currency 3 2 2 2 2 3 6 2" xfId="7374" xr:uid="{32E3E23A-AD94-43E1-A054-6EF27F31E661}"/>
    <cellStyle name="Currency 3 2 2 2 2 3 7" xfId="6491" xr:uid="{F739CDCE-BDB9-4020-9B51-9E8012D28AE3}"/>
    <cellStyle name="Currency 3 2 2 2 2 4" xfId="535" xr:uid="{00000000-0005-0000-0000-00008D010000}"/>
    <cellStyle name="Currency 3 2 2 2 2 4 2" xfId="3183" xr:uid="{00000000-0005-0000-0000-00008E010000}"/>
    <cellStyle name="Currency 3 2 2 2 2 4 2 2" xfId="4534" xr:uid="{00000000-0005-0000-0000-00008F010000}"/>
    <cellStyle name="Currency 3 2 2 2 2 4 2 2 2" xfId="10711" xr:uid="{3460EE32-7981-4145-8ABD-B5589ABFC29C}"/>
    <cellStyle name="Currency 3 2 2 2 2 4 2 3" xfId="9360" xr:uid="{D5507929-081B-4D8C-8A56-4FE7E48CF5B6}"/>
    <cellStyle name="Currency 3 2 2 2 2 4 3" xfId="2301" xr:uid="{00000000-0005-0000-0000-000090010000}"/>
    <cellStyle name="Currency 3 2 2 2 2 4 3 2" xfId="4535" xr:uid="{00000000-0005-0000-0000-000091010000}"/>
    <cellStyle name="Currency 3 2 2 2 2 4 3 2 2" xfId="10712" xr:uid="{F5E94CDB-2C85-40AC-B26C-3CE2C2E3EDED}"/>
    <cellStyle name="Currency 3 2 2 2 2 4 3 3" xfId="8478" xr:uid="{645D3585-DEF4-4B4F-B856-E60F144F8819}"/>
    <cellStyle name="Currency 3 2 2 2 2 4 4" xfId="4065" xr:uid="{00000000-0005-0000-0000-000092010000}"/>
    <cellStyle name="Currency 3 2 2 2 2 4 4 2" xfId="10242" xr:uid="{950839A8-7A93-48EE-9A55-E768CD6CE7FB}"/>
    <cellStyle name="Currency 3 2 2 2 2 4 5" xfId="1418" xr:uid="{00000000-0005-0000-0000-000093010000}"/>
    <cellStyle name="Currency 3 2 2 2 2 4 5 2" xfId="7595" xr:uid="{864A5716-EF80-44F4-8BEE-049EDBA09696}"/>
    <cellStyle name="Currency 3 2 2 2 2 4 6" xfId="6712" xr:uid="{40C21774-168B-463A-AAC5-E25CFD3BDE37}"/>
    <cellStyle name="Currency 3 2 2 2 2 5" xfId="2742" xr:uid="{00000000-0005-0000-0000-000094010000}"/>
    <cellStyle name="Currency 3 2 2 2 2 5 2" xfId="4536" xr:uid="{00000000-0005-0000-0000-000095010000}"/>
    <cellStyle name="Currency 3 2 2 2 2 5 2 2" xfId="10713" xr:uid="{3EBB2C25-8D19-431E-9412-2FF47F912906}"/>
    <cellStyle name="Currency 3 2 2 2 2 5 3" xfId="8919" xr:uid="{CD23DB79-6167-4E05-BCFB-8B69114B7E5C}"/>
    <cellStyle name="Currency 3 2 2 2 2 6" xfId="1860" xr:uid="{00000000-0005-0000-0000-000096010000}"/>
    <cellStyle name="Currency 3 2 2 2 2 6 2" xfId="4537" xr:uid="{00000000-0005-0000-0000-000097010000}"/>
    <cellStyle name="Currency 3 2 2 2 2 6 2 2" xfId="10714" xr:uid="{CE581788-2F00-46EA-B746-BF5821E6FFF9}"/>
    <cellStyle name="Currency 3 2 2 2 2 6 3" xfId="8037" xr:uid="{52560E07-03EC-4F6A-B622-2D1F0E7B0B48}"/>
    <cellStyle name="Currency 3 2 2 2 2 7" xfId="3624" xr:uid="{00000000-0005-0000-0000-000098010000}"/>
    <cellStyle name="Currency 3 2 2 2 2 7 2" xfId="9801" xr:uid="{F193EF39-B170-45FC-A924-F47BC35D8822}"/>
    <cellStyle name="Currency 3 2 2 2 2 8" xfId="977" xr:uid="{00000000-0005-0000-0000-000099010000}"/>
    <cellStyle name="Currency 3 2 2 2 2 8 2" xfId="7154" xr:uid="{3A690E58-A53C-40B6-91DD-EC310A100005}"/>
    <cellStyle name="Currency 3 2 2 2 2 9" xfId="6271" xr:uid="{6C33CC27-C06D-404C-9E37-6E3C85610A54}"/>
    <cellStyle name="Currency 3 2 2 2 3" xfId="138" xr:uid="{00000000-0005-0000-0000-00009A010000}"/>
    <cellStyle name="Currency 3 2 2 2 3 2" xfId="358" xr:uid="{00000000-0005-0000-0000-00009B010000}"/>
    <cellStyle name="Currency 3 2 2 2 3 2 2" xfId="799" xr:uid="{00000000-0005-0000-0000-00009C010000}"/>
    <cellStyle name="Currency 3 2 2 2 3 2 2 2" xfId="3447" xr:uid="{00000000-0005-0000-0000-00009D010000}"/>
    <cellStyle name="Currency 3 2 2 2 3 2 2 2 2" xfId="4538" xr:uid="{00000000-0005-0000-0000-00009E010000}"/>
    <cellStyle name="Currency 3 2 2 2 3 2 2 2 2 2" xfId="10715" xr:uid="{9FD91506-0051-44BD-8F13-4AEA336AC680}"/>
    <cellStyle name="Currency 3 2 2 2 3 2 2 2 3" xfId="9624" xr:uid="{432E95FC-1866-4320-A9B5-E8FD9935B812}"/>
    <cellStyle name="Currency 3 2 2 2 3 2 2 3" xfId="2565" xr:uid="{00000000-0005-0000-0000-00009F010000}"/>
    <cellStyle name="Currency 3 2 2 2 3 2 2 3 2" xfId="4539" xr:uid="{00000000-0005-0000-0000-0000A0010000}"/>
    <cellStyle name="Currency 3 2 2 2 3 2 2 3 2 2" xfId="10716" xr:uid="{A73A2C6B-8EBF-4119-9A15-1B4F7A4B7FDD}"/>
    <cellStyle name="Currency 3 2 2 2 3 2 2 3 3" xfId="8742" xr:uid="{5FEF3AAC-EC29-43A8-8236-CAB3FDE4E2C4}"/>
    <cellStyle name="Currency 3 2 2 2 3 2 2 4" xfId="4329" xr:uid="{00000000-0005-0000-0000-0000A1010000}"/>
    <cellStyle name="Currency 3 2 2 2 3 2 2 4 2" xfId="10506" xr:uid="{73FB79C7-7E7B-482E-BD86-4BA5D2107F9E}"/>
    <cellStyle name="Currency 3 2 2 2 3 2 2 5" xfId="1682" xr:uid="{00000000-0005-0000-0000-0000A2010000}"/>
    <cellStyle name="Currency 3 2 2 2 3 2 2 5 2" xfId="7859" xr:uid="{36B3D017-235A-4B4E-842A-E85B9F8C5BA6}"/>
    <cellStyle name="Currency 3 2 2 2 3 2 2 6" xfId="6976" xr:uid="{A8D96B1B-3CC3-4F18-9946-15A7AF400476}"/>
    <cellStyle name="Currency 3 2 2 2 3 2 3" xfId="3006" xr:uid="{00000000-0005-0000-0000-0000A3010000}"/>
    <cellStyle name="Currency 3 2 2 2 3 2 3 2" xfId="4540" xr:uid="{00000000-0005-0000-0000-0000A4010000}"/>
    <cellStyle name="Currency 3 2 2 2 3 2 3 2 2" xfId="10717" xr:uid="{90F9EF24-451C-4E20-B322-B842FD8C0213}"/>
    <cellStyle name="Currency 3 2 2 2 3 2 3 3" xfId="9183" xr:uid="{F41F333F-2AF7-49FE-AD2D-B63F5164ED52}"/>
    <cellStyle name="Currency 3 2 2 2 3 2 4" xfId="2124" xr:uid="{00000000-0005-0000-0000-0000A5010000}"/>
    <cellStyle name="Currency 3 2 2 2 3 2 4 2" xfId="4541" xr:uid="{00000000-0005-0000-0000-0000A6010000}"/>
    <cellStyle name="Currency 3 2 2 2 3 2 4 2 2" xfId="10718" xr:uid="{FB687F4A-5214-4394-923E-0BC6F3EA2FE4}"/>
    <cellStyle name="Currency 3 2 2 2 3 2 4 3" xfId="8301" xr:uid="{0D06FC5E-033C-479C-AB64-93E741EDB12D}"/>
    <cellStyle name="Currency 3 2 2 2 3 2 5" xfId="3888" xr:uid="{00000000-0005-0000-0000-0000A7010000}"/>
    <cellStyle name="Currency 3 2 2 2 3 2 5 2" xfId="10065" xr:uid="{3EDD4ADE-32FC-45F3-8984-0D4832EEF4A7}"/>
    <cellStyle name="Currency 3 2 2 2 3 2 6" xfId="1241" xr:uid="{00000000-0005-0000-0000-0000A8010000}"/>
    <cellStyle name="Currency 3 2 2 2 3 2 6 2" xfId="7418" xr:uid="{94160AC9-AD5D-48B6-95CA-ABB825D935F4}"/>
    <cellStyle name="Currency 3 2 2 2 3 2 7" xfId="6535" xr:uid="{4D712502-2C0D-498A-9529-22C5808C8425}"/>
    <cellStyle name="Currency 3 2 2 2 3 3" xfId="579" xr:uid="{00000000-0005-0000-0000-0000A9010000}"/>
    <cellStyle name="Currency 3 2 2 2 3 3 2" xfId="3227" xr:uid="{00000000-0005-0000-0000-0000AA010000}"/>
    <cellStyle name="Currency 3 2 2 2 3 3 2 2" xfId="4542" xr:uid="{00000000-0005-0000-0000-0000AB010000}"/>
    <cellStyle name="Currency 3 2 2 2 3 3 2 2 2" xfId="10719" xr:uid="{8B83E9F7-78D2-467D-8328-53B4BE7C565E}"/>
    <cellStyle name="Currency 3 2 2 2 3 3 2 3" xfId="9404" xr:uid="{8323D1B2-CA63-4FF0-A0FF-AF6300F03C99}"/>
    <cellStyle name="Currency 3 2 2 2 3 3 3" xfId="2345" xr:uid="{00000000-0005-0000-0000-0000AC010000}"/>
    <cellStyle name="Currency 3 2 2 2 3 3 3 2" xfId="4543" xr:uid="{00000000-0005-0000-0000-0000AD010000}"/>
    <cellStyle name="Currency 3 2 2 2 3 3 3 2 2" xfId="10720" xr:uid="{AEB84CA5-BBF3-47AF-BF32-313C8A05E826}"/>
    <cellStyle name="Currency 3 2 2 2 3 3 3 3" xfId="8522" xr:uid="{D8380673-D45C-4D9C-98B9-284A5C8EBED1}"/>
    <cellStyle name="Currency 3 2 2 2 3 3 4" xfId="4109" xr:uid="{00000000-0005-0000-0000-0000AE010000}"/>
    <cellStyle name="Currency 3 2 2 2 3 3 4 2" xfId="10286" xr:uid="{7738ED73-DCF7-4892-B1AF-D4155D7DE2B5}"/>
    <cellStyle name="Currency 3 2 2 2 3 3 5" xfId="1462" xr:uid="{00000000-0005-0000-0000-0000AF010000}"/>
    <cellStyle name="Currency 3 2 2 2 3 3 5 2" xfId="7639" xr:uid="{88F4BE47-3E41-4D3C-BE6E-F8A087665F15}"/>
    <cellStyle name="Currency 3 2 2 2 3 3 6" xfId="6756" xr:uid="{78281CD0-D10A-4710-8769-AF911FBE141D}"/>
    <cellStyle name="Currency 3 2 2 2 3 4" xfId="2786" xr:uid="{00000000-0005-0000-0000-0000B0010000}"/>
    <cellStyle name="Currency 3 2 2 2 3 4 2" xfId="4544" xr:uid="{00000000-0005-0000-0000-0000B1010000}"/>
    <cellStyle name="Currency 3 2 2 2 3 4 2 2" xfId="10721" xr:uid="{A4D534BD-20B4-463A-9122-79E3D369FAB4}"/>
    <cellStyle name="Currency 3 2 2 2 3 4 3" xfId="8963" xr:uid="{FC537E2E-FA54-4FAD-8643-11218C5F24CF}"/>
    <cellStyle name="Currency 3 2 2 2 3 5" xfId="1904" xr:uid="{00000000-0005-0000-0000-0000B2010000}"/>
    <cellStyle name="Currency 3 2 2 2 3 5 2" xfId="4545" xr:uid="{00000000-0005-0000-0000-0000B3010000}"/>
    <cellStyle name="Currency 3 2 2 2 3 5 2 2" xfId="10722" xr:uid="{FF2B3FF1-9298-44E0-BCB4-4F960A12E35D}"/>
    <cellStyle name="Currency 3 2 2 2 3 5 3" xfId="8081" xr:uid="{92EB36CD-2E77-4873-9CE9-71ABB8ADDDD9}"/>
    <cellStyle name="Currency 3 2 2 2 3 6" xfId="3668" xr:uid="{00000000-0005-0000-0000-0000B4010000}"/>
    <cellStyle name="Currency 3 2 2 2 3 6 2" xfId="9845" xr:uid="{7BEDB1EF-5782-4BCF-BA94-AD1AA5DECB63}"/>
    <cellStyle name="Currency 3 2 2 2 3 7" xfId="1021" xr:uid="{00000000-0005-0000-0000-0000B5010000}"/>
    <cellStyle name="Currency 3 2 2 2 3 7 2" xfId="7198" xr:uid="{1D3C2CD9-0441-49C4-89FA-40D0CA708E74}"/>
    <cellStyle name="Currency 3 2 2 2 3 8" xfId="6315" xr:uid="{A432A4ED-F5C2-4DD1-97D5-DC46715A9733}"/>
    <cellStyle name="Currency 3 2 2 2 4" xfId="248" xr:uid="{00000000-0005-0000-0000-0000B6010000}"/>
    <cellStyle name="Currency 3 2 2 2 4 2" xfId="689" xr:uid="{00000000-0005-0000-0000-0000B7010000}"/>
    <cellStyle name="Currency 3 2 2 2 4 2 2" xfId="3337" xr:uid="{00000000-0005-0000-0000-0000B8010000}"/>
    <cellStyle name="Currency 3 2 2 2 4 2 2 2" xfId="4546" xr:uid="{00000000-0005-0000-0000-0000B9010000}"/>
    <cellStyle name="Currency 3 2 2 2 4 2 2 2 2" xfId="10723" xr:uid="{BDFBE41C-7DDA-41FF-BF58-E72C926C392D}"/>
    <cellStyle name="Currency 3 2 2 2 4 2 2 3" xfId="9514" xr:uid="{7544BCB3-E606-48E1-ABA3-E0515DAF8D44}"/>
    <cellStyle name="Currency 3 2 2 2 4 2 3" xfId="2455" xr:uid="{00000000-0005-0000-0000-0000BA010000}"/>
    <cellStyle name="Currency 3 2 2 2 4 2 3 2" xfId="4547" xr:uid="{00000000-0005-0000-0000-0000BB010000}"/>
    <cellStyle name="Currency 3 2 2 2 4 2 3 2 2" xfId="10724" xr:uid="{8DF0E41D-BCA2-4919-9FBB-D264DC19E41D}"/>
    <cellStyle name="Currency 3 2 2 2 4 2 3 3" xfId="8632" xr:uid="{3DB256BE-BA6D-488D-B78F-1593A36DAC0A}"/>
    <cellStyle name="Currency 3 2 2 2 4 2 4" xfId="4219" xr:uid="{00000000-0005-0000-0000-0000BC010000}"/>
    <cellStyle name="Currency 3 2 2 2 4 2 4 2" xfId="10396" xr:uid="{C88E1D52-CE06-4094-B01D-5AF72D615B87}"/>
    <cellStyle name="Currency 3 2 2 2 4 2 5" xfId="1572" xr:uid="{00000000-0005-0000-0000-0000BD010000}"/>
    <cellStyle name="Currency 3 2 2 2 4 2 5 2" xfId="7749" xr:uid="{B9AD5B40-33FA-4C93-B2F3-B0C396E51CC4}"/>
    <cellStyle name="Currency 3 2 2 2 4 2 6" xfId="6866" xr:uid="{70203C38-BE22-48B5-B2C6-6E01DA6B2CF8}"/>
    <cellStyle name="Currency 3 2 2 2 4 3" xfId="2896" xr:uid="{00000000-0005-0000-0000-0000BE010000}"/>
    <cellStyle name="Currency 3 2 2 2 4 3 2" xfId="4548" xr:uid="{00000000-0005-0000-0000-0000BF010000}"/>
    <cellStyle name="Currency 3 2 2 2 4 3 2 2" xfId="10725" xr:uid="{A4610CA4-4590-42EB-88B1-1121551DDDB8}"/>
    <cellStyle name="Currency 3 2 2 2 4 3 3" xfId="9073" xr:uid="{63AE95CE-7B68-424C-855D-C619C5CCA172}"/>
    <cellStyle name="Currency 3 2 2 2 4 4" xfId="2014" xr:uid="{00000000-0005-0000-0000-0000C0010000}"/>
    <cellStyle name="Currency 3 2 2 2 4 4 2" xfId="4549" xr:uid="{00000000-0005-0000-0000-0000C1010000}"/>
    <cellStyle name="Currency 3 2 2 2 4 4 2 2" xfId="10726" xr:uid="{91E97501-223F-4A13-BD2C-CB6B0F8A343E}"/>
    <cellStyle name="Currency 3 2 2 2 4 4 3" xfId="8191" xr:uid="{9C10151A-D451-4DAC-B360-CC9259764B28}"/>
    <cellStyle name="Currency 3 2 2 2 4 5" xfId="3778" xr:uid="{00000000-0005-0000-0000-0000C2010000}"/>
    <cellStyle name="Currency 3 2 2 2 4 5 2" xfId="9955" xr:uid="{C1801050-05EE-4E8D-9886-A69D5D0A2BEA}"/>
    <cellStyle name="Currency 3 2 2 2 4 6" xfId="1131" xr:uid="{00000000-0005-0000-0000-0000C3010000}"/>
    <cellStyle name="Currency 3 2 2 2 4 6 2" xfId="7308" xr:uid="{B644DABC-316B-46FC-9643-DB7994F43B0B}"/>
    <cellStyle name="Currency 3 2 2 2 4 7" xfId="6425" xr:uid="{76D58998-EFAC-4C06-8329-0D8F3A3833B6}"/>
    <cellStyle name="Currency 3 2 2 2 5" xfId="469" xr:uid="{00000000-0005-0000-0000-0000C4010000}"/>
    <cellStyle name="Currency 3 2 2 2 5 2" xfId="3117" xr:uid="{00000000-0005-0000-0000-0000C5010000}"/>
    <cellStyle name="Currency 3 2 2 2 5 2 2" xfId="4550" xr:uid="{00000000-0005-0000-0000-0000C6010000}"/>
    <cellStyle name="Currency 3 2 2 2 5 2 2 2" xfId="10727" xr:uid="{C37FA22D-FBCD-4011-841E-802D4541AE4A}"/>
    <cellStyle name="Currency 3 2 2 2 5 2 3" xfId="9294" xr:uid="{069F4536-227D-48BD-ACBD-BCCAB7EB49F3}"/>
    <cellStyle name="Currency 3 2 2 2 5 3" xfId="2235" xr:uid="{00000000-0005-0000-0000-0000C7010000}"/>
    <cellStyle name="Currency 3 2 2 2 5 3 2" xfId="4551" xr:uid="{00000000-0005-0000-0000-0000C8010000}"/>
    <cellStyle name="Currency 3 2 2 2 5 3 2 2" xfId="10728" xr:uid="{303BFEC3-9475-43D0-9646-CBBC6B84E9C8}"/>
    <cellStyle name="Currency 3 2 2 2 5 3 3" xfId="8412" xr:uid="{D582F5CE-69FA-45EF-9152-5EE312282470}"/>
    <cellStyle name="Currency 3 2 2 2 5 4" xfId="3999" xr:uid="{00000000-0005-0000-0000-0000C9010000}"/>
    <cellStyle name="Currency 3 2 2 2 5 4 2" xfId="10176" xr:uid="{75468C74-A8F4-4B52-BC25-49170736E687}"/>
    <cellStyle name="Currency 3 2 2 2 5 5" xfId="1352" xr:uid="{00000000-0005-0000-0000-0000CA010000}"/>
    <cellStyle name="Currency 3 2 2 2 5 5 2" xfId="7529" xr:uid="{54AAA322-D5EC-444A-AE6C-16702F918B22}"/>
    <cellStyle name="Currency 3 2 2 2 5 6" xfId="6646" xr:uid="{0627C3A3-A275-45C4-BD24-0480BBBD69E5}"/>
    <cellStyle name="Currency 3 2 2 2 6" xfId="2676" xr:uid="{00000000-0005-0000-0000-0000CB010000}"/>
    <cellStyle name="Currency 3 2 2 2 6 2" xfId="4552" xr:uid="{00000000-0005-0000-0000-0000CC010000}"/>
    <cellStyle name="Currency 3 2 2 2 6 2 2" xfId="10729" xr:uid="{FA524CCD-B984-4BFF-8454-7B4BBC8E03E3}"/>
    <cellStyle name="Currency 3 2 2 2 6 3" xfId="8853" xr:uid="{F8E1CCC3-1896-4B51-8547-CECC30FFA81A}"/>
    <cellStyle name="Currency 3 2 2 2 7" xfId="1794" xr:uid="{00000000-0005-0000-0000-0000CD010000}"/>
    <cellStyle name="Currency 3 2 2 2 7 2" xfId="4553" xr:uid="{00000000-0005-0000-0000-0000CE010000}"/>
    <cellStyle name="Currency 3 2 2 2 7 2 2" xfId="10730" xr:uid="{3928C842-AC5F-44DB-BA9A-3805206B49E0}"/>
    <cellStyle name="Currency 3 2 2 2 7 3" xfId="7971" xr:uid="{0FA82F90-53CA-4FF8-B151-38632FC483F7}"/>
    <cellStyle name="Currency 3 2 2 2 8" xfId="3558" xr:uid="{00000000-0005-0000-0000-0000CF010000}"/>
    <cellStyle name="Currency 3 2 2 2 8 2" xfId="9735" xr:uid="{1FC8AB45-9956-4E6B-B549-0445A83ECEEB}"/>
    <cellStyle name="Currency 3 2 2 2 9" xfId="911" xr:uid="{00000000-0005-0000-0000-0000D0010000}"/>
    <cellStyle name="Currency 3 2 2 2 9 2" xfId="7088" xr:uid="{362DA1E6-09A4-43EB-AF54-BBE4B869A91D}"/>
    <cellStyle name="Currency 3 2 2 3" xfId="34" xr:uid="{00000000-0005-0000-0000-0000D1010000}"/>
    <cellStyle name="Currency 3 2 2 3 10" xfId="6211" xr:uid="{EE4AA50B-EF14-4412-96BE-240F55B811C4}"/>
    <cellStyle name="Currency 3 2 2 3 2" xfId="100" xr:uid="{00000000-0005-0000-0000-0000D2010000}"/>
    <cellStyle name="Currency 3 2 2 3 2 2" xfId="210" xr:uid="{00000000-0005-0000-0000-0000D3010000}"/>
    <cellStyle name="Currency 3 2 2 3 2 2 2" xfId="430" xr:uid="{00000000-0005-0000-0000-0000D4010000}"/>
    <cellStyle name="Currency 3 2 2 3 2 2 2 2" xfId="871" xr:uid="{00000000-0005-0000-0000-0000D5010000}"/>
    <cellStyle name="Currency 3 2 2 3 2 2 2 2 2" xfId="3519" xr:uid="{00000000-0005-0000-0000-0000D6010000}"/>
    <cellStyle name="Currency 3 2 2 3 2 2 2 2 2 2" xfId="4554" xr:uid="{00000000-0005-0000-0000-0000D7010000}"/>
    <cellStyle name="Currency 3 2 2 3 2 2 2 2 2 2 2" xfId="10731" xr:uid="{54120579-939E-4D0C-AE27-B9154DFED20A}"/>
    <cellStyle name="Currency 3 2 2 3 2 2 2 2 2 3" xfId="9696" xr:uid="{046C9C4A-A448-4FD6-9297-022DF3A66F92}"/>
    <cellStyle name="Currency 3 2 2 3 2 2 2 2 3" xfId="2637" xr:uid="{00000000-0005-0000-0000-0000D8010000}"/>
    <cellStyle name="Currency 3 2 2 3 2 2 2 2 3 2" xfId="4555" xr:uid="{00000000-0005-0000-0000-0000D9010000}"/>
    <cellStyle name="Currency 3 2 2 3 2 2 2 2 3 2 2" xfId="10732" xr:uid="{8A90198E-5562-4B50-A69B-B32050197789}"/>
    <cellStyle name="Currency 3 2 2 3 2 2 2 2 3 3" xfId="8814" xr:uid="{FD2D7B7C-CD08-42B3-BE75-7000DB000680}"/>
    <cellStyle name="Currency 3 2 2 3 2 2 2 2 4" xfId="4401" xr:uid="{00000000-0005-0000-0000-0000DA010000}"/>
    <cellStyle name="Currency 3 2 2 3 2 2 2 2 4 2" xfId="10578" xr:uid="{B368CD4D-1627-4F3C-8575-57DD47A4CEA7}"/>
    <cellStyle name="Currency 3 2 2 3 2 2 2 2 5" xfId="1754" xr:uid="{00000000-0005-0000-0000-0000DB010000}"/>
    <cellStyle name="Currency 3 2 2 3 2 2 2 2 5 2" xfId="7931" xr:uid="{CDDE34ED-74BD-4EE7-822D-BE88DD6034AC}"/>
    <cellStyle name="Currency 3 2 2 3 2 2 2 2 6" xfId="7048" xr:uid="{D76275C7-C403-41B5-9E7E-B3A53835C43A}"/>
    <cellStyle name="Currency 3 2 2 3 2 2 2 3" xfId="3078" xr:uid="{00000000-0005-0000-0000-0000DC010000}"/>
    <cellStyle name="Currency 3 2 2 3 2 2 2 3 2" xfId="4556" xr:uid="{00000000-0005-0000-0000-0000DD010000}"/>
    <cellStyle name="Currency 3 2 2 3 2 2 2 3 2 2" xfId="10733" xr:uid="{9C4736B9-1105-4957-A12D-0A67B66C6E03}"/>
    <cellStyle name="Currency 3 2 2 3 2 2 2 3 3" xfId="9255" xr:uid="{7D2BDEBC-E298-40E8-9C7C-CCFC91B57FE4}"/>
    <cellStyle name="Currency 3 2 2 3 2 2 2 4" xfId="2196" xr:uid="{00000000-0005-0000-0000-0000DE010000}"/>
    <cellStyle name="Currency 3 2 2 3 2 2 2 4 2" xfId="4557" xr:uid="{00000000-0005-0000-0000-0000DF010000}"/>
    <cellStyle name="Currency 3 2 2 3 2 2 2 4 2 2" xfId="10734" xr:uid="{8A660FD7-8424-4403-AAA1-41D79235544D}"/>
    <cellStyle name="Currency 3 2 2 3 2 2 2 4 3" xfId="8373" xr:uid="{11DCB7F6-D996-4DCA-8DAB-76421B34FFC1}"/>
    <cellStyle name="Currency 3 2 2 3 2 2 2 5" xfId="3960" xr:uid="{00000000-0005-0000-0000-0000E0010000}"/>
    <cellStyle name="Currency 3 2 2 3 2 2 2 5 2" xfId="10137" xr:uid="{BB97D4D7-6638-4092-980F-B51022E76879}"/>
    <cellStyle name="Currency 3 2 2 3 2 2 2 6" xfId="1313" xr:uid="{00000000-0005-0000-0000-0000E1010000}"/>
    <cellStyle name="Currency 3 2 2 3 2 2 2 6 2" xfId="7490" xr:uid="{5BF6160F-5C60-4722-8518-9CBCAE32BEE6}"/>
    <cellStyle name="Currency 3 2 2 3 2 2 2 7" xfId="6607" xr:uid="{847290B5-F66D-4CAE-96F7-573938315562}"/>
    <cellStyle name="Currency 3 2 2 3 2 2 3" xfId="651" xr:uid="{00000000-0005-0000-0000-0000E2010000}"/>
    <cellStyle name="Currency 3 2 2 3 2 2 3 2" xfId="3299" xr:uid="{00000000-0005-0000-0000-0000E3010000}"/>
    <cellStyle name="Currency 3 2 2 3 2 2 3 2 2" xfId="4558" xr:uid="{00000000-0005-0000-0000-0000E4010000}"/>
    <cellStyle name="Currency 3 2 2 3 2 2 3 2 2 2" xfId="10735" xr:uid="{E37F9FFC-C156-4BEA-B03F-3B749EF7DC56}"/>
    <cellStyle name="Currency 3 2 2 3 2 2 3 2 3" xfId="9476" xr:uid="{BBEF1447-E43A-4200-A16A-74692BD8706B}"/>
    <cellStyle name="Currency 3 2 2 3 2 2 3 3" xfId="2417" xr:uid="{00000000-0005-0000-0000-0000E5010000}"/>
    <cellStyle name="Currency 3 2 2 3 2 2 3 3 2" xfId="4559" xr:uid="{00000000-0005-0000-0000-0000E6010000}"/>
    <cellStyle name="Currency 3 2 2 3 2 2 3 3 2 2" xfId="10736" xr:uid="{BAEDA30E-8B5D-4C0F-B09B-F8C5BAAC610C}"/>
    <cellStyle name="Currency 3 2 2 3 2 2 3 3 3" xfId="8594" xr:uid="{9219D8F5-605C-4DEE-BD67-487EA4518628}"/>
    <cellStyle name="Currency 3 2 2 3 2 2 3 4" xfId="4181" xr:uid="{00000000-0005-0000-0000-0000E7010000}"/>
    <cellStyle name="Currency 3 2 2 3 2 2 3 4 2" xfId="10358" xr:uid="{C5738A93-943B-449D-BC85-6150882C59D1}"/>
    <cellStyle name="Currency 3 2 2 3 2 2 3 5" xfId="1534" xr:uid="{00000000-0005-0000-0000-0000E8010000}"/>
    <cellStyle name="Currency 3 2 2 3 2 2 3 5 2" xfId="7711" xr:uid="{AFE3010B-9919-4A9A-9CF3-B5C96CB5E359}"/>
    <cellStyle name="Currency 3 2 2 3 2 2 3 6" xfId="6828" xr:uid="{8A705491-5DB1-4C35-9C09-DA03CD55C6D3}"/>
    <cellStyle name="Currency 3 2 2 3 2 2 4" xfId="2858" xr:uid="{00000000-0005-0000-0000-0000E9010000}"/>
    <cellStyle name="Currency 3 2 2 3 2 2 4 2" xfId="4560" xr:uid="{00000000-0005-0000-0000-0000EA010000}"/>
    <cellStyle name="Currency 3 2 2 3 2 2 4 2 2" xfId="10737" xr:uid="{4D9FE84C-69DA-41F0-8CCE-29BE1E3F8F3F}"/>
    <cellStyle name="Currency 3 2 2 3 2 2 4 3" xfId="9035" xr:uid="{8397145F-B170-49B7-B16C-742B03BE6603}"/>
    <cellStyle name="Currency 3 2 2 3 2 2 5" xfId="1976" xr:uid="{00000000-0005-0000-0000-0000EB010000}"/>
    <cellStyle name="Currency 3 2 2 3 2 2 5 2" xfId="4561" xr:uid="{00000000-0005-0000-0000-0000EC010000}"/>
    <cellStyle name="Currency 3 2 2 3 2 2 5 2 2" xfId="10738" xr:uid="{2501296B-EF97-44E8-88B5-A3C93A875827}"/>
    <cellStyle name="Currency 3 2 2 3 2 2 5 3" xfId="8153" xr:uid="{DC4E26E0-B970-4D98-BE78-DDE46CD90462}"/>
    <cellStyle name="Currency 3 2 2 3 2 2 6" xfId="3740" xr:uid="{00000000-0005-0000-0000-0000ED010000}"/>
    <cellStyle name="Currency 3 2 2 3 2 2 6 2" xfId="9917" xr:uid="{13D9BC00-1D32-44AA-BA37-66AAF34525D8}"/>
    <cellStyle name="Currency 3 2 2 3 2 2 7" xfId="1093" xr:uid="{00000000-0005-0000-0000-0000EE010000}"/>
    <cellStyle name="Currency 3 2 2 3 2 2 7 2" xfId="7270" xr:uid="{B3EBA769-F533-4CBD-8A89-CF677CD382C1}"/>
    <cellStyle name="Currency 3 2 2 3 2 2 8" xfId="6387" xr:uid="{5ADB9D87-CEFF-4057-B4FE-57DC51F91D90}"/>
    <cellStyle name="Currency 3 2 2 3 2 3" xfId="320" xr:uid="{00000000-0005-0000-0000-0000EF010000}"/>
    <cellStyle name="Currency 3 2 2 3 2 3 2" xfId="761" xr:uid="{00000000-0005-0000-0000-0000F0010000}"/>
    <cellStyle name="Currency 3 2 2 3 2 3 2 2" xfId="3409" xr:uid="{00000000-0005-0000-0000-0000F1010000}"/>
    <cellStyle name="Currency 3 2 2 3 2 3 2 2 2" xfId="4562" xr:uid="{00000000-0005-0000-0000-0000F2010000}"/>
    <cellStyle name="Currency 3 2 2 3 2 3 2 2 2 2" xfId="10739" xr:uid="{536A2B31-351D-4CAB-9ABF-F3A16A1CF370}"/>
    <cellStyle name="Currency 3 2 2 3 2 3 2 2 3" xfId="9586" xr:uid="{F02AC249-D1B6-4F09-99FE-E892D607736A}"/>
    <cellStyle name="Currency 3 2 2 3 2 3 2 3" xfId="2527" xr:uid="{00000000-0005-0000-0000-0000F3010000}"/>
    <cellStyle name="Currency 3 2 2 3 2 3 2 3 2" xfId="4563" xr:uid="{00000000-0005-0000-0000-0000F4010000}"/>
    <cellStyle name="Currency 3 2 2 3 2 3 2 3 2 2" xfId="10740" xr:uid="{5AC4028E-1113-40AD-82AC-73ED7741A103}"/>
    <cellStyle name="Currency 3 2 2 3 2 3 2 3 3" xfId="8704" xr:uid="{10FFDE7A-DEDA-46B9-8AA1-4DFD432ED2F9}"/>
    <cellStyle name="Currency 3 2 2 3 2 3 2 4" xfId="4291" xr:uid="{00000000-0005-0000-0000-0000F5010000}"/>
    <cellStyle name="Currency 3 2 2 3 2 3 2 4 2" xfId="10468" xr:uid="{EC4A337F-0C6F-4D8C-80CF-8BDC164EC323}"/>
    <cellStyle name="Currency 3 2 2 3 2 3 2 5" xfId="1644" xr:uid="{00000000-0005-0000-0000-0000F6010000}"/>
    <cellStyle name="Currency 3 2 2 3 2 3 2 5 2" xfId="7821" xr:uid="{30EB5482-D04A-49A2-A877-4FA732583CB0}"/>
    <cellStyle name="Currency 3 2 2 3 2 3 2 6" xfId="6938" xr:uid="{7E3B88EC-02A5-475E-B174-76D356222685}"/>
    <cellStyle name="Currency 3 2 2 3 2 3 3" xfId="2968" xr:uid="{00000000-0005-0000-0000-0000F7010000}"/>
    <cellStyle name="Currency 3 2 2 3 2 3 3 2" xfId="4564" xr:uid="{00000000-0005-0000-0000-0000F8010000}"/>
    <cellStyle name="Currency 3 2 2 3 2 3 3 2 2" xfId="10741" xr:uid="{D9E0C601-50D9-42F8-9850-E6F9CB9B9FE3}"/>
    <cellStyle name="Currency 3 2 2 3 2 3 3 3" xfId="9145" xr:uid="{1870A428-5A28-4BD1-83D1-28A57AEE488D}"/>
    <cellStyle name="Currency 3 2 2 3 2 3 4" xfId="2086" xr:uid="{00000000-0005-0000-0000-0000F9010000}"/>
    <cellStyle name="Currency 3 2 2 3 2 3 4 2" xfId="4565" xr:uid="{00000000-0005-0000-0000-0000FA010000}"/>
    <cellStyle name="Currency 3 2 2 3 2 3 4 2 2" xfId="10742" xr:uid="{E5C52956-B4B6-4665-813A-AF80A3D3A0D7}"/>
    <cellStyle name="Currency 3 2 2 3 2 3 4 3" xfId="8263" xr:uid="{01F91058-15F5-4B6C-9D6D-CBA434A194B4}"/>
    <cellStyle name="Currency 3 2 2 3 2 3 5" xfId="3850" xr:uid="{00000000-0005-0000-0000-0000FB010000}"/>
    <cellStyle name="Currency 3 2 2 3 2 3 5 2" xfId="10027" xr:uid="{658F6EA5-14E5-4E6F-8443-85E27E6FFC50}"/>
    <cellStyle name="Currency 3 2 2 3 2 3 6" xfId="1203" xr:uid="{00000000-0005-0000-0000-0000FC010000}"/>
    <cellStyle name="Currency 3 2 2 3 2 3 6 2" xfId="7380" xr:uid="{1979E42F-22F2-45ED-9295-2E58ADB34760}"/>
    <cellStyle name="Currency 3 2 2 3 2 3 7" xfId="6497" xr:uid="{632C1BD0-4C84-4378-A4C7-50256EBD3D34}"/>
    <cellStyle name="Currency 3 2 2 3 2 4" xfId="541" xr:uid="{00000000-0005-0000-0000-0000FD010000}"/>
    <cellStyle name="Currency 3 2 2 3 2 4 2" xfId="3189" xr:uid="{00000000-0005-0000-0000-0000FE010000}"/>
    <cellStyle name="Currency 3 2 2 3 2 4 2 2" xfId="4566" xr:uid="{00000000-0005-0000-0000-0000FF010000}"/>
    <cellStyle name="Currency 3 2 2 3 2 4 2 2 2" xfId="10743" xr:uid="{BD529912-BB83-40EA-8E68-123E44CF66EC}"/>
    <cellStyle name="Currency 3 2 2 3 2 4 2 3" xfId="9366" xr:uid="{C24036E3-F572-4C96-97F4-9F4A586D5D61}"/>
    <cellStyle name="Currency 3 2 2 3 2 4 3" xfId="2307" xr:uid="{00000000-0005-0000-0000-000000020000}"/>
    <cellStyle name="Currency 3 2 2 3 2 4 3 2" xfId="4567" xr:uid="{00000000-0005-0000-0000-000001020000}"/>
    <cellStyle name="Currency 3 2 2 3 2 4 3 2 2" xfId="10744" xr:uid="{1C4588CC-44C4-4772-B882-979A8688EC22}"/>
    <cellStyle name="Currency 3 2 2 3 2 4 3 3" xfId="8484" xr:uid="{341521E8-3282-438F-AD51-7CEF68370D50}"/>
    <cellStyle name="Currency 3 2 2 3 2 4 4" xfId="4071" xr:uid="{00000000-0005-0000-0000-000002020000}"/>
    <cellStyle name="Currency 3 2 2 3 2 4 4 2" xfId="10248" xr:uid="{E3F4BB73-2395-4883-BAFD-AFBC1CD7EFBC}"/>
    <cellStyle name="Currency 3 2 2 3 2 4 5" xfId="1424" xr:uid="{00000000-0005-0000-0000-000003020000}"/>
    <cellStyle name="Currency 3 2 2 3 2 4 5 2" xfId="7601" xr:uid="{66AB3AB0-96C8-49C3-9E54-AD02BB136377}"/>
    <cellStyle name="Currency 3 2 2 3 2 4 6" xfId="6718" xr:uid="{61D8F1AA-9864-4610-B5CB-F47E79AC8180}"/>
    <cellStyle name="Currency 3 2 2 3 2 5" xfId="2748" xr:uid="{00000000-0005-0000-0000-000004020000}"/>
    <cellStyle name="Currency 3 2 2 3 2 5 2" xfId="4568" xr:uid="{00000000-0005-0000-0000-000005020000}"/>
    <cellStyle name="Currency 3 2 2 3 2 5 2 2" xfId="10745" xr:uid="{01C18FD6-A2C6-4366-A1B6-A67A8A63B730}"/>
    <cellStyle name="Currency 3 2 2 3 2 5 3" xfId="8925" xr:uid="{76BB1C1B-1169-4FFA-8630-4FD986A9BC03}"/>
    <cellStyle name="Currency 3 2 2 3 2 6" xfId="1866" xr:uid="{00000000-0005-0000-0000-000006020000}"/>
    <cellStyle name="Currency 3 2 2 3 2 6 2" xfId="4569" xr:uid="{00000000-0005-0000-0000-000007020000}"/>
    <cellStyle name="Currency 3 2 2 3 2 6 2 2" xfId="10746" xr:uid="{5B883759-0433-4A26-BDBE-17ACF023F7EA}"/>
    <cellStyle name="Currency 3 2 2 3 2 6 3" xfId="8043" xr:uid="{E56EE1B3-644C-4378-83C4-B5940224D10B}"/>
    <cellStyle name="Currency 3 2 2 3 2 7" xfId="3630" xr:uid="{00000000-0005-0000-0000-000008020000}"/>
    <cellStyle name="Currency 3 2 2 3 2 7 2" xfId="9807" xr:uid="{7177CAA1-2D14-4C61-9334-1A8F3EF42DD5}"/>
    <cellStyle name="Currency 3 2 2 3 2 8" xfId="983" xr:uid="{00000000-0005-0000-0000-000009020000}"/>
    <cellStyle name="Currency 3 2 2 3 2 8 2" xfId="7160" xr:uid="{14E14BB2-9E09-415F-8003-88D36B001FA0}"/>
    <cellStyle name="Currency 3 2 2 3 2 9" xfId="6277" xr:uid="{D0F31F1A-6DAA-4914-AD50-49DAE1F80450}"/>
    <cellStyle name="Currency 3 2 2 3 3" xfId="144" xr:uid="{00000000-0005-0000-0000-00000A020000}"/>
    <cellStyle name="Currency 3 2 2 3 3 2" xfId="364" xr:uid="{00000000-0005-0000-0000-00000B020000}"/>
    <cellStyle name="Currency 3 2 2 3 3 2 2" xfId="805" xr:uid="{00000000-0005-0000-0000-00000C020000}"/>
    <cellStyle name="Currency 3 2 2 3 3 2 2 2" xfId="3453" xr:uid="{00000000-0005-0000-0000-00000D020000}"/>
    <cellStyle name="Currency 3 2 2 3 3 2 2 2 2" xfId="4570" xr:uid="{00000000-0005-0000-0000-00000E020000}"/>
    <cellStyle name="Currency 3 2 2 3 3 2 2 2 2 2" xfId="10747" xr:uid="{60D52D0A-9667-4212-8F4E-0EA955B8AAC7}"/>
    <cellStyle name="Currency 3 2 2 3 3 2 2 2 3" xfId="9630" xr:uid="{AA137732-E941-41A9-88BA-83A8A3F4A0FE}"/>
    <cellStyle name="Currency 3 2 2 3 3 2 2 3" xfId="2571" xr:uid="{00000000-0005-0000-0000-00000F020000}"/>
    <cellStyle name="Currency 3 2 2 3 3 2 2 3 2" xfId="4571" xr:uid="{00000000-0005-0000-0000-000010020000}"/>
    <cellStyle name="Currency 3 2 2 3 3 2 2 3 2 2" xfId="10748" xr:uid="{CA667C1A-9C0F-4AC5-895E-695ADA2A9BC9}"/>
    <cellStyle name="Currency 3 2 2 3 3 2 2 3 3" xfId="8748" xr:uid="{E293029A-7512-45C7-B93F-76483E28DFAD}"/>
    <cellStyle name="Currency 3 2 2 3 3 2 2 4" xfId="4335" xr:uid="{00000000-0005-0000-0000-000011020000}"/>
    <cellStyle name="Currency 3 2 2 3 3 2 2 4 2" xfId="10512" xr:uid="{09A55E17-8F17-43D5-BDBE-4B21286DDF7D}"/>
    <cellStyle name="Currency 3 2 2 3 3 2 2 5" xfId="1688" xr:uid="{00000000-0005-0000-0000-000012020000}"/>
    <cellStyle name="Currency 3 2 2 3 3 2 2 5 2" xfId="7865" xr:uid="{C062BF3F-0868-4FF5-8DB4-6C45F8CADC8E}"/>
    <cellStyle name="Currency 3 2 2 3 3 2 2 6" xfId="6982" xr:uid="{1910B31B-F658-4567-9F57-ACB5161D28A8}"/>
    <cellStyle name="Currency 3 2 2 3 3 2 3" xfId="3012" xr:uid="{00000000-0005-0000-0000-000013020000}"/>
    <cellStyle name="Currency 3 2 2 3 3 2 3 2" xfId="4572" xr:uid="{00000000-0005-0000-0000-000014020000}"/>
    <cellStyle name="Currency 3 2 2 3 3 2 3 2 2" xfId="10749" xr:uid="{12084D2D-49A1-464B-A0E2-FE9E6EB63969}"/>
    <cellStyle name="Currency 3 2 2 3 3 2 3 3" xfId="9189" xr:uid="{2FE02E23-698C-497B-A98F-F3013044206C}"/>
    <cellStyle name="Currency 3 2 2 3 3 2 4" xfId="2130" xr:uid="{00000000-0005-0000-0000-000015020000}"/>
    <cellStyle name="Currency 3 2 2 3 3 2 4 2" xfId="4573" xr:uid="{00000000-0005-0000-0000-000016020000}"/>
    <cellStyle name="Currency 3 2 2 3 3 2 4 2 2" xfId="10750" xr:uid="{BC34E083-B073-4026-BFCD-760BD2B19841}"/>
    <cellStyle name="Currency 3 2 2 3 3 2 4 3" xfId="8307" xr:uid="{A92DE7D3-CFDE-45D6-BD57-55664F1089BC}"/>
    <cellStyle name="Currency 3 2 2 3 3 2 5" xfId="3894" xr:uid="{00000000-0005-0000-0000-000017020000}"/>
    <cellStyle name="Currency 3 2 2 3 3 2 5 2" xfId="10071" xr:uid="{4CFA6284-2C41-4E12-8DF6-FEBCE54A16ED}"/>
    <cellStyle name="Currency 3 2 2 3 3 2 6" xfId="1247" xr:uid="{00000000-0005-0000-0000-000018020000}"/>
    <cellStyle name="Currency 3 2 2 3 3 2 6 2" xfId="7424" xr:uid="{8D1B137E-CC6D-4A9A-BF53-44D70527ECC7}"/>
    <cellStyle name="Currency 3 2 2 3 3 2 7" xfId="6541" xr:uid="{6E8C06FF-7465-4CA0-B729-917A5F02AD10}"/>
    <cellStyle name="Currency 3 2 2 3 3 3" xfId="585" xr:uid="{00000000-0005-0000-0000-000019020000}"/>
    <cellStyle name="Currency 3 2 2 3 3 3 2" xfId="3233" xr:uid="{00000000-0005-0000-0000-00001A020000}"/>
    <cellStyle name="Currency 3 2 2 3 3 3 2 2" xfId="4574" xr:uid="{00000000-0005-0000-0000-00001B020000}"/>
    <cellStyle name="Currency 3 2 2 3 3 3 2 2 2" xfId="10751" xr:uid="{E3004DA1-7DAE-4682-AA06-B4F71F6F32BC}"/>
    <cellStyle name="Currency 3 2 2 3 3 3 2 3" xfId="9410" xr:uid="{D174CF70-B524-4D0D-91B2-5536A42EA0F2}"/>
    <cellStyle name="Currency 3 2 2 3 3 3 3" xfId="2351" xr:uid="{00000000-0005-0000-0000-00001C020000}"/>
    <cellStyle name="Currency 3 2 2 3 3 3 3 2" xfId="4575" xr:uid="{00000000-0005-0000-0000-00001D020000}"/>
    <cellStyle name="Currency 3 2 2 3 3 3 3 2 2" xfId="10752" xr:uid="{799E579C-8267-4C10-8DC9-D971E93978B8}"/>
    <cellStyle name="Currency 3 2 2 3 3 3 3 3" xfId="8528" xr:uid="{16C04A1D-9A1B-4ECC-811F-FD30984EC68D}"/>
    <cellStyle name="Currency 3 2 2 3 3 3 4" xfId="4115" xr:uid="{00000000-0005-0000-0000-00001E020000}"/>
    <cellStyle name="Currency 3 2 2 3 3 3 4 2" xfId="10292" xr:uid="{9E612158-7F5D-4161-A4A6-9A5355116003}"/>
    <cellStyle name="Currency 3 2 2 3 3 3 5" xfId="1468" xr:uid="{00000000-0005-0000-0000-00001F020000}"/>
    <cellStyle name="Currency 3 2 2 3 3 3 5 2" xfId="7645" xr:uid="{2A73A540-5E44-4D9A-A56A-3BDD7B489BBF}"/>
    <cellStyle name="Currency 3 2 2 3 3 3 6" xfId="6762" xr:uid="{ADF3A4D2-246A-458D-AC5B-25E0637B918C}"/>
    <cellStyle name="Currency 3 2 2 3 3 4" xfId="2792" xr:uid="{00000000-0005-0000-0000-000020020000}"/>
    <cellStyle name="Currency 3 2 2 3 3 4 2" xfId="4576" xr:uid="{00000000-0005-0000-0000-000021020000}"/>
    <cellStyle name="Currency 3 2 2 3 3 4 2 2" xfId="10753" xr:uid="{2E60B8F0-2E7B-4E31-95C3-53449908F3D9}"/>
    <cellStyle name="Currency 3 2 2 3 3 4 3" xfId="8969" xr:uid="{A6F22DDA-87B9-4CF6-9A1C-114339D1E2D5}"/>
    <cellStyle name="Currency 3 2 2 3 3 5" xfId="1910" xr:uid="{00000000-0005-0000-0000-000022020000}"/>
    <cellStyle name="Currency 3 2 2 3 3 5 2" xfId="4577" xr:uid="{00000000-0005-0000-0000-000023020000}"/>
    <cellStyle name="Currency 3 2 2 3 3 5 2 2" xfId="10754" xr:uid="{AD3305FD-B2A5-4013-9B21-9E937BDE0051}"/>
    <cellStyle name="Currency 3 2 2 3 3 5 3" xfId="8087" xr:uid="{C853E265-3924-4FB4-9ADE-50120B93CF0B}"/>
    <cellStyle name="Currency 3 2 2 3 3 6" xfId="3674" xr:uid="{00000000-0005-0000-0000-000024020000}"/>
    <cellStyle name="Currency 3 2 2 3 3 6 2" xfId="9851" xr:uid="{59266481-50E0-469E-A517-053FF3664FBF}"/>
    <cellStyle name="Currency 3 2 2 3 3 7" xfId="1027" xr:uid="{00000000-0005-0000-0000-000025020000}"/>
    <cellStyle name="Currency 3 2 2 3 3 7 2" xfId="7204" xr:uid="{DA252F24-03E3-4B36-8074-457D3BE07621}"/>
    <cellStyle name="Currency 3 2 2 3 3 8" xfId="6321" xr:uid="{478EB1E5-AC40-4189-9518-F6B2B17CDCC3}"/>
    <cellStyle name="Currency 3 2 2 3 4" xfId="254" xr:uid="{00000000-0005-0000-0000-000026020000}"/>
    <cellStyle name="Currency 3 2 2 3 4 2" xfId="695" xr:uid="{00000000-0005-0000-0000-000027020000}"/>
    <cellStyle name="Currency 3 2 2 3 4 2 2" xfId="3343" xr:uid="{00000000-0005-0000-0000-000028020000}"/>
    <cellStyle name="Currency 3 2 2 3 4 2 2 2" xfId="4578" xr:uid="{00000000-0005-0000-0000-000029020000}"/>
    <cellStyle name="Currency 3 2 2 3 4 2 2 2 2" xfId="10755" xr:uid="{825834ED-0200-4E5E-8BAD-F0EFD1702A0E}"/>
    <cellStyle name="Currency 3 2 2 3 4 2 2 3" xfId="9520" xr:uid="{A3A5499E-8B17-4584-9112-3204D9F73935}"/>
    <cellStyle name="Currency 3 2 2 3 4 2 3" xfId="2461" xr:uid="{00000000-0005-0000-0000-00002A020000}"/>
    <cellStyle name="Currency 3 2 2 3 4 2 3 2" xfId="4579" xr:uid="{00000000-0005-0000-0000-00002B020000}"/>
    <cellStyle name="Currency 3 2 2 3 4 2 3 2 2" xfId="10756" xr:uid="{1928A83C-6A8C-4643-9E92-C3FC58301E15}"/>
    <cellStyle name="Currency 3 2 2 3 4 2 3 3" xfId="8638" xr:uid="{85844276-4025-4D1E-89DA-7D676C37F93D}"/>
    <cellStyle name="Currency 3 2 2 3 4 2 4" xfId="4225" xr:uid="{00000000-0005-0000-0000-00002C020000}"/>
    <cellStyle name="Currency 3 2 2 3 4 2 4 2" xfId="10402" xr:uid="{A841F9D0-580B-49E9-BB37-9C8A402D8AE9}"/>
    <cellStyle name="Currency 3 2 2 3 4 2 5" xfId="1578" xr:uid="{00000000-0005-0000-0000-00002D020000}"/>
    <cellStyle name="Currency 3 2 2 3 4 2 5 2" xfId="7755" xr:uid="{16A45251-730F-4729-AE5B-D18DD010EF3A}"/>
    <cellStyle name="Currency 3 2 2 3 4 2 6" xfId="6872" xr:uid="{E3F1D6A7-BCFB-46E1-BE5B-61B33B2C6F05}"/>
    <cellStyle name="Currency 3 2 2 3 4 3" xfId="2902" xr:uid="{00000000-0005-0000-0000-00002E020000}"/>
    <cellStyle name="Currency 3 2 2 3 4 3 2" xfId="4580" xr:uid="{00000000-0005-0000-0000-00002F020000}"/>
    <cellStyle name="Currency 3 2 2 3 4 3 2 2" xfId="10757" xr:uid="{ECAC1DB3-DED0-4EF6-8E3D-19436EE5A66F}"/>
    <cellStyle name="Currency 3 2 2 3 4 3 3" xfId="9079" xr:uid="{CE273AD0-1D23-4724-9A19-A14543F30457}"/>
    <cellStyle name="Currency 3 2 2 3 4 4" xfId="2020" xr:uid="{00000000-0005-0000-0000-000030020000}"/>
    <cellStyle name="Currency 3 2 2 3 4 4 2" xfId="4581" xr:uid="{00000000-0005-0000-0000-000031020000}"/>
    <cellStyle name="Currency 3 2 2 3 4 4 2 2" xfId="10758" xr:uid="{77FBCFA0-F6AC-4391-A958-CB49F052D6A6}"/>
    <cellStyle name="Currency 3 2 2 3 4 4 3" xfId="8197" xr:uid="{160644DF-7E56-48DA-87E0-817845ECE97C}"/>
    <cellStyle name="Currency 3 2 2 3 4 5" xfId="3784" xr:uid="{00000000-0005-0000-0000-000032020000}"/>
    <cellStyle name="Currency 3 2 2 3 4 5 2" xfId="9961" xr:uid="{6555988A-E718-4D01-8180-AB6A7456E27D}"/>
    <cellStyle name="Currency 3 2 2 3 4 6" xfId="1137" xr:uid="{00000000-0005-0000-0000-000033020000}"/>
    <cellStyle name="Currency 3 2 2 3 4 6 2" xfId="7314" xr:uid="{BF20AB3C-22C0-44D7-869E-0126B0840B33}"/>
    <cellStyle name="Currency 3 2 2 3 4 7" xfId="6431" xr:uid="{CC6147F5-A2C2-41AD-B1EB-37A54E2E0623}"/>
    <cellStyle name="Currency 3 2 2 3 5" xfId="475" xr:uid="{00000000-0005-0000-0000-000034020000}"/>
    <cellStyle name="Currency 3 2 2 3 5 2" xfId="3123" xr:uid="{00000000-0005-0000-0000-000035020000}"/>
    <cellStyle name="Currency 3 2 2 3 5 2 2" xfId="4582" xr:uid="{00000000-0005-0000-0000-000036020000}"/>
    <cellStyle name="Currency 3 2 2 3 5 2 2 2" xfId="10759" xr:uid="{BA0700CE-02F7-48E9-9D48-9747C22F8C95}"/>
    <cellStyle name="Currency 3 2 2 3 5 2 3" xfId="9300" xr:uid="{E7318F43-C386-47DF-8BFB-7EF1EB2ACC54}"/>
    <cellStyle name="Currency 3 2 2 3 5 3" xfId="2241" xr:uid="{00000000-0005-0000-0000-000037020000}"/>
    <cellStyle name="Currency 3 2 2 3 5 3 2" xfId="4583" xr:uid="{00000000-0005-0000-0000-000038020000}"/>
    <cellStyle name="Currency 3 2 2 3 5 3 2 2" xfId="10760" xr:uid="{37089399-29A9-452F-AF01-F75B40501347}"/>
    <cellStyle name="Currency 3 2 2 3 5 3 3" xfId="8418" xr:uid="{F17BAB65-F0E9-4BD2-85A4-C0811E651B51}"/>
    <cellStyle name="Currency 3 2 2 3 5 4" xfId="4005" xr:uid="{00000000-0005-0000-0000-000039020000}"/>
    <cellStyle name="Currency 3 2 2 3 5 4 2" xfId="10182" xr:uid="{7329FDF3-9C2C-4692-8602-464346576A96}"/>
    <cellStyle name="Currency 3 2 2 3 5 5" xfId="1358" xr:uid="{00000000-0005-0000-0000-00003A020000}"/>
    <cellStyle name="Currency 3 2 2 3 5 5 2" xfId="7535" xr:uid="{3CBD84BF-82BD-49EE-8307-8FE092F3D7F3}"/>
    <cellStyle name="Currency 3 2 2 3 5 6" xfId="6652" xr:uid="{C6183BB8-0200-4373-AECB-5F7441101A70}"/>
    <cellStyle name="Currency 3 2 2 3 6" xfId="2682" xr:uid="{00000000-0005-0000-0000-00003B020000}"/>
    <cellStyle name="Currency 3 2 2 3 6 2" xfId="4584" xr:uid="{00000000-0005-0000-0000-00003C020000}"/>
    <cellStyle name="Currency 3 2 2 3 6 2 2" xfId="10761" xr:uid="{E3924912-E250-40C9-82B4-7B38746D0FB2}"/>
    <cellStyle name="Currency 3 2 2 3 6 3" xfId="8859" xr:uid="{58833C46-D6F1-4E0A-A377-F749BA13DBEE}"/>
    <cellStyle name="Currency 3 2 2 3 7" xfId="1800" xr:uid="{00000000-0005-0000-0000-00003D020000}"/>
    <cellStyle name="Currency 3 2 2 3 7 2" xfId="4585" xr:uid="{00000000-0005-0000-0000-00003E020000}"/>
    <cellStyle name="Currency 3 2 2 3 7 2 2" xfId="10762" xr:uid="{1B476066-69DF-4FC9-B1DF-BAA0D28ADB9D}"/>
    <cellStyle name="Currency 3 2 2 3 7 3" xfId="7977" xr:uid="{55144919-91C9-470F-ADAC-73AA209BBA11}"/>
    <cellStyle name="Currency 3 2 2 3 8" xfId="3564" xr:uid="{00000000-0005-0000-0000-00003F020000}"/>
    <cellStyle name="Currency 3 2 2 3 8 2" xfId="9741" xr:uid="{7D1148C6-6359-41AD-BA4B-AD0A53B4A4BE}"/>
    <cellStyle name="Currency 3 2 2 3 9" xfId="917" xr:uid="{00000000-0005-0000-0000-000040020000}"/>
    <cellStyle name="Currency 3 2 2 3 9 2" xfId="7094" xr:uid="{5D5EFF44-EE54-4504-B203-A9EF6B28E766}"/>
    <cellStyle name="Currency 3 2 2 4" xfId="40" xr:uid="{00000000-0005-0000-0000-000041020000}"/>
    <cellStyle name="Currency 3 2 2 4 10" xfId="6217" xr:uid="{95A874E5-19D8-4E99-9E6B-34AABCF467F7}"/>
    <cellStyle name="Currency 3 2 2 4 2" xfId="106" xr:uid="{00000000-0005-0000-0000-000042020000}"/>
    <cellStyle name="Currency 3 2 2 4 2 2" xfId="216" xr:uid="{00000000-0005-0000-0000-000043020000}"/>
    <cellStyle name="Currency 3 2 2 4 2 2 2" xfId="436" xr:uid="{00000000-0005-0000-0000-000044020000}"/>
    <cellStyle name="Currency 3 2 2 4 2 2 2 2" xfId="877" xr:uid="{00000000-0005-0000-0000-000045020000}"/>
    <cellStyle name="Currency 3 2 2 4 2 2 2 2 2" xfId="3525" xr:uid="{00000000-0005-0000-0000-000046020000}"/>
    <cellStyle name="Currency 3 2 2 4 2 2 2 2 2 2" xfId="4586" xr:uid="{00000000-0005-0000-0000-000047020000}"/>
    <cellStyle name="Currency 3 2 2 4 2 2 2 2 2 2 2" xfId="10763" xr:uid="{164F8A08-AD4C-43FE-B9D4-FEBE92934C00}"/>
    <cellStyle name="Currency 3 2 2 4 2 2 2 2 2 3" xfId="9702" xr:uid="{C1DC13BE-B98A-41C5-BA7A-3E2625DDFC58}"/>
    <cellStyle name="Currency 3 2 2 4 2 2 2 2 3" xfId="2643" xr:uid="{00000000-0005-0000-0000-000048020000}"/>
    <cellStyle name="Currency 3 2 2 4 2 2 2 2 3 2" xfId="4587" xr:uid="{00000000-0005-0000-0000-000049020000}"/>
    <cellStyle name="Currency 3 2 2 4 2 2 2 2 3 2 2" xfId="10764" xr:uid="{BAD639DA-00F7-417D-9A86-63CEDF48BB1B}"/>
    <cellStyle name="Currency 3 2 2 4 2 2 2 2 3 3" xfId="8820" xr:uid="{41740C04-57A0-4ED8-BAEA-69D787741193}"/>
    <cellStyle name="Currency 3 2 2 4 2 2 2 2 4" xfId="4407" xr:uid="{00000000-0005-0000-0000-00004A020000}"/>
    <cellStyle name="Currency 3 2 2 4 2 2 2 2 4 2" xfId="10584" xr:uid="{0B167C65-F7A5-4839-B74F-43B388B4E31F}"/>
    <cellStyle name="Currency 3 2 2 4 2 2 2 2 5" xfId="1760" xr:uid="{00000000-0005-0000-0000-00004B020000}"/>
    <cellStyle name="Currency 3 2 2 4 2 2 2 2 5 2" xfId="7937" xr:uid="{320D4706-E91F-4145-A9DF-3BDE16CFC9BE}"/>
    <cellStyle name="Currency 3 2 2 4 2 2 2 2 6" xfId="7054" xr:uid="{E382694B-8E3C-492C-8A4A-2B5C1F22D486}"/>
    <cellStyle name="Currency 3 2 2 4 2 2 2 3" xfId="3084" xr:uid="{00000000-0005-0000-0000-00004C020000}"/>
    <cellStyle name="Currency 3 2 2 4 2 2 2 3 2" xfId="4588" xr:uid="{00000000-0005-0000-0000-00004D020000}"/>
    <cellStyle name="Currency 3 2 2 4 2 2 2 3 2 2" xfId="10765" xr:uid="{C4AEF64B-25BE-42E9-B34D-95E59E92BD40}"/>
    <cellStyle name="Currency 3 2 2 4 2 2 2 3 3" xfId="9261" xr:uid="{2834A4EB-0495-40D4-9199-4705097CDD31}"/>
    <cellStyle name="Currency 3 2 2 4 2 2 2 4" xfId="2202" xr:uid="{00000000-0005-0000-0000-00004E020000}"/>
    <cellStyle name="Currency 3 2 2 4 2 2 2 4 2" xfId="4589" xr:uid="{00000000-0005-0000-0000-00004F020000}"/>
    <cellStyle name="Currency 3 2 2 4 2 2 2 4 2 2" xfId="10766" xr:uid="{020BE1BA-BAEB-43B5-960D-D51836959358}"/>
    <cellStyle name="Currency 3 2 2 4 2 2 2 4 3" xfId="8379" xr:uid="{CBCD9322-11A2-4DFF-B6AE-163375078DE8}"/>
    <cellStyle name="Currency 3 2 2 4 2 2 2 5" xfId="3966" xr:uid="{00000000-0005-0000-0000-000050020000}"/>
    <cellStyle name="Currency 3 2 2 4 2 2 2 5 2" xfId="10143" xr:uid="{76740D3A-172D-4943-9571-2C2B0920DB6D}"/>
    <cellStyle name="Currency 3 2 2 4 2 2 2 6" xfId="1319" xr:uid="{00000000-0005-0000-0000-000051020000}"/>
    <cellStyle name="Currency 3 2 2 4 2 2 2 6 2" xfId="7496" xr:uid="{85A17513-7713-4051-A78C-FE049A28BC35}"/>
    <cellStyle name="Currency 3 2 2 4 2 2 2 7" xfId="6613" xr:uid="{43C8FBA6-D91C-4AC7-9D80-8E780911018B}"/>
    <cellStyle name="Currency 3 2 2 4 2 2 3" xfId="657" xr:uid="{00000000-0005-0000-0000-000052020000}"/>
    <cellStyle name="Currency 3 2 2 4 2 2 3 2" xfId="3305" xr:uid="{00000000-0005-0000-0000-000053020000}"/>
    <cellStyle name="Currency 3 2 2 4 2 2 3 2 2" xfId="4590" xr:uid="{00000000-0005-0000-0000-000054020000}"/>
    <cellStyle name="Currency 3 2 2 4 2 2 3 2 2 2" xfId="10767" xr:uid="{877FA32D-D781-4A04-8F62-AAA057701674}"/>
    <cellStyle name="Currency 3 2 2 4 2 2 3 2 3" xfId="9482" xr:uid="{386EAABF-3189-4E9B-88AE-DE3FCC17133C}"/>
    <cellStyle name="Currency 3 2 2 4 2 2 3 3" xfId="2423" xr:uid="{00000000-0005-0000-0000-000055020000}"/>
    <cellStyle name="Currency 3 2 2 4 2 2 3 3 2" xfId="4591" xr:uid="{00000000-0005-0000-0000-000056020000}"/>
    <cellStyle name="Currency 3 2 2 4 2 2 3 3 2 2" xfId="10768" xr:uid="{F8DDC1EB-1708-4177-8072-E3AD88F90F3E}"/>
    <cellStyle name="Currency 3 2 2 4 2 2 3 3 3" xfId="8600" xr:uid="{EA6F66F9-612E-4B5B-8BA4-49501747DE66}"/>
    <cellStyle name="Currency 3 2 2 4 2 2 3 4" xfId="4187" xr:uid="{00000000-0005-0000-0000-000057020000}"/>
    <cellStyle name="Currency 3 2 2 4 2 2 3 4 2" xfId="10364" xr:uid="{6ACEDB4A-57E0-4561-BD2E-B4031FAFA3D6}"/>
    <cellStyle name="Currency 3 2 2 4 2 2 3 5" xfId="1540" xr:uid="{00000000-0005-0000-0000-000058020000}"/>
    <cellStyle name="Currency 3 2 2 4 2 2 3 5 2" xfId="7717" xr:uid="{1A352693-AA6E-45BD-9E93-6E53739070AD}"/>
    <cellStyle name="Currency 3 2 2 4 2 2 3 6" xfId="6834" xr:uid="{C035276C-FDEA-473D-8725-83C683235A1B}"/>
    <cellStyle name="Currency 3 2 2 4 2 2 4" xfId="2864" xr:uid="{00000000-0005-0000-0000-000059020000}"/>
    <cellStyle name="Currency 3 2 2 4 2 2 4 2" xfId="4592" xr:uid="{00000000-0005-0000-0000-00005A020000}"/>
    <cellStyle name="Currency 3 2 2 4 2 2 4 2 2" xfId="10769" xr:uid="{B97D9A39-E18D-44AF-ADF6-1DF8E1BAB465}"/>
    <cellStyle name="Currency 3 2 2 4 2 2 4 3" xfId="9041" xr:uid="{58F2B1F1-6893-4FC6-BC65-9626B0EB9E57}"/>
    <cellStyle name="Currency 3 2 2 4 2 2 5" xfId="1982" xr:uid="{00000000-0005-0000-0000-00005B020000}"/>
    <cellStyle name="Currency 3 2 2 4 2 2 5 2" xfId="4593" xr:uid="{00000000-0005-0000-0000-00005C020000}"/>
    <cellStyle name="Currency 3 2 2 4 2 2 5 2 2" xfId="10770" xr:uid="{1BE5C892-04B7-4A11-95AF-1EAC0DA55656}"/>
    <cellStyle name="Currency 3 2 2 4 2 2 5 3" xfId="8159" xr:uid="{85797E75-8E4F-4651-ACFB-9664D6822C9C}"/>
    <cellStyle name="Currency 3 2 2 4 2 2 6" xfId="3746" xr:uid="{00000000-0005-0000-0000-00005D020000}"/>
    <cellStyle name="Currency 3 2 2 4 2 2 6 2" xfId="9923" xr:uid="{1BC482BB-4B50-48DA-8F14-322B9A84DD7E}"/>
    <cellStyle name="Currency 3 2 2 4 2 2 7" xfId="1099" xr:uid="{00000000-0005-0000-0000-00005E020000}"/>
    <cellStyle name="Currency 3 2 2 4 2 2 7 2" xfId="7276" xr:uid="{976E6A0E-A517-4810-A1E4-D1D5403BBA5C}"/>
    <cellStyle name="Currency 3 2 2 4 2 2 8" xfId="6393" xr:uid="{53CC8E4A-6B72-4497-A619-E1E4F9909E9E}"/>
    <cellStyle name="Currency 3 2 2 4 2 3" xfId="326" xr:uid="{00000000-0005-0000-0000-00005F020000}"/>
    <cellStyle name="Currency 3 2 2 4 2 3 2" xfId="767" xr:uid="{00000000-0005-0000-0000-000060020000}"/>
    <cellStyle name="Currency 3 2 2 4 2 3 2 2" xfId="3415" xr:uid="{00000000-0005-0000-0000-000061020000}"/>
    <cellStyle name="Currency 3 2 2 4 2 3 2 2 2" xfId="4594" xr:uid="{00000000-0005-0000-0000-000062020000}"/>
    <cellStyle name="Currency 3 2 2 4 2 3 2 2 2 2" xfId="10771" xr:uid="{BB71E81F-5A3A-4C17-82B6-E5EF888DD289}"/>
    <cellStyle name="Currency 3 2 2 4 2 3 2 2 3" xfId="9592" xr:uid="{A79EE4AF-DA21-4687-B13C-D6B77D1FDFE8}"/>
    <cellStyle name="Currency 3 2 2 4 2 3 2 3" xfId="2533" xr:uid="{00000000-0005-0000-0000-000063020000}"/>
    <cellStyle name="Currency 3 2 2 4 2 3 2 3 2" xfId="4595" xr:uid="{00000000-0005-0000-0000-000064020000}"/>
    <cellStyle name="Currency 3 2 2 4 2 3 2 3 2 2" xfId="10772" xr:uid="{0B616E16-9277-4207-9DA0-49E4D09CBEE0}"/>
    <cellStyle name="Currency 3 2 2 4 2 3 2 3 3" xfId="8710" xr:uid="{B5B604ED-07DB-48CE-8FF6-0BBE82586843}"/>
    <cellStyle name="Currency 3 2 2 4 2 3 2 4" xfId="4297" xr:uid="{00000000-0005-0000-0000-000065020000}"/>
    <cellStyle name="Currency 3 2 2 4 2 3 2 4 2" xfId="10474" xr:uid="{B519FA86-8B52-45FE-B227-BFCD9D90CFE0}"/>
    <cellStyle name="Currency 3 2 2 4 2 3 2 5" xfId="1650" xr:uid="{00000000-0005-0000-0000-000066020000}"/>
    <cellStyle name="Currency 3 2 2 4 2 3 2 5 2" xfId="7827" xr:uid="{9BA437A6-0AB3-4CB9-9F36-E91B75F2C441}"/>
    <cellStyle name="Currency 3 2 2 4 2 3 2 6" xfId="6944" xr:uid="{5929D2D3-EED6-41BC-9DF0-D6152813C122}"/>
    <cellStyle name="Currency 3 2 2 4 2 3 3" xfId="2974" xr:uid="{00000000-0005-0000-0000-000067020000}"/>
    <cellStyle name="Currency 3 2 2 4 2 3 3 2" xfId="4596" xr:uid="{00000000-0005-0000-0000-000068020000}"/>
    <cellStyle name="Currency 3 2 2 4 2 3 3 2 2" xfId="10773" xr:uid="{4BEA6663-B050-484B-82E2-A4BD20307BA5}"/>
    <cellStyle name="Currency 3 2 2 4 2 3 3 3" xfId="9151" xr:uid="{6942032A-D3A4-49E3-90DB-A3B667213FF4}"/>
    <cellStyle name="Currency 3 2 2 4 2 3 4" xfId="2092" xr:uid="{00000000-0005-0000-0000-000069020000}"/>
    <cellStyle name="Currency 3 2 2 4 2 3 4 2" xfId="4597" xr:uid="{00000000-0005-0000-0000-00006A020000}"/>
    <cellStyle name="Currency 3 2 2 4 2 3 4 2 2" xfId="10774" xr:uid="{61CD96C5-EF42-4BA0-B5B2-C278222DFD1B}"/>
    <cellStyle name="Currency 3 2 2 4 2 3 4 3" xfId="8269" xr:uid="{156179E7-1E35-42F6-9CA3-F51B30A20D71}"/>
    <cellStyle name="Currency 3 2 2 4 2 3 5" xfId="3856" xr:uid="{00000000-0005-0000-0000-00006B020000}"/>
    <cellStyle name="Currency 3 2 2 4 2 3 5 2" xfId="10033" xr:uid="{1A80C2DF-3CA0-4392-82ED-87EC8B7A30F8}"/>
    <cellStyle name="Currency 3 2 2 4 2 3 6" xfId="1209" xr:uid="{00000000-0005-0000-0000-00006C020000}"/>
    <cellStyle name="Currency 3 2 2 4 2 3 6 2" xfId="7386" xr:uid="{F0D0F5EA-D34F-425A-85AB-7BC215E28718}"/>
    <cellStyle name="Currency 3 2 2 4 2 3 7" xfId="6503" xr:uid="{43E0D3B8-CABA-494F-8F9F-F53FC121B5A8}"/>
    <cellStyle name="Currency 3 2 2 4 2 4" xfId="547" xr:uid="{00000000-0005-0000-0000-00006D020000}"/>
    <cellStyle name="Currency 3 2 2 4 2 4 2" xfId="3195" xr:uid="{00000000-0005-0000-0000-00006E020000}"/>
    <cellStyle name="Currency 3 2 2 4 2 4 2 2" xfId="4598" xr:uid="{00000000-0005-0000-0000-00006F020000}"/>
    <cellStyle name="Currency 3 2 2 4 2 4 2 2 2" xfId="10775" xr:uid="{7B4FA75B-560B-4FD8-8DFD-B0E529369E81}"/>
    <cellStyle name="Currency 3 2 2 4 2 4 2 3" xfId="9372" xr:uid="{18DFA1E7-FC87-48FE-A8D1-1B9561114E57}"/>
    <cellStyle name="Currency 3 2 2 4 2 4 3" xfId="2313" xr:uid="{00000000-0005-0000-0000-000070020000}"/>
    <cellStyle name="Currency 3 2 2 4 2 4 3 2" xfId="4599" xr:uid="{00000000-0005-0000-0000-000071020000}"/>
    <cellStyle name="Currency 3 2 2 4 2 4 3 2 2" xfId="10776" xr:uid="{4D3BFFC6-2FA9-4D63-943D-764AD603969D}"/>
    <cellStyle name="Currency 3 2 2 4 2 4 3 3" xfId="8490" xr:uid="{CF803B00-A302-46D0-8916-5B761F6ABCDB}"/>
    <cellStyle name="Currency 3 2 2 4 2 4 4" xfId="4077" xr:uid="{00000000-0005-0000-0000-000072020000}"/>
    <cellStyle name="Currency 3 2 2 4 2 4 4 2" xfId="10254" xr:uid="{608E1C32-8C71-443A-8B89-F5F56F13E665}"/>
    <cellStyle name="Currency 3 2 2 4 2 4 5" xfId="1430" xr:uid="{00000000-0005-0000-0000-000073020000}"/>
    <cellStyle name="Currency 3 2 2 4 2 4 5 2" xfId="7607" xr:uid="{5D25C065-701A-4775-B166-ADE0CB627D47}"/>
    <cellStyle name="Currency 3 2 2 4 2 4 6" xfId="6724" xr:uid="{1CE62353-8F62-463E-B04E-AA82D9EA107C}"/>
    <cellStyle name="Currency 3 2 2 4 2 5" xfId="2754" xr:uid="{00000000-0005-0000-0000-000074020000}"/>
    <cellStyle name="Currency 3 2 2 4 2 5 2" xfId="4600" xr:uid="{00000000-0005-0000-0000-000075020000}"/>
    <cellStyle name="Currency 3 2 2 4 2 5 2 2" xfId="10777" xr:uid="{960353B7-A115-4E6A-B54D-1B8CF5DA2F61}"/>
    <cellStyle name="Currency 3 2 2 4 2 5 3" xfId="8931" xr:uid="{9559635E-162D-4474-A138-936CC2E55CFC}"/>
    <cellStyle name="Currency 3 2 2 4 2 6" xfId="1872" xr:uid="{00000000-0005-0000-0000-000076020000}"/>
    <cellStyle name="Currency 3 2 2 4 2 6 2" xfId="4601" xr:uid="{00000000-0005-0000-0000-000077020000}"/>
    <cellStyle name="Currency 3 2 2 4 2 6 2 2" xfId="10778" xr:uid="{C2B5E77E-C955-4563-9EC8-71B4DE83EE7C}"/>
    <cellStyle name="Currency 3 2 2 4 2 6 3" xfId="8049" xr:uid="{8BC17805-95FC-44D4-B005-6132EC328E28}"/>
    <cellStyle name="Currency 3 2 2 4 2 7" xfId="3636" xr:uid="{00000000-0005-0000-0000-000078020000}"/>
    <cellStyle name="Currency 3 2 2 4 2 7 2" xfId="9813" xr:uid="{60DC1A69-DA23-45D2-A4FA-F0B50A5222A2}"/>
    <cellStyle name="Currency 3 2 2 4 2 8" xfId="989" xr:uid="{00000000-0005-0000-0000-000079020000}"/>
    <cellStyle name="Currency 3 2 2 4 2 8 2" xfId="7166" xr:uid="{D406E42C-C364-4A62-9563-A5DDA8F1294E}"/>
    <cellStyle name="Currency 3 2 2 4 2 9" xfId="6283" xr:uid="{84E352EC-A609-4F3A-A623-8A7A9AEC4030}"/>
    <cellStyle name="Currency 3 2 2 4 3" xfId="150" xr:uid="{00000000-0005-0000-0000-00007A020000}"/>
    <cellStyle name="Currency 3 2 2 4 3 2" xfId="370" xr:uid="{00000000-0005-0000-0000-00007B020000}"/>
    <cellStyle name="Currency 3 2 2 4 3 2 2" xfId="811" xr:uid="{00000000-0005-0000-0000-00007C020000}"/>
    <cellStyle name="Currency 3 2 2 4 3 2 2 2" xfId="3459" xr:uid="{00000000-0005-0000-0000-00007D020000}"/>
    <cellStyle name="Currency 3 2 2 4 3 2 2 2 2" xfId="4602" xr:uid="{00000000-0005-0000-0000-00007E020000}"/>
    <cellStyle name="Currency 3 2 2 4 3 2 2 2 2 2" xfId="10779" xr:uid="{4A44AB9C-97AF-4C77-8F2E-D309749B9BDD}"/>
    <cellStyle name="Currency 3 2 2 4 3 2 2 2 3" xfId="9636" xr:uid="{4210B642-E25E-43EB-AC40-33BB1992A39D}"/>
    <cellStyle name="Currency 3 2 2 4 3 2 2 3" xfId="2577" xr:uid="{00000000-0005-0000-0000-00007F020000}"/>
    <cellStyle name="Currency 3 2 2 4 3 2 2 3 2" xfId="4603" xr:uid="{00000000-0005-0000-0000-000080020000}"/>
    <cellStyle name="Currency 3 2 2 4 3 2 2 3 2 2" xfId="10780" xr:uid="{2FADE23D-AAA3-49A5-9303-6F1AFF45F20D}"/>
    <cellStyle name="Currency 3 2 2 4 3 2 2 3 3" xfId="8754" xr:uid="{BB6596CA-DD9F-4C5D-94C3-5CC1A9C81EDC}"/>
    <cellStyle name="Currency 3 2 2 4 3 2 2 4" xfId="4341" xr:uid="{00000000-0005-0000-0000-000081020000}"/>
    <cellStyle name="Currency 3 2 2 4 3 2 2 4 2" xfId="10518" xr:uid="{08696740-5095-4D5E-9538-B47CCCB65316}"/>
    <cellStyle name="Currency 3 2 2 4 3 2 2 5" xfId="1694" xr:uid="{00000000-0005-0000-0000-000082020000}"/>
    <cellStyle name="Currency 3 2 2 4 3 2 2 5 2" xfId="7871" xr:uid="{581F0852-25A0-43B4-92F5-97FF9A1F9FA2}"/>
    <cellStyle name="Currency 3 2 2 4 3 2 2 6" xfId="6988" xr:uid="{9377E90C-8BEF-4928-A13B-449C47EC79D2}"/>
    <cellStyle name="Currency 3 2 2 4 3 2 3" xfId="3018" xr:uid="{00000000-0005-0000-0000-000083020000}"/>
    <cellStyle name="Currency 3 2 2 4 3 2 3 2" xfId="4604" xr:uid="{00000000-0005-0000-0000-000084020000}"/>
    <cellStyle name="Currency 3 2 2 4 3 2 3 2 2" xfId="10781" xr:uid="{597A70B4-1657-41E1-B41A-FC5F61BEBCE3}"/>
    <cellStyle name="Currency 3 2 2 4 3 2 3 3" xfId="9195" xr:uid="{9E52D311-CF3E-49FA-9289-D42A0E23760A}"/>
    <cellStyle name="Currency 3 2 2 4 3 2 4" xfId="2136" xr:uid="{00000000-0005-0000-0000-000085020000}"/>
    <cellStyle name="Currency 3 2 2 4 3 2 4 2" xfId="4605" xr:uid="{00000000-0005-0000-0000-000086020000}"/>
    <cellStyle name="Currency 3 2 2 4 3 2 4 2 2" xfId="10782" xr:uid="{5280A4CB-E65C-420D-AFCA-4711E8FC268D}"/>
    <cellStyle name="Currency 3 2 2 4 3 2 4 3" xfId="8313" xr:uid="{5F2683CC-FB19-4CBA-8CBA-504EF99F5C68}"/>
    <cellStyle name="Currency 3 2 2 4 3 2 5" xfId="3900" xr:uid="{00000000-0005-0000-0000-000087020000}"/>
    <cellStyle name="Currency 3 2 2 4 3 2 5 2" xfId="10077" xr:uid="{6390E2D5-36BA-49EE-A531-46BD31FD2F8D}"/>
    <cellStyle name="Currency 3 2 2 4 3 2 6" xfId="1253" xr:uid="{00000000-0005-0000-0000-000088020000}"/>
    <cellStyle name="Currency 3 2 2 4 3 2 6 2" xfId="7430" xr:uid="{67354829-3AB1-42C2-B6CD-3087AA60F399}"/>
    <cellStyle name="Currency 3 2 2 4 3 2 7" xfId="6547" xr:uid="{BC17A957-10DD-47FE-B94B-85C620D5A5B9}"/>
    <cellStyle name="Currency 3 2 2 4 3 3" xfId="591" xr:uid="{00000000-0005-0000-0000-000089020000}"/>
    <cellStyle name="Currency 3 2 2 4 3 3 2" xfId="3239" xr:uid="{00000000-0005-0000-0000-00008A020000}"/>
    <cellStyle name="Currency 3 2 2 4 3 3 2 2" xfId="4606" xr:uid="{00000000-0005-0000-0000-00008B020000}"/>
    <cellStyle name="Currency 3 2 2 4 3 3 2 2 2" xfId="10783" xr:uid="{85BB4D0C-D8BE-4AA9-9628-93F6E1FBAC83}"/>
    <cellStyle name="Currency 3 2 2 4 3 3 2 3" xfId="9416" xr:uid="{601B0B6D-E8E3-45B5-8C5F-676CBCC4C105}"/>
    <cellStyle name="Currency 3 2 2 4 3 3 3" xfId="2357" xr:uid="{00000000-0005-0000-0000-00008C020000}"/>
    <cellStyle name="Currency 3 2 2 4 3 3 3 2" xfId="4607" xr:uid="{00000000-0005-0000-0000-00008D020000}"/>
    <cellStyle name="Currency 3 2 2 4 3 3 3 2 2" xfId="10784" xr:uid="{49E04655-CA4D-41DF-9B74-6C9F33D15D07}"/>
    <cellStyle name="Currency 3 2 2 4 3 3 3 3" xfId="8534" xr:uid="{0E2F989B-3696-4F38-8128-E2F733E95C9F}"/>
    <cellStyle name="Currency 3 2 2 4 3 3 4" xfId="4121" xr:uid="{00000000-0005-0000-0000-00008E020000}"/>
    <cellStyle name="Currency 3 2 2 4 3 3 4 2" xfId="10298" xr:uid="{C790F868-47EB-4837-B75A-4C9950EC22A4}"/>
    <cellStyle name="Currency 3 2 2 4 3 3 5" xfId="1474" xr:uid="{00000000-0005-0000-0000-00008F020000}"/>
    <cellStyle name="Currency 3 2 2 4 3 3 5 2" xfId="7651" xr:uid="{DADA47A0-F31F-437F-AE81-0D505EEBA716}"/>
    <cellStyle name="Currency 3 2 2 4 3 3 6" xfId="6768" xr:uid="{B5C5C418-77EB-4683-A5A9-DDC2118D595A}"/>
    <cellStyle name="Currency 3 2 2 4 3 4" xfId="2798" xr:uid="{00000000-0005-0000-0000-000090020000}"/>
    <cellStyle name="Currency 3 2 2 4 3 4 2" xfId="4608" xr:uid="{00000000-0005-0000-0000-000091020000}"/>
    <cellStyle name="Currency 3 2 2 4 3 4 2 2" xfId="10785" xr:uid="{8F4B81D2-5B7F-4629-8B54-D1F0A4325C5E}"/>
    <cellStyle name="Currency 3 2 2 4 3 4 3" xfId="8975" xr:uid="{55F845C7-50CC-4002-A267-76CC7014AD76}"/>
    <cellStyle name="Currency 3 2 2 4 3 5" xfId="1916" xr:uid="{00000000-0005-0000-0000-000092020000}"/>
    <cellStyle name="Currency 3 2 2 4 3 5 2" xfId="4609" xr:uid="{00000000-0005-0000-0000-000093020000}"/>
    <cellStyle name="Currency 3 2 2 4 3 5 2 2" xfId="10786" xr:uid="{438E497D-3DEB-450C-800E-B291A1228AE8}"/>
    <cellStyle name="Currency 3 2 2 4 3 5 3" xfId="8093" xr:uid="{C5FF6C2E-19E4-4E23-93BC-B17BE3B283F4}"/>
    <cellStyle name="Currency 3 2 2 4 3 6" xfId="3680" xr:uid="{00000000-0005-0000-0000-000094020000}"/>
    <cellStyle name="Currency 3 2 2 4 3 6 2" xfId="9857" xr:uid="{22C67F2C-9EF2-480D-A44F-AEEAD21BCB0D}"/>
    <cellStyle name="Currency 3 2 2 4 3 7" xfId="1033" xr:uid="{00000000-0005-0000-0000-000095020000}"/>
    <cellStyle name="Currency 3 2 2 4 3 7 2" xfId="7210" xr:uid="{EE460DE1-BD75-4F0C-B2F9-14EBB717D800}"/>
    <cellStyle name="Currency 3 2 2 4 3 8" xfId="6327" xr:uid="{47BAFFAE-81A1-4E37-9E63-14FC71A334A6}"/>
    <cellStyle name="Currency 3 2 2 4 4" xfId="260" xr:uid="{00000000-0005-0000-0000-000096020000}"/>
    <cellStyle name="Currency 3 2 2 4 4 2" xfId="701" xr:uid="{00000000-0005-0000-0000-000097020000}"/>
    <cellStyle name="Currency 3 2 2 4 4 2 2" xfId="3349" xr:uid="{00000000-0005-0000-0000-000098020000}"/>
    <cellStyle name="Currency 3 2 2 4 4 2 2 2" xfId="4610" xr:uid="{00000000-0005-0000-0000-000099020000}"/>
    <cellStyle name="Currency 3 2 2 4 4 2 2 2 2" xfId="10787" xr:uid="{D08BE2FD-4F13-4C70-8276-F6AFE54443C6}"/>
    <cellStyle name="Currency 3 2 2 4 4 2 2 3" xfId="9526" xr:uid="{DECA51E9-F24D-4436-85C1-EBC4CC089BD7}"/>
    <cellStyle name="Currency 3 2 2 4 4 2 3" xfId="2467" xr:uid="{00000000-0005-0000-0000-00009A020000}"/>
    <cellStyle name="Currency 3 2 2 4 4 2 3 2" xfId="4611" xr:uid="{00000000-0005-0000-0000-00009B020000}"/>
    <cellStyle name="Currency 3 2 2 4 4 2 3 2 2" xfId="10788" xr:uid="{E27B7A64-A2F3-4D1D-A34B-28D8201A78FE}"/>
    <cellStyle name="Currency 3 2 2 4 4 2 3 3" xfId="8644" xr:uid="{FD074BBE-2822-4062-8521-80666B6822D8}"/>
    <cellStyle name="Currency 3 2 2 4 4 2 4" xfId="4231" xr:uid="{00000000-0005-0000-0000-00009C020000}"/>
    <cellStyle name="Currency 3 2 2 4 4 2 4 2" xfId="10408" xr:uid="{EF9E8030-37E9-4FD7-860E-5F6A43E08720}"/>
    <cellStyle name="Currency 3 2 2 4 4 2 5" xfId="1584" xr:uid="{00000000-0005-0000-0000-00009D020000}"/>
    <cellStyle name="Currency 3 2 2 4 4 2 5 2" xfId="7761" xr:uid="{82BD0C4A-3DBC-4923-B0F5-54CD144E8C85}"/>
    <cellStyle name="Currency 3 2 2 4 4 2 6" xfId="6878" xr:uid="{D880465B-B4BE-419D-9B54-6947055EE1D5}"/>
    <cellStyle name="Currency 3 2 2 4 4 3" xfId="2908" xr:uid="{00000000-0005-0000-0000-00009E020000}"/>
    <cellStyle name="Currency 3 2 2 4 4 3 2" xfId="4612" xr:uid="{00000000-0005-0000-0000-00009F020000}"/>
    <cellStyle name="Currency 3 2 2 4 4 3 2 2" xfId="10789" xr:uid="{78285AEC-EB49-409B-BA0D-188745860C22}"/>
    <cellStyle name="Currency 3 2 2 4 4 3 3" xfId="9085" xr:uid="{64E4553B-85C2-4CCD-93B1-EB6314CC48DE}"/>
    <cellStyle name="Currency 3 2 2 4 4 4" xfId="2026" xr:uid="{00000000-0005-0000-0000-0000A0020000}"/>
    <cellStyle name="Currency 3 2 2 4 4 4 2" xfId="4613" xr:uid="{00000000-0005-0000-0000-0000A1020000}"/>
    <cellStyle name="Currency 3 2 2 4 4 4 2 2" xfId="10790" xr:uid="{33F8A760-9AE9-47A5-99E3-442B34F08066}"/>
    <cellStyle name="Currency 3 2 2 4 4 4 3" xfId="8203" xr:uid="{9E7A86CF-03C3-4CB6-86D8-79AD4D35654B}"/>
    <cellStyle name="Currency 3 2 2 4 4 5" xfId="3790" xr:uid="{00000000-0005-0000-0000-0000A2020000}"/>
    <cellStyle name="Currency 3 2 2 4 4 5 2" xfId="9967" xr:uid="{A91E3AE5-B68E-4ACC-97C1-84C85F300590}"/>
    <cellStyle name="Currency 3 2 2 4 4 6" xfId="1143" xr:uid="{00000000-0005-0000-0000-0000A3020000}"/>
    <cellStyle name="Currency 3 2 2 4 4 6 2" xfId="7320" xr:uid="{B84C3C14-B729-437B-BD67-FB3174C9C792}"/>
    <cellStyle name="Currency 3 2 2 4 4 7" xfId="6437" xr:uid="{D2F8AC4C-6162-42BD-B613-64FDE3DEE2BF}"/>
    <cellStyle name="Currency 3 2 2 4 5" xfId="481" xr:uid="{00000000-0005-0000-0000-0000A4020000}"/>
    <cellStyle name="Currency 3 2 2 4 5 2" xfId="3129" xr:uid="{00000000-0005-0000-0000-0000A5020000}"/>
    <cellStyle name="Currency 3 2 2 4 5 2 2" xfId="4614" xr:uid="{00000000-0005-0000-0000-0000A6020000}"/>
    <cellStyle name="Currency 3 2 2 4 5 2 2 2" xfId="10791" xr:uid="{4814FED9-DE06-4C5D-A68E-14BBA4C3A2EC}"/>
    <cellStyle name="Currency 3 2 2 4 5 2 3" xfId="9306" xr:uid="{0ABF4AEF-43FD-40B6-9872-F13E6362347D}"/>
    <cellStyle name="Currency 3 2 2 4 5 3" xfId="2247" xr:uid="{00000000-0005-0000-0000-0000A7020000}"/>
    <cellStyle name="Currency 3 2 2 4 5 3 2" xfId="4615" xr:uid="{00000000-0005-0000-0000-0000A8020000}"/>
    <cellStyle name="Currency 3 2 2 4 5 3 2 2" xfId="10792" xr:uid="{21398719-BAB1-474D-8349-90C4B14C8183}"/>
    <cellStyle name="Currency 3 2 2 4 5 3 3" xfId="8424" xr:uid="{88869B1E-28C8-4EE4-8E62-94FAB185E594}"/>
    <cellStyle name="Currency 3 2 2 4 5 4" xfId="4011" xr:uid="{00000000-0005-0000-0000-0000A9020000}"/>
    <cellStyle name="Currency 3 2 2 4 5 4 2" xfId="10188" xr:uid="{C909A560-7A37-43F0-9786-28CC18AEC82A}"/>
    <cellStyle name="Currency 3 2 2 4 5 5" xfId="1364" xr:uid="{00000000-0005-0000-0000-0000AA020000}"/>
    <cellStyle name="Currency 3 2 2 4 5 5 2" xfId="7541" xr:uid="{AAF4C6A9-DEA9-4B70-83DC-553B2054FA16}"/>
    <cellStyle name="Currency 3 2 2 4 5 6" xfId="6658" xr:uid="{E859FC52-2507-40A9-8EDD-018F4CB03969}"/>
    <cellStyle name="Currency 3 2 2 4 6" xfId="2688" xr:uid="{00000000-0005-0000-0000-0000AB020000}"/>
    <cellStyle name="Currency 3 2 2 4 6 2" xfId="4616" xr:uid="{00000000-0005-0000-0000-0000AC020000}"/>
    <cellStyle name="Currency 3 2 2 4 6 2 2" xfId="10793" xr:uid="{B465BCBB-2BC2-487E-92F6-CEFC95115F1A}"/>
    <cellStyle name="Currency 3 2 2 4 6 3" xfId="8865" xr:uid="{D40C41E8-76F1-4AE4-B5E3-C4CD126DC724}"/>
    <cellStyle name="Currency 3 2 2 4 7" xfId="1806" xr:uid="{00000000-0005-0000-0000-0000AD020000}"/>
    <cellStyle name="Currency 3 2 2 4 7 2" xfId="4617" xr:uid="{00000000-0005-0000-0000-0000AE020000}"/>
    <cellStyle name="Currency 3 2 2 4 7 2 2" xfId="10794" xr:uid="{59A8672D-4014-4E81-A6F7-4E3C37DF3FF7}"/>
    <cellStyle name="Currency 3 2 2 4 7 3" xfId="7983" xr:uid="{F12DBFAE-5279-4B6E-8CB1-2B5B6FC9B413}"/>
    <cellStyle name="Currency 3 2 2 4 8" xfId="3570" xr:uid="{00000000-0005-0000-0000-0000AF020000}"/>
    <cellStyle name="Currency 3 2 2 4 8 2" xfId="9747" xr:uid="{D753B91D-8542-48BB-A4B1-18A158482D9D}"/>
    <cellStyle name="Currency 3 2 2 4 9" xfId="923" xr:uid="{00000000-0005-0000-0000-0000B0020000}"/>
    <cellStyle name="Currency 3 2 2 4 9 2" xfId="7100" xr:uid="{9ABE28B7-E0DB-431B-BADE-49418F6A5515}"/>
    <cellStyle name="Currency 3 2 2 5" xfId="46" xr:uid="{00000000-0005-0000-0000-0000B1020000}"/>
    <cellStyle name="Currency 3 2 2 5 2" xfId="156" xr:uid="{00000000-0005-0000-0000-0000B2020000}"/>
    <cellStyle name="Currency 3 2 2 5 2 2" xfId="376" xr:uid="{00000000-0005-0000-0000-0000B3020000}"/>
    <cellStyle name="Currency 3 2 2 5 2 2 2" xfId="817" xr:uid="{00000000-0005-0000-0000-0000B4020000}"/>
    <cellStyle name="Currency 3 2 2 5 2 2 2 2" xfId="3465" xr:uid="{00000000-0005-0000-0000-0000B5020000}"/>
    <cellStyle name="Currency 3 2 2 5 2 2 2 2 2" xfId="4618" xr:uid="{00000000-0005-0000-0000-0000B6020000}"/>
    <cellStyle name="Currency 3 2 2 5 2 2 2 2 2 2" xfId="10795" xr:uid="{EECA4D20-3A07-42DE-BAD5-B0F8685C7379}"/>
    <cellStyle name="Currency 3 2 2 5 2 2 2 2 3" xfId="9642" xr:uid="{7CBBED3D-EACF-4BDD-A4B3-12D966FB4EF7}"/>
    <cellStyle name="Currency 3 2 2 5 2 2 2 3" xfId="2583" xr:uid="{00000000-0005-0000-0000-0000B7020000}"/>
    <cellStyle name="Currency 3 2 2 5 2 2 2 3 2" xfId="4619" xr:uid="{00000000-0005-0000-0000-0000B8020000}"/>
    <cellStyle name="Currency 3 2 2 5 2 2 2 3 2 2" xfId="10796" xr:uid="{1FA95F2E-3D87-42D5-B051-D746E7C3C0DB}"/>
    <cellStyle name="Currency 3 2 2 5 2 2 2 3 3" xfId="8760" xr:uid="{A7821266-B31C-4F1E-BDB9-7B1707527A01}"/>
    <cellStyle name="Currency 3 2 2 5 2 2 2 4" xfId="4347" xr:uid="{00000000-0005-0000-0000-0000B9020000}"/>
    <cellStyle name="Currency 3 2 2 5 2 2 2 4 2" xfId="10524" xr:uid="{6516D169-4EAF-4AC2-82BB-623B3E9DEF77}"/>
    <cellStyle name="Currency 3 2 2 5 2 2 2 5" xfId="1700" xr:uid="{00000000-0005-0000-0000-0000BA020000}"/>
    <cellStyle name="Currency 3 2 2 5 2 2 2 5 2" xfId="7877" xr:uid="{6E28E79E-D9B5-43BA-8573-1629F1FC1311}"/>
    <cellStyle name="Currency 3 2 2 5 2 2 2 6" xfId="6994" xr:uid="{7C22F753-2D75-405A-9B4B-79ED7D87BFA5}"/>
    <cellStyle name="Currency 3 2 2 5 2 2 3" xfId="3024" xr:uid="{00000000-0005-0000-0000-0000BB020000}"/>
    <cellStyle name="Currency 3 2 2 5 2 2 3 2" xfId="4620" xr:uid="{00000000-0005-0000-0000-0000BC020000}"/>
    <cellStyle name="Currency 3 2 2 5 2 2 3 2 2" xfId="10797" xr:uid="{8D9E78FA-6757-4E6D-83C6-1A5EA0659EAB}"/>
    <cellStyle name="Currency 3 2 2 5 2 2 3 3" xfId="9201" xr:uid="{FA4DCB32-3710-4952-A417-41610EBBEF4E}"/>
    <cellStyle name="Currency 3 2 2 5 2 2 4" xfId="2142" xr:uid="{00000000-0005-0000-0000-0000BD020000}"/>
    <cellStyle name="Currency 3 2 2 5 2 2 4 2" xfId="4621" xr:uid="{00000000-0005-0000-0000-0000BE020000}"/>
    <cellStyle name="Currency 3 2 2 5 2 2 4 2 2" xfId="10798" xr:uid="{519A2D01-9E24-443B-A018-87031401F833}"/>
    <cellStyle name="Currency 3 2 2 5 2 2 4 3" xfId="8319" xr:uid="{7A171BF9-BC29-469C-9DC4-9BA0C52F69AC}"/>
    <cellStyle name="Currency 3 2 2 5 2 2 5" xfId="3906" xr:uid="{00000000-0005-0000-0000-0000BF020000}"/>
    <cellStyle name="Currency 3 2 2 5 2 2 5 2" xfId="10083" xr:uid="{DAEF6168-B70A-4603-8501-55010E165A8A}"/>
    <cellStyle name="Currency 3 2 2 5 2 2 6" xfId="1259" xr:uid="{00000000-0005-0000-0000-0000C0020000}"/>
    <cellStyle name="Currency 3 2 2 5 2 2 6 2" xfId="7436" xr:uid="{9157C75F-C401-4A4A-ADE9-F4B7D3E4465C}"/>
    <cellStyle name="Currency 3 2 2 5 2 2 7" xfId="6553" xr:uid="{2972686C-4103-4567-B3BE-EBB9A5214757}"/>
    <cellStyle name="Currency 3 2 2 5 2 3" xfId="597" xr:uid="{00000000-0005-0000-0000-0000C1020000}"/>
    <cellStyle name="Currency 3 2 2 5 2 3 2" xfId="3245" xr:uid="{00000000-0005-0000-0000-0000C2020000}"/>
    <cellStyle name="Currency 3 2 2 5 2 3 2 2" xfId="4622" xr:uid="{00000000-0005-0000-0000-0000C3020000}"/>
    <cellStyle name="Currency 3 2 2 5 2 3 2 2 2" xfId="10799" xr:uid="{AC0AA80E-7B10-404D-8EE3-22FB767BB1B9}"/>
    <cellStyle name="Currency 3 2 2 5 2 3 2 3" xfId="9422" xr:uid="{21A90F03-E702-47ED-9EBC-F33E62D7AFEE}"/>
    <cellStyle name="Currency 3 2 2 5 2 3 3" xfId="2363" xr:uid="{00000000-0005-0000-0000-0000C4020000}"/>
    <cellStyle name="Currency 3 2 2 5 2 3 3 2" xfId="4623" xr:uid="{00000000-0005-0000-0000-0000C5020000}"/>
    <cellStyle name="Currency 3 2 2 5 2 3 3 2 2" xfId="10800" xr:uid="{EC4CA93A-18D7-4C12-8952-C2DE9B7688ED}"/>
    <cellStyle name="Currency 3 2 2 5 2 3 3 3" xfId="8540" xr:uid="{28D270D5-EC5B-4BC3-A72A-C479543B9B68}"/>
    <cellStyle name="Currency 3 2 2 5 2 3 4" xfId="4127" xr:uid="{00000000-0005-0000-0000-0000C6020000}"/>
    <cellStyle name="Currency 3 2 2 5 2 3 4 2" xfId="10304" xr:uid="{373F5330-4A65-4B31-AACC-84CFEE85960F}"/>
    <cellStyle name="Currency 3 2 2 5 2 3 5" xfId="1480" xr:uid="{00000000-0005-0000-0000-0000C7020000}"/>
    <cellStyle name="Currency 3 2 2 5 2 3 5 2" xfId="7657" xr:uid="{AF088038-84AB-493A-8060-9AEC5074CFB1}"/>
    <cellStyle name="Currency 3 2 2 5 2 3 6" xfId="6774" xr:uid="{B9B07F01-B2A4-408B-BFBF-D7E514772B14}"/>
    <cellStyle name="Currency 3 2 2 5 2 4" xfId="2804" xr:uid="{00000000-0005-0000-0000-0000C8020000}"/>
    <cellStyle name="Currency 3 2 2 5 2 4 2" xfId="4624" xr:uid="{00000000-0005-0000-0000-0000C9020000}"/>
    <cellStyle name="Currency 3 2 2 5 2 4 2 2" xfId="10801" xr:uid="{14D3CF57-1A9E-48E1-8D84-AF83E3C133F4}"/>
    <cellStyle name="Currency 3 2 2 5 2 4 3" xfId="8981" xr:uid="{A9DC2E18-6211-4799-84A7-3FEBA9052580}"/>
    <cellStyle name="Currency 3 2 2 5 2 5" xfId="1922" xr:uid="{00000000-0005-0000-0000-0000CA020000}"/>
    <cellStyle name="Currency 3 2 2 5 2 5 2" xfId="4625" xr:uid="{00000000-0005-0000-0000-0000CB020000}"/>
    <cellStyle name="Currency 3 2 2 5 2 5 2 2" xfId="10802" xr:uid="{246CE8D0-AC64-4628-B485-064D0F83E652}"/>
    <cellStyle name="Currency 3 2 2 5 2 5 3" xfId="8099" xr:uid="{1F5B8484-A684-4F70-A55E-AACDE298CB12}"/>
    <cellStyle name="Currency 3 2 2 5 2 6" xfId="3686" xr:uid="{00000000-0005-0000-0000-0000CC020000}"/>
    <cellStyle name="Currency 3 2 2 5 2 6 2" xfId="9863" xr:uid="{FF29524B-D7B1-45B3-B5A5-53550E853821}"/>
    <cellStyle name="Currency 3 2 2 5 2 7" xfId="1039" xr:uid="{00000000-0005-0000-0000-0000CD020000}"/>
    <cellStyle name="Currency 3 2 2 5 2 7 2" xfId="7216" xr:uid="{61A0E67C-02C1-464F-B3C7-27D8244F1F3E}"/>
    <cellStyle name="Currency 3 2 2 5 2 8" xfId="6333" xr:uid="{C5F2D38B-A0C1-4EEE-B4D3-B48CD3AC0679}"/>
    <cellStyle name="Currency 3 2 2 5 3" xfId="266" xr:uid="{00000000-0005-0000-0000-0000CE020000}"/>
    <cellStyle name="Currency 3 2 2 5 3 2" xfId="707" xr:uid="{00000000-0005-0000-0000-0000CF020000}"/>
    <cellStyle name="Currency 3 2 2 5 3 2 2" xfId="3355" xr:uid="{00000000-0005-0000-0000-0000D0020000}"/>
    <cellStyle name="Currency 3 2 2 5 3 2 2 2" xfId="4626" xr:uid="{00000000-0005-0000-0000-0000D1020000}"/>
    <cellStyle name="Currency 3 2 2 5 3 2 2 2 2" xfId="10803" xr:uid="{6B605E1E-EA9F-415E-864C-4CD5C4600F81}"/>
    <cellStyle name="Currency 3 2 2 5 3 2 2 3" xfId="9532" xr:uid="{9AD61659-A581-4DF3-B092-27C647B601CC}"/>
    <cellStyle name="Currency 3 2 2 5 3 2 3" xfId="2473" xr:uid="{00000000-0005-0000-0000-0000D2020000}"/>
    <cellStyle name="Currency 3 2 2 5 3 2 3 2" xfId="4627" xr:uid="{00000000-0005-0000-0000-0000D3020000}"/>
    <cellStyle name="Currency 3 2 2 5 3 2 3 2 2" xfId="10804" xr:uid="{1DF89CE0-54F0-4F30-8580-7BC57734A8BD}"/>
    <cellStyle name="Currency 3 2 2 5 3 2 3 3" xfId="8650" xr:uid="{330CCD76-2BF1-4B2D-B323-23BC132BF69D}"/>
    <cellStyle name="Currency 3 2 2 5 3 2 4" xfId="4237" xr:uid="{00000000-0005-0000-0000-0000D4020000}"/>
    <cellStyle name="Currency 3 2 2 5 3 2 4 2" xfId="10414" xr:uid="{12250686-7399-4061-8CD7-5D38264796EC}"/>
    <cellStyle name="Currency 3 2 2 5 3 2 5" xfId="1590" xr:uid="{00000000-0005-0000-0000-0000D5020000}"/>
    <cellStyle name="Currency 3 2 2 5 3 2 5 2" xfId="7767" xr:uid="{62ADDD33-A776-4C6B-9915-80A41A7A22D1}"/>
    <cellStyle name="Currency 3 2 2 5 3 2 6" xfId="6884" xr:uid="{A562E30F-6A32-4F98-B752-21B0301CDD58}"/>
    <cellStyle name="Currency 3 2 2 5 3 3" xfId="2914" xr:uid="{00000000-0005-0000-0000-0000D6020000}"/>
    <cellStyle name="Currency 3 2 2 5 3 3 2" xfId="4628" xr:uid="{00000000-0005-0000-0000-0000D7020000}"/>
    <cellStyle name="Currency 3 2 2 5 3 3 2 2" xfId="10805" xr:uid="{7AC5BA40-A445-439B-AFB6-C8758113C20A}"/>
    <cellStyle name="Currency 3 2 2 5 3 3 3" xfId="9091" xr:uid="{B2B1B069-EDB2-445E-ABC2-F34B34B1F7D6}"/>
    <cellStyle name="Currency 3 2 2 5 3 4" xfId="2032" xr:uid="{00000000-0005-0000-0000-0000D8020000}"/>
    <cellStyle name="Currency 3 2 2 5 3 4 2" xfId="4629" xr:uid="{00000000-0005-0000-0000-0000D9020000}"/>
    <cellStyle name="Currency 3 2 2 5 3 4 2 2" xfId="10806" xr:uid="{8551DE74-9198-4DD6-88F4-F3F61DF16AA8}"/>
    <cellStyle name="Currency 3 2 2 5 3 4 3" xfId="8209" xr:uid="{1F73D0EE-0117-4BD7-916A-41BE3BD26F40}"/>
    <cellStyle name="Currency 3 2 2 5 3 5" xfId="3796" xr:uid="{00000000-0005-0000-0000-0000DA020000}"/>
    <cellStyle name="Currency 3 2 2 5 3 5 2" xfId="9973" xr:uid="{8A918DFE-0312-4336-B67F-34960B569FB2}"/>
    <cellStyle name="Currency 3 2 2 5 3 6" xfId="1149" xr:uid="{00000000-0005-0000-0000-0000DB020000}"/>
    <cellStyle name="Currency 3 2 2 5 3 6 2" xfId="7326" xr:uid="{E8B3AADC-BE0D-4FB6-817A-4083E5895748}"/>
    <cellStyle name="Currency 3 2 2 5 3 7" xfId="6443" xr:uid="{E376E287-CD6D-4A1C-93DD-A79D707AEC33}"/>
    <cellStyle name="Currency 3 2 2 5 4" xfId="487" xr:uid="{00000000-0005-0000-0000-0000DC020000}"/>
    <cellStyle name="Currency 3 2 2 5 4 2" xfId="3135" xr:uid="{00000000-0005-0000-0000-0000DD020000}"/>
    <cellStyle name="Currency 3 2 2 5 4 2 2" xfId="4630" xr:uid="{00000000-0005-0000-0000-0000DE020000}"/>
    <cellStyle name="Currency 3 2 2 5 4 2 2 2" xfId="10807" xr:uid="{A2541ECD-6F77-4C4C-96D4-9BC676C262BF}"/>
    <cellStyle name="Currency 3 2 2 5 4 2 3" xfId="9312" xr:uid="{765BF157-EEF3-410D-8250-F5654535AFDD}"/>
    <cellStyle name="Currency 3 2 2 5 4 3" xfId="2253" xr:uid="{00000000-0005-0000-0000-0000DF020000}"/>
    <cellStyle name="Currency 3 2 2 5 4 3 2" xfId="4631" xr:uid="{00000000-0005-0000-0000-0000E0020000}"/>
    <cellStyle name="Currency 3 2 2 5 4 3 2 2" xfId="10808" xr:uid="{A2E2DE2B-F1FE-4669-AFF9-D56A4D80F31C}"/>
    <cellStyle name="Currency 3 2 2 5 4 3 3" xfId="8430" xr:uid="{A8FA6AB8-C666-4118-867C-4BE1C10D5746}"/>
    <cellStyle name="Currency 3 2 2 5 4 4" xfId="4017" xr:uid="{00000000-0005-0000-0000-0000E1020000}"/>
    <cellStyle name="Currency 3 2 2 5 4 4 2" xfId="10194" xr:uid="{FA958DB4-F2B5-4D90-AA7D-806FDE15363A}"/>
    <cellStyle name="Currency 3 2 2 5 4 5" xfId="1370" xr:uid="{00000000-0005-0000-0000-0000E2020000}"/>
    <cellStyle name="Currency 3 2 2 5 4 5 2" xfId="7547" xr:uid="{0C5339CB-0218-4B71-95A3-D710B3D9EE38}"/>
    <cellStyle name="Currency 3 2 2 5 4 6" xfId="6664" xr:uid="{CEC46B75-B087-47DF-A14B-A2ED158CD711}"/>
    <cellStyle name="Currency 3 2 2 5 5" xfId="2694" xr:uid="{00000000-0005-0000-0000-0000E3020000}"/>
    <cellStyle name="Currency 3 2 2 5 5 2" xfId="4632" xr:uid="{00000000-0005-0000-0000-0000E4020000}"/>
    <cellStyle name="Currency 3 2 2 5 5 2 2" xfId="10809" xr:uid="{39EBFB0B-391A-4DF2-AA7B-83140AA1C47B}"/>
    <cellStyle name="Currency 3 2 2 5 5 3" xfId="8871" xr:uid="{98A2E7C1-A078-418C-AC4D-A927745B6E7B}"/>
    <cellStyle name="Currency 3 2 2 5 6" xfId="1812" xr:uid="{00000000-0005-0000-0000-0000E5020000}"/>
    <cellStyle name="Currency 3 2 2 5 6 2" xfId="4633" xr:uid="{00000000-0005-0000-0000-0000E6020000}"/>
    <cellStyle name="Currency 3 2 2 5 6 2 2" xfId="10810" xr:uid="{5B644123-CF95-4651-8C23-31F3A6ACDED7}"/>
    <cellStyle name="Currency 3 2 2 5 6 3" xfId="7989" xr:uid="{B296AFAC-2270-4756-BFF2-C6401E49D82D}"/>
    <cellStyle name="Currency 3 2 2 5 7" xfId="3576" xr:uid="{00000000-0005-0000-0000-0000E7020000}"/>
    <cellStyle name="Currency 3 2 2 5 7 2" xfId="9753" xr:uid="{948F18DA-D6A3-411C-8D50-24DCFA53828A}"/>
    <cellStyle name="Currency 3 2 2 5 8" xfId="929" xr:uid="{00000000-0005-0000-0000-0000E8020000}"/>
    <cellStyle name="Currency 3 2 2 5 8 2" xfId="7106" xr:uid="{8727C860-9BE4-48BC-A930-C9AC36024CB6}"/>
    <cellStyle name="Currency 3 2 2 5 9" xfId="6223" xr:uid="{2B05298F-1678-4677-B80C-D166BC6B5FAE}"/>
    <cellStyle name="Currency 3 2 2 6" xfId="62" xr:uid="{00000000-0005-0000-0000-0000E9020000}"/>
    <cellStyle name="Currency 3 2 2 6 2" xfId="172" xr:uid="{00000000-0005-0000-0000-0000EA020000}"/>
    <cellStyle name="Currency 3 2 2 6 2 2" xfId="392" xr:uid="{00000000-0005-0000-0000-0000EB020000}"/>
    <cellStyle name="Currency 3 2 2 6 2 2 2" xfId="833" xr:uid="{00000000-0005-0000-0000-0000EC020000}"/>
    <cellStyle name="Currency 3 2 2 6 2 2 2 2" xfId="3481" xr:uid="{00000000-0005-0000-0000-0000ED020000}"/>
    <cellStyle name="Currency 3 2 2 6 2 2 2 2 2" xfId="4634" xr:uid="{00000000-0005-0000-0000-0000EE020000}"/>
    <cellStyle name="Currency 3 2 2 6 2 2 2 2 2 2" xfId="10811" xr:uid="{8F471F14-DE2D-46B3-BB87-3392EE112220}"/>
    <cellStyle name="Currency 3 2 2 6 2 2 2 2 3" xfId="9658" xr:uid="{096CF478-D703-42B0-B552-0E51361E37E4}"/>
    <cellStyle name="Currency 3 2 2 6 2 2 2 3" xfId="2599" xr:uid="{00000000-0005-0000-0000-0000EF020000}"/>
    <cellStyle name="Currency 3 2 2 6 2 2 2 3 2" xfId="4635" xr:uid="{00000000-0005-0000-0000-0000F0020000}"/>
    <cellStyle name="Currency 3 2 2 6 2 2 2 3 2 2" xfId="10812" xr:uid="{715F82A0-012F-46D1-9349-B32C3EEB2282}"/>
    <cellStyle name="Currency 3 2 2 6 2 2 2 3 3" xfId="8776" xr:uid="{2219EE7B-CE1D-4ACD-9035-71CEF889A432}"/>
    <cellStyle name="Currency 3 2 2 6 2 2 2 4" xfId="4363" xr:uid="{00000000-0005-0000-0000-0000F1020000}"/>
    <cellStyle name="Currency 3 2 2 6 2 2 2 4 2" xfId="10540" xr:uid="{31C08E52-CEA1-4BA2-A8CF-B41532BF7EB3}"/>
    <cellStyle name="Currency 3 2 2 6 2 2 2 5" xfId="1716" xr:uid="{00000000-0005-0000-0000-0000F2020000}"/>
    <cellStyle name="Currency 3 2 2 6 2 2 2 5 2" xfId="7893" xr:uid="{416388DD-C7DC-49DF-AB58-355B339F7C5D}"/>
    <cellStyle name="Currency 3 2 2 6 2 2 2 6" xfId="7010" xr:uid="{409C6E7B-5386-4732-874B-70D0E9A006CC}"/>
    <cellStyle name="Currency 3 2 2 6 2 2 3" xfId="3040" xr:uid="{00000000-0005-0000-0000-0000F3020000}"/>
    <cellStyle name="Currency 3 2 2 6 2 2 3 2" xfId="4636" xr:uid="{00000000-0005-0000-0000-0000F4020000}"/>
    <cellStyle name="Currency 3 2 2 6 2 2 3 2 2" xfId="10813" xr:uid="{B3734402-CBE3-4F38-85B3-833683283F5B}"/>
    <cellStyle name="Currency 3 2 2 6 2 2 3 3" xfId="9217" xr:uid="{597415C2-5880-45EB-9D49-8D8BA09D12D5}"/>
    <cellStyle name="Currency 3 2 2 6 2 2 4" xfId="2158" xr:uid="{00000000-0005-0000-0000-0000F5020000}"/>
    <cellStyle name="Currency 3 2 2 6 2 2 4 2" xfId="4637" xr:uid="{00000000-0005-0000-0000-0000F6020000}"/>
    <cellStyle name="Currency 3 2 2 6 2 2 4 2 2" xfId="10814" xr:uid="{30406B83-69EC-44CD-AE2C-E66B9FF6DE09}"/>
    <cellStyle name="Currency 3 2 2 6 2 2 4 3" xfId="8335" xr:uid="{5D6C3704-AE1C-42F5-B148-DD8D9ACE2732}"/>
    <cellStyle name="Currency 3 2 2 6 2 2 5" xfId="3922" xr:uid="{00000000-0005-0000-0000-0000F7020000}"/>
    <cellStyle name="Currency 3 2 2 6 2 2 5 2" xfId="10099" xr:uid="{F4EE595A-9D4B-4500-B6EC-9EB781230463}"/>
    <cellStyle name="Currency 3 2 2 6 2 2 6" xfId="1275" xr:uid="{00000000-0005-0000-0000-0000F8020000}"/>
    <cellStyle name="Currency 3 2 2 6 2 2 6 2" xfId="7452" xr:uid="{7CD33407-79EB-4F2E-812F-16ACA722CEAF}"/>
    <cellStyle name="Currency 3 2 2 6 2 2 7" xfId="6569" xr:uid="{52EBCA6D-7622-4A46-9DAC-00C98BF06B8A}"/>
    <cellStyle name="Currency 3 2 2 6 2 3" xfId="613" xr:uid="{00000000-0005-0000-0000-0000F9020000}"/>
    <cellStyle name="Currency 3 2 2 6 2 3 2" xfId="3261" xr:uid="{00000000-0005-0000-0000-0000FA020000}"/>
    <cellStyle name="Currency 3 2 2 6 2 3 2 2" xfId="4638" xr:uid="{00000000-0005-0000-0000-0000FB020000}"/>
    <cellStyle name="Currency 3 2 2 6 2 3 2 2 2" xfId="10815" xr:uid="{AAB7641C-D022-485A-99BD-FB6D1B61851F}"/>
    <cellStyle name="Currency 3 2 2 6 2 3 2 3" xfId="9438" xr:uid="{7DF0A33F-D9E7-47A4-A7EF-A26918852D82}"/>
    <cellStyle name="Currency 3 2 2 6 2 3 3" xfId="2379" xr:uid="{00000000-0005-0000-0000-0000FC020000}"/>
    <cellStyle name="Currency 3 2 2 6 2 3 3 2" xfId="4639" xr:uid="{00000000-0005-0000-0000-0000FD020000}"/>
    <cellStyle name="Currency 3 2 2 6 2 3 3 2 2" xfId="10816" xr:uid="{90782AF0-B19A-4D94-BC78-EE5FEBAF7625}"/>
    <cellStyle name="Currency 3 2 2 6 2 3 3 3" xfId="8556" xr:uid="{3E0440C2-0100-4374-9858-1A96A26D6EF8}"/>
    <cellStyle name="Currency 3 2 2 6 2 3 4" xfId="4143" xr:uid="{00000000-0005-0000-0000-0000FE020000}"/>
    <cellStyle name="Currency 3 2 2 6 2 3 4 2" xfId="10320" xr:uid="{65F66B3A-0192-4E6B-8FBC-4CC3E35F8980}"/>
    <cellStyle name="Currency 3 2 2 6 2 3 5" xfId="1496" xr:uid="{00000000-0005-0000-0000-0000FF020000}"/>
    <cellStyle name="Currency 3 2 2 6 2 3 5 2" xfId="7673" xr:uid="{28B07DE1-F459-44F6-A381-01A906AB65A8}"/>
    <cellStyle name="Currency 3 2 2 6 2 3 6" xfId="6790" xr:uid="{2CBF208F-AD86-464C-A403-5AE5BF7EAA9E}"/>
    <cellStyle name="Currency 3 2 2 6 2 4" xfId="2820" xr:uid="{00000000-0005-0000-0000-000000030000}"/>
    <cellStyle name="Currency 3 2 2 6 2 4 2" xfId="4640" xr:uid="{00000000-0005-0000-0000-000001030000}"/>
    <cellStyle name="Currency 3 2 2 6 2 4 2 2" xfId="10817" xr:uid="{DFB116D3-BD93-4E27-BAC1-EFE16B37BBF7}"/>
    <cellStyle name="Currency 3 2 2 6 2 4 3" xfId="8997" xr:uid="{41CDD88A-D05D-41B5-A5F9-9592D682F97B}"/>
    <cellStyle name="Currency 3 2 2 6 2 5" xfId="1938" xr:uid="{00000000-0005-0000-0000-000002030000}"/>
    <cellStyle name="Currency 3 2 2 6 2 5 2" xfId="4641" xr:uid="{00000000-0005-0000-0000-000003030000}"/>
    <cellStyle name="Currency 3 2 2 6 2 5 2 2" xfId="10818" xr:uid="{7C7858FC-2B0C-49C3-BC7D-B04E9E79A390}"/>
    <cellStyle name="Currency 3 2 2 6 2 5 3" xfId="8115" xr:uid="{68A29CB5-3CA2-40AB-853A-4D06A1460BDB}"/>
    <cellStyle name="Currency 3 2 2 6 2 6" xfId="3702" xr:uid="{00000000-0005-0000-0000-000004030000}"/>
    <cellStyle name="Currency 3 2 2 6 2 6 2" xfId="9879" xr:uid="{645AA030-6AC5-4390-987D-D4CABD66C973}"/>
    <cellStyle name="Currency 3 2 2 6 2 7" xfId="1055" xr:uid="{00000000-0005-0000-0000-000005030000}"/>
    <cellStyle name="Currency 3 2 2 6 2 7 2" xfId="7232" xr:uid="{EFAE1773-3970-441E-80FC-8B256E15975E}"/>
    <cellStyle name="Currency 3 2 2 6 2 8" xfId="6349" xr:uid="{BCA2FBD3-7417-4D56-A6D5-AF1499F9CAC5}"/>
    <cellStyle name="Currency 3 2 2 6 3" xfId="282" xr:uid="{00000000-0005-0000-0000-000006030000}"/>
    <cellStyle name="Currency 3 2 2 6 3 2" xfId="723" xr:uid="{00000000-0005-0000-0000-000007030000}"/>
    <cellStyle name="Currency 3 2 2 6 3 2 2" xfId="3371" xr:uid="{00000000-0005-0000-0000-000008030000}"/>
    <cellStyle name="Currency 3 2 2 6 3 2 2 2" xfId="4642" xr:uid="{00000000-0005-0000-0000-000009030000}"/>
    <cellStyle name="Currency 3 2 2 6 3 2 2 2 2" xfId="10819" xr:uid="{45860FE5-98DA-4053-9225-5DFC2A4B4CCA}"/>
    <cellStyle name="Currency 3 2 2 6 3 2 2 3" xfId="9548" xr:uid="{8C43F203-6D9A-4CD3-A916-3CFF3914B704}"/>
    <cellStyle name="Currency 3 2 2 6 3 2 3" xfId="2489" xr:uid="{00000000-0005-0000-0000-00000A030000}"/>
    <cellStyle name="Currency 3 2 2 6 3 2 3 2" xfId="4643" xr:uid="{00000000-0005-0000-0000-00000B030000}"/>
    <cellStyle name="Currency 3 2 2 6 3 2 3 2 2" xfId="10820" xr:uid="{D938B1EA-4F4F-40B5-927F-B96DC0403744}"/>
    <cellStyle name="Currency 3 2 2 6 3 2 3 3" xfId="8666" xr:uid="{847A980B-B0A6-4FD0-AA11-92CE083F3C30}"/>
    <cellStyle name="Currency 3 2 2 6 3 2 4" xfId="4253" xr:uid="{00000000-0005-0000-0000-00000C030000}"/>
    <cellStyle name="Currency 3 2 2 6 3 2 4 2" xfId="10430" xr:uid="{FE0FE5C2-234C-48FD-88DC-E34EF4BD6FF9}"/>
    <cellStyle name="Currency 3 2 2 6 3 2 5" xfId="1606" xr:uid="{00000000-0005-0000-0000-00000D030000}"/>
    <cellStyle name="Currency 3 2 2 6 3 2 5 2" xfId="7783" xr:uid="{40A85FFB-A5B9-444F-BE8D-89A82BE75301}"/>
    <cellStyle name="Currency 3 2 2 6 3 2 6" xfId="6900" xr:uid="{04DEE91E-3B74-4ACD-BB02-C95BEE11D912}"/>
    <cellStyle name="Currency 3 2 2 6 3 3" xfId="2930" xr:uid="{00000000-0005-0000-0000-00000E030000}"/>
    <cellStyle name="Currency 3 2 2 6 3 3 2" xfId="4644" xr:uid="{00000000-0005-0000-0000-00000F030000}"/>
    <cellStyle name="Currency 3 2 2 6 3 3 2 2" xfId="10821" xr:uid="{B00D47D4-64A5-491C-A235-FA21952EA573}"/>
    <cellStyle name="Currency 3 2 2 6 3 3 3" xfId="9107" xr:uid="{86AC7D47-B4A3-4125-B8A5-294D6A4EA10C}"/>
    <cellStyle name="Currency 3 2 2 6 3 4" xfId="2048" xr:uid="{00000000-0005-0000-0000-000010030000}"/>
    <cellStyle name="Currency 3 2 2 6 3 4 2" xfId="4645" xr:uid="{00000000-0005-0000-0000-000011030000}"/>
    <cellStyle name="Currency 3 2 2 6 3 4 2 2" xfId="10822" xr:uid="{9AA69C26-FEB0-4495-BF6A-C1D45A154366}"/>
    <cellStyle name="Currency 3 2 2 6 3 4 3" xfId="8225" xr:uid="{89F0DDEE-9CF0-46DD-969A-AAB3E2D06B0A}"/>
    <cellStyle name="Currency 3 2 2 6 3 5" xfId="3812" xr:uid="{00000000-0005-0000-0000-000012030000}"/>
    <cellStyle name="Currency 3 2 2 6 3 5 2" xfId="9989" xr:uid="{B5AE358D-2CD5-45AC-ABD2-BB2E6752E5F1}"/>
    <cellStyle name="Currency 3 2 2 6 3 6" xfId="1165" xr:uid="{00000000-0005-0000-0000-000013030000}"/>
    <cellStyle name="Currency 3 2 2 6 3 6 2" xfId="7342" xr:uid="{33ED6D06-11B2-454D-B2B4-B080380A8651}"/>
    <cellStyle name="Currency 3 2 2 6 3 7" xfId="6459" xr:uid="{24A572F2-8EEF-40DD-BFD6-94E25E51D2AD}"/>
    <cellStyle name="Currency 3 2 2 6 4" xfId="503" xr:uid="{00000000-0005-0000-0000-000014030000}"/>
    <cellStyle name="Currency 3 2 2 6 4 2" xfId="3151" xr:uid="{00000000-0005-0000-0000-000015030000}"/>
    <cellStyle name="Currency 3 2 2 6 4 2 2" xfId="4646" xr:uid="{00000000-0005-0000-0000-000016030000}"/>
    <cellStyle name="Currency 3 2 2 6 4 2 2 2" xfId="10823" xr:uid="{0A5F7851-351A-4F4C-B0E8-DA3EF06E4D46}"/>
    <cellStyle name="Currency 3 2 2 6 4 2 3" xfId="9328" xr:uid="{6436F7E4-75B6-46DD-AD32-91651BC0E5BE}"/>
    <cellStyle name="Currency 3 2 2 6 4 3" xfId="2269" xr:uid="{00000000-0005-0000-0000-000017030000}"/>
    <cellStyle name="Currency 3 2 2 6 4 3 2" xfId="4647" xr:uid="{00000000-0005-0000-0000-000018030000}"/>
    <cellStyle name="Currency 3 2 2 6 4 3 2 2" xfId="10824" xr:uid="{2C9AE426-751E-4582-9BF3-CAD4AE550724}"/>
    <cellStyle name="Currency 3 2 2 6 4 3 3" xfId="8446" xr:uid="{D025E50D-8E09-461E-8171-4B4D76E69881}"/>
    <cellStyle name="Currency 3 2 2 6 4 4" xfId="4033" xr:uid="{00000000-0005-0000-0000-000019030000}"/>
    <cellStyle name="Currency 3 2 2 6 4 4 2" xfId="10210" xr:uid="{EDE91CBD-9231-447A-A98E-550811CE5938}"/>
    <cellStyle name="Currency 3 2 2 6 4 5" xfId="1386" xr:uid="{00000000-0005-0000-0000-00001A030000}"/>
    <cellStyle name="Currency 3 2 2 6 4 5 2" xfId="7563" xr:uid="{1218DAEE-7697-4901-80B8-578116B8BC38}"/>
    <cellStyle name="Currency 3 2 2 6 4 6" xfId="6680" xr:uid="{234CAB80-5A93-46E6-BAE8-28F75B0DCABB}"/>
    <cellStyle name="Currency 3 2 2 6 5" xfId="2710" xr:uid="{00000000-0005-0000-0000-00001B030000}"/>
    <cellStyle name="Currency 3 2 2 6 5 2" xfId="4648" xr:uid="{00000000-0005-0000-0000-00001C030000}"/>
    <cellStyle name="Currency 3 2 2 6 5 2 2" xfId="10825" xr:uid="{E68F49F7-BE0B-42BC-AD86-87148BF7C08E}"/>
    <cellStyle name="Currency 3 2 2 6 5 3" xfId="8887" xr:uid="{F6EBC066-F6AE-408D-905C-4BC7AF8E0823}"/>
    <cellStyle name="Currency 3 2 2 6 6" xfId="1828" xr:uid="{00000000-0005-0000-0000-00001D030000}"/>
    <cellStyle name="Currency 3 2 2 6 6 2" xfId="4649" xr:uid="{00000000-0005-0000-0000-00001E030000}"/>
    <cellStyle name="Currency 3 2 2 6 6 2 2" xfId="10826" xr:uid="{19C0A1DC-7463-47C4-83C0-3995B480E16B}"/>
    <cellStyle name="Currency 3 2 2 6 6 3" xfId="8005" xr:uid="{BA31569E-9128-4698-BD6B-446D189160FD}"/>
    <cellStyle name="Currency 3 2 2 6 7" xfId="3592" xr:uid="{00000000-0005-0000-0000-00001F030000}"/>
    <cellStyle name="Currency 3 2 2 6 7 2" xfId="9769" xr:uid="{0073512A-EE35-457A-A0F1-E78B514AAFCB}"/>
    <cellStyle name="Currency 3 2 2 6 8" xfId="945" xr:uid="{00000000-0005-0000-0000-000020030000}"/>
    <cellStyle name="Currency 3 2 2 6 8 2" xfId="7122" xr:uid="{74556C17-DD56-4618-A3C3-BC053A26556A}"/>
    <cellStyle name="Currency 3 2 2 6 9" xfId="6239" xr:uid="{ADB3BA65-7A31-4D1B-B3D5-064340236E1A}"/>
    <cellStyle name="Currency 3 2 2 7" xfId="78" xr:uid="{00000000-0005-0000-0000-000021030000}"/>
    <cellStyle name="Currency 3 2 2 7 2" xfId="188" xr:uid="{00000000-0005-0000-0000-000022030000}"/>
    <cellStyle name="Currency 3 2 2 7 2 2" xfId="408" xr:uid="{00000000-0005-0000-0000-000023030000}"/>
    <cellStyle name="Currency 3 2 2 7 2 2 2" xfId="849" xr:uid="{00000000-0005-0000-0000-000024030000}"/>
    <cellStyle name="Currency 3 2 2 7 2 2 2 2" xfId="3497" xr:uid="{00000000-0005-0000-0000-000025030000}"/>
    <cellStyle name="Currency 3 2 2 7 2 2 2 2 2" xfId="4650" xr:uid="{00000000-0005-0000-0000-000026030000}"/>
    <cellStyle name="Currency 3 2 2 7 2 2 2 2 2 2" xfId="10827" xr:uid="{0FCEFAAB-54DE-479A-AB80-AB1B286D330D}"/>
    <cellStyle name="Currency 3 2 2 7 2 2 2 2 3" xfId="9674" xr:uid="{1359F308-C5C6-4838-884E-3C770C69BE0A}"/>
    <cellStyle name="Currency 3 2 2 7 2 2 2 3" xfId="2615" xr:uid="{00000000-0005-0000-0000-000027030000}"/>
    <cellStyle name="Currency 3 2 2 7 2 2 2 3 2" xfId="4651" xr:uid="{00000000-0005-0000-0000-000028030000}"/>
    <cellStyle name="Currency 3 2 2 7 2 2 2 3 2 2" xfId="10828" xr:uid="{2A80C93E-1107-4CD0-8FAD-8B3A1907624B}"/>
    <cellStyle name="Currency 3 2 2 7 2 2 2 3 3" xfId="8792" xr:uid="{B5E4E460-4FDD-4537-8B6A-DBC0DCE7523B}"/>
    <cellStyle name="Currency 3 2 2 7 2 2 2 4" xfId="4379" xr:uid="{00000000-0005-0000-0000-000029030000}"/>
    <cellStyle name="Currency 3 2 2 7 2 2 2 4 2" xfId="10556" xr:uid="{7EBABF74-513F-4F23-9085-E2A0211B786F}"/>
    <cellStyle name="Currency 3 2 2 7 2 2 2 5" xfId="1732" xr:uid="{00000000-0005-0000-0000-00002A030000}"/>
    <cellStyle name="Currency 3 2 2 7 2 2 2 5 2" xfId="7909" xr:uid="{7B01389B-68EE-4638-B7AD-8F0FCCC4B8DA}"/>
    <cellStyle name="Currency 3 2 2 7 2 2 2 6" xfId="7026" xr:uid="{24F34E2F-0906-4D0F-B8AA-E80CDB03DF6D}"/>
    <cellStyle name="Currency 3 2 2 7 2 2 3" xfId="3056" xr:uid="{00000000-0005-0000-0000-00002B030000}"/>
    <cellStyle name="Currency 3 2 2 7 2 2 3 2" xfId="4652" xr:uid="{00000000-0005-0000-0000-00002C030000}"/>
    <cellStyle name="Currency 3 2 2 7 2 2 3 2 2" xfId="10829" xr:uid="{371C1BBA-0B4F-450E-B77B-94D3AC238D07}"/>
    <cellStyle name="Currency 3 2 2 7 2 2 3 3" xfId="9233" xr:uid="{1F7178D0-5A53-4C0A-82CC-BA622612CA8C}"/>
    <cellStyle name="Currency 3 2 2 7 2 2 4" xfId="2174" xr:uid="{00000000-0005-0000-0000-00002D030000}"/>
    <cellStyle name="Currency 3 2 2 7 2 2 4 2" xfId="4653" xr:uid="{00000000-0005-0000-0000-00002E030000}"/>
    <cellStyle name="Currency 3 2 2 7 2 2 4 2 2" xfId="10830" xr:uid="{23D00E27-7BA4-4B93-83B2-3221DDBDE772}"/>
    <cellStyle name="Currency 3 2 2 7 2 2 4 3" xfId="8351" xr:uid="{3B4D3A9C-9C5D-4FB7-ACF2-526B993BC292}"/>
    <cellStyle name="Currency 3 2 2 7 2 2 5" xfId="3938" xr:uid="{00000000-0005-0000-0000-00002F030000}"/>
    <cellStyle name="Currency 3 2 2 7 2 2 5 2" xfId="10115" xr:uid="{C3DFFF75-72FF-4370-901F-F9524DEBDA2A}"/>
    <cellStyle name="Currency 3 2 2 7 2 2 6" xfId="1291" xr:uid="{00000000-0005-0000-0000-000030030000}"/>
    <cellStyle name="Currency 3 2 2 7 2 2 6 2" xfId="7468" xr:uid="{0CF714AD-0DAA-4F28-BF85-4872D093AC03}"/>
    <cellStyle name="Currency 3 2 2 7 2 2 7" xfId="6585" xr:uid="{D79CFFC9-0424-41F3-81E4-A25760FA7B4E}"/>
    <cellStyle name="Currency 3 2 2 7 2 3" xfId="629" xr:uid="{00000000-0005-0000-0000-000031030000}"/>
    <cellStyle name="Currency 3 2 2 7 2 3 2" xfId="3277" xr:uid="{00000000-0005-0000-0000-000032030000}"/>
    <cellStyle name="Currency 3 2 2 7 2 3 2 2" xfId="4654" xr:uid="{00000000-0005-0000-0000-000033030000}"/>
    <cellStyle name="Currency 3 2 2 7 2 3 2 2 2" xfId="10831" xr:uid="{0FD56EA0-9956-488A-A872-00DDC1434AFB}"/>
    <cellStyle name="Currency 3 2 2 7 2 3 2 3" xfId="9454" xr:uid="{F05EDD7E-8C93-4A85-86FA-3572F4F8A161}"/>
    <cellStyle name="Currency 3 2 2 7 2 3 3" xfId="2395" xr:uid="{00000000-0005-0000-0000-000034030000}"/>
    <cellStyle name="Currency 3 2 2 7 2 3 3 2" xfId="4655" xr:uid="{00000000-0005-0000-0000-000035030000}"/>
    <cellStyle name="Currency 3 2 2 7 2 3 3 2 2" xfId="10832" xr:uid="{B6E6929A-4DEA-4460-9A48-3A0A73631805}"/>
    <cellStyle name="Currency 3 2 2 7 2 3 3 3" xfId="8572" xr:uid="{8CEBFDA2-D677-4FE9-A278-CAA29218AAAF}"/>
    <cellStyle name="Currency 3 2 2 7 2 3 4" xfId="4159" xr:uid="{00000000-0005-0000-0000-000036030000}"/>
    <cellStyle name="Currency 3 2 2 7 2 3 4 2" xfId="10336" xr:uid="{C04005B5-E887-4F6C-B23F-1E52B61E1A38}"/>
    <cellStyle name="Currency 3 2 2 7 2 3 5" xfId="1512" xr:uid="{00000000-0005-0000-0000-000037030000}"/>
    <cellStyle name="Currency 3 2 2 7 2 3 5 2" xfId="7689" xr:uid="{578B070C-4592-43B3-B98F-D0358378241B}"/>
    <cellStyle name="Currency 3 2 2 7 2 3 6" xfId="6806" xr:uid="{55BB5C73-A74B-4CAE-A1B9-4FBC9E593A5A}"/>
    <cellStyle name="Currency 3 2 2 7 2 4" xfId="2836" xr:uid="{00000000-0005-0000-0000-000038030000}"/>
    <cellStyle name="Currency 3 2 2 7 2 4 2" xfId="4656" xr:uid="{00000000-0005-0000-0000-000039030000}"/>
    <cellStyle name="Currency 3 2 2 7 2 4 2 2" xfId="10833" xr:uid="{1C3B661B-81CD-4C78-92F8-24046916A501}"/>
    <cellStyle name="Currency 3 2 2 7 2 4 3" xfId="9013" xr:uid="{9F1C0E1E-DE2A-45CE-AE86-5A11EC51F97E}"/>
    <cellStyle name="Currency 3 2 2 7 2 5" xfId="1954" xr:uid="{00000000-0005-0000-0000-00003A030000}"/>
    <cellStyle name="Currency 3 2 2 7 2 5 2" xfId="4657" xr:uid="{00000000-0005-0000-0000-00003B030000}"/>
    <cellStyle name="Currency 3 2 2 7 2 5 2 2" xfId="10834" xr:uid="{686CEF9E-7735-41A8-9A5B-555690F836CD}"/>
    <cellStyle name="Currency 3 2 2 7 2 5 3" xfId="8131" xr:uid="{D4EC0D54-B70A-4B82-8EB9-88BD8CD3E3D4}"/>
    <cellStyle name="Currency 3 2 2 7 2 6" xfId="3718" xr:uid="{00000000-0005-0000-0000-00003C030000}"/>
    <cellStyle name="Currency 3 2 2 7 2 6 2" xfId="9895" xr:uid="{7FF38DD7-B3EB-44FB-AF96-065426E55907}"/>
    <cellStyle name="Currency 3 2 2 7 2 7" xfId="1071" xr:uid="{00000000-0005-0000-0000-00003D030000}"/>
    <cellStyle name="Currency 3 2 2 7 2 7 2" xfId="7248" xr:uid="{0D0A277D-86D5-4FA1-94DF-5DF6CE8524FF}"/>
    <cellStyle name="Currency 3 2 2 7 2 8" xfId="6365" xr:uid="{2725AABA-2F15-4BD1-A28E-51A666099687}"/>
    <cellStyle name="Currency 3 2 2 7 3" xfId="298" xr:uid="{00000000-0005-0000-0000-00003E030000}"/>
    <cellStyle name="Currency 3 2 2 7 3 2" xfId="739" xr:uid="{00000000-0005-0000-0000-00003F030000}"/>
    <cellStyle name="Currency 3 2 2 7 3 2 2" xfId="3387" xr:uid="{00000000-0005-0000-0000-000040030000}"/>
    <cellStyle name="Currency 3 2 2 7 3 2 2 2" xfId="4658" xr:uid="{00000000-0005-0000-0000-000041030000}"/>
    <cellStyle name="Currency 3 2 2 7 3 2 2 2 2" xfId="10835" xr:uid="{0CAF28CB-C3CE-498C-A70A-4B17AA28E1A0}"/>
    <cellStyle name="Currency 3 2 2 7 3 2 2 3" xfId="9564" xr:uid="{D4282478-CEA0-4037-8126-6C7B16B6B7E6}"/>
    <cellStyle name="Currency 3 2 2 7 3 2 3" xfId="2505" xr:uid="{00000000-0005-0000-0000-000042030000}"/>
    <cellStyle name="Currency 3 2 2 7 3 2 3 2" xfId="4659" xr:uid="{00000000-0005-0000-0000-000043030000}"/>
    <cellStyle name="Currency 3 2 2 7 3 2 3 2 2" xfId="10836" xr:uid="{BCB5C570-08F7-4693-802B-721DF72C38AA}"/>
    <cellStyle name="Currency 3 2 2 7 3 2 3 3" xfId="8682" xr:uid="{16973C22-4074-405D-88F4-B8892D2C103B}"/>
    <cellStyle name="Currency 3 2 2 7 3 2 4" xfId="4269" xr:uid="{00000000-0005-0000-0000-000044030000}"/>
    <cellStyle name="Currency 3 2 2 7 3 2 4 2" xfId="10446" xr:uid="{A7A3D263-A43E-4763-A18D-B9D6840E143D}"/>
    <cellStyle name="Currency 3 2 2 7 3 2 5" xfId="1622" xr:uid="{00000000-0005-0000-0000-000045030000}"/>
    <cellStyle name="Currency 3 2 2 7 3 2 5 2" xfId="7799" xr:uid="{DD9551D2-98E4-438F-A171-DDB6E3F7926B}"/>
    <cellStyle name="Currency 3 2 2 7 3 2 6" xfId="6916" xr:uid="{9E296191-F090-4C21-9FD2-15ADBCCF6341}"/>
    <cellStyle name="Currency 3 2 2 7 3 3" xfId="2946" xr:uid="{00000000-0005-0000-0000-000046030000}"/>
    <cellStyle name="Currency 3 2 2 7 3 3 2" xfId="4660" xr:uid="{00000000-0005-0000-0000-000047030000}"/>
    <cellStyle name="Currency 3 2 2 7 3 3 2 2" xfId="10837" xr:uid="{F2DB89A7-5E3A-4E0A-B4F7-0CD4AEA414C8}"/>
    <cellStyle name="Currency 3 2 2 7 3 3 3" xfId="9123" xr:uid="{8A368C34-6645-4C05-807D-4BC4331FAC24}"/>
    <cellStyle name="Currency 3 2 2 7 3 4" xfId="2064" xr:uid="{00000000-0005-0000-0000-000048030000}"/>
    <cellStyle name="Currency 3 2 2 7 3 4 2" xfId="4661" xr:uid="{00000000-0005-0000-0000-000049030000}"/>
    <cellStyle name="Currency 3 2 2 7 3 4 2 2" xfId="10838" xr:uid="{2B6DF51F-4A70-4A0F-B4CE-EAFC1E08644D}"/>
    <cellStyle name="Currency 3 2 2 7 3 4 3" xfId="8241" xr:uid="{C203E824-AF50-4169-BB7D-1B6159631176}"/>
    <cellStyle name="Currency 3 2 2 7 3 5" xfId="3828" xr:uid="{00000000-0005-0000-0000-00004A030000}"/>
    <cellStyle name="Currency 3 2 2 7 3 5 2" xfId="10005" xr:uid="{3842CCA7-C577-4616-87C2-04336DBB5FC8}"/>
    <cellStyle name="Currency 3 2 2 7 3 6" xfId="1181" xr:uid="{00000000-0005-0000-0000-00004B030000}"/>
    <cellStyle name="Currency 3 2 2 7 3 6 2" xfId="7358" xr:uid="{64004079-F19D-4DD3-B922-BEBD2FD0ECE3}"/>
    <cellStyle name="Currency 3 2 2 7 3 7" xfId="6475" xr:uid="{E128622D-027F-417E-82F6-AE0CB281F2F4}"/>
    <cellStyle name="Currency 3 2 2 7 4" xfId="519" xr:uid="{00000000-0005-0000-0000-00004C030000}"/>
    <cellStyle name="Currency 3 2 2 7 4 2" xfId="3167" xr:uid="{00000000-0005-0000-0000-00004D030000}"/>
    <cellStyle name="Currency 3 2 2 7 4 2 2" xfId="4662" xr:uid="{00000000-0005-0000-0000-00004E030000}"/>
    <cellStyle name="Currency 3 2 2 7 4 2 2 2" xfId="10839" xr:uid="{B0F6A261-ACED-4D9F-A2AB-0E1F760C37FF}"/>
    <cellStyle name="Currency 3 2 2 7 4 2 3" xfId="9344" xr:uid="{04E9214C-5E39-49DA-8F55-754112946D10}"/>
    <cellStyle name="Currency 3 2 2 7 4 3" xfId="2285" xr:uid="{00000000-0005-0000-0000-00004F030000}"/>
    <cellStyle name="Currency 3 2 2 7 4 3 2" xfId="4663" xr:uid="{00000000-0005-0000-0000-000050030000}"/>
    <cellStyle name="Currency 3 2 2 7 4 3 2 2" xfId="10840" xr:uid="{E137AA93-4088-4E53-A080-C70E05B976AE}"/>
    <cellStyle name="Currency 3 2 2 7 4 3 3" xfId="8462" xr:uid="{A0942785-821F-4E0B-8204-403199C8737B}"/>
    <cellStyle name="Currency 3 2 2 7 4 4" xfId="4049" xr:uid="{00000000-0005-0000-0000-000051030000}"/>
    <cellStyle name="Currency 3 2 2 7 4 4 2" xfId="10226" xr:uid="{21F6BD38-7C9D-4D69-91D9-2687D66F1F98}"/>
    <cellStyle name="Currency 3 2 2 7 4 5" xfId="1402" xr:uid="{00000000-0005-0000-0000-000052030000}"/>
    <cellStyle name="Currency 3 2 2 7 4 5 2" xfId="7579" xr:uid="{A6FAACAB-4FB2-4D79-8BF3-6E0BFBA96928}"/>
    <cellStyle name="Currency 3 2 2 7 4 6" xfId="6696" xr:uid="{03391D08-2C63-4308-AB9F-921B2BD97FA0}"/>
    <cellStyle name="Currency 3 2 2 7 5" xfId="2726" xr:uid="{00000000-0005-0000-0000-000053030000}"/>
    <cellStyle name="Currency 3 2 2 7 5 2" xfId="4664" xr:uid="{00000000-0005-0000-0000-000054030000}"/>
    <cellStyle name="Currency 3 2 2 7 5 2 2" xfId="10841" xr:uid="{D052B8AB-90B0-4165-96D0-6DAB1A451090}"/>
    <cellStyle name="Currency 3 2 2 7 5 3" xfId="8903" xr:uid="{948E61CB-51F2-4E2C-A868-2C04C9E63D45}"/>
    <cellStyle name="Currency 3 2 2 7 6" xfId="1844" xr:uid="{00000000-0005-0000-0000-000055030000}"/>
    <cellStyle name="Currency 3 2 2 7 6 2" xfId="4665" xr:uid="{00000000-0005-0000-0000-000056030000}"/>
    <cellStyle name="Currency 3 2 2 7 6 2 2" xfId="10842" xr:uid="{C5A693BE-D77A-4FBC-B8E6-D0C0E3061F7D}"/>
    <cellStyle name="Currency 3 2 2 7 6 3" xfId="8021" xr:uid="{7B6018D4-785A-450A-8232-5EF113DA4AD9}"/>
    <cellStyle name="Currency 3 2 2 7 7" xfId="3608" xr:uid="{00000000-0005-0000-0000-000057030000}"/>
    <cellStyle name="Currency 3 2 2 7 7 2" xfId="9785" xr:uid="{48EAF9FB-5DF3-4EAC-ACD2-5826DA93ED6F}"/>
    <cellStyle name="Currency 3 2 2 7 8" xfId="961" xr:uid="{00000000-0005-0000-0000-000058030000}"/>
    <cellStyle name="Currency 3 2 2 7 8 2" xfId="7138" xr:uid="{A4D11C6F-B0D1-4ECA-BBE6-254FC6B11BD3}"/>
    <cellStyle name="Currency 3 2 2 7 9" xfId="6255" xr:uid="{8AB92BA7-6F2A-4939-B25A-2C61DE38A845}"/>
    <cellStyle name="Currency 3 2 2 8" xfId="122" xr:uid="{00000000-0005-0000-0000-000059030000}"/>
    <cellStyle name="Currency 3 2 2 8 2" xfId="342" xr:uid="{00000000-0005-0000-0000-00005A030000}"/>
    <cellStyle name="Currency 3 2 2 8 2 2" xfId="783" xr:uid="{00000000-0005-0000-0000-00005B030000}"/>
    <cellStyle name="Currency 3 2 2 8 2 2 2" xfId="3431" xr:uid="{00000000-0005-0000-0000-00005C030000}"/>
    <cellStyle name="Currency 3 2 2 8 2 2 2 2" xfId="4666" xr:uid="{00000000-0005-0000-0000-00005D030000}"/>
    <cellStyle name="Currency 3 2 2 8 2 2 2 2 2" xfId="10843" xr:uid="{36381380-66EE-41ED-A6A1-4D14CF1BC895}"/>
    <cellStyle name="Currency 3 2 2 8 2 2 2 3" xfId="9608" xr:uid="{98B845A1-D404-4B94-8748-F47C769463EC}"/>
    <cellStyle name="Currency 3 2 2 8 2 2 3" xfId="2549" xr:uid="{00000000-0005-0000-0000-00005E030000}"/>
    <cellStyle name="Currency 3 2 2 8 2 2 3 2" xfId="4667" xr:uid="{00000000-0005-0000-0000-00005F030000}"/>
    <cellStyle name="Currency 3 2 2 8 2 2 3 2 2" xfId="10844" xr:uid="{7825A1E2-BE7B-4654-99DF-2B7A067B2B6B}"/>
    <cellStyle name="Currency 3 2 2 8 2 2 3 3" xfId="8726" xr:uid="{3C3438E5-166D-4A7F-8DD2-74346AF211EA}"/>
    <cellStyle name="Currency 3 2 2 8 2 2 4" xfId="4313" xr:uid="{00000000-0005-0000-0000-000060030000}"/>
    <cellStyle name="Currency 3 2 2 8 2 2 4 2" xfId="10490" xr:uid="{5C0715A0-9C6F-4154-94CC-0CDD4A984F42}"/>
    <cellStyle name="Currency 3 2 2 8 2 2 5" xfId="1666" xr:uid="{00000000-0005-0000-0000-000061030000}"/>
    <cellStyle name="Currency 3 2 2 8 2 2 5 2" xfId="7843" xr:uid="{A95E6322-4BA3-4D87-B3C5-97CB9038C3FB}"/>
    <cellStyle name="Currency 3 2 2 8 2 2 6" xfId="6960" xr:uid="{EBEE2C8E-33A5-4603-A539-1240F60181C6}"/>
    <cellStyle name="Currency 3 2 2 8 2 3" xfId="2990" xr:uid="{00000000-0005-0000-0000-000062030000}"/>
    <cellStyle name="Currency 3 2 2 8 2 3 2" xfId="4668" xr:uid="{00000000-0005-0000-0000-000063030000}"/>
    <cellStyle name="Currency 3 2 2 8 2 3 2 2" xfId="10845" xr:uid="{07A36924-73FC-4DA3-A3AB-9598041F5798}"/>
    <cellStyle name="Currency 3 2 2 8 2 3 3" xfId="9167" xr:uid="{31C0682F-BEF9-4DE5-8E59-E8C510515B07}"/>
    <cellStyle name="Currency 3 2 2 8 2 4" xfId="2108" xr:uid="{00000000-0005-0000-0000-000064030000}"/>
    <cellStyle name="Currency 3 2 2 8 2 4 2" xfId="4669" xr:uid="{00000000-0005-0000-0000-000065030000}"/>
    <cellStyle name="Currency 3 2 2 8 2 4 2 2" xfId="10846" xr:uid="{8EBC5B08-F1A3-4F88-B62A-826B17B228A4}"/>
    <cellStyle name="Currency 3 2 2 8 2 4 3" xfId="8285" xr:uid="{236BD7A7-B19A-404D-8C99-97829C42626C}"/>
    <cellStyle name="Currency 3 2 2 8 2 5" xfId="3872" xr:uid="{00000000-0005-0000-0000-000066030000}"/>
    <cellStyle name="Currency 3 2 2 8 2 5 2" xfId="10049" xr:uid="{1C329638-CB47-4D2F-ABC5-D2380602A8F5}"/>
    <cellStyle name="Currency 3 2 2 8 2 6" xfId="1225" xr:uid="{00000000-0005-0000-0000-000067030000}"/>
    <cellStyle name="Currency 3 2 2 8 2 6 2" xfId="7402" xr:uid="{58623020-3B35-40DF-8345-17A4D78CE52C}"/>
    <cellStyle name="Currency 3 2 2 8 2 7" xfId="6519" xr:uid="{D1BE2DBA-DEFA-43DB-AE2B-751035F91889}"/>
    <cellStyle name="Currency 3 2 2 8 3" xfId="563" xr:uid="{00000000-0005-0000-0000-000068030000}"/>
    <cellStyle name="Currency 3 2 2 8 3 2" xfId="3211" xr:uid="{00000000-0005-0000-0000-000069030000}"/>
    <cellStyle name="Currency 3 2 2 8 3 2 2" xfId="4670" xr:uid="{00000000-0005-0000-0000-00006A030000}"/>
    <cellStyle name="Currency 3 2 2 8 3 2 2 2" xfId="10847" xr:uid="{6E30B0BC-345C-474D-B3E8-D9B3F6566E24}"/>
    <cellStyle name="Currency 3 2 2 8 3 2 3" xfId="9388" xr:uid="{155661BD-FE0E-4303-BDEA-36CD8649C024}"/>
    <cellStyle name="Currency 3 2 2 8 3 3" xfId="2329" xr:uid="{00000000-0005-0000-0000-00006B030000}"/>
    <cellStyle name="Currency 3 2 2 8 3 3 2" xfId="4671" xr:uid="{00000000-0005-0000-0000-00006C030000}"/>
    <cellStyle name="Currency 3 2 2 8 3 3 2 2" xfId="10848" xr:uid="{371666D2-DF79-4041-9FB3-B476C521FC74}"/>
    <cellStyle name="Currency 3 2 2 8 3 3 3" xfId="8506" xr:uid="{765B6754-A05A-441F-9BBB-B4C6833268E1}"/>
    <cellStyle name="Currency 3 2 2 8 3 4" xfId="4093" xr:uid="{00000000-0005-0000-0000-00006D030000}"/>
    <cellStyle name="Currency 3 2 2 8 3 4 2" xfId="10270" xr:uid="{4DF6D7C8-F682-4961-A2B2-DEC8C730C149}"/>
    <cellStyle name="Currency 3 2 2 8 3 5" xfId="1446" xr:uid="{00000000-0005-0000-0000-00006E030000}"/>
    <cellStyle name="Currency 3 2 2 8 3 5 2" xfId="7623" xr:uid="{3DFD12C5-6975-4CF0-B8D1-B708645A3B6E}"/>
    <cellStyle name="Currency 3 2 2 8 3 6" xfId="6740" xr:uid="{C71E9C43-0D52-4119-B833-0874E459AD17}"/>
    <cellStyle name="Currency 3 2 2 8 4" xfId="2770" xr:uid="{00000000-0005-0000-0000-00006F030000}"/>
    <cellStyle name="Currency 3 2 2 8 4 2" xfId="4672" xr:uid="{00000000-0005-0000-0000-000070030000}"/>
    <cellStyle name="Currency 3 2 2 8 4 2 2" xfId="10849" xr:uid="{30A7BBB9-5479-45CD-8AEE-5E82FDB5447B}"/>
    <cellStyle name="Currency 3 2 2 8 4 3" xfId="8947" xr:uid="{D7403770-CBD3-4DF7-9E85-309DFBDED174}"/>
    <cellStyle name="Currency 3 2 2 8 5" xfId="1888" xr:uid="{00000000-0005-0000-0000-000071030000}"/>
    <cellStyle name="Currency 3 2 2 8 5 2" xfId="4673" xr:uid="{00000000-0005-0000-0000-000072030000}"/>
    <cellStyle name="Currency 3 2 2 8 5 2 2" xfId="10850" xr:uid="{C43D5F50-71D9-40B6-AEBA-3477B0C31A85}"/>
    <cellStyle name="Currency 3 2 2 8 5 3" xfId="8065" xr:uid="{1291A73F-16F2-489F-A880-E81C0B6E178E}"/>
    <cellStyle name="Currency 3 2 2 8 6" xfId="3652" xr:uid="{00000000-0005-0000-0000-000073030000}"/>
    <cellStyle name="Currency 3 2 2 8 6 2" xfId="9829" xr:uid="{19535485-93D3-47A9-AFC1-0E94C3AC46CE}"/>
    <cellStyle name="Currency 3 2 2 8 7" xfId="1005" xr:uid="{00000000-0005-0000-0000-000074030000}"/>
    <cellStyle name="Currency 3 2 2 8 7 2" xfId="7182" xr:uid="{DBE257C3-86DA-4CA7-BCF2-0824A3713FBE}"/>
    <cellStyle name="Currency 3 2 2 8 8" xfId="6299" xr:uid="{9000CD3B-CAAA-4514-9D1D-92C5DB2EF4DD}"/>
    <cellStyle name="Currency 3 2 2 9" xfId="232" xr:uid="{00000000-0005-0000-0000-000075030000}"/>
    <cellStyle name="Currency 3 2 2 9 2" xfId="673" xr:uid="{00000000-0005-0000-0000-000076030000}"/>
    <cellStyle name="Currency 3 2 2 9 2 2" xfId="3321" xr:uid="{00000000-0005-0000-0000-000077030000}"/>
    <cellStyle name="Currency 3 2 2 9 2 2 2" xfId="4674" xr:uid="{00000000-0005-0000-0000-000078030000}"/>
    <cellStyle name="Currency 3 2 2 9 2 2 2 2" xfId="10851" xr:uid="{60FB6514-B601-445B-9482-3483A63666D4}"/>
    <cellStyle name="Currency 3 2 2 9 2 2 3" xfId="9498" xr:uid="{AFF1445E-EE05-41E9-86BA-46B8C4E191F9}"/>
    <cellStyle name="Currency 3 2 2 9 2 3" xfId="2439" xr:uid="{00000000-0005-0000-0000-000079030000}"/>
    <cellStyle name="Currency 3 2 2 9 2 3 2" xfId="4675" xr:uid="{00000000-0005-0000-0000-00007A030000}"/>
    <cellStyle name="Currency 3 2 2 9 2 3 2 2" xfId="10852" xr:uid="{B5C876B2-5AC5-4508-A243-268DFA432B94}"/>
    <cellStyle name="Currency 3 2 2 9 2 3 3" xfId="8616" xr:uid="{900182F2-05DF-48E0-A607-EB23547A0D0E}"/>
    <cellStyle name="Currency 3 2 2 9 2 4" xfId="4203" xr:uid="{00000000-0005-0000-0000-00007B030000}"/>
    <cellStyle name="Currency 3 2 2 9 2 4 2" xfId="10380" xr:uid="{69AC8F27-8E2E-4C6A-A494-ABC096C7B516}"/>
    <cellStyle name="Currency 3 2 2 9 2 5" xfId="1556" xr:uid="{00000000-0005-0000-0000-00007C030000}"/>
    <cellStyle name="Currency 3 2 2 9 2 5 2" xfId="7733" xr:uid="{20ACA18A-E791-49C6-B6CB-F8DD4C66E309}"/>
    <cellStyle name="Currency 3 2 2 9 2 6" xfId="6850" xr:uid="{A8FBA323-E1C7-4B42-A80C-B6C4F32752FE}"/>
    <cellStyle name="Currency 3 2 2 9 3" xfId="2880" xr:uid="{00000000-0005-0000-0000-00007D030000}"/>
    <cellStyle name="Currency 3 2 2 9 3 2" xfId="4676" xr:uid="{00000000-0005-0000-0000-00007E030000}"/>
    <cellStyle name="Currency 3 2 2 9 3 2 2" xfId="10853" xr:uid="{6BE67827-5344-4917-8300-93A4B9F9296C}"/>
    <cellStyle name="Currency 3 2 2 9 3 3" xfId="9057" xr:uid="{1FCBE386-340F-49CD-9254-859672C50560}"/>
    <cellStyle name="Currency 3 2 2 9 4" xfId="1998" xr:uid="{00000000-0005-0000-0000-00007F030000}"/>
    <cellStyle name="Currency 3 2 2 9 4 2" xfId="4677" xr:uid="{00000000-0005-0000-0000-000080030000}"/>
    <cellStyle name="Currency 3 2 2 9 4 2 2" xfId="10854" xr:uid="{1753033B-1718-446D-9A44-338E85C2B2CC}"/>
    <cellStyle name="Currency 3 2 2 9 4 3" xfId="8175" xr:uid="{97845E25-AB52-4485-85FB-C2EAA2E2B825}"/>
    <cellStyle name="Currency 3 2 2 9 5" xfId="3762" xr:uid="{00000000-0005-0000-0000-000081030000}"/>
    <cellStyle name="Currency 3 2 2 9 5 2" xfId="9939" xr:uid="{3D7D214F-27EF-440D-B863-7541D438F9F6}"/>
    <cellStyle name="Currency 3 2 2 9 6" xfId="1115" xr:uid="{00000000-0005-0000-0000-000082030000}"/>
    <cellStyle name="Currency 3 2 2 9 6 2" xfId="7292" xr:uid="{0BCD8263-2EF8-426A-91D3-3237860F6F57}"/>
    <cellStyle name="Currency 3 2 2 9 7" xfId="6409" xr:uid="{35165363-571D-48CE-A274-2FEB8571AB2D}"/>
    <cellStyle name="Currency 3 2 3" xfId="16" xr:uid="{00000000-0005-0000-0000-000083030000}"/>
    <cellStyle name="Currency 3 2 3 10" xfId="3546" xr:uid="{00000000-0005-0000-0000-000084030000}"/>
    <cellStyle name="Currency 3 2 3 10 2" xfId="9723" xr:uid="{99CBD332-6060-4344-94C0-07475107F6F2}"/>
    <cellStyle name="Currency 3 2 3 11" xfId="899" xr:uid="{00000000-0005-0000-0000-000085030000}"/>
    <cellStyle name="Currency 3 2 3 11 2" xfId="7076" xr:uid="{A8346DE0-9612-438D-B4F7-E1A5E14C0094}"/>
    <cellStyle name="Currency 3 2 3 12" xfId="6193" xr:uid="{7C961A0B-27F8-4DEF-AC0B-B5EA7663F97F}"/>
    <cellStyle name="Currency 3 2 3 2" xfId="50" xr:uid="{00000000-0005-0000-0000-000086030000}"/>
    <cellStyle name="Currency 3 2 3 2 2" xfId="160" xr:uid="{00000000-0005-0000-0000-000087030000}"/>
    <cellStyle name="Currency 3 2 3 2 2 2" xfId="380" xr:uid="{00000000-0005-0000-0000-000088030000}"/>
    <cellStyle name="Currency 3 2 3 2 2 2 2" xfId="821" xr:uid="{00000000-0005-0000-0000-000089030000}"/>
    <cellStyle name="Currency 3 2 3 2 2 2 2 2" xfId="3469" xr:uid="{00000000-0005-0000-0000-00008A030000}"/>
    <cellStyle name="Currency 3 2 3 2 2 2 2 2 2" xfId="4678" xr:uid="{00000000-0005-0000-0000-00008B030000}"/>
    <cellStyle name="Currency 3 2 3 2 2 2 2 2 2 2" xfId="10855" xr:uid="{19E8AC18-5680-47FB-8235-7BE4A689D509}"/>
    <cellStyle name="Currency 3 2 3 2 2 2 2 2 3" xfId="9646" xr:uid="{050F118C-8B55-4FFA-89EA-A65B4B16CA36}"/>
    <cellStyle name="Currency 3 2 3 2 2 2 2 3" xfId="2587" xr:uid="{00000000-0005-0000-0000-00008C030000}"/>
    <cellStyle name="Currency 3 2 3 2 2 2 2 3 2" xfId="4679" xr:uid="{00000000-0005-0000-0000-00008D030000}"/>
    <cellStyle name="Currency 3 2 3 2 2 2 2 3 2 2" xfId="10856" xr:uid="{3D9B957D-8779-4ADA-AE62-63F506979F43}"/>
    <cellStyle name="Currency 3 2 3 2 2 2 2 3 3" xfId="8764" xr:uid="{036B0D40-63C3-4402-A215-3A0D7341C3D3}"/>
    <cellStyle name="Currency 3 2 3 2 2 2 2 4" xfId="4351" xr:uid="{00000000-0005-0000-0000-00008E030000}"/>
    <cellStyle name="Currency 3 2 3 2 2 2 2 4 2" xfId="10528" xr:uid="{355E90D2-E799-4825-BCA7-BD9A83BB4F11}"/>
    <cellStyle name="Currency 3 2 3 2 2 2 2 5" xfId="1704" xr:uid="{00000000-0005-0000-0000-00008F030000}"/>
    <cellStyle name="Currency 3 2 3 2 2 2 2 5 2" xfId="7881" xr:uid="{673FC90C-3F78-4A16-9B14-EE0872844088}"/>
    <cellStyle name="Currency 3 2 3 2 2 2 2 6" xfId="6998" xr:uid="{F8E6D0AA-3003-4919-8FBA-9C98FEBA3793}"/>
    <cellStyle name="Currency 3 2 3 2 2 2 3" xfId="3028" xr:uid="{00000000-0005-0000-0000-000090030000}"/>
    <cellStyle name="Currency 3 2 3 2 2 2 3 2" xfId="4680" xr:uid="{00000000-0005-0000-0000-000091030000}"/>
    <cellStyle name="Currency 3 2 3 2 2 2 3 2 2" xfId="10857" xr:uid="{DC720EE9-DE37-4A7C-9639-68C85B37B8BC}"/>
    <cellStyle name="Currency 3 2 3 2 2 2 3 3" xfId="9205" xr:uid="{7FE1856F-42C7-4FE3-8838-0AE8EA37792E}"/>
    <cellStyle name="Currency 3 2 3 2 2 2 4" xfId="2146" xr:uid="{00000000-0005-0000-0000-000092030000}"/>
    <cellStyle name="Currency 3 2 3 2 2 2 4 2" xfId="4681" xr:uid="{00000000-0005-0000-0000-000093030000}"/>
    <cellStyle name="Currency 3 2 3 2 2 2 4 2 2" xfId="10858" xr:uid="{A6A81F88-D6E4-427B-9178-76CE51C53793}"/>
    <cellStyle name="Currency 3 2 3 2 2 2 4 3" xfId="8323" xr:uid="{7660171A-DBEB-4F90-A596-CF29ADB78263}"/>
    <cellStyle name="Currency 3 2 3 2 2 2 5" xfId="3910" xr:uid="{00000000-0005-0000-0000-000094030000}"/>
    <cellStyle name="Currency 3 2 3 2 2 2 5 2" xfId="10087" xr:uid="{CC2AFF81-C411-4480-9574-E88ABFE96D0F}"/>
    <cellStyle name="Currency 3 2 3 2 2 2 6" xfId="1263" xr:uid="{00000000-0005-0000-0000-000095030000}"/>
    <cellStyle name="Currency 3 2 3 2 2 2 6 2" xfId="7440" xr:uid="{823D1EEB-E4AE-49F3-826B-2FB9448E019D}"/>
    <cellStyle name="Currency 3 2 3 2 2 2 7" xfId="6557" xr:uid="{05B50668-16BB-464A-8275-444540AA6175}"/>
    <cellStyle name="Currency 3 2 3 2 2 3" xfId="601" xr:uid="{00000000-0005-0000-0000-000096030000}"/>
    <cellStyle name="Currency 3 2 3 2 2 3 2" xfId="3249" xr:uid="{00000000-0005-0000-0000-000097030000}"/>
    <cellStyle name="Currency 3 2 3 2 2 3 2 2" xfId="4682" xr:uid="{00000000-0005-0000-0000-000098030000}"/>
    <cellStyle name="Currency 3 2 3 2 2 3 2 2 2" xfId="10859" xr:uid="{618CF1E0-B64B-44FD-B229-4C13714277B5}"/>
    <cellStyle name="Currency 3 2 3 2 2 3 2 3" xfId="9426" xr:uid="{90CA665C-596A-4990-92BE-1F64781C3022}"/>
    <cellStyle name="Currency 3 2 3 2 2 3 3" xfId="2367" xr:uid="{00000000-0005-0000-0000-000099030000}"/>
    <cellStyle name="Currency 3 2 3 2 2 3 3 2" xfId="4683" xr:uid="{00000000-0005-0000-0000-00009A030000}"/>
    <cellStyle name="Currency 3 2 3 2 2 3 3 2 2" xfId="10860" xr:uid="{BF6C734D-D320-4413-A1B7-E7C143AE0218}"/>
    <cellStyle name="Currency 3 2 3 2 2 3 3 3" xfId="8544" xr:uid="{B70B5E60-4BDB-4EA9-9C5D-D9E62B9F9C04}"/>
    <cellStyle name="Currency 3 2 3 2 2 3 4" xfId="4131" xr:uid="{00000000-0005-0000-0000-00009B030000}"/>
    <cellStyle name="Currency 3 2 3 2 2 3 4 2" xfId="10308" xr:uid="{DB2C6E05-732F-4A26-810B-BF648F3ED65A}"/>
    <cellStyle name="Currency 3 2 3 2 2 3 5" xfId="1484" xr:uid="{00000000-0005-0000-0000-00009C030000}"/>
    <cellStyle name="Currency 3 2 3 2 2 3 5 2" xfId="7661" xr:uid="{C6F6AC59-2148-4B6C-9FB0-AC963E44FBF1}"/>
    <cellStyle name="Currency 3 2 3 2 2 3 6" xfId="6778" xr:uid="{92A985A2-45E7-4E19-A6DA-9E7526CA6940}"/>
    <cellStyle name="Currency 3 2 3 2 2 4" xfId="2808" xr:uid="{00000000-0005-0000-0000-00009D030000}"/>
    <cellStyle name="Currency 3 2 3 2 2 4 2" xfId="4684" xr:uid="{00000000-0005-0000-0000-00009E030000}"/>
    <cellStyle name="Currency 3 2 3 2 2 4 2 2" xfId="10861" xr:uid="{19675563-D20B-4B4D-9E6E-D407456FA2AE}"/>
    <cellStyle name="Currency 3 2 3 2 2 4 3" xfId="8985" xr:uid="{35941AB2-2C73-4190-B2BE-BE4012F2C15C}"/>
    <cellStyle name="Currency 3 2 3 2 2 5" xfId="1926" xr:uid="{00000000-0005-0000-0000-00009F030000}"/>
    <cellStyle name="Currency 3 2 3 2 2 5 2" xfId="4685" xr:uid="{00000000-0005-0000-0000-0000A0030000}"/>
    <cellStyle name="Currency 3 2 3 2 2 5 2 2" xfId="10862" xr:uid="{7E1EDF84-AFBF-4B1F-BDF3-CF8C8ECE49DC}"/>
    <cellStyle name="Currency 3 2 3 2 2 5 3" xfId="8103" xr:uid="{E010FF79-DC54-448C-A113-0793DF6E52FD}"/>
    <cellStyle name="Currency 3 2 3 2 2 6" xfId="3690" xr:uid="{00000000-0005-0000-0000-0000A1030000}"/>
    <cellStyle name="Currency 3 2 3 2 2 6 2" xfId="9867" xr:uid="{E3F61820-ED16-4A62-B53C-EFE8E3CD3A8A}"/>
    <cellStyle name="Currency 3 2 3 2 2 7" xfId="1043" xr:uid="{00000000-0005-0000-0000-0000A2030000}"/>
    <cellStyle name="Currency 3 2 3 2 2 7 2" xfId="7220" xr:uid="{4B63F844-C184-4B81-AA0E-A47267D3C616}"/>
    <cellStyle name="Currency 3 2 3 2 2 8" xfId="6337" xr:uid="{162A366E-A5CF-42EC-9BC4-97C9DEC29BDB}"/>
    <cellStyle name="Currency 3 2 3 2 3" xfId="270" xr:uid="{00000000-0005-0000-0000-0000A3030000}"/>
    <cellStyle name="Currency 3 2 3 2 3 2" xfId="711" xr:uid="{00000000-0005-0000-0000-0000A4030000}"/>
    <cellStyle name="Currency 3 2 3 2 3 2 2" xfId="3359" xr:uid="{00000000-0005-0000-0000-0000A5030000}"/>
    <cellStyle name="Currency 3 2 3 2 3 2 2 2" xfId="4686" xr:uid="{00000000-0005-0000-0000-0000A6030000}"/>
    <cellStyle name="Currency 3 2 3 2 3 2 2 2 2" xfId="10863" xr:uid="{42C1389A-06B6-4A79-A764-9DFFB2FDB6CC}"/>
    <cellStyle name="Currency 3 2 3 2 3 2 2 3" xfId="9536" xr:uid="{F851CE42-C6F9-4A17-B568-6E8F293B425D}"/>
    <cellStyle name="Currency 3 2 3 2 3 2 3" xfId="2477" xr:uid="{00000000-0005-0000-0000-0000A7030000}"/>
    <cellStyle name="Currency 3 2 3 2 3 2 3 2" xfId="4687" xr:uid="{00000000-0005-0000-0000-0000A8030000}"/>
    <cellStyle name="Currency 3 2 3 2 3 2 3 2 2" xfId="10864" xr:uid="{F7E5B783-48B8-44C7-A77E-0D011E7652AC}"/>
    <cellStyle name="Currency 3 2 3 2 3 2 3 3" xfId="8654" xr:uid="{DB5160F1-8045-4D67-92B1-C4E2286534A5}"/>
    <cellStyle name="Currency 3 2 3 2 3 2 4" xfId="4241" xr:uid="{00000000-0005-0000-0000-0000A9030000}"/>
    <cellStyle name="Currency 3 2 3 2 3 2 4 2" xfId="10418" xr:uid="{C0B7181F-6794-4BCB-8A57-C0B3E95D7873}"/>
    <cellStyle name="Currency 3 2 3 2 3 2 5" xfId="1594" xr:uid="{00000000-0005-0000-0000-0000AA030000}"/>
    <cellStyle name="Currency 3 2 3 2 3 2 5 2" xfId="7771" xr:uid="{4DD0D80E-5C09-479B-A5FF-7A1962F9C9F8}"/>
    <cellStyle name="Currency 3 2 3 2 3 2 6" xfId="6888" xr:uid="{D34AB565-FD05-48C9-B73E-BA2B968548B2}"/>
    <cellStyle name="Currency 3 2 3 2 3 3" xfId="2918" xr:uid="{00000000-0005-0000-0000-0000AB030000}"/>
    <cellStyle name="Currency 3 2 3 2 3 3 2" xfId="4688" xr:uid="{00000000-0005-0000-0000-0000AC030000}"/>
    <cellStyle name="Currency 3 2 3 2 3 3 2 2" xfId="10865" xr:uid="{D30FB959-C386-4AE8-9377-079453244C04}"/>
    <cellStyle name="Currency 3 2 3 2 3 3 3" xfId="9095" xr:uid="{55383BAD-EEE6-4DC0-BC6D-2B1E8E789BB8}"/>
    <cellStyle name="Currency 3 2 3 2 3 4" xfId="2036" xr:uid="{00000000-0005-0000-0000-0000AD030000}"/>
    <cellStyle name="Currency 3 2 3 2 3 4 2" xfId="4689" xr:uid="{00000000-0005-0000-0000-0000AE030000}"/>
    <cellStyle name="Currency 3 2 3 2 3 4 2 2" xfId="10866" xr:uid="{31F13822-B911-4A68-AE97-3D44259B82AB}"/>
    <cellStyle name="Currency 3 2 3 2 3 4 3" xfId="8213" xr:uid="{516E4A5E-560C-4C51-B822-8D1F1A95E99C}"/>
    <cellStyle name="Currency 3 2 3 2 3 5" xfId="3800" xr:uid="{00000000-0005-0000-0000-0000AF030000}"/>
    <cellStyle name="Currency 3 2 3 2 3 5 2" xfId="9977" xr:uid="{31DE4AF9-0302-406E-8387-F4CB838950C6}"/>
    <cellStyle name="Currency 3 2 3 2 3 6" xfId="1153" xr:uid="{00000000-0005-0000-0000-0000B0030000}"/>
    <cellStyle name="Currency 3 2 3 2 3 6 2" xfId="7330" xr:uid="{11101D97-9A22-499D-8994-70759AFBE391}"/>
    <cellStyle name="Currency 3 2 3 2 3 7" xfId="6447" xr:uid="{2EDEE650-14BA-4D1C-B606-2DC2776AD041}"/>
    <cellStyle name="Currency 3 2 3 2 4" xfId="491" xr:uid="{00000000-0005-0000-0000-0000B1030000}"/>
    <cellStyle name="Currency 3 2 3 2 4 2" xfId="3139" xr:uid="{00000000-0005-0000-0000-0000B2030000}"/>
    <cellStyle name="Currency 3 2 3 2 4 2 2" xfId="4690" xr:uid="{00000000-0005-0000-0000-0000B3030000}"/>
    <cellStyle name="Currency 3 2 3 2 4 2 2 2" xfId="10867" xr:uid="{663F25ED-0F5E-4983-977B-9EB535061FC8}"/>
    <cellStyle name="Currency 3 2 3 2 4 2 3" xfId="9316" xr:uid="{9CCFEA9E-0A35-49FE-B6EB-BAD66E16FAE0}"/>
    <cellStyle name="Currency 3 2 3 2 4 3" xfId="2257" xr:uid="{00000000-0005-0000-0000-0000B4030000}"/>
    <cellStyle name="Currency 3 2 3 2 4 3 2" xfId="4691" xr:uid="{00000000-0005-0000-0000-0000B5030000}"/>
    <cellStyle name="Currency 3 2 3 2 4 3 2 2" xfId="10868" xr:uid="{C41DA7FF-13C3-42CD-947C-EF03E1BB64AD}"/>
    <cellStyle name="Currency 3 2 3 2 4 3 3" xfId="8434" xr:uid="{6E0687E2-0037-4E80-BBFA-A0AD9D442387}"/>
    <cellStyle name="Currency 3 2 3 2 4 4" xfId="4021" xr:uid="{00000000-0005-0000-0000-0000B6030000}"/>
    <cellStyle name="Currency 3 2 3 2 4 4 2" xfId="10198" xr:uid="{F77E9A7C-5EAB-46F6-B241-465977585332}"/>
    <cellStyle name="Currency 3 2 3 2 4 5" xfId="1374" xr:uid="{00000000-0005-0000-0000-0000B7030000}"/>
    <cellStyle name="Currency 3 2 3 2 4 5 2" xfId="7551" xr:uid="{5F37E104-E760-4494-A7E2-AA3B74D5D83F}"/>
    <cellStyle name="Currency 3 2 3 2 4 6" xfId="6668" xr:uid="{4E022738-C4A2-41FC-B19F-7984FE71A48B}"/>
    <cellStyle name="Currency 3 2 3 2 5" xfId="2698" xr:uid="{00000000-0005-0000-0000-0000B8030000}"/>
    <cellStyle name="Currency 3 2 3 2 5 2" xfId="4692" xr:uid="{00000000-0005-0000-0000-0000B9030000}"/>
    <cellStyle name="Currency 3 2 3 2 5 2 2" xfId="10869" xr:uid="{7FCAD03F-521F-47C3-ADB1-F479EFC47DBB}"/>
    <cellStyle name="Currency 3 2 3 2 5 3" xfId="8875" xr:uid="{980412A5-0FAF-4B86-80C3-745D283E0549}"/>
    <cellStyle name="Currency 3 2 3 2 6" xfId="1816" xr:uid="{00000000-0005-0000-0000-0000BA030000}"/>
    <cellStyle name="Currency 3 2 3 2 6 2" xfId="4693" xr:uid="{00000000-0005-0000-0000-0000BB030000}"/>
    <cellStyle name="Currency 3 2 3 2 6 2 2" xfId="10870" xr:uid="{185FF7A4-1639-4852-B38C-70D74BFACE0B}"/>
    <cellStyle name="Currency 3 2 3 2 6 3" xfId="7993" xr:uid="{1C96D80F-C98A-4F86-9111-BC1EA7A8C147}"/>
    <cellStyle name="Currency 3 2 3 2 7" xfId="3580" xr:uid="{00000000-0005-0000-0000-0000BC030000}"/>
    <cellStyle name="Currency 3 2 3 2 7 2" xfId="9757" xr:uid="{1E9C6501-64AD-4238-BD5A-C777D6C632F9}"/>
    <cellStyle name="Currency 3 2 3 2 8" xfId="933" xr:uid="{00000000-0005-0000-0000-0000BD030000}"/>
    <cellStyle name="Currency 3 2 3 2 8 2" xfId="7110" xr:uid="{ED1D1D94-39F6-4CFF-AA34-462E89B0A225}"/>
    <cellStyle name="Currency 3 2 3 2 9" xfId="6227" xr:uid="{CFFA4284-14AB-44BA-ABFB-DE9EB320BE60}"/>
    <cellStyle name="Currency 3 2 3 3" xfId="66" xr:uid="{00000000-0005-0000-0000-0000BE030000}"/>
    <cellStyle name="Currency 3 2 3 3 2" xfId="176" xr:uid="{00000000-0005-0000-0000-0000BF030000}"/>
    <cellStyle name="Currency 3 2 3 3 2 2" xfId="396" xr:uid="{00000000-0005-0000-0000-0000C0030000}"/>
    <cellStyle name="Currency 3 2 3 3 2 2 2" xfId="837" xr:uid="{00000000-0005-0000-0000-0000C1030000}"/>
    <cellStyle name="Currency 3 2 3 3 2 2 2 2" xfId="3485" xr:uid="{00000000-0005-0000-0000-0000C2030000}"/>
    <cellStyle name="Currency 3 2 3 3 2 2 2 2 2" xfId="4694" xr:uid="{00000000-0005-0000-0000-0000C3030000}"/>
    <cellStyle name="Currency 3 2 3 3 2 2 2 2 2 2" xfId="10871" xr:uid="{218A0139-1DEA-45B7-8585-4D68BA08B6E6}"/>
    <cellStyle name="Currency 3 2 3 3 2 2 2 2 3" xfId="9662" xr:uid="{2D79CCAD-DF83-40E5-94A5-3B81EC91F2CD}"/>
    <cellStyle name="Currency 3 2 3 3 2 2 2 3" xfId="2603" xr:uid="{00000000-0005-0000-0000-0000C4030000}"/>
    <cellStyle name="Currency 3 2 3 3 2 2 2 3 2" xfId="4695" xr:uid="{00000000-0005-0000-0000-0000C5030000}"/>
    <cellStyle name="Currency 3 2 3 3 2 2 2 3 2 2" xfId="10872" xr:uid="{BE14EF1C-4540-4168-9619-F03973B5F251}"/>
    <cellStyle name="Currency 3 2 3 3 2 2 2 3 3" xfId="8780" xr:uid="{C9D6D1F1-9F10-4748-928A-C93310824CBC}"/>
    <cellStyle name="Currency 3 2 3 3 2 2 2 4" xfId="4367" xr:uid="{00000000-0005-0000-0000-0000C6030000}"/>
    <cellStyle name="Currency 3 2 3 3 2 2 2 4 2" xfId="10544" xr:uid="{E960C9A4-41CB-4541-A232-33EA9F739DCE}"/>
    <cellStyle name="Currency 3 2 3 3 2 2 2 5" xfId="1720" xr:uid="{00000000-0005-0000-0000-0000C7030000}"/>
    <cellStyle name="Currency 3 2 3 3 2 2 2 5 2" xfId="7897" xr:uid="{AD3923D2-F7C9-4484-A99D-0A9E68CA3318}"/>
    <cellStyle name="Currency 3 2 3 3 2 2 2 6" xfId="7014" xr:uid="{9A13A3EE-C63E-42DA-BFE4-D1622F6FAFC5}"/>
    <cellStyle name="Currency 3 2 3 3 2 2 3" xfId="3044" xr:uid="{00000000-0005-0000-0000-0000C8030000}"/>
    <cellStyle name="Currency 3 2 3 3 2 2 3 2" xfId="4696" xr:uid="{00000000-0005-0000-0000-0000C9030000}"/>
    <cellStyle name="Currency 3 2 3 3 2 2 3 2 2" xfId="10873" xr:uid="{4294D259-BD23-4AA2-AB94-2CF52748A922}"/>
    <cellStyle name="Currency 3 2 3 3 2 2 3 3" xfId="9221" xr:uid="{280D46D3-BFA8-4AF1-9EE2-139C0EF878B9}"/>
    <cellStyle name="Currency 3 2 3 3 2 2 4" xfId="2162" xr:uid="{00000000-0005-0000-0000-0000CA030000}"/>
    <cellStyle name="Currency 3 2 3 3 2 2 4 2" xfId="4697" xr:uid="{00000000-0005-0000-0000-0000CB030000}"/>
    <cellStyle name="Currency 3 2 3 3 2 2 4 2 2" xfId="10874" xr:uid="{6B8E57E5-419D-47B1-B9DB-9047BAFBA995}"/>
    <cellStyle name="Currency 3 2 3 3 2 2 4 3" xfId="8339" xr:uid="{5C5B7C9D-DFDB-4909-B30B-EEABA699DAF7}"/>
    <cellStyle name="Currency 3 2 3 3 2 2 5" xfId="3926" xr:uid="{00000000-0005-0000-0000-0000CC030000}"/>
    <cellStyle name="Currency 3 2 3 3 2 2 5 2" xfId="10103" xr:uid="{2F252A6B-E57F-417E-A38F-2F65638CAFE7}"/>
    <cellStyle name="Currency 3 2 3 3 2 2 6" xfId="1279" xr:uid="{00000000-0005-0000-0000-0000CD030000}"/>
    <cellStyle name="Currency 3 2 3 3 2 2 6 2" xfId="7456" xr:uid="{E3A52F49-A324-474E-A847-00DA82F1F961}"/>
    <cellStyle name="Currency 3 2 3 3 2 2 7" xfId="6573" xr:uid="{FA5E8915-F2D4-426E-A378-952972FA1EE0}"/>
    <cellStyle name="Currency 3 2 3 3 2 3" xfId="617" xr:uid="{00000000-0005-0000-0000-0000CE030000}"/>
    <cellStyle name="Currency 3 2 3 3 2 3 2" xfId="3265" xr:uid="{00000000-0005-0000-0000-0000CF030000}"/>
    <cellStyle name="Currency 3 2 3 3 2 3 2 2" xfId="4698" xr:uid="{00000000-0005-0000-0000-0000D0030000}"/>
    <cellStyle name="Currency 3 2 3 3 2 3 2 2 2" xfId="10875" xr:uid="{FD0DB94D-D379-40D8-8D21-D7ECE6A921F9}"/>
    <cellStyle name="Currency 3 2 3 3 2 3 2 3" xfId="9442" xr:uid="{A302DD9F-C3D8-470A-AD2F-ADBB35CED279}"/>
    <cellStyle name="Currency 3 2 3 3 2 3 3" xfId="2383" xr:uid="{00000000-0005-0000-0000-0000D1030000}"/>
    <cellStyle name="Currency 3 2 3 3 2 3 3 2" xfId="4699" xr:uid="{00000000-0005-0000-0000-0000D2030000}"/>
    <cellStyle name="Currency 3 2 3 3 2 3 3 2 2" xfId="10876" xr:uid="{03C3A913-E751-4236-91C3-656AF560767A}"/>
    <cellStyle name="Currency 3 2 3 3 2 3 3 3" xfId="8560" xr:uid="{5A1416F0-2F01-4674-A701-24E114A82ACD}"/>
    <cellStyle name="Currency 3 2 3 3 2 3 4" xfId="4147" xr:uid="{00000000-0005-0000-0000-0000D3030000}"/>
    <cellStyle name="Currency 3 2 3 3 2 3 4 2" xfId="10324" xr:uid="{330905B2-C074-409C-B0BB-00054BF1B396}"/>
    <cellStyle name="Currency 3 2 3 3 2 3 5" xfId="1500" xr:uid="{00000000-0005-0000-0000-0000D4030000}"/>
    <cellStyle name="Currency 3 2 3 3 2 3 5 2" xfId="7677" xr:uid="{39C8A6FF-D5DA-4583-B904-E5A25E1497F0}"/>
    <cellStyle name="Currency 3 2 3 3 2 3 6" xfId="6794" xr:uid="{13384917-BDAB-4ADF-B7D7-FCD8E7C66A57}"/>
    <cellStyle name="Currency 3 2 3 3 2 4" xfId="2824" xr:uid="{00000000-0005-0000-0000-0000D5030000}"/>
    <cellStyle name="Currency 3 2 3 3 2 4 2" xfId="4700" xr:uid="{00000000-0005-0000-0000-0000D6030000}"/>
    <cellStyle name="Currency 3 2 3 3 2 4 2 2" xfId="10877" xr:uid="{CB5630CE-69DD-482A-AE65-D9D92B382BC9}"/>
    <cellStyle name="Currency 3 2 3 3 2 4 3" xfId="9001" xr:uid="{3C1631C0-8CB9-43A8-A875-8F0624D70279}"/>
    <cellStyle name="Currency 3 2 3 3 2 5" xfId="1942" xr:uid="{00000000-0005-0000-0000-0000D7030000}"/>
    <cellStyle name="Currency 3 2 3 3 2 5 2" xfId="4701" xr:uid="{00000000-0005-0000-0000-0000D8030000}"/>
    <cellStyle name="Currency 3 2 3 3 2 5 2 2" xfId="10878" xr:uid="{E026AE4A-AF62-419B-B0B0-C52D596B3463}"/>
    <cellStyle name="Currency 3 2 3 3 2 5 3" xfId="8119" xr:uid="{10B6426D-A942-466A-9874-0FE9298708E4}"/>
    <cellStyle name="Currency 3 2 3 3 2 6" xfId="3706" xr:uid="{00000000-0005-0000-0000-0000D9030000}"/>
    <cellStyle name="Currency 3 2 3 3 2 6 2" xfId="9883" xr:uid="{DCF63D1A-A2A7-4031-93F9-E497CF0DF624}"/>
    <cellStyle name="Currency 3 2 3 3 2 7" xfId="1059" xr:uid="{00000000-0005-0000-0000-0000DA030000}"/>
    <cellStyle name="Currency 3 2 3 3 2 7 2" xfId="7236" xr:uid="{11760AD7-A447-4669-8978-4EA4179411F7}"/>
    <cellStyle name="Currency 3 2 3 3 2 8" xfId="6353" xr:uid="{6C1EBEAB-96E5-476E-B61C-8362C8B6D328}"/>
    <cellStyle name="Currency 3 2 3 3 3" xfId="286" xr:uid="{00000000-0005-0000-0000-0000DB030000}"/>
    <cellStyle name="Currency 3 2 3 3 3 2" xfId="727" xr:uid="{00000000-0005-0000-0000-0000DC030000}"/>
    <cellStyle name="Currency 3 2 3 3 3 2 2" xfId="3375" xr:uid="{00000000-0005-0000-0000-0000DD030000}"/>
    <cellStyle name="Currency 3 2 3 3 3 2 2 2" xfId="4702" xr:uid="{00000000-0005-0000-0000-0000DE030000}"/>
    <cellStyle name="Currency 3 2 3 3 3 2 2 2 2" xfId="10879" xr:uid="{0FE0B805-9B31-4796-86A4-6E2F80613BBC}"/>
    <cellStyle name="Currency 3 2 3 3 3 2 2 3" xfId="9552" xr:uid="{543180B3-3317-4702-90FE-5739E212A7C7}"/>
    <cellStyle name="Currency 3 2 3 3 3 2 3" xfId="2493" xr:uid="{00000000-0005-0000-0000-0000DF030000}"/>
    <cellStyle name="Currency 3 2 3 3 3 2 3 2" xfId="4703" xr:uid="{00000000-0005-0000-0000-0000E0030000}"/>
    <cellStyle name="Currency 3 2 3 3 3 2 3 2 2" xfId="10880" xr:uid="{92C064D5-9FCF-4651-A539-14B3F0ADF722}"/>
    <cellStyle name="Currency 3 2 3 3 3 2 3 3" xfId="8670" xr:uid="{F6114E24-D16A-4AA4-899E-1C5173108C9B}"/>
    <cellStyle name="Currency 3 2 3 3 3 2 4" xfId="4257" xr:uid="{00000000-0005-0000-0000-0000E1030000}"/>
    <cellStyle name="Currency 3 2 3 3 3 2 4 2" xfId="10434" xr:uid="{ED2DB574-F755-4DB9-8872-B4B33C4D3124}"/>
    <cellStyle name="Currency 3 2 3 3 3 2 5" xfId="1610" xr:uid="{00000000-0005-0000-0000-0000E2030000}"/>
    <cellStyle name="Currency 3 2 3 3 3 2 5 2" xfId="7787" xr:uid="{8377DB2D-2D64-4CE8-8CF5-C42512029E56}"/>
    <cellStyle name="Currency 3 2 3 3 3 2 6" xfId="6904" xr:uid="{19AD40EF-A5EB-4CEF-88B4-6D3708969160}"/>
    <cellStyle name="Currency 3 2 3 3 3 3" xfId="2934" xr:uid="{00000000-0005-0000-0000-0000E3030000}"/>
    <cellStyle name="Currency 3 2 3 3 3 3 2" xfId="4704" xr:uid="{00000000-0005-0000-0000-0000E4030000}"/>
    <cellStyle name="Currency 3 2 3 3 3 3 2 2" xfId="10881" xr:uid="{44C722F5-B0A7-4CE3-963D-72AE5AAF75ED}"/>
    <cellStyle name="Currency 3 2 3 3 3 3 3" xfId="9111" xr:uid="{48A4AA45-8993-4A0C-8B74-36193A447061}"/>
    <cellStyle name="Currency 3 2 3 3 3 4" xfId="2052" xr:uid="{00000000-0005-0000-0000-0000E5030000}"/>
    <cellStyle name="Currency 3 2 3 3 3 4 2" xfId="4705" xr:uid="{00000000-0005-0000-0000-0000E6030000}"/>
    <cellStyle name="Currency 3 2 3 3 3 4 2 2" xfId="10882" xr:uid="{EE8F9DC9-4DBB-4F34-8FF3-BA09F314C436}"/>
    <cellStyle name="Currency 3 2 3 3 3 4 3" xfId="8229" xr:uid="{C6F6974F-6A95-48F1-9DA4-5F4CD0C60799}"/>
    <cellStyle name="Currency 3 2 3 3 3 5" xfId="3816" xr:uid="{00000000-0005-0000-0000-0000E7030000}"/>
    <cellStyle name="Currency 3 2 3 3 3 5 2" xfId="9993" xr:uid="{5E842EC5-A8A1-4C3A-ACD4-DAEC519E49D2}"/>
    <cellStyle name="Currency 3 2 3 3 3 6" xfId="1169" xr:uid="{00000000-0005-0000-0000-0000E8030000}"/>
    <cellStyle name="Currency 3 2 3 3 3 6 2" xfId="7346" xr:uid="{01253FF3-E3BF-41DE-AB65-2048A8AC0EB4}"/>
    <cellStyle name="Currency 3 2 3 3 3 7" xfId="6463" xr:uid="{9349D7A7-3F47-4369-A94E-6C2EA9E9F9B9}"/>
    <cellStyle name="Currency 3 2 3 3 4" xfId="507" xr:uid="{00000000-0005-0000-0000-0000E9030000}"/>
    <cellStyle name="Currency 3 2 3 3 4 2" xfId="3155" xr:uid="{00000000-0005-0000-0000-0000EA030000}"/>
    <cellStyle name="Currency 3 2 3 3 4 2 2" xfId="4706" xr:uid="{00000000-0005-0000-0000-0000EB030000}"/>
    <cellStyle name="Currency 3 2 3 3 4 2 2 2" xfId="10883" xr:uid="{F88DB597-1414-4CB0-9071-ED01D6695ADB}"/>
    <cellStyle name="Currency 3 2 3 3 4 2 3" xfId="9332" xr:uid="{B287B72F-28C2-43C0-98B7-DB84F5153C0B}"/>
    <cellStyle name="Currency 3 2 3 3 4 3" xfId="2273" xr:uid="{00000000-0005-0000-0000-0000EC030000}"/>
    <cellStyle name="Currency 3 2 3 3 4 3 2" xfId="4707" xr:uid="{00000000-0005-0000-0000-0000ED030000}"/>
    <cellStyle name="Currency 3 2 3 3 4 3 2 2" xfId="10884" xr:uid="{564F2D69-BF8D-48DC-A796-D25514412E34}"/>
    <cellStyle name="Currency 3 2 3 3 4 3 3" xfId="8450" xr:uid="{34CD8883-69C3-4075-9F3E-E13C0C641E6B}"/>
    <cellStyle name="Currency 3 2 3 3 4 4" xfId="4037" xr:uid="{00000000-0005-0000-0000-0000EE030000}"/>
    <cellStyle name="Currency 3 2 3 3 4 4 2" xfId="10214" xr:uid="{14727F41-BC65-4D1E-A7ED-20CBEBD7CFC3}"/>
    <cellStyle name="Currency 3 2 3 3 4 5" xfId="1390" xr:uid="{00000000-0005-0000-0000-0000EF030000}"/>
    <cellStyle name="Currency 3 2 3 3 4 5 2" xfId="7567" xr:uid="{ABB64B6B-0BB4-4152-A17F-D58952502A54}"/>
    <cellStyle name="Currency 3 2 3 3 4 6" xfId="6684" xr:uid="{BE3A077C-8B38-4F9E-9BE1-8B336A0C5A5F}"/>
    <cellStyle name="Currency 3 2 3 3 5" xfId="2714" xr:uid="{00000000-0005-0000-0000-0000F0030000}"/>
    <cellStyle name="Currency 3 2 3 3 5 2" xfId="4708" xr:uid="{00000000-0005-0000-0000-0000F1030000}"/>
    <cellStyle name="Currency 3 2 3 3 5 2 2" xfId="10885" xr:uid="{8DD62BCC-F3E8-4A11-82D8-3FCAF6858163}"/>
    <cellStyle name="Currency 3 2 3 3 5 3" xfId="8891" xr:uid="{86A41180-395B-45E4-AADB-DEA8C3FFF69D}"/>
    <cellStyle name="Currency 3 2 3 3 6" xfId="1832" xr:uid="{00000000-0005-0000-0000-0000F2030000}"/>
    <cellStyle name="Currency 3 2 3 3 6 2" xfId="4709" xr:uid="{00000000-0005-0000-0000-0000F3030000}"/>
    <cellStyle name="Currency 3 2 3 3 6 2 2" xfId="10886" xr:uid="{5C78CB83-EF78-43EC-837E-3AE230762B6C}"/>
    <cellStyle name="Currency 3 2 3 3 6 3" xfId="8009" xr:uid="{EF87B7DA-7CCD-40FB-8F30-7411AD5F48CB}"/>
    <cellStyle name="Currency 3 2 3 3 7" xfId="3596" xr:uid="{00000000-0005-0000-0000-0000F4030000}"/>
    <cellStyle name="Currency 3 2 3 3 7 2" xfId="9773" xr:uid="{A32316FB-2057-43CB-B03F-A6B62722D9F3}"/>
    <cellStyle name="Currency 3 2 3 3 8" xfId="949" xr:uid="{00000000-0005-0000-0000-0000F5030000}"/>
    <cellStyle name="Currency 3 2 3 3 8 2" xfId="7126" xr:uid="{EB3F621A-432A-440B-8F82-9F4343D012D7}"/>
    <cellStyle name="Currency 3 2 3 3 9" xfId="6243" xr:uid="{EE98BC99-55B5-45C0-9EA4-B048DB59BD4C}"/>
    <cellStyle name="Currency 3 2 3 4" xfId="82" xr:uid="{00000000-0005-0000-0000-0000F6030000}"/>
    <cellStyle name="Currency 3 2 3 4 2" xfId="192" xr:uid="{00000000-0005-0000-0000-0000F7030000}"/>
    <cellStyle name="Currency 3 2 3 4 2 2" xfId="412" xr:uid="{00000000-0005-0000-0000-0000F8030000}"/>
    <cellStyle name="Currency 3 2 3 4 2 2 2" xfId="853" xr:uid="{00000000-0005-0000-0000-0000F9030000}"/>
    <cellStyle name="Currency 3 2 3 4 2 2 2 2" xfId="3501" xr:uid="{00000000-0005-0000-0000-0000FA030000}"/>
    <cellStyle name="Currency 3 2 3 4 2 2 2 2 2" xfId="4710" xr:uid="{00000000-0005-0000-0000-0000FB030000}"/>
    <cellStyle name="Currency 3 2 3 4 2 2 2 2 2 2" xfId="10887" xr:uid="{76B27179-561A-4603-8203-F30432ECF018}"/>
    <cellStyle name="Currency 3 2 3 4 2 2 2 2 3" xfId="9678" xr:uid="{E18AB880-9049-485B-9CC4-96B53BEDEEFF}"/>
    <cellStyle name="Currency 3 2 3 4 2 2 2 3" xfId="2619" xr:uid="{00000000-0005-0000-0000-0000FC030000}"/>
    <cellStyle name="Currency 3 2 3 4 2 2 2 3 2" xfId="4711" xr:uid="{00000000-0005-0000-0000-0000FD030000}"/>
    <cellStyle name="Currency 3 2 3 4 2 2 2 3 2 2" xfId="10888" xr:uid="{63F90084-0456-4D3B-8471-F4CF42DCFD3A}"/>
    <cellStyle name="Currency 3 2 3 4 2 2 2 3 3" xfId="8796" xr:uid="{EF6E6DC7-6CCC-49A9-9DDB-58FA661527CC}"/>
    <cellStyle name="Currency 3 2 3 4 2 2 2 4" xfId="4383" xr:uid="{00000000-0005-0000-0000-0000FE030000}"/>
    <cellStyle name="Currency 3 2 3 4 2 2 2 4 2" xfId="10560" xr:uid="{AE6011C0-538E-4DD1-8F74-67F7919C1135}"/>
    <cellStyle name="Currency 3 2 3 4 2 2 2 5" xfId="1736" xr:uid="{00000000-0005-0000-0000-0000FF030000}"/>
    <cellStyle name="Currency 3 2 3 4 2 2 2 5 2" xfId="7913" xr:uid="{0FAD2B7F-3C98-4E5E-A26C-251D8C2EA7EB}"/>
    <cellStyle name="Currency 3 2 3 4 2 2 2 6" xfId="7030" xr:uid="{CFD02690-BE36-45E0-A2FC-07BCE80BF198}"/>
    <cellStyle name="Currency 3 2 3 4 2 2 3" xfId="3060" xr:uid="{00000000-0005-0000-0000-000000040000}"/>
    <cellStyle name="Currency 3 2 3 4 2 2 3 2" xfId="4712" xr:uid="{00000000-0005-0000-0000-000001040000}"/>
    <cellStyle name="Currency 3 2 3 4 2 2 3 2 2" xfId="10889" xr:uid="{016E9E1A-3914-442F-9A87-E35ED35DD167}"/>
    <cellStyle name="Currency 3 2 3 4 2 2 3 3" xfId="9237" xr:uid="{C94C8E4F-7B15-4D5C-A1C7-B0169AC23DF6}"/>
    <cellStyle name="Currency 3 2 3 4 2 2 4" xfId="2178" xr:uid="{00000000-0005-0000-0000-000002040000}"/>
    <cellStyle name="Currency 3 2 3 4 2 2 4 2" xfId="4713" xr:uid="{00000000-0005-0000-0000-000003040000}"/>
    <cellStyle name="Currency 3 2 3 4 2 2 4 2 2" xfId="10890" xr:uid="{8192A178-5613-411D-8012-19A459D763F8}"/>
    <cellStyle name="Currency 3 2 3 4 2 2 4 3" xfId="8355" xr:uid="{6FC0B43A-1A45-4AA4-BF83-E20A18BEC6E6}"/>
    <cellStyle name="Currency 3 2 3 4 2 2 5" xfId="3942" xr:uid="{00000000-0005-0000-0000-000004040000}"/>
    <cellStyle name="Currency 3 2 3 4 2 2 5 2" xfId="10119" xr:uid="{955BABF4-ABEC-481B-8BB2-F890A58BA5F1}"/>
    <cellStyle name="Currency 3 2 3 4 2 2 6" xfId="1295" xr:uid="{00000000-0005-0000-0000-000005040000}"/>
    <cellStyle name="Currency 3 2 3 4 2 2 6 2" xfId="7472" xr:uid="{FB892E06-7924-4E90-ACA4-329BAC1985EA}"/>
    <cellStyle name="Currency 3 2 3 4 2 2 7" xfId="6589" xr:uid="{6FA76220-D4C2-49E6-8443-A8E5BE0F8EAC}"/>
    <cellStyle name="Currency 3 2 3 4 2 3" xfId="633" xr:uid="{00000000-0005-0000-0000-000006040000}"/>
    <cellStyle name="Currency 3 2 3 4 2 3 2" xfId="3281" xr:uid="{00000000-0005-0000-0000-000007040000}"/>
    <cellStyle name="Currency 3 2 3 4 2 3 2 2" xfId="4714" xr:uid="{00000000-0005-0000-0000-000008040000}"/>
    <cellStyle name="Currency 3 2 3 4 2 3 2 2 2" xfId="10891" xr:uid="{56141FF7-1120-4FDD-991C-DE7835C1F726}"/>
    <cellStyle name="Currency 3 2 3 4 2 3 2 3" xfId="9458" xr:uid="{7E992293-0C2A-4164-A14E-D7D1059141C6}"/>
    <cellStyle name="Currency 3 2 3 4 2 3 3" xfId="2399" xr:uid="{00000000-0005-0000-0000-000009040000}"/>
    <cellStyle name="Currency 3 2 3 4 2 3 3 2" xfId="4715" xr:uid="{00000000-0005-0000-0000-00000A040000}"/>
    <cellStyle name="Currency 3 2 3 4 2 3 3 2 2" xfId="10892" xr:uid="{D5C21364-FF98-4AFC-999D-8EA6F7812E88}"/>
    <cellStyle name="Currency 3 2 3 4 2 3 3 3" xfId="8576" xr:uid="{83CA1D84-9093-4165-A2C6-B7C73180361A}"/>
    <cellStyle name="Currency 3 2 3 4 2 3 4" xfId="4163" xr:uid="{00000000-0005-0000-0000-00000B040000}"/>
    <cellStyle name="Currency 3 2 3 4 2 3 4 2" xfId="10340" xr:uid="{4B509272-A9BC-408E-AA2F-286468E548EC}"/>
    <cellStyle name="Currency 3 2 3 4 2 3 5" xfId="1516" xr:uid="{00000000-0005-0000-0000-00000C040000}"/>
    <cellStyle name="Currency 3 2 3 4 2 3 5 2" xfId="7693" xr:uid="{F9465C3C-44B6-481D-9D62-8F21C14EEC92}"/>
    <cellStyle name="Currency 3 2 3 4 2 3 6" xfId="6810" xr:uid="{AD5C009C-AEB2-4DE8-9E35-441B16504DB3}"/>
    <cellStyle name="Currency 3 2 3 4 2 4" xfId="2840" xr:uid="{00000000-0005-0000-0000-00000D040000}"/>
    <cellStyle name="Currency 3 2 3 4 2 4 2" xfId="4716" xr:uid="{00000000-0005-0000-0000-00000E040000}"/>
    <cellStyle name="Currency 3 2 3 4 2 4 2 2" xfId="10893" xr:uid="{E741A002-9090-4FB9-A2ED-743F39598EC0}"/>
    <cellStyle name="Currency 3 2 3 4 2 4 3" xfId="9017" xr:uid="{4A9EC520-DB27-43DB-9807-E98DEB3C7F59}"/>
    <cellStyle name="Currency 3 2 3 4 2 5" xfId="1958" xr:uid="{00000000-0005-0000-0000-00000F040000}"/>
    <cellStyle name="Currency 3 2 3 4 2 5 2" xfId="4717" xr:uid="{00000000-0005-0000-0000-000010040000}"/>
    <cellStyle name="Currency 3 2 3 4 2 5 2 2" xfId="10894" xr:uid="{58E9B030-6055-487F-8CCE-AEAE6F6F3C2A}"/>
    <cellStyle name="Currency 3 2 3 4 2 5 3" xfId="8135" xr:uid="{A07D2B8E-5CD6-4BD7-9189-B69DD3A142B7}"/>
    <cellStyle name="Currency 3 2 3 4 2 6" xfId="3722" xr:uid="{00000000-0005-0000-0000-000011040000}"/>
    <cellStyle name="Currency 3 2 3 4 2 6 2" xfId="9899" xr:uid="{0B2D1F81-2B06-483F-97F2-C3F119F345A6}"/>
    <cellStyle name="Currency 3 2 3 4 2 7" xfId="1075" xr:uid="{00000000-0005-0000-0000-000012040000}"/>
    <cellStyle name="Currency 3 2 3 4 2 7 2" xfId="7252" xr:uid="{2EE6E68D-E42A-464D-8EEC-D47954DBA8A3}"/>
    <cellStyle name="Currency 3 2 3 4 2 8" xfId="6369" xr:uid="{33EBD893-11D7-475C-AA89-E662539E2C09}"/>
    <cellStyle name="Currency 3 2 3 4 3" xfId="302" xr:uid="{00000000-0005-0000-0000-000013040000}"/>
    <cellStyle name="Currency 3 2 3 4 3 2" xfId="743" xr:uid="{00000000-0005-0000-0000-000014040000}"/>
    <cellStyle name="Currency 3 2 3 4 3 2 2" xfId="3391" xr:uid="{00000000-0005-0000-0000-000015040000}"/>
    <cellStyle name="Currency 3 2 3 4 3 2 2 2" xfId="4718" xr:uid="{00000000-0005-0000-0000-000016040000}"/>
    <cellStyle name="Currency 3 2 3 4 3 2 2 2 2" xfId="10895" xr:uid="{42F0B6BD-8E8F-4611-9EF3-5F4B0E6DE278}"/>
    <cellStyle name="Currency 3 2 3 4 3 2 2 3" xfId="9568" xr:uid="{BEA76267-7938-48DA-8C71-4F2703F43905}"/>
    <cellStyle name="Currency 3 2 3 4 3 2 3" xfId="2509" xr:uid="{00000000-0005-0000-0000-000017040000}"/>
    <cellStyle name="Currency 3 2 3 4 3 2 3 2" xfId="4719" xr:uid="{00000000-0005-0000-0000-000018040000}"/>
    <cellStyle name="Currency 3 2 3 4 3 2 3 2 2" xfId="10896" xr:uid="{96A19C31-030D-472C-BA9E-A2ABCADB453B}"/>
    <cellStyle name="Currency 3 2 3 4 3 2 3 3" xfId="8686" xr:uid="{577C5A18-D95E-4695-BBA7-F218D1A1D4EE}"/>
    <cellStyle name="Currency 3 2 3 4 3 2 4" xfId="4273" xr:uid="{00000000-0005-0000-0000-000019040000}"/>
    <cellStyle name="Currency 3 2 3 4 3 2 4 2" xfId="10450" xr:uid="{FA23E475-06E1-4AF6-8940-FFD9B0E51D92}"/>
    <cellStyle name="Currency 3 2 3 4 3 2 5" xfId="1626" xr:uid="{00000000-0005-0000-0000-00001A040000}"/>
    <cellStyle name="Currency 3 2 3 4 3 2 5 2" xfId="7803" xr:uid="{9A36C050-7FC8-4469-AC98-CB9CE73DE624}"/>
    <cellStyle name="Currency 3 2 3 4 3 2 6" xfId="6920" xr:uid="{E92CFE42-BB8E-4526-B94D-A1785BBF77A0}"/>
    <cellStyle name="Currency 3 2 3 4 3 3" xfId="2950" xr:uid="{00000000-0005-0000-0000-00001B040000}"/>
    <cellStyle name="Currency 3 2 3 4 3 3 2" xfId="4720" xr:uid="{00000000-0005-0000-0000-00001C040000}"/>
    <cellStyle name="Currency 3 2 3 4 3 3 2 2" xfId="10897" xr:uid="{A223E6B8-1CB2-4C21-BC15-BFAE7A6B708F}"/>
    <cellStyle name="Currency 3 2 3 4 3 3 3" xfId="9127" xr:uid="{35DED917-5A56-4C0F-805C-3FA11D0834E7}"/>
    <cellStyle name="Currency 3 2 3 4 3 4" xfId="2068" xr:uid="{00000000-0005-0000-0000-00001D040000}"/>
    <cellStyle name="Currency 3 2 3 4 3 4 2" xfId="4721" xr:uid="{00000000-0005-0000-0000-00001E040000}"/>
    <cellStyle name="Currency 3 2 3 4 3 4 2 2" xfId="10898" xr:uid="{793C1F54-A193-44F5-B734-C8119554C9B5}"/>
    <cellStyle name="Currency 3 2 3 4 3 4 3" xfId="8245" xr:uid="{20BFF4C7-22EB-4DC0-A349-93A82C02A655}"/>
    <cellStyle name="Currency 3 2 3 4 3 5" xfId="3832" xr:uid="{00000000-0005-0000-0000-00001F040000}"/>
    <cellStyle name="Currency 3 2 3 4 3 5 2" xfId="10009" xr:uid="{6222E7C4-8C9B-4325-9449-3F2FEC257A78}"/>
    <cellStyle name="Currency 3 2 3 4 3 6" xfId="1185" xr:uid="{00000000-0005-0000-0000-000020040000}"/>
    <cellStyle name="Currency 3 2 3 4 3 6 2" xfId="7362" xr:uid="{E71ACEDD-9542-4C9F-8696-3949600BFA0D}"/>
    <cellStyle name="Currency 3 2 3 4 3 7" xfId="6479" xr:uid="{0D52BF07-6AC4-4079-85C3-8AECFE2945FF}"/>
    <cellStyle name="Currency 3 2 3 4 4" xfId="523" xr:uid="{00000000-0005-0000-0000-000021040000}"/>
    <cellStyle name="Currency 3 2 3 4 4 2" xfId="3171" xr:uid="{00000000-0005-0000-0000-000022040000}"/>
    <cellStyle name="Currency 3 2 3 4 4 2 2" xfId="4722" xr:uid="{00000000-0005-0000-0000-000023040000}"/>
    <cellStyle name="Currency 3 2 3 4 4 2 2 2" xfId="10899" xr:uid="{B769DDCC-8462-4956-A39F-D972497EA3A3}"/>
    <cellStyle name="Currency 3 2 3 4 4 2 3" xfId="9348" xr:uid="{9D7A3533-BC93-4C14-AF93-3733F92604EE}"/>
    <cellStyle name="Currency 3 2 3 4 4 3" xfId="2289" xr:uid="{00000000-0005-0000-0000-000024040000}"/>
    <cellStyle name="Currency 3 2 3 4 4 3 2" xfId="4723" xr:uid="{00000000-0005-0000-0000-000025040000}"/>
    <cellStyle name="Currency 3 2 3 4 4 3 2 2" xfId="10900" xr:uid="{B7BEF2DB-51C6-4C34-8ED5-8D22ED9C0B88}"/>
    <cellStyle name="Currency 3 2 3 4 4 3 3" xfId="8466" xr:uid="{44C943E9-AD90-4377-AB00-209BBEDADE04}"/>
    <cellStyle name="Currency 3 2 3 4 4 4" xfId="4053" xr:uid="{00000000-0005-0000-0000-000026040000}"/>
    <cellStyle name="Currency 3 2 3 4 4 4 2" xfId="10230" xr:uid="{90D74D7F-48C5-4B78-A18B-BBE614D16CF5}"/>
    <cellStyle name="Currency 3 2 3 4 4 5" xfId="1406" xr:uid="{00000000-0005-0000-0000-000027040000}"/>
    <cellStyle name="Currency 3 2 3 4 4 5 2" xfId="7583" xr:uid="{8ACD0C2C-6FD4-42F8-A803-835C206E9366}"/>
    <cellStyle name="Currency 3 2 3 4 4 6" xfId="6700" xr:uid="{27FABF6B-D8DA-487D-AA09-39805A386BC6}"/>
    <cellStyle name="Currency 3 2 3 4 5" xfId="2730" xr:uid="{00000000-0005-0000-0000-000028040000}"/>
    <cellStyle name="Currency 3 2 3 4 5 2" xfId="4724" xr:uid="{00000000-0005-0000-0000-000029040000}"/>
    <cellStyle name="Currency 3 2 3 4 5 2 2" xfId="10901" xr:uid="{9FDD8946-5134-4828-9218-4F314AA0B963}"/>
    <cellStyle name="Currency 3 2 3 4 5 3" xfId="8907" xr:uid="{B1BCA732-B185-4A7C-9AA0-DE6B9D34F6D2}"/>
    <cellStyle name="Currency 3 2 3 4 6" xfId="1848" xr:uid="{00000000-0005-0000-0000-00002A040000}"/>
    <cellStyle name="Currency 3 2 3 4 6 2" xfId="4725" xr:uid="{00000000-0005-0000-0000-00002B040000}"/>
    <cellStyle name="Currency 3 2 3 4 6 2 2" xfId="10902" xr:uid="{92AC8E1F-887A-4A01-81C1-2F0DD0CC4415}"/>
    <cellStyle name="Currency 3 2 3 4 6 3" xfId="8025" xr:uid="{B87F4828-4C07-41DE-9268-E80B38E020CE}"/>
    <cellStyle name="Currency 3 2 3 4 7" xfId="3612" xr:uid="{00000000-0005-0000-0000-00002C040000}"/>
    <cellStyle name="Currency 3 2 3 4 7 2" xfId="9789" xr:uid="{7C30D6AF-E491-4AB3-AE79-AAC3FA0BAF31}"/>
    <cellStyle name="Currency 3 2 3 4 8" xfId="965" xr:uid="{00000000-0005-0000-0000-00002D040000}"/>
    <cellStyle name="Currency 3 2 3 4 8 2" xfId="7142" xr:uid="{657063DE-08AA-48AA-A7CB-4C7DFDA26953}"/>
    <cellStyle name="Currency 3 2 3 4 9" xfId="6259" xr:uid="{78EDC892-07AE-4A67-842D-A678A0C78263}"/>
    <cellStyle name="Currency 3 2 3 5" xfId="126" xr:uid="{00000000-0005-0000-0000-00002E040000}"/>
    <cellStyle name="Currency 3 2 3 5 2" xfId="346" xr:uid="{00000000-0005-0000-0000-00002F040000}"/>
    <cellStyle name="Currency 3 2 3 5 2 2" xfId="787" xr:uid="{00000000-0005-0000-0000-000030040000}"/>
    <cellStyle name="Currency 3 2 3 5 2 2 2" xfId="3435" xr:uid="{00000000-0005-0000-0000-000031040000}"/>
    <cellStyle name="Currency 3 2 3 5 2 2 2 2" xfId="4726" xr:uid="{00000000-0005-0000-0000-000032040000}"/>
    <cellStyle name="Currency 3 2 3 5 2 2 2 2 2" xfId="10903" xr:uid="{46444616-B7D6-4DA1-A137-C8CE86554A36}"/>
    <cellStyle name="Currency 3 2 3 5 2 2 2 3" xfId="9612" xr:uid="{BC103138-B880-44A8-BC9B-40E7FDB2E589}"/>
    <cellStyle name="Currency 3 2 3 5 2 2 3" xfId="2553" xr:uid="{00000000-0005-0000-0000-000033040000}"/>
    <cellStyle name="Currency 3 2 3 5 2 2 3 2" xfId="4727" xr:uid="{00000000-0005-0000-0000-000034040000}"/>
    <cellStyle name="Currency 3 2 3 5 2 2 3 2 2" xfId="10904" xr:uid="{4045A23D-506E-41B0-8286-3A13688939E9}"/>
    <cellStyle name="Currency 3 2 3 5 2 2 3 3" xfId="8730" xr:uid="{4543C45F-063C-4FCE-87B7-7A036DBEBD98}"/>
    <cellStyle name="Currency 3 2 3 5 2 2 4" xfId="4317" xr:uid="{00000000-0005-0000-0000-000035040000}"/>
    <cellStyle name="Currency 3 2 3 5 2 2 4 2" xfId="10494" xr:uid="{668D50D9-9971-45C8-A422-0E1B1AA35126}"/>
    <cellStyle name="Currency 3 2 3 5 2 2 5" xfId="1670" xr:uid="{00000000-0005-0000-0000-000036040000}"/>
    <cellStyle name="Currency 3 2 3 5 2 2 5 2" xfId="7847" xr:uid="{C7D4E7D4-3F91-461B-A0D7-7CAEBAF0189E}"/>
    <cellStyle name="Currency 3 2 3 5 2 2 6" xfId="6964" xr:uid="{FAAC5A31-2048-458A-8E13-694BFE2AFC40}"/>
    <cellStyle name="Currency 3 2 3 5 2 3" xfId="2994" xr:uid="{00000000-0005-0000-0000-000037040000}"/>
    <cellStyle name="Currency 3 2 3 5 2 3 2" xfId="4728" xr:uid="{00000000-0005-0000-0000-000038040000}"/>
    <cellStyle name="Currency 3 2 3 5 2 3 2 2" xfId="10905" xr:uid="{652AAA50-F49B-4A22-A060-9D412A3284EF}"/>
    <cellStyle name="Currency 3 2 3 5 2 3 3" xfId="9171" xr:uid="{E77B3453-5D4C-426E-95DD-19F8F4152BE1}"/>
    <cellStyle name="Currency 3 2 3 5 2 4" xfId="2112" xr:uid="{00000000-0005-0000-0000-000039040000}"/>
    <cellStyle name="Currency 3 2 3 5 2 4 2" xfId="4729" xr:uid="{00000000-0005-0000-0000-00003A040000}"/>
    <cellStyle name="Currency 3 2 3 5 2 4 2 2" xfId="10906" xr:uid="{D04B47D3-92A3-416D-B396-4A284FD00742}"/>
    <cellStyle name="Currency 3 2 3 5 2 4 3" xfId="8289" xr:uid="{BBB9D585-03BC-4972-92DE-39E7F01FBAAB}"/>
    <cellStyle name="Currency 3 2 3 5 2 5" xfId="3876" xr:uid="{00000000-0005-0000-0000-00003B040000}"/>
    <cellStyle name="Currency 3 2 3 5 2 5 2" xfId="10053" xr:uid="{FFAB2DFE-60B0-49E1-A428-9304DF9F8B8C}"/>
    <cellStyle name="Currency 3 2 3 5 2 6" xfId="1229" xr:uid="{00000000-0005-0000-0000-00003C040000}"/>
    <cellStyle name="Currency 3 2 3 5 2 6 2" xfId="7406" xr:uid="{F6F51F56-00FE-429F-B20A-8E0170FBFF00}"/>
    <cellStyle name="Currency 3 2 3 5 2 7" xfId="6523" xr:uid="{63FBBE59-CE30-446C-849D-6711D62D3713}"/>
    <cellStyle name="Currency 3 2 3 5 3" xfId="567" xr:uid="{00000000-0005-0000-0000-00003D040000}"/>
    <cellStyle name="Currency 3 2 3 5 3 2" xfId="3215" xr:uid="{00000000-0005-0000-0000-00003E040000}"/>
    <cellStyle name="Currency 3 2 3 5 3 2 2" xfId="4730" xr:uid="{00000000-0005-0000-0000-00003F040000}"/>
    <cellStyle name="Currency 3 2 3 5 3 2 2 2" xfId="10907" xr:uid="{2DB28C1E-65E8-4E58-A50D-D9318590521B}"/>
    <cellStyle name="Currency 3 2 3 5 3 2 3" xfId="9392" xr:uid="{3FFD5B8A-56BA-4FDA-9B1A-B376E2A73506}"/>
    <cellStyle name="Currency 3 2 3 5 3 3" xfId="2333" xr:uid="{00000000-0005-0000-0000-000040040000}"/>
    <cellStyle name="Currency 3 2 3 5 3 3 2" xfId="4731" xr:uid="{00000000-0005-0000-0000-000041040000}"/>
    <cellStyle name="Currency 3 2 3 5 3 3 2 2" xfId="10908" xr:uid="{80C428EA-C1D3-4FB0-869D-2E19573CAD14}"/>
    <cellStyle name="Currency 3 2 3 5 3 3 3" xfId="8510" xr:uid="{CD5F02F7-8CCD-4AED-9DB2-754FD45E5342}"/>
    <cellStyle name="Currency 3 2 3 5 3 4" xfId="4097" xr:uid="{00000000-0005-0000-0000-000042040000}"/>
    <cellStyle name="Currency 3 2 3 5 3 4 2" xfId="10274" xr:uid="{76115E32-44A0-430E-BBD5-89669C4D9319}"/>
    <cellStyle name="Currency 3 2 3 5 3 5" xfId="1450" xr:uid="{00000000-0005-0000-0000-000043040000}"/>
    <cellStyle name="Currency 3 2 3 5 3 5 2" xfId="7627" xr:uid="{480D4BB8-0539-4DCD-A5EC-2E6457C634C9}"/>
    <cellStyle name="Currency 3 2 3 5 3 6" xfId="6744" xr:uid="{FF51493E-C2BC-4F8E-8C50-A37E8A5CD24B}"/>
    <cellStyle name="Currency 3 2 3 5 4" xfId="2774" xr:uid="{00000000-0005-0000-0000-000044040000}"/>
    <cellStyle name="Currency 3 2 3 5 4 2" xfId="4732" xr:uid="{00000000-0005-0000-0000-000045040000}"/>
    <cellStyle name="Currency 3 2 3 5 4 2 2" xfId="10909" xr:uid="{828C81EF-96B3-47A8-A78E-53DD4608AB2D}"/>
    <cellStyle name="Currency 3 2 3 5 4 3" xfId="8951" xr:uid="{38FAF08A-C2B6-45AD-A424-6D74752ADF58}"/>
    <cellStyle name="Currency 3 2 3 5 5" xfId="1892" xr:uid="{00000000-0005-0000-0000-000046040000}"/>
    <cellStyle name="Currency 3 2 3 5 5 2" xfId="4733" xr:uid="{00000000-0005-0000-0000-000047040000}"/>
    <cellStyle name="Currency 3 2 3 5 5 2 2" xfId="10910" xr:uid="{893CAC65-06B9-48E0-AEC0-32396E3A8729}"/>
    <cellStyle name="Currency 3 2 3 5 5 3" xfId="8069" xr:uid="{295534AD-D570-4399-AE8A-0DD01ED2E609}"/>
    <cellStyle name="Currency 3 2 3 5 6" xfId="3656" xr:uid="{00000000-0005-0000-0000-000048040000}"/>
    <cellStyle name="Currency 3 2 3 5 6 2" xfId="9833" xr:uid="{809A8FD3-9AE2-4949-B2AE-6BAA56D75414}"/>
    <cellStyle name="Currency 3 2 3 5 7" xfId="1009" xr:uid="{00000000-0005-0000-0000-000049040000}"/>
    <cellStyle name="Currency 3 2 3 5 7 2" xfId="7186" xr:uid="{7CD97003-596D-4BD2-A994-D5C21C8180F2}"/>
    <cellStyle name="Currency 3 2 3 5 8" xfId="6303" xr:uid="{7D6F2910-62B9-42E3-86ED-34E0CB0E3169}"/>
    <cellStyle name="Currency 3 2 3 6" xfId="236" xr:uid="{00000000-0005-0000-0000-00004A040000}"/>
    <cellStyle name="Currency 3 2 3 6 2" xfId="677" xr:uid="{00000000-0005-0000-0000-00004B040000}"/>
    <cellStyle name="Currency 3 2 3 6 2 2" xfId="3325" xr:uid="{00000000-0005-0000-0000-00004C040000}"/>
    <cellStyle name="Currency 3 2 3 6 2 2 2" xfId="4734" xr:uid="{00000000-0005-0000-0000-00004D040000}"/>
    <cellStyle name="Currency 3 2 3 6 2 2 2 2" xfId="10911" xr:uid="{7E9DCA1B-AA5D-4AB3-B3FB-3076D919C279}"/>
    <cellStyle name="Currency 3 2 3 6 2 2 3" xfId="9502" xr:uid="{A536B979-5CAD-4EFB-842B-969CABE67D26}"/>
    <cellStyle name="Currency 3 2 3 6 2 3" xfId="2443" xr:uid="{00000000-0005-0000-0000-00004E040000}"/>
    <cellStyle name="Currency 3 2 3 6 2 3 2" xfId="4735" xr:uid="{00000000-0005-0000-0000-00004F040000}"/>
    <cellStyle name="Currency 3 2 3 6 2 3 2 2" xfId="10912" xr:uid="{754B8C67-FD75-425A-BD9C-94F8248A9D7C}"/>
    <cellStyle name="Currency 3 2 3 6 2 3 3" xfId="8620" xr:uid="{7C49B226-1132-46DD-A8AD-F87B9E821C3C}"/>
    <cellStyle name="Currency 3 2 3 6 2 4" xfId="4207" xr:uid="{00000000-0005-0000-0000-000050040000}"/>
    <cellStyle name="Currency 3 2 3 6 2 4 2" xfId="10384" xr:uid="{5B13F08E-3A91-4279-AD46-D894E5D1E7BE}"/>
    <cellStyle name="Currency 3 2 3 6 2 5" xfId="1560" xr:uid="{00000000-0005-0000-0000-000051040000}"/>
    <cellStyle name="Currency 3 2 3 6 2 5 2" xfId="7737" xr:uid="{42BC9D90-62DB-4C46-B133-398DF2B22FF1}"/>
    <cellStyle name="Currency 3 2 3 6 2 6" xfId="6854" xr:uid="{C0F06F17-E6BC-4B72-97CF-D81E54A6EAC6}"/>
    <cellStyle name="Currency 3 2 3 6 3" xfId="2884" xr:uid="{00000000-0005-0000-0000-000052040000}"/>
    <cellStyle name="Currency 3 2 3 6 3 2" xfId="4736" xr:uid="{00000000-0005-0000-0000-000053040000}"/>
    <cellStyle name="Currency 3 2 3 6 3 2 2" xfId="10913" xr:uid="{5DBB16A4-9925-4299-B631-C85BCF5A074C}"/>
    <cellStyle name="Currency 3 2 3 6 3 3" xfId="9061" xr:uid="{2281E864-B594-41AB-BE1A-90091062B31E}"/>
    <cellStyle name="Currency 3 2 3 6 4" xfId="2002" xr:uid="{00000000-0005-0000-0000-000054040000}"/>
    <cellStyle name="Currency 3 2 3 6 4 2" xfId="4737" xr:uid="{00000000-0005-0000-0000-000055040000}"/>
    <cellStyle name="Currency 3 2 3 6 4 2 2" xfId="10914" xr:uid="{0516A5F3-5DDC-4F05-A99D-24C802387EDA}"/>
    <cellStyle name="Currency 3 2 3 6 4 3" xfId="8179" xr:uid="{44CF2207-850F-4629-9484-B5889D0D0E4F}"/>
    <cellStyle name="Currency 3 2 3 6 5" xfId="3766" xr:uid="{00000000-0005-0000-0000-000056040000}"/>
    <cellStyle name="Currency 3 2 3 6 5 2" xfId="9943" xr:uid="{37D01AEC-FF22-4406-920F-60038C1780BC}"/>
    <cellStyle name="Currency 3 2 3 6 6" xfId="1119" xr:uid="{00000000-0005-0000-0000-000057040000}"/>
    <cellStyle name="Currency 3 2 3 6 6 2" xfId="7296" xr:uid="{DC9F5080-D3A4-4BF5-B4D5-A239C0150874}"/>
    <cellStyle name="Currency 3 2 3 6 7" xfId="6413" xr:uid="{590BB2AF-337C-4086-9A65-651268B7D680}"/>
    <cellStyle name="Currency 3 2 3 7" xfId="457" xr:uid="{00000000-0005-0000-0000-000058040000}"/>
    <cellStyle name="Currency 3 2 3 7 2" xfId="3105" xr:uid="{00000000-0005-0000-0000-000059040000}"/>
    <cellStyle name="Currency 3 2 3 7 2 2" xfId="4738" xr:uid="{00000000-0005-0000-0000-00005A040000}"/>
    <cellStyle name="Currency 3 2 3 7 2 2 2" xfId="10915" xr:uid="{B259383D-41BB-44F3-98A4-1E1D41A0FDFF}"/>
    <cellStyle name="Currency 3 2 3 7 2 3" xfId="9282" xr:uid="{F136ACE5-5565-448B-B674-C8C0A523B752}"/>
    <cellStyle name="Currency 3 2 3 7 3" xfId="2223" xr:uid="{00000000-0005-0000-0000-00005B040000}"/>
    <cellStyle name="Currency 3 2 3 7 3 2" xfId="4739" xr:uid="{00000000-0005-0000-0000-00005C040000}"/>
    <cellStyle name="Currency 3 2 3 7 3 2 2" xfId="10916" xr:uid="{6B0A650C-041D-4C1E-8C8A-242E7DDFB206}"/>
    <cellStyle name="Currency 3 2 3 7 3 3" xfId="8400" xr:uid="{3476267B-1D84-44BA-A2C8-E5FF746BF96C}"/>
    <cellStyle name="Currency 3 2 3 7 4" xfId="3987" xr:uid="{00000000-0005-0000-0000-00005D040000}"/>
    <cellStyle name="Currency 3 2 3 7 4 2" xfId="10164" xr:uid="{FAA8FF55-327A-4106-B72A-7D066B9C7C72}"/>
    <cellStyle name="Currency 3 2 3 7 5" xfId="1340" xr:uid="{00000000-0005-0000-0000-00005E040000}"/>
    <cellStyle name="Currency 3 2 3 7 5 2" xfId="7517" xr:uid="{F8BBC024-F9DA-40F3-B785-4A6BBA252F9B}"/>
    <cellStyle name="Currency 3 2 3 7 6" xfId="6634" xr:uid="{BAFF12FA-A394-453C-BDB5-9DB48D3AB804}"/>
    <cellStyle name="Currency 3 2 3 8" xfId="2664" xr:uid="{00000000-0005-0000-0000-00005F040000}"/>
    <cellStyle name="Currency 3 2 3 8 2" xfId="4740" xr:uid="{00000000-0005-0000-0000-000060040000}"/>
    <cellStyle name="Currency 3 2 3 8 2 2" xfId="10917" xr:uid="{9C0E2C3E-9E32-463C-AC6C-3A9C136D492D}"/>
    <cellStyle name="Currency 3 2 3 8 3" xfId="8841" xr:uid="{8010EEA3-0608-4932-A8E4-3FE6DDA0C19C}"/>
    <cellStyle name="Currency 3 2 3 9" xfId="1782" xr:uid="{00000000-0005-0000-0000-000061040000}"/>
    <cellStyle name="Currency 3 2 3 9 2" xfId="4741" xr:uid="{00000000-0005-0000-0000-000062040000}"/>
    <cellStyle name="Currency 3 2 3 9 2 2" xfId="10918" xr:uid="{6A5BC02C-99A1-4D14-B8D7-AFAC0FF7219C}"/>
    <cellStyle name="Currency 3 2 3 9 3" xfId="7959" xr:uid="{B4F5B3A9-5785-45A1-897E-356A384C0D6E}"/>
    <cellStyle name="Currency 3 2 4" xfId="19" xr:uid="{00000000-0005-0000-0000-000063040000}"/>
    <cellStyle name="Currency 3 2 4 10" xfId="3549" xr:uid="{00000000-0005-0000-0000-000064040000}"/>
    <cellStyle name="Currency 3 2 4 10 2" xfId="9726" xr:uid="{FBFA5CAA-D8AB-4A35-ABC5-A96712516173}"/>
    <cellStyle name="Currency 3 2 4 11" xfId="902" xr:uid="{00000000-0005-0000-0000-000065040000}"/>
    <cellStyle name="Currency 3 2 4 11 2" xfId="7079" xr:uid="{FD9DB655-838A-4020-9DBC-7ABA78C534FE}"/>
    <cellStyle name="Currency 3 2 4 12" xfId="6196" xr:uid="{6CE725D0-57F2-47EA-9B45-52F23767902C}"/>
    <cellStyle name="Currency 3 2 4 2" xfId="53" xr:uid="{00000000-0005-0000-0000-000066040000}"/>
    <cellStyle name="Currency 3 2 4 2 2" xfId="163" xr:uid="{00000000-0005-0000-0000-000067040000}"/>
    <cellStyle name="Currency 3 2 4 2 2 2" xfId="383" xr:uid="{00000000-0005-0000-0000-000068040000}"/>
    <cellStyle name="Currency 3 2 4 2 2 2 2" xfId="824" xr:uid="{00000000-0005-0000-0000-000069040000}"/>
    <cellStyle name="Currency 3 2 4 2 2 2 2 2" xfId="3472" xr:uid="{00000000-0005-0000-0000-00006A040000}"/>
    <cellStyle name="Currency 3 2 4 2 2 2 2 2 2" xfId="4742" xr:uid="{00000000-0005-0000-0000-00006B040000}"/>
    <cellStyle name="Currency 3 2 4 2 2 2 2 2 2 2" xfId="10919" xr:uid="{24E3920C-0CEA-4C82-91F9-98F28C504BD7}"/>
    <cellStyle name="Currency 3 2 4 2 2 2 2 2 3" xfId="9649" xr:uid="{9364ED8F-31D4-4FC6-97E9-82C86C484227}"/>
    <cellStyle name="Currency 3 2 4 2 2 2 2 3" xfId="2590" xr:uid="{00000000-0005-0000-0000-00006C040000}"/>
    <cellStyle name="Currency 3 2 4 2 2 2 2 3 2" xfId="4743" xr:uid="{00000000-0005-0000-0000-00006D040000}"/>
    <cellStyle name="Currency 3 2 4 2 2 2 2 3 2 2" xfId="10920" xr:uid="{B485C49A-D06E-46D0-A4F9-36FFFFFA6863}"/>
    <cellStyle name="Currency 3 2 4 2 2 2 2 3 3" xfId="8767" xr:uid="{7A60BAAE-E01B-498B-B839-367916C90676}"/>
    <cellStyle name="Currency 3 2 4 2 2 2 2 4" xfId="4354" xr:uid="{00000000-0005-0000-0000-00006E040000}"/>
    <cellStyle name="Currency 3 2 4 2 2 2 2 4 2" xfId="10531" xr:uid="{A62BFD45-7321-411E-98F3-B714C5BAD70E}"/>
    <cellStyle name="Currency 3 2 4 2 2 2 2 5" xfId="1707" xr:uid="{00000000-0005-0000-0000-00006F040000}"/>
    <cellStyle name="Currency 3 2 4 2 2 2 2 5 2" xfId="7884" xr:uid="{B5D5C54B-7E61-4957-BE75-05E4A8CEA54A}"/>
    <cellStyle name="Currency 3 2 4 2 2 2 2 6" xfId="7001" xr:uid="{FA168FC7-BDC4-4021-A7BB-BBB4D2B011BA}"/>
    <cellStyle name="Currency 3 2 4 2 2 2 3" xfId="3031" xr:uid="{00000000-0005-0000-0000-000070040000}"/>
    <cellStyle name="Currency 3 2 4 2 2 2 3 2" xfId="4744" xr:uid="{00000000-0005-0000-0000-000071040000}"/>
    <cellStyle name="Currency 3 2 4 2 2 2 3 2 2" xfId="10921" xr:uid="{8C311C34-A935-46B1-AF08-49413E9E91CF}"/>
    <cellStyle name="Currency 3 2 4 2 2 2 3 3" xfId="9208" xr:uid="{96120E54-061E-43A7-9921-A09DF650AB81}"/>
    <cellStyle name="Currency 3 2 4 2 2 2 4" xfId="2149" xr:uid="{00000000-0005-0000-0000-000072040000}"/>
    <cellStyle name="Currency 3 2 4 2 2 2 4 2" xfId="4745" xr:uid="{00000000-0005-0000-0000-000073040000}"/>
    <cellStyle name="Currency 3 2 4 2 2 2 4 2 2" xfId="10922" xr:uid="{83C67C87-0C24-4752-A0E3-FB1262BBE1BD}"/>
    <cellStyle name="Currency 3 2 4 2 2 2 4 3" xfId="8326" xr:uid="{FFF319F7-08F9-4329-AB21-452C68149226}"/>
    <cellStyle name="Currency 3 2 4 2 2 2 5" xfId="3913" xr:uid="{00000000-0005-0000-0000-000074040000}"/>
    <cellStyle name="Currency 3 2 4 2 2 2 5 2" xfId="10090" xr:uid="{1DDCB309-F801-4225-B447-15A873FD5F12}"/>
    <cellStyle name="Currency 3 2 4 2 2 2 6" xfId="1266" xr:uid="{00000000-0005-0000-0000-000075040000}"/>
    <cellStyle name="Currency 3 2 4 2 2 2 6 2" xfId="7443" xr:uid="{D25D486A-D420-4CA4-99AE-B2B9A08B1DAD}"/>
    <cellStyle name="Currency 3 2 4 2 2 2 7" xfId="6560" xr:uid="{21ED1D1C-0003-4EE2-83E0-11A82F0B019D}"/>
    <cellStyle name="Currency 3 2 4 2 2 3" xfId="604" xr:uid="{00000000-0005-0000-0000-000076040000}"/>
    <cellStyle name="Currency 3 2 4 2 2 3 2" xfId="3252" xr:uid="{00000000-0005-0000-0000-000077040000}"/>
    <cellStyle name="Currency 3 2 4 2 2 3 2 2" xfId="4746" xr:uid="{00000000-0005-0000-0000-000078040000}"/>
    <cellStyle name="Currency 3 2 4 2 2 3 2 2 2" xfId="10923" xr:uid="{E2A386C0-B230-403F-9A6B-6230367E6C2A}"/>
    <cellStyle name="Currency 3 2 4 2 2 3 2 3" xfId="9429" xr:uid="{7D5EAA3E-B272-4D23-9B4A-400339449FBF}"/>
    <cellStyle name="Currency 3 2 4 2 2 3 3" xfId="2370" xr:uid="{00000000-0005-0000-0000-000079040000}"/>
    <cellStyle name="Currency 3 2 4 2 2 3 3 2" xfId="4747" xr:uid="{00000000-0005-0000-0000-00007A040000}"/>
    <cellStyle name="Currency 3 2 4 2 2 3 3 2 2" xfId="10924" xr:uid="{FC9F7874-F5BA-468E-870C-EBA91A20911B}"/>
    <cellStyle name="Currency 3 2 4 2 2 3 3 3" xfId="8547" xr:uid="{C4B53F40-52A8-4B6F-99CD-59195FEEE43D}"/>
    <cellStyle name="Currency 3 2 4 2 2 3 4" xfId="4134" xr:uid="{00000000-0005-0000-0000-00007B040000}"/>
    <cellStyle name="Currency 3 2 4 2 2 3 4 2" xfId="10311" xr:uid="{3F73C580-A39C-4549-B3B8-B6F7DFB50E53}"/>
    <cellStyle name="Currency 3 2 4 2 2 3 5" xfId="1487" xr:uid="{00000000-0005-0000-0000-00007C040000}"/>
    <cellStyle name="Currency 3 2 4 2 2 3 5 2" xfId="7664" xr:uid="{34628B9E-AC79-48CE-9000-911F90AC4332}"/>
    <cellStyle name="Currency 3 2 4 2 2 3 6" xfId="6781" xr:uid="{63BC3676-DC3C-4224-8D45-402A1570DA32}"/>
    <cellStyle name="Currency 3 2 4 2 2 4" xfId="2811" xr:uid="{00000000-0005-0000-0000-00007D040000}"/>
    <cellStyle name="Currency 3 2 4 2 2 4 2" xfId="4748" xr:uid="{00000000-0005-0000-0000-00007E040000}"/>
    <cellStyle name="Currency 3 2 4 2 2 4 2 2" xfId="10925" xr:uid="{722E934C-4DEA-4761-85A9-65A6B8FA3CE2}"/>
    <cellStyle name="Currency 3 2 4 2 2 4 3" xfId="8988" xr:uid="{FAB38C8F-D4F5-48B4-A132-064FB07F9FA5}"/>
    <cellStyle name="Currency 3 2 4 2 2 5" xfId="1929" xr:uid="{00000000-0005-0000-0000-00007F040000}"/>
    <cellStyle name="Currency 3 2 4 2 2 5 2" xfId="4749" xr:uid="{00000000-0005-0000-0000-000080040000}"/>
    <cellStyle name="Currency 3 2 4 2 2 5 2 2" xfId="10926" xr:uid="{BFC497BC-DF62-4B48-809B-5304964F7BBF}"/>
    <cellStyle name="Currency 3 2 4 2 2 5 3" xfId="8106" xr:uid="{E6C2131D-03DA-40F9-913D-39AD70CBEDFE}"/>
    <cellStyle name="Currency 3 2 4 2 2 6" xfId="3693" xr:uid="{00000000-0005-0000-0000-000081040000}"/>
    <cellStyle name="Currency 3 2 4 2 2 6 2" xfId="9870" xr:uid="{CB9B7296-A956-4A95-A38F-EFF56D31A284}"/>
    <cellStyle name="Currency 3 2 4 2 2 7" xfId="1046" xr:uid="{00000000-0005-0000-0000-000082040000}"/>
    <cellStyle name="Currency 3 2 4 2 2 7 2" xfId="7223" xr:uid="{27BD6B92-3439-49E2-8297-6E129D5387D7}"/>
    <cellStyle name="Currency 3 2 4 2 2 8" xfId="6340" xr:uid="{703D5E90-5667-41EC-877A-E2AF6F45A35C}"/>
    <cellStyle name="Currency 3 2 4 2 3" xfId="273" xr:uid="{00000000-0005-0000-0000-000083040000}"/>
    <cellStyle name="Currency 3 2 4 2 3 2" xfId="714" xr:uid="{00000000-0005-0000-0000-000084040000}"/>
    <cellStyle name="Currency 3 2 4 2 3 2 2" xfId="3362" xr:uid="{00000000-0005-0000-0000-000085040000}"/>
    <cellStyle name="Currency 3 2 4 2 3 2 2 2" xfId="4750" xr:uid="{00000000-0005-0000-0000-000086040000}"/>
    <cellStyle name="Currency 3 2 4 2 3 2 2 2 2" xfId="10927" xr:uid="{25C60B97-39EC-4220-BFA5-DFBD2E69AFBB}"/>
    <cellStyle name="Currency 3 2 4 2 3 2 2 3" xfId="9539" xr:uid="{EFA088C3-3051-4DDD-A461-964167B963CC}"/>
    <cellStyle name="Currency 3 2 4 2 3 2 3" xfId="2480" xr:uid="{00000000-0005-0000-0000-000087040000}"/>
    <cellStyle name="Currency 3 2 4 2 3 2 3 2" xfId="4751" xr:uid="{00000000-0005-0000-0000-000088040000}"/>
    <cellStyle name="Currency 3 2 4 2 3 2 3 2 2" xfId="10928" xr:uid="{FB6B2493-1A4A-4C4E-B354-890C46BCC892}"/>
    <cellStyle name="Currency 3 2 4 2 3 2 3 3" xfId="8657" xr:uid="{ABD476BB-F4B0-4D41-8232-222DA0975653}"/>
    <cellStyle name="Currency 3 2 4 2 3 2 4" xfId="4244" xr:uid="{00000000-0005-0000-0000-000089040000}"/>
    <cellStyle name="Currency 3 2 4 2 3 2 4 2" xfId="10421" xr:uid="{A3A5555C-7E09-4B0F-8258-4CBECA357CF8}"/>
    <cellStyle name="Currency 3 2 4 2 3 2 5" xfId="1597" xr:uid="{00000000-0005-0000-0000-00008A040000}"/>
    <cellStyle name="Currency 3 2 4 2 3 2 5 2" xfId="7774" xr:uid="{D5155802-E6D3-42B5-A3F3-2F9F55E31DC1}"/>
    <cellStyle name="Currency 3 2 4 2 3 2 6" xfId="6891" xr:uid="{761B4F11-FB02-4D32-A2F0-1BBEB4E551D7}"/>
    <cellStyle name="Currency 3 2 4 2 3 3" xfId="2921" xr:uid="{00000000-0005-0000-0000-00008B040000}"/>
    <cellStyle name="Currency 3 2 4 2 3 3 2" xfId="4752" xr:uid="{00000000-0005-0000-0000-00008C040000}"/>
    <cellStyle name="Currency 3 2 4 2 3 3 2 2" xfId="10929" xr:uid="{067C15C5-27D4-457F-9FCC-204DBAF508BC}"/>
    <cellStyle name="Currency 3 2 4 2 3 3 3" xfId="9098" xr:uid="{33DE2A4D-BFDB-434E-823D-98093D0C6E9A}"/>
    <cellStyle name="Currency 3 2 4 2 3 4" xfId="2039" xr:uid="{00000000-0005-0000-0000-00008D040000}"/>
    <cellStyle name="Currency 3 2 4 2 3 4 2" xfId="4753" xr:uid="{00000000-0005-0000-0000-00008E040000}"/>
    <cellStyle name="Currency 3 2 4 2 3 4 2 2" xfId="10930" xr:uid="{FE33C6BF-A081-4F6B-8EBA-6644D9007692}"/>
    <cellStyle name="Currency 3 2 4 2 3 4 3" xfId="8216" xr:uid="{25426E6B-D02C-46A7-B097-7E56707E4AA0}"/>
    <cellStyle name="Currency 3 2 4 2 3 5" xfId="3803" xr:uid="{00000000-0005-0000-0000-00008F040000}"/>
    <cellStyle name="Currency 3 2 4 2 3 5 2" xfId="9980" xr:uid="{5C4C03D5-6AC0-4C05-9BF6-309977BA525F}"/>
    <cellStyle name="Currency 3 2 4 2 3 6" xfId="1156" xr:uid="{00000000-0005-0000-0000-000090040000}"/>
    <cellStyle name="Currency 3 2 4 2 3 6 2" xfId="7333" xr:uid="{2D0BEB92-3135-47D2-923E-A7B83C1AAC33}"/>
    <cellStyle name="Currency 3 2 4 2 3 7" xfId="6450" xr:uid="{B2A9CB4F-6994-406D-A06F-D3DAC8DE4150}"/>
    <cellStyle name="Currency 3 2 4 2 4" xfId="494" xr:uid="{00000000-0005-0000-0000-000091040000}"/>
    <cellStyle name="Currency 3 2 4 2 4 2" xfId="3142" xr:uid="{00000000-0005-0000-0000-000092040000}"/>
    <cellStyle name="Currency 3 2 4 2 4 2 2" xfId="4754" xr:uid="{00000000-0005-0000-0000-000093040000}"/>
    <cellStyle name="Currency 3 2 4 2 4 2 2 2" xfId="10931" xr:uid="{6BDC40BB-9E4C-4624-8FC3-1727E69255EB}"/>
    <cellStyle name="Currency 3 2 4 2 4 2 3" xfId="9319" xr:uid="{AB81CE88-EE57-497B-9D3A-781B5AE470E3}"/>
    <cellStyle name="Currency 3 2 4 2 4 3" xfId="2260" xr:uid="{00000000-0005-0000-0000-000094040000}"/>
    <cellStyle name="Currency 3 2 4 2 4 3 2" xfId="4755" xr:uid="{00000000-0005-0000-0000-000095040000}"/>
    <cellStyle name="Currency 3 2 4 2 4 3 2 2" xfId="10932" xr:uid="{51A3AE4E-6069-4D45-92D5-58C59E935763}"/>
    <cellStyle name="Currency 3 2 4 2 4 3 3" xfId="8437" xr:uid="{B14EE3C9-9840-4AF9-A6C6-56DCB379593B}"/>
    <cellStyle name="Currency 3 2 4 2 4 4" xfId="4024" xr:uid="{00000000-0005-0000-0000-000096040000}"/>
    <cellStyle name="Currency 3 2 4 2 4 4 2" xfId="10201" xr:uid="{03163585-C494-474F-B351-4E778BEA5117}"/>
    <cellStyle name="Currency 3 2 4 2 4 5" xfId="1377" xr:uid="{00000000-0005-0000-0000-000097040000}"/>
    <cellStyle name="Currency 3 2 4 2 4 5 2" xfId="7554" xr:uid="{C09B78B9-4BDF-4D00-A30E-133A75CEA551}"/>
    <cellStyle name="Currency 3 2 4 2 4 6" xfId="6671" xr:uid="{DE6EB143-DCDB-4335-9498-D1797C0D18CE}"/>
    <cellStyle name="Currency 3 2 4 2 5" xfId="2701" xr:uid="{00000000-0005-0000-0000-000098040000}"/>
    <cellStyle name="Currency 3 2 4 2 5 2" xfId="4756" xr:uid="{00000000-0005-0000-0000-000099040000}"/>
    <cellStyle name="Currency 3 2 4 2 5 2 2" xfId="10933" xr:uid="{0E22F0AC-F310-4DC0-A2C6-345BC0C3D571}"/>
    <cellStyle name="Currency 3 2 4 2 5 3" xfId="8878" xr:uid="{68D651CD-BECC-499B-A1BD-FBE402730C2A}"/>
    <cellStyle name="Currency 3 2 4 2 6" xfId="1819" xr:uid="{00000000-0005-0000-0000-00009A040000}"/>
    <cellStyle name="Currency 3 2 4 2 6 2" xfId="4757" xr:uid="{00000000-0005-0000-0000-00009B040000}"/>
    <cellStyle name="Currency 3 2 4 2 6 2 2" xfId="10934" xr:uid="{0565896B-2C84-4BE7-91E3-0F7EA2D40834}"/>
    <cellStyle name="Currency 3 2 4 2 6 3" xfId="7996" xr:uid="{69C05FD6-CFEC-4997-8F6F-D25526E013C3}"/>
    <cellStyle name="Currency 3 2 4 2 7" xfId="3583" xr:uid="{00000000-0005-0000-0000-00009C040000}"/>
    <cellStyle name="Currency 3 2 4 2 7 2" xfId="9760" xr:uid="{995D7BD2-EB1E-4C75-857B-222B60C676FB}"/>
    <cellStyle name="Currency 3 2 4 2 8" xfId="936" xr:uid="{00000000-0005-0000-0000-00009D040000}"/>
    <cellStyle name="Currency 3 2 4 2 8 2" xfId="7113" xr:uid="{A05ADC86-76F4-4A30-B433-8E3BC73A01E8}"/>
    <cellStyle name="Currency 3 2 4 2 9" xfId="6230" xr:uid="{69235629-F337-4933-A863-1EB0C3C59C34}"/>
    <cellStyle name="Currency 3 2 4 3" xfId="69" xr:uid="{00000000-0005-0000-0000-00009E040000}"/>
    <cellStyle name="Currency 3 2 4 3 2" xfId="179" xr:uid="{00000000-0005-0000-0000-00009F040000}"/>
    <cellStyle name="Currency 3 2 4 3 2 2" xfId="399" xr:uid="{00000000-0005-0000-0000-0000A0040000}"/>
    <cellStyle name="Currency 3 2 4 3 2 2 2" xfId="840" xr:uid="{00000000-0005-0000-0000-0000A1040000}"/>
    <cellStyle name="Currency 3 2 4 3 2 2 2 2" xfId="3488" xr:uid="{00000000-0005-0000-0000-0000A2040000}"/>
    <cellStyle name="Currency 3 2 4 3 2 2 2 2 2" xfId="4758" xr:uid="{00000000-0005-0000-0000-0000A3040000}"/>
    <cellStyle name="Currency 3 2 4 3 2 2 2 2 2 2" xfId="10935" xr:uid="{CBEBE89B-A261-49CD-AF63-920A547BA113}"/>
    <cellStyle name="Currency 3 2 4 3 2 2 2 2 3" xfId="9665" xr:uid="{DC06FD74-283D-466A-9DEB-B205B9B5FAF5}"/>
    <cellStyle name="Currency 3 2 4 3 2 2 2 3" xfId="2606" xr:uid="{00000000-0005-0000-0000-0000A4040000}"/>
    <cellStyle name="Currency 3 2 4 3 2 2 2 3 2" xfId="4759" xr:uid="{00000000-0005-0000-0000-0000A5040000}"/>
    <cellStyle name="Currency 3 2 4 3 2 2 2 3 2 2" xfId="10936" xr:uid="{3D2D4EAA-96DF-4B86-907E-6F5F60419667}"/>
    <cellStyle name="Currency 3 2 4 3 2 2 2 3 3" xfId="8783" xr:uid="{28ADA99A-6118-4932-B0DB-8536774B3AEC}"/>
    <cellStyle name="Currency 3 2 4 3 2 2 2 4" xfId="4370" xr:uid="{00000000-0005-0000-0000-0000A6040000}"/>
    <cellStyle name="Currency 3 2 4 3 2 2 2 4 2" xfId="10547" xr:uid="{633AC652-55AB-430F-8A28-55E91FFC03B2}"/>
    <cellStyle name="Currency 3 2 4 3 2 2 2 5" xfId="1723" xr:uid="{00000000-0005-0000-0000-0000A7040000}"/>
    <cellStyle name="Currency 3 2 4 3 2 2 2 5 2" xfId="7900" xr:uid="{02D2EA01-F2B7-4A4A-BA39-CDEB37A44886}"/>
    <cellStyle name="Currency 3 2 4 3 2 2 2 6" xfId="7017" xr:uid="{F26D4E04-4404-4E34-83AC-6719D5B5E65A}"/>
    <cellStyle name="Currency 3 2 4 3 2 2 3" xfId="3047" xr:uid="{00000000-0005-0000-0000-0000A8040000}"/>
    <cellStyle name="Currency 3 2 4 3 2 2 3 2" xfId="4760" xr:uid="{00000000-0005-0000-0000-0000A9040000}"/>
    <cellStyle name="Currency 3 2 4 3 2 2 3 2 2" xfId="10937" xr:uid="{97E5FED5-3DA0-4EA8-8C62-454A4A357D9F}"/>
    <cellStyle name="Currency 3 2 4 3 2 2 3 3" xfId="9224" xr:uid="{F5B1890F-9031-4B70-8E91-F3C797F67BA0}"/>
    <cellStyle name="Currency 3 2 4 3 2 2 4" xfId="2165" xr:uid="{00000000-0005-0000-0000-0000AA040000}"/>
    <cellStyle name="Currency 3 2 4 3 2 2 4 2" xfId="4761" xr:uid="{00000000-0005-0000-0000-0000AB040000}"/>
    <cellStyle name="Currency 3 2 4 3 2 2 4 2 2" xfId="10938" xr:uid="{6798F71D-D84A-41B0-B3E3-DE25FD200D8B}"/>
    <cellStyle name="Currency 3 2 4 3 2 2 4 3" xfId="8342" xr:uid="{6BC3DD50-4BC6-435E-BC81-5AF967B060B5}"/>
    <cellStyle name="Currency 3 2 4 3 2 2 5" xfId="3929" xr:uid="{00000000-0005-0000-0000-0000AC040000}"/>
    <cellStyle name="Currency 3 2 4 3 2 2 5 2" xfId="10106" xr:uid="{31FD1A35-51F4-4993-A7F7-37F1AD545A9C}"/>
    <cellStyle name="Currency 3 2 4 3 2 2 6" xfId="1282" xr:uid="{00000000-0005-0000-0000-0000AD040000}"/>
    <cellStyle name="Currency 3 2 4 3 2 2 6 2" xfId="7459" xr:uid="{650C37FE-BDC2-4A1B-8CDE-1ABDE269B491}"/>
    <cellStyle name="Currency 3 2 4 3 2 2 7" xfId="6576" xr:uid="{BB8A3EA9-EE65-4A9C-91C3-9C8B4BC105A0}"/>
    <cellStyle name="Currency 3 2 4 3 2 3" xfId="620" xr:uid="{00000000-0005-0000-0000-0000AE040000}"/>
    <cellStyle name="Currency 3 2 4 3 2 3 2" xfId="3268" xr:uid="{00000000-0005-0000-0000-0000AF040000}"/>
    <cellStyle name="Currency 3 2 4 3 2 3 2 2" xfId="4762" xr:uid="{00000000-0005-0000-0000-0000B0040000}"/>
    <cellStyle name="Currency 3 2 4 3 2 3 2 2 2" xfId="10939" xr:uid="{12B9D48A-3359-42F7-9E31-DD8D09E2B594}"/>
    <cellStyle name="Currency 3 2 4 3 2 3 2 3" xfId="9445" xr:uid="{F8E6B581-2692-4231-9AAE-CB0FB29C3B60}"/>
    <cellStyle name="Currency 3 2 4 3 2 3 3" xfId="2386" xr:uid="{00000000-0005-0000-0000-0000B1040000}"/>
    <cellStyle name="Currency 3 2 4 3 2 3 3 2" xfId="4763" xr:uid="{00000000-0005-0000-0000-0000B2040000}"/>
    <cellStyle name="Currency 3 2 4 3 2 3 3 2 2" xfId="10940" xr:uid="{E809DCF3-2BE2-4DCC-A0DE-3C2CFA738B0D}"/>
    <cellStyle name="Currency 3 2 4 3 2 3 3 3" xfId="8563" xr:uid="{94BB12EA-E7E6-4EB0-8482-ED6027558153}"/>
    <cellStyle name="Currency 3 2 4 3 2 3 4" xfId="4150" xr:uid="{00000000-0005-0000-0000-0000B3040000}"/>
    <cellStyle name="Currency 3 2 4 3 2 3 4 2" xfId="10327" xr:uid="{05AEBF9C-DBAF-447F-9187-6B0B0C209263}"/>
    <cellStyle name="Currency 3 2 4 3 2 3 5" xfId="1503" xr:uid="{00000000-0005-0000-0000-0000B4040000}"/>
    <cellStyle name="Currency 3 2 4 3 2 3 5 2" xfId="7680" xr:uid="{6F50916B-0E5C-4C72-A050-C6C25945B9AB}"/>
    <cellStyle name="Currency 3 2 4 3 2 3 6" xfId="6797" xr:uid="{BEFA5148-A053-404D-A68F-82F7A7B609E6}"/>
    <cellStyle name="Currency 3 2 4 3 2 4" xfId="2827" xr:uid="{00000000-0005-0000-0000-0000B5040000}"/>
    <cellStyle name="Currency 3 2 4 3 2 4 2" xfId="4764" xr:uid="{00000000-0005-0000-0000-0000B6040000}"/>
    <cellStyle name="Currency 3 2 4 3 2 4 2 2" xfId="10941" xr:uid="{C929936D-6BAB-4969-B6C4-C7995219E90C}"/>
    <cellStyle name="Currency 3 2 4 3 2 4 3" xfId="9004" xr:uid="{01492667-F19C-47A9-96D9-41E53FFC8EB9}"/>
    <cellStyle name="Currency 3 2 4 3 2 5" xfId="1945" xr:uid="{00000000-0005-0000-0000-0000B7040000}"/>
    <cellStyle name="Currency 3 2 4 3 2 5 2" xfId="4765" xr:uid="{00000000-0005-0000-0000-0000B8040000}"/>
    <cellStyle name="Currency 3 2 4 3 2 5 2 2" xfId="10942" xr:uid="{1751F438-A260-438A-AA72-FFB378AE5FF6}"/>
    <cellStyle name="Currency 3 2 4 3 2 5 3" xfId="8122" xr:uid="{8176B3BF-20ED-4499-99D6-214DF3C2DBDE}"/>
    <cellStyle name="Currency 3 2 4 3 2 6" xfId="3709" xr:uid="{00000000-0005-0000-0000-0000B9040000}"/>
    <cellStyle name="Currency 3 2 4 3 2 6 2" xfId="9886" xr:uid="{933EFC0E-68CE-4485-A2B0-2476F6CDCC41}"/>
    <cellStyle name="Currency 3 2 4 3 2 7" xfId="1062" xr:uid="{00000000-0005-0000-0000-0000BA040000}"/>
    <cellStyle name="Currency 3 2 4 3 2 7 2" xfId="7239" xr:uid="{DDB3F025-EA77-48F3-BB54-4ABBF6BF1A6A}"/>
    <cellStyle name="Currency 3 2 4 3 2 8" xfId="6356" xr:uid="{1E148F32-46E1-49CC-9183-2B2C496A2CA0}"/>
    <cellStyle name="Currency 3 2 4 3 3" xfId="289" xr:uid="{00000000-0005-0000-0000-0000BB040000}"/>
    <cellStyle name="Currency 3 2 4 3 3 2" xfId="730" xr:uid="{00000000-0005-0000-0000-0000BC040000}"/>
    <cellStyle name="Currency 3 2 4 3 3 2 2" xfId="3378" xr:uid="{00000000-0005-0000-0000-0000BD040000}"/>
    <cellStyle name="Currency 3 2 4 3 3 2 2 2" xfId="4766" xr:uid="{00000000-0005-0000-0000-0000BE040000}"/>
    <cellStyle name="Currency 3 2 4 3 3 2 2 2 2" xfId="10943" xr:uid="{A06850B6-88D5-47DB-9E7B-7D318C265B29}"/>
    <cellStyle name="Currency 3 2 4 3 3 2 2 3" xfId="9555" xr:uid="{E55546BA-F19E-428E-AD02-F3E901B0492F}"/>
    <cellStyle name="Currency 3 2 4 3 3 2 3" xfId="2496" xr:uid="{00000000-0005-0000-0000-0000BF040000}"/>
    <cellStyle name="Currency 3 2 4 3 3 2 3 2" xfId="4767" xr:uid="{00000000-0005-0000-0000-0000C0040000}"/>
    <cellStyle name="Currency 3 2 4 3 3 2 3 2 2" xfId="10944" xr:uid="{F7D43FF7-ACF4-461A-AC44-7053D53BB6D7}"/>
    <cellStyle name="Currency 3 2 4 3 3 2 3 3" xfId="8673" xr:uid="{3B7FFD6A-786D-4E55-BD2F-A0224E566772}"/>
    <cellStyle name="Currency 3 2 4 3 3 2 4" xfId="4260" xr:uid="{00000000-0005-0000-0000-0000C1040000}"/>
    <cellStyle name="Currency 3 2 4 3 3 2 4 2" xfId="10437" xr:uid="{5B43BA61-CD1B-44E7-AFD9-351C63C10E05}"/>
    <cellStyle name="Currency 3 2 4 3 3 2 5" xfId="1613" xr:uid="{00000000-0005-0000-0000-0000C2040000}"/>
    <cellStyle name="Currency 3 2 4 3 3 2 5 2" xfId="7790" xr:uid="{1CE97710-5E3D-4623-ADB2-192631B50179}"/>
    <cellStyle name="Currency 3 2 4 3 3 2 6" xfId="6907" xr:uid="{5384A917-49A0-4AC2-8836-848D94A63536}"/>
    <cellStyle name="Currency 3 2 4 3 3 3" xfId="2937" xr:uid="{00000000-0005-0000-0000-0000C3040000}"/>
    <cellStyle name="Currency 3 2 4 3 3 3 2" xfId="4768" xr:uid="{00000000-0005-0000-0000-0000C4040000}"/>
    <cellStyle name="Currency 3 2 4 3 3 3 2 2" xfId="10945" xr:uid="{64F43C26-599D-4604-BB47-E4C701D00756}"/>
    <cellStyle name="Currency 3 2 4 3 3 3 3" xfId="9114" xr:uid="{EA3548E8-06D8-4FF3-87CF-2899E8139587}"/>
    <cellStyle name="Currency 3 2 4 3 3 4" xfId="2055" xr:uid="{00000000-0005-0000-0000-0000C5040000}"/>
    <cellStyle name="Currency 3 2 4 3 3 4 2" xfId="4769" xr:uid="{00000000-0005-0000-0000-0000C6040000}"/>
    <cellStyle name="Currency 3 2 4 3 3 4 2 2" xfId="10946" xr:uid="{C82B3108-E442-49DF-BF73-1E9559672867}"/>
    <cellStyle name="Currency 3 2 4 3 3 4 3" xfId="8232" xr:uid="{4A3C5359-62FF-47C8-B7F2-7029D25F4094}"/>
    <cellStyle name="Currency 3 2 4 3 3 5" xfId="3819" xr:uid="{00000000-0005-0000-0000-0000C7040000}"/>
    <cellStyle name="Currency 3 2 4 3 3 5 2" xfId="9996" xr:uid="{F64D9A87-063B-4F04-A436-CC50633E1C31}"/>
    <cellStyle name="Currency 3 2 4 3 3 6" xfId="1172" xr:uid="{00000000-0005-0000-0000-0000C8040000}"/>
    <cellStyle name="Currency 3 2 4 3 3 6 2" xfId="7349" xr:uid="{7A99312D-C09F-422D-BADF-583CDD1C4D13}"/>
    <cellStyle name="Currency 3 2 4 3 3 7" xfId="6466" xr:uid="{3639A215-3198-4749-8684-8CBD5CF92F2D}"/>
    <cellStyle name="Currency 3 2 4 3 4" xfId="510" xr:uid="{00000000-0005-0000-0000-0000C9040000}"/>
    <cellStyle name="Currency 3 2 4 3 4 2" xfId="3158" xr:uid="{00000000-0005-0000-0000-0000CA040000}"/>
    <cellStyle name="Currency 3 2 4 3 4 2 2" xfId="4770" xr:uid="{00000000-0005-0000-0000-0000CB040000}"/>
    <cellStyle name="Currency 3 2 4 3 4 2 2 2" xfId="10947" xr:uid="{EEC47633-DC4A-439B-8962-0B80DB75B64E}"/>
    <cellStyle name="Currency 3 2 4 3 4 2 3" xfId="9335" xr:uid="{90FE9941-2412-46C8-8B0A-13D4B8873BBA}"/>
    <cellStyle name="Currency 3 2 4 3 4 3" xfId="2276" xr:uid="{00000000-0005-0000-0000-0000CC040000}"/>
    <cellStyle name="Currency 3 2 4 3 4 3 2" xfId="4771" xr:uid="{00000000-0005-0000-0000-0000CD040000}"/>
    <cellStyle name="Currency 3 2 4 3 4 3 2 2" xfId="10948" xr:uid="{C5822C3F-01D3-44E0-B1A8-87CC2391AC9B}"/>
    <cellStyle name="Currency 3 2 4 3 4 3 3" xfId="8453" xr:uid="{DA1ED877-8F6E-44D7-8616-60D1B2F0C37B}"/>
    <cellStyle name="Currency 3 2 4 3 4 4" xfId="4040" xr:uid="{00000000-0005-0000-0000-0000CE040000}"/>
    <cellStyle name="Currency 3 2 4 3 4 4 2" xfId="10217" xr:uid="{E4CF243C-DEF1-4FC9-ACE7-9FC66B417E23}"/>
    <cellStyle name="Currency 3 2 4 3 4 5" xfId="1393" xr:uid="{00000000-0005-0000-0000-0000CF040000}"/>
    <cellStyle name="Currency 3 2 4 3 4 5 2" xfId="7570" xr:uid="{4AA3FFE6-E324-4F1C-808C-3E0EB01CBCFA}"/>
    <cellStyle name="Currency 3 2 4 3 4 6" xfId="6687" xr:uid="{CE1CF79A-84C4-4704-9820-9FFDC9D81260}"/>
    <cellStyle name="Currency 3 2 4 3 5" xfId="2717" xr:uid="{00000000-0005-0000-0000-0000D0040000}"/>
    <cellStyle name="Currency 3 2 4 3 5 2" xfId="4772" xr:uid="{00000000-0005-0000-0000-0000D1040000}"/>
    <cellStyle name="Currency 3 2 4 3 5 2 2" xfId="10949" xr:uid="{9E736D80-E697-4829-9B85-E60A8E39C7B8}"/>
    <cellStyle name="Currency 3 2 4 3 5 3" xfId="8894" xr:uid="{34766C4D-3E02-4D69-BF87-5FA20C731E1E}"/>
    <cellStyle name="Currency 3 2 4 3 6" xfId="1835" xr:uid="{00000000-0005-0000-0000-0000D2040000}"/>
    <cellStyle name="Currency 3 2 4 3 6 2" xfId="4773" xr:uid="{00000000-0005-0000-0000-0000D3040000}"/>
    <cellStyle name="Currency 3 2 4 3 6 2 2" xfId="10950" xr:uid="{DCCA702E-DEF3-418B-AB2F-A269D92E5C1E}"/>
    <cellStyle name="Currency 3 2 4 3 6 3" xfId="8012" xr:uid="{15F4FF42-5EBE-4C82-BBD6-AA36EA387EF0}"/>
    <cellStyle name="Currency 3 2 4 3 7" xfId="3599" xr:uid="{00000000-0005-0000-0000-0000D4040000}"/>
    <cellStyle name="Currency 3 2 4 3 7 2" xfId="9776" xr:uid="{BA7D46A1-1E95-42F0-ADD8-1C8B4876F557}"/>
    <cellStyle name="Currency 3 2 4 3 8" xfId="952" xr:uid="{00000000-0005-0000-0000-0000D5040000}"/>
    <cellStyle name="Currency 3 2 4 3 8 2" xfId="7129" xr:uid="{C4DD8B0F-F551-4566-87B3-E1CE66837287}"/>
    <cellStyle name="Currency 3 2 4 3 9" xfId="6246" xr:uid="{47638007-8EE6-4E64-9774-F8908EF1D172}"/>
    <cellStyle name="Currency 3 2 4 4" xfId="85" xr:uid="{00000000-0005-0000-0000-0000D6040000}"/>
    <cellStyle name="Currency 3 2 4 4 2" xfId="195" xr:uid="{00000000-0005-0000-0000-0000D7040000}"/>
    <cellStyle name="Currency 3 2 4 4 2 2" xfId="415" xr:uid="{00000000-0005-0000-0000-0000D8040000}"/>
    <cellStyle name="Currency 3 2 4 4 2 2 2" xfId="856" xr:uid="{00000000-0005-0000-0000-0000D9040000}"/>
    <cellStyle name="Currency 3 2 4 4 2 2 2 2" xfId="3504" xr:uid="{00000000-0005-0000-0000-0000DA040000}"/>
    <cellStyle name="Currency 3 2 4 4 2 2 2 2 2" xfId="4774" xr:uid="{00000000-0005-0000-0000-0000DB040000}"/>
    <cellStyle name="Currency 3 2 4 4 2 2 2 2 2 2" xfId="10951" xr:uid="{A81C05CD-4869-47BA-A114-77C90C2FFA34}"/>
    <cellStyle name="Currency 3 2 4 4 2 2 2 2 3" xfId="9681" xr:uid="{C7944ADE-5BDC-4B82-8D58-E9E3FA5E7E98}"/>
    <cellStyle name="Currency 3 2 4 4 2 2 2 3" xfId="2622" xr:uid="{00000000-0005-0000-0000-0000DC040000}"/>
    <cellStyle name="Currency 3 2 4 4 2 2 2 3 2" xfId="4775" xr:uid="{00000000-0005-0000-0000-0000DD040000}"/>
    <cellStyle name="Currency 3 2 4 4 2 2 2 3 2 2" xfId="10952" xr:uid="{C1E38942-20D0-44F1-9DF1-9BC49777AD9F}"/>
    <cellStyle name="Currency 3 2 4 4 2 2 2 3 3" xfId="8799" xr:uid="{68D49997-E828-4FB6-89EF-C49602B9EC60}"/>
    <cellStyle name="Currency 3 2 4 4 2 2 2 4" xfId="4386" xr:uid="{00000000-0005-0000-0000-0000DE040000}"/>
    <cellStyle name="Currency 3 2 4 4 2 2 2 4 2" xfId="10563" xr:uid="{A02D1891-F05D-4124-8F51-192E15166845}"/>
    <cellStyle name="Currency 3 2 4 4 2 2 2 5" xfId="1739" xr:uid="{00000000-0005-0000-0000-0000DF040000}"/>
    <cellStyle name="Currency 3 2 4 4 2 2 2 5 2" xfId="7916" xr:uid="{8B1D081E-127E-493F-9D86-BED012551B1B}"/>
    <cellStyle name="Currency 3 2 4 4 2 2 2 6" xfId="7033" xr:uid="{82BDC236-F2B3-492E-AE7A-74208C38D8BD}"/>
    <cellStyle name="Currency 3 2 4 4 2 2 3" xfId="3063" xr:uid="{00000000-0005-0000-0000-0000E0040000}"/>
    <cellStyle name="Currency 3 2 4 4 2 2 3 2" xfId="4776" xr:uid="{00000000-0005-0000-0000-0000E1040000}"/>
    <cellStyle name="Currency 3 2 4 4 2 2 3 2 2" xfId="10953" xr:uid="{41290034-8B96-4A02-B89E-E5D1F4A1D2B1}"/>
    <cellStyle name="Currency 3 2 4 4 2 2 3 3" xfId="9240" xr:uid="{9AF5C435-19C1-43AC-9843-CBC771E85A12}"/>
    <cellStyle name="Currency 3 2 4 4 2 2 4" xfId="2181" xr:uid="{00000000-0005-0000-0000-0000E2040000}"/>
    <cellStyle name="Currency 3 2 4 4 2 2 4 2" xfId="4777" xr:uid="{00000000-0005-0000-0000-0000E3040000}"/>
    <cellStyle name="Currency 3 2 4 4 2 2 4 2 2" xfId="10954" xr:uid="{78A530B1-0B46-488C-BACB-EA62F89B42FD}"/>
    <cellStyle name="Currency 3 2 4 4 2 2 4 3" xfId="8358" xr:uid="{758FDB34-812A-48C2-BDBA-33CD6598C0A8}"/>
    <cellStyle name="Currency 3 2 4 4 2 2 5" xfId="3945" xr:uid="{00000000-0005-0000-0000-0000E4040000}"/>
    <cellStyle name="Currency 3 2 4 4 2 2 5 2" xfId="10122" xr:uid="{04CC4BF9-64E6-4378-A7C7-051DF342EF34}"/>
    <cellStyle name="Currency 3 2 4 4 2 2 6" xfId="1298" xr:uid="{00000000-0005-0000-0000-0000E5040000}"/>
    <cellStyle name="Currency 3 2 4 4 2 2 6 2" xfId="7475" xr:uid="{D922F07E-5D7F-4C67-AD83-6F5B4949EFC5}"/>
    <cellStyle name="Currency 3 2 4 4 2 2 7" xfId="6592" xr:uid="{3A45FAB9-42DC-4508-82F3-BEA8177EEB3C}"/>
    <cellStyle name="Currency 3 2 4 4 2 3" xfId="636" xr:uid="{00000000-0005-0000-0000-0000E6040000}"/>
    <cellStyle name="Currency 3 2 4 4 2 3 2" xfId="3284" xr:uid="{00000000-0005-0000-0000-0000E7040000}"/>
    <cellStyle name="Currency 3 2 4 4 2 3 2 2" xfId="4778" xr:uid="{00000000-0005-0000-0000-0000E8040000}"/>
    <cellStyle name="Currency 3 2 4 4 2 3 2 2 2" xfId="10955" xr:uid="{9F388320-F6B9-4B16-8E98-44C33375685C}"/>
    <cellStyle name="Currency 3 2 4 4 2 3 2 3" xfId="9461" xr:uid="{4AF8814B-B841-40B0-B6C9-C9598419F9F1}"/>
    <cellStyle name="Currency 3 2 4 4 2 3 3" xfId="2402" xr:uid="{00000000-0005-0000-0000-0000E9040000}"/>
    <cellStyle name="Currency 3 2 4 4 2 3 3 2" xfId="4779" xr:uid="{00000000-0005-0000-0000-0000EA040000}"/>
    <cellStyle name="Currency 3 2 4 4 2 3 3 2 2" xfId="10956" xr:uid="{087605B0-3943-4F76-8890-BA7D4C029829}"/>
    <cellStyle name="Currency 3 2 4 4 2 3 3 3" xfId="8579" xr:uid="{8B175E6E-9F46-46D6-8ECF-FD944385BDE9}"/>
    <cellStyle name="Currency 3 2 4 4 2 3 4" xfId="4166" xr:uid="{00000000-0005-0000-0000-0000EB040000}"/>
    <cellStyle name="Currency 3 2 4 4 2 3 4 2" xfId="10343" xr:uid="{6F1DF616-672B-443F-A49D-631FE9898117}"/>
    <cellStyle name="Currency 3 2 4 4 2 3 5" xfId="1519" xr:uid="{00000000-0005-0000-0000-0000EC040000}"/>
    <cellStyle name="Currency 3 2 4 4 2 3 5 2" xfId="7696" xr:uid="{76CE9790-0171-4ADB-8267-CCB027490C23}"/>
    <cellStyle name="Currency 3 2 4 4 2 3 6" xfId="6813" xr:uid="{A75165B6-C626-4E6E-823D-E26D0338E76F}"/>
    <cellStyle name="Currency 3 2 4 4 2 4" xfId="2843" xr:uid="{00000000-0005-0000-0000-0000ED040000}"/>
    <cellStyle name="Currency 3 2 4 4 2 4 2" xfId="4780" xr:uid="{00000000-0005-0000-0000-0000EE040000}"/>
    <cellStyle name="Currency 3 2 4 4 2 4 2 2" xfId="10957" xr:uid="{4B50618B-B7AF-4A3B-8408-62DB97708763}"/>
    <cellStyle name="Currency 3 2 4 4 2 4 3" xfId="9020" xr:uid="{E56FF0B3-D727-4818-8396-8BB1B309B425}"/>
    <cellStyle name="Currency 3 2 4 4 2 5" xfId="1961" xr:uid="{00000000-0005-0000-0000-0000EF040000}"/>
    <cellStyle name="Currency 3 2 4 4 2 5 2" xfId="4781" xr:uid="{00000000-0005-0000-0000-0000F0040000}"/>
    <cellStyle name="Currency 3 2 4 4 2 5 2 2" xfId="10958" xr:uid="{901AF290-6196-4CC1-A9A6-02912CE7E96B}"/>
    <cellStyle name="Currency 3 2 4 4 2 5 3" xfId="8138" xr:uid="{4441A3F6-2EB2-402A-9943-2A916D1CCAB1}"/>
    <cellStyle name="Currency 3 2 4 4 2 6" xfId="3725" xr:uid="{00000000-0005-0000-0000-0000F1040000}"/>
    <cellStyle name="Currency 3 2 4 4 2 6 2" xfId="9902" xr:uid="{5611466E-49C8-49D8-9648-2252E17C6A69}"/>
    <cellStyle name="Currency 3 2 4 4 2 7" xfId="1078" xr:uid="{00000000-0005-0000-0000-0000F2040000}"/>
    <cellStyle name="Currency 3 2 4 4 2 7 2" xfId="7255" xr:uid="{CD4E3701-73A2-4F18-843D-19065CDFE678}"/>
    <cellStyle name="Currency 3 2 4 4 2 8" xfId="6372" xr:uid="{C0E461CB-78DD-4CD0-819C-31E551FEAC8C}"/>
    <cellStyle name="Currency 3 2 4 4 3" xfId="305" xr:uid="{00000000-0005-0000-0000-0000F3040000}"/>
    <cellStyle name="Currency 3 2 4 4 3 2" xfId="746" xr:uid="{00000000-0005-0000-0000-0000F4040000}"/>
    <cellStyle name="Currency 3 2 4 4 3 2 2" xfId="3394" xr:uid="{00000000-0005-0000-0000-0000F5040000}"/>
    <cellStyle name="Currency 3 2 4 4 3 2 2 2" xfId="4782" xr:uid="{00000000-0005-0000-0000-0000F6040000}"/>
    <cellStyle name="Currency 3 2 4 4 3 2 2 2 2" xfId="10959" xr:uid="{E4B167E7-8CBD-4173-8877-BB5268B8F3FD}"/>
    <cellStyle name="Currency 3 2 4 4 3 2 2 3" xfId="9571" xr:uid="{8038A301-24AE-4016-99D7-0D058D497902}"/>
    <cellStyle name="Currency 3 2 4 4 3 2 3" xfId="2512" xr:uid="{00000000-0005-0000-0000-0000F7040000}"/>
    <cellStyle name="Currency 3 2 4 4 3 2 3 2" xfId="4783" xr:uid="{00000000-0005-0000-0000-0000F8040000}"/>
    <cellStyle name="Currency 3 2 4 4 3 2 3 2 2" xfId="10960" xr:uid="{88156AA8-5DEA-4D0F-A292-616D400120A8}"/>
    <cellStyle name="Currency 3 2 4 4 3 2 3 3" xfId="8689" xr:uid="{4F62A898-D793-4315-B2EE-0473C3552B87}"/>
    <cellStyle name="Currency 3 2 4 4 3 2 4" xfId="4276" xr:uid="{00000000-0005-0000-0000-0000F9040000}"/>
    <cellStyle name="Currency 3 2 4 4 3 2 4 2" xfId="10453" xr:uid="{5E3D28E3-6750-4FA9-996F-9A1E4834D392}"/>
    <cellStyle name="Currency 3 2 4 4 3 2 5" xfId="1629" xr:uid="{00000000-0005-0000-0000-0000FA040000}"/>
    <cellStyle name="Currency 3 2 4 4 3 2 5 2" xfId="7806" xr:uid="{6FE86902-D120-4557-A46D-DE7240A6CAFB}"/>
    <cellStyle name="Currency 3 2 4 4 3 2 6" xfId="6923" xr:uid="{6058A6E4-1192-47F0-B5BD-C186FC74E4C8}"/>
    <cellStyle name="Currency 3 2 4 4 3 3" xfId="2953" xr:uid="{00000000-0005-0000-0000-0000FB040000}"/>
    <cellStyle name="Currency 3 2 4 4 3 3 2" xfId="4784" xr:uid="{00000000-0005-0000-0000-0000FC040000}"/>
    <cellStyle name="Currency 3 2 4 4 3 3 2 2" xfId="10961" xr:uid="{D8B0037A-B48B-431E-942E-759270556007}"/>
    <cellStyle name="Currency 3 2 4 4 3 3 3" xfId="9130" xr:uid="{21FDE4F0-E3FC-4EE6-A26D-47BCC2B18A9A}"/>
    <cellStyle name="Currency 3 2 4 4 3 4" xfId="2071" xr:uid="{00000000-0005-0000-0000-0000FD040000}"/>
    <cellStyle name="Currency 3 2 4 4 3 4 2" xfId="4785" xr:uid="{00000000-0005-0000-0000-0000FE040000}"/>
    <cellStyle name="Currency 3 2 4 4 3 4 2 2" xfId="10962" xr:uid="{5F686EA6-3E0A-401E-BA4E-1202BB57E043}"/>
    <cellStyle name="Currency 3 2 4 4 3 4 3" xfId="8248" xr:uid="{95C39AF8-11DA-4E94-BF00-DCD640FB2E76}"/>
    <cellStyle name="Currency 3 2 4 4 3 5" xfId="3835" xr:uid="{00000000-0005-0000-0000-0000FF040000}"/>
    <cellStyle name="Currency 3 2 4 4 3 5 2" xfId="10012" xr:uid="{3D0F2426-456B-4FA7-B9B3-CD62B63D5D6F}"/>
    <cellStyle name="Currency 3 2 4 4 3 6" xfId="1188" xr:uid="{00000000-0005-0000-0000-000000050000}"/>
    <cellStyle name="Currency 3 2 4 4 3 6 2" xfId="7365" xr:uid="{D3B19419-306D-44DB-8978-8037448276DA}"/>
    <cellStyle name="Currency 3 2 4 4 3 7" xfId="6482" xr:uid="{E0451C67-43E7-440E-BF88-339B6ED9113E}"/>
    <cellStyle name="Currency 3 2 4 4 4" xfId="526" xr:uid="{00000000-0005-0000-0000-000001050000}"/>
    <cellStyle name="Currency 3 2 4 4 4 2" xfId="3174" xr:uid="{00000000-0005-0000-0000-000002050000}"/>
    <cellStyle name="Currency 3 2 4 4 4 2 2" xfId="4786" xr:uid="{00000000-0005-0000-0000-000003050000}"/>
    <cellStyle name="Currency 3 2 4 4 4 2 2 2" xfId="10963" xr:uid="{CEAF3867-5A99-46FC-B622-31D2E522808A}"/>
    <cellStyle name="Currency 3 2 4 4 4 2 3" xfId="9351" xr:uid="{6EECBE08-A28A-4298-A2FE-62BFA0100293}"/>
    <cellStyle name="Currency 3 2 4 4 4 3" xfId="2292" xr:uid="{00000000-0005-0000-0000-000004050000}"/>
    <cellStyle name="Currency 3 2 4 4 4 3 2" xfId="4787" xr:uid="{00000000-0005-0000-0000-000005050000}"/>
    <cellStyle name="Currency 3 2 4 4 4 3 2 2" xfId="10964" xr:uid="{1199140D-2A0D-4651-BEEF-4A36DABE1DC2}"/>
    <cellStyle name="Currency 3 2 4 4 4 3 3" xfId="8469" xr:uid="{E057567C-9549-48BA-8FC5-35675A884BA2}"/>
    <cellStyle name="Currency 3 2 4 4 4 4" xfId="4056" xr:uid="{00000000-0005-0000-0000-000006050000}"/>
    <cellStyle name="Currency 3 2 4 4 4 4 2" xfId="10233" xr:uid="{FA9110F3-9A81-4B6F-8B17-D67609A84282}"/>
    <cellStyle name="Currency 3 2 4 4 4 5" xfId="1409" xr:uid="{00000000-0005-0000-0000-000007050000}"/>
    <cellStyle name="Currency 3 2 4 4 4 5 2" xfId="7586" xr:uid="{07E5B098-9C2D-4EDD-815B-BA5026BB2237}"/>
    <cellStyle name="Currency 3 2 4 4 4 6" xfId="6703" xr:uid="{A29BD2CD-ADC1-41D0-B746-CCE250221861}"/>
    <cellStyle name="Currency 3 2 4 4 5" xfId="2733" xr:uid="{00000000-0005-0000-0000-000008050000}"/>
    <cellStyle name="Currency 3 2 4 4 5 2" xfId="4788" xr:uid="{00000000-0005-0000-0000-000009050000}"/>
    <cellStyle name="Currency 3 2 4 4 5 2 2" xfId="10965" xr:uid="{33C7A32A-DA12-445E-8597-76FECA7BC794}"/>
    <cellStyle name="Currency 3 2 4 4 5 3" xfId="8910" xr:uid="{13EB2BE1-D169-4956-83C2-73E51F2C20D1}"/>
    <cellStyle name="Currency 3 2 4 4 6" xfId="1851" xr:uid="{00000000-0005-0000-0000-00000A050000}"/>
    <cellStyle name="Currency 3 2 4 4 6 2" xfId="4789" xr:uid="{00000000-0005-0000-0000-00000B050000}"/>
    <cellStyle name="Currency 3 2 4 4 6 2 2" xfId="10966" xr:uid="{95726990-1E5F-4C36-A8AE-86B3381A1F9A}"/>
    <cellStyle name="Currency 3 2 4 4 6 3" xfId="8028" xr:uid="{D9416ADE-4687-443E-9373-6614D4D5346B}"/>
    <cellStyle name="Currency 3 2 4 4 7" xfId="3615" xr:uid="{00000000-0005-0000-0000-00000C050000}"/>
    <cellStyle name="Currency 3 2 4 4 7 2" xfId="9792" xr:uid="{30F96AD0-2276-4082-A483-36FD944C1646}"/>
    <cellStyle name="Currency 3 2 4 4 8" xfId="968" xr:uid="{00000000-0005-0000-0000-00000D050000}"/>
    <cellStyle name="Currency 3 2 4 4 8 2" xfId="7145" xr:uid="{2E85F14D-84B8-4327-AD09-C1A4D7E040EF}"/>
    <cellStyle name="Currency 3 2 4 4 9" xfId="6262" xr:uid="{9C373C59-5AE7-4A21-882E-EAD0A4123860}"/>
    <cellStyle name="Currency 3 2 4 5" xfId="129" xr:uid="{00000000-0005-0000-0000-00000E050000}"/>
    <cellStyle name="Currency 3 2 4 5 2" xfId="349" xr:uid="{00000000-0005-0000-0000-00000F050000}"/>
    <cellStyle name="Currency 3 2 4 5 2 2" xfId="790" xr:uid="{00000000-0005-0000-0000-000010050000}"/>
    <cellStyle name="Currency 3 2 4 5 2 2 2" xfId="3438" xr:uid="{00000000-0005-0000-0000-000011050000}"/>
    <cellStyle name="Currency 3 2 4 5 2 2 2 2" xfId="4790" xr:uid="{00000000-0005-0000-0000-000012050000}"/>
    <cellStyle name="Currency 3 2 4 5 2 2 2 2 2" xfId="10967" xr:uid="{987DCC4F-019F-4B7D-A001-D53F5752A276}"/>
    <cellStyle name="Currency 3 2 4 5 2 2 2 3" xfId="9615" xr:uid="{CFB9D630-922C-4D19-89B1-4D6A8D6981DC}"/>
    <cellStyle name="Currency 3 2 4 5 2 2 3" xfId="2556" xr:uid="{00000000-0005-0000-0000-000013050000}"/>
    <cellStyle name="Currency 3 2 4 5 2 2 3 2" xfId="4791" xr:uid="{00000000-0005-0000-0000-000014050000}"/>
    <cellStyle name="Currency 3 2 4 5 2 2 3 2 2" xfId="10968" xr:uid="{B5ADE03C-2C02-4A33-9754-18226975194A}"/>
    <cellStyle name="Currency 3 2 4 5 2 2 3 3" xfId="8733" xr:uid="{E61C2427-D442-41B8-9227-8E5A21A37DAA}"/>
    <cellStyle name="Currency 3 2 4 5 2 2 4" xfId="4320" xr:uid="{00000000-0005-0000-0000-000015050000}"/>
    <cellStyle name="Currency 3 2 4 5 2 2 4 2" xfId="10497" xr:uid="{716F33E2-D330-457F-AE3E-3DBC7D00C839}"/>
    <cellStyle name="Currency 3 2 4 5 2 2 5" xfId="1673" xr:uid="{00000000-0005-0000-0000-000016050000}"/>
    <cellStyle name="Currency 3 2 4 5 2 2 5 2" xfId="7850" xr:uid="{BCE42188-BC2B-4B92-A3A2-0B7199E4AC49}"/>
    <cellStyle name="Currency 3 2 4 5 2 2 6" xfId="6967" xr:uid="{69393C09-EFD4-41EE-8CFC-6E89615A8531}"/>
    <cellStyle name="Currency 3 2 4 5 2 3" xfId="2997" xr:uid="{00000000-0005-0000-0000-000017050000}"/>
    <cellStyle name="Currency 3 2 4 5 2 3 2" xfId="4792" xr:uid="{00000000-0005-0000-0000-000018050000}"/>
    <cellStyle name="Currency 3 2 4 5 2 3 2 2" xfId="10969" xr:uid="{2146EF60-0024-44EA-9408-0E4E7B8BE715}"/>
    <cellStyle name="Currency 3 2 4 5 2 3 3" xfId="9174" xr:uid="{0EA57603-E8EE-4C2E-ADF5-82257AECBB83}"/>
    <cellStyle name="Currency 3 2 4 5 2 4" xfId="2115" xr:uid="{00000000-0005-0000-0000-000019050000}"/>
    <cellStyle name="Currency 3 2 4 5 2 4 2" xfId="4793" xr:uid="{00000000-0005-0000-0000-00001A050000}"/>
    <cellStyle name="Currency 3 2 4 5 2 4 2 2" xfId="10970" xr:uid="{BCB7C0EF-470B-46AC-83A0-B8AEC34A824A}"/>
    <cellStyle name="Currency 3 2 4 5 2 4 3" xfId="8292" xr:uid="{86C7D5AF-B798-46AC-8126-CE84ED46B613}"/>
    <cellStyle name="Currency 3 2 4 5 2 5" xfId="3879" xr:uid="{00000000-0005-0000-0000-00001B050000}"/>
    <cellStyle name="Currency 3 2 4 5 2 5 2" xfId="10056" xr:uid="{FF7FA9A9-D22D-47CC-8A00-91351CAE5D11}"/>
    <cellStyle name="Currency 3 2 4 5 2 6" xfId="1232" xr:uid="{00000000-0005-0000-0000-00001C050000}"/>
    <cellStyle name="Currency 3 2 4 5 2 6 2" xfId="7409" xr:uid="{2149E90C-6DDC-458E-8DE8-8569027EE767}"/>
    <cellStyle name="Currency 3 2 4 5 2 7" xfId="6526" xr:uid="{AE8E59C7-35EB-4232-9D47-68F288813F34}"/>
    <cellStyle name="Currency 3 2 4 5 3" xfId="570" xr:uid="{00000000-0005-0000-0000-00001D050000}"/>
    <cellStyle name="Currency 3 2 4 5 3 2" xfId="3218" xr:uid="{00000000-0005-0000-0000-00001E050000}"/>
    <cellStyle name="Currency 3 2 4 5 3 2 2" xfId="4794" xr:uid="{00000000-0005-0000-0000-00001F050000}"/>
    <cellStyle name="Currency 3 2 4 5 3 2 2 2" xfId="10971" xr:uid="{3EA4D1F2-3F8E-4BC0-8F8D-15F40BEDD54B}"/>
    <cellStyle name="Currency 3 2 4 5 3 2 3" xfId="9395" xr:uid="{10D0001A-DA3D-45C0-ABA2-954F2D4B4E60}"/>
    <cellStyle name="Currency 3 2 4 5 3 3" xfId="2336" xr:uid="{00000000-0005-0000-0000-000020050000}"/>
    <cellStyle name="Currency 3 2 4 5 3 3 2" xfId="4795" xr:uid="{00000000-0005-0000-0000-000021050000}"/>
    <cellStyle name="Currency 3 2 4 5 3 3 2 2" xfId="10972" xr:uid="{1A599ED0-5E88-4340-A3FE-1B3ACE5BE571}"/>
    <cellStyle name="Currency 3 2 4 5 3 3 3" xfId="8513" xr:uid="{23E3DF81-E95A-4C39-A530-54575EC98802}"/>
    <cellStyle name="Currency 3 2 4 5 3 4" xfId="4100" xr:uid="{00000000-0005-0000-0000-000022050000}"/>
    <cellStyle name="Currency 3 2 4 5 3 4 2" xfId="10277" xr:uid="{6F190348-83C3-44FB-9D70-E393BFF9FCD9}"/>
    <cellStyle name="Currency 3 2 4 5 3 5" xfId="1453" xr:uid="{00000000-0005-0000-0000-000023050000}"/>
    <cellStyle name="Currency 3 2 4 5 3 5 2" xfId="7630" xr:uid="{8C1430B7-83C2-4376-8C30-7C768670F253}"/>
    <cellStyle name="Currency 3 2 4 5 3 6" xfId="6747" xr:uid="{C4E78AE2-3FFF-497F-A67A-265896FAC4BE}"/>
    <cellStyle name="Currency 3 2 4 5 4" xfId="2777" xr:uid="{00000000-0005-0000-0000-000024050000}"/>
    <cellStyle name="Currency 3 2 4 5 4 2" xfId="4796" xr:uid="{00000000-0005-0000-0000-000025050000}"/>
    <cellStyle name="Currency 3 2 4 5 4 2 2" xfId="10973" xr:uid="{91487972-9ADF-4099-9FB9-0944F670BBEF}"/>
    <cellStyle name="Currency 3 2 4 5 4 3" xfId="8954" xr:uid="{64F61EEC-EB65-44FB-8EEF-BAEE4A5D6BA3}"/>
    <cellStyle name="Currency 3 2 4 5 5" xfId="1895" xr:uid="{00000000-0005-0000-0000-000026050000}"/>
    <cellStyle name="Currency 3 2 4 5 5 2" xfId="4797" xr:uid="{00000000-0005-0000-0000-000027050000}"/>
    <cellStyle name="Currency 3 2 4 5 5 2 2" xfId="10974" xr:uid="{DC34B12A-8A87-40ED-B42D-52405A273EFC}"/>
    <cellStyle name="Currency 3 2 4 5 5 3" xfId="8072" xr:uid="{4C248B19-E3DF-4BFF-AF66-39673F324222}"/>
    <cellStyle name="Currency 3 2 4 5 6" xfId="3659" xr:uid="{00000000-0005-0000-0000-000028050000}"/>
    <cellStyle name="Currency 3 2 4 5 6 2" xfId="9836" xr:uid="{5CDAE3B9-4BFD-4CAA-9421-6F061AC16094}"/>
    <cellStyle name="Currency 3 2 4 5 7" xfId="1012" xr:uid="{00000000-0005-0000-0000-000029050000}"/>
    <cellStyle name="Currency 3 2 4 5 7 2" xfId="7189" xr:uid="{BB5567DD-32AB-46FD-A43E-D87C1FF30524}"/>
    <cellStyle name="Currency 3 2 4 5 8" xfId="6306" xr:uid="{AE3990BF-836A-4B9A-B19E-24A7BDC60476}"/>
    <cellStyle name="Currency 3 2 4 6" xfId="239" xr:uid="{00000000-0005-0000-0000-00002A050000}"/>
    <cellStyle name="Currency 3 2 4 6 2" xfId="680" xr:uid="{00000000-0005-0000-0000-00002B050000}"/>
    <cellStyle name="Currency 3 2 4 6 2 2" xfId="3328" xr:uid="{00000000-0005-0000-0000-00002C050000}"/>
    <cellStyle name="Currency 3 2 4 6 2 2 2" xfId="4798" xr:uid="{00000000-0005-0000-0000-00002D050000}"/>
    <cellStyle name="Currency 3 2 4 6 2 2 2 2" xfId="10975" xr:uid="{ADAEC65E-D2E1-4B22-A23A-5D8707E09D48}"/>
    <cellStyle name="Currency 3 2 4 6 2 2 3" xfId="9505" xr:uid="{A96EB405-875E-4718-8509-2793C6BA9012}"/>
    <cellStyle name="Currency 3 2 4 6 2 3" xfId="2446" xr:uid="{00000000-0005-0000-0000-00002E050000}"/>
    <cellStyle name="Currency 3 2 4 6 2 3 2" xfId="4799" xr:uid="{00000000-0005-0000-0000-00002F050000}"/>
    <cellStyle name="Currency 3 2 4 6 2 3 2 2" xfId="10976" xr:uid="{EF474426-6435-4ED4-AB25-3C0FF21525AD}"/>
    <cellStyle name="Currency 3 2 4 6 2 3 3" xfId="8623" xr:uid="{7E139F03-E535-4A9A-9163-3E75A52EB07A}"/>
    <cellStyle name="Currency 3 2 4 6 2 4" xfId="4210" xr:uid="{00000000-0005-0000-0000-000030050000}"/>
    <cellStyle name="Currency 3 2 4 6 2 4 2" xfId="10387" xr:uid="{5E4CA89C-CCFB-4F0D-9B88-09D9B7CF121B}"/>
    <cellStyle name="Currency 3 2 4 6 2 5" xfId="1563" xr:uid="{00000000-0005-0000-0000-000031050000}"/>
    <cellStyle name="Currency 3 2 4 6 2 5 2" xfId="7740" xr:uid="{20162CB8-4FC6-4E78-BEC4-5F18355CD449}"/>
    <cellStyle name="Currency 3 2 4 6 2 6" xfId="6857" xr:uid="{96E24B54-7D75-4F06-B509-4462AF4B8515}"/>
    <cellStyle name="Currency 3 2 4 6 3" xfId="2887" xr:uid="{00000000-0005-0000-0000-000032050000}"/>
    <cellStyle name="Currency 3 2 4 6 3 2" xfId="4800" xr:uid="{00000000-0005-0000-0000-000033050000}"/>
    <cellStyle name="Currency 3 2 4 6 3 2 2" xfId="10977" xr:uid="{F65A3F07-896B-4A32-A570-470E6FBA8B54}"/>
    <cellStyle name="Currency 3 2 4 6 3 3" xfId="9064" xr:uid="{D7646817-F7D4-417D-82B8-CE69484A94F6}"/>
    <cellStyle name="Currency 3 2 4 6 4" xfId="2005" xr:uid="{00000000-0005-0000-0000-000034050000}"/>
    <cellStyle name="Currency 3 2 4 6 4 2" xfId="4801" xr:uid="{00000000-0005-0000-0000-000035050000}"/>
    <cellStyle name="Currency 3 2 4 6 4 2 2" xfId="10978" xr:uid="{4D684357-CE4E-4D1C-A9BD-2415893B183E}"/>
    <cellStyle name="Currency 3 2 4 6 4 3" xfId="8182" xr:uid="{DCF774AC-B634-4153-8BC7-D5ABA7896991}"/>
    <cellStyle name="Currency 3 2 4 6 5" xfId="3769" xr:uid="{00000000-0005-0000-0000-000036050000}"/>
    <cellStyle name="Currency 3 2 4 6 5 2" xfId="9946" xr:uid="{F85AFA1F-3E71-4BC3-A36B-1B6C2201C2F2}"/>
    <cellStyle name="Currency 3 2 4 6 6" xfId="1122" xr:uid="{00000000-0005-0000-0000-000037050000}"/>
    <cellStyle name="Currency 3 2 4 6 6 2" xfId="7299" xr:uid="{60B0322C-08D9-44C1-B61C-83A83294E694}"/>
    <cellStyle name="Currency 3 2 4 6 7" xfId="6416" xr:uid="{5D17E13C-DA40-439A-A8CD-EA5FE1ECB5A3}"/>
    <cellStyle name="Currency 3 2 4 7" xfId="460" xr:uid="{00000000-0005-0000-0000-000038050000}"/>
    <cellStyle name="Currency 3 2 4 7 2" xfId="3108" xr:uid="{00000000-0005-0000-0000-000039050000}"/>
    <cellStyle name="Currency 3 2 4 7 2 2" xfId="4802" xr:uid="{00000000-0005-0000-0000-00003A050000}"/>
    <cellStyle name="Currency 3 2 4 7 2 2 2" xfId="10979" xr:uid="{147D423C-9B6E-4527-83F4-8E48C4922EA1}"/>
    <cellStyle name="Currency 3 2 4 7 2 3" xfId="9285" xr:uid="{74C8F1E2-F556-4FC1-A0D7-762B257502F3}"/>
    <cellStyle name="Currency 3 2 4 7 3" xfId="2226" xr:uid="{00000000-0005-0000-0000-00003B050000}"/>
    <cellStyle name="Currency 3 2 4 7 3 2" xfId="4803" xr:uid="{00000000-0005-0000-0000-00003C050000}"/>
    <cellStyle name="Currency 3 2 4 7 3 2 2" xfId="10980" xr:uid="{8834B8B5-5216-4722-83D8-41B18AAB22E5}"/>
    <cellStyle name="Currency 3 2 4 7 3 3" xfId="8403" xr:uid="{66DEFD1B-2AFA-47FE-8380-F617B6F6047D}"/>
    <cellStyle name="Currency 3 2 4 7 4" xfId="3990" xr:uid="{00000000-0005-0000-0000-00003D050000}"/>
    <cellStyle name="Currency 3 2 4 7 4 2" xfId="10167" xr:uid="{1C00DC52-83A5-4B42-9288-4B8E361BAFA7}"/>
    <cellStyle name="Currency 3 2 4 7 5" xfId="1343" xr:uid="{00000000-0005-0000-0000-00003E050000}"/>
    <cellStyle name="Currency 3 2 4 7 5 2" xfId="7520" xr:uid="{7AB75CBD-11FF-4DE9-8F31-E95243E29EF3}"/>
    <cellStyle name="Currency 3 2 4 7 6" xfId="6637" xr:uid="{DCF269D9-EEF2-4F51-B4E0-6AC01265E7E9}"/>
    <cellStyle name="Currency 3 2 4 8" xfId="2667" xr:uid="{00000000-0005-0000-0000-00003F050000}"/>
    <cellStyle name="Currency 3 2 4 8 2" xfId="4804" xr:uid="{00000000-0005-0000-0000-000040050000}"/>
    <cellStyle name="Currency 3 2 4 8 2 2" xfId="10981" xr:uid="{46A090C2-9FB8-4DC1-8C50-51F0FC1BDF53}"/>
    <cellStyle name="Currency 3 2 4 8 3" xfId="8844" xr:uid="{01785A5A-5036-470B-B32D-CEA33FD427A1}"/>
    <cellStyle name="Currency 3 2 4 9" xfId="1785" xr:uid="{00000000-0005-0000-0000-000041050000}"/>
    <cellStyle name="Currency 3 2 4 9 2" xfId="4805" xr:uid="{00000000-0005-0000-0000-000042050000}"/>
    <cellStyle name="Currency 3 2 4 9 2 2" xfId="10982" xr:uid="{3199EDCD-6ED1-4588-B98F-0C03F7473EA2}"/>
    <cellStyle name="Currency 3 2 4 9 3" xfId="7962" xr:uid="{C06977C4-4BBD-4E04-B889-BF14CA2D2E4E}"/>
    <cellStyle name="Currency 3 2 5" xfId="22" xr:uid="{00000000-0005-0000-0000-000043050000}"/>
    <cellStyle name="Currency 3 2 5 10" xfId="3552" xr:uid="{00000000-0005-0000-0000-000044050000}"/>
    <cellStyle name="Currency 3 2 5 10 2" xfId="9729" xr:uid="{D4877CD5-6ECD-438C-8A49-7375888E2FC1}"/>
    <cellStyle name="Currency 3 2 5 11" xfId="905" xr:uid="{00000000-0005-0000-0000-000045050000}"/>
    <cellStyle name="Currency 3 2 5 11 2" xfId="7082" xr:uid="{6DF76B86-97B8-43AC-871C-C6BD223E6F76}"/>
    <cellStyle name="Currency 3 2 5 12" xfId="6199" xr:uid="{B772471F-D7C4-4A42-95A8-ECFA1B83D03A}"/>
    <cellStyle name="Currency 3 2 5 2" xfId="56" xr:uid="{00000000-0005-0000-0000-000046050000}"/>
    <cellStyle name="Currency 3 2 5 2 2" xfId="166" xr:uid="{00000000-0005-0000-0000-000047050000}"/>
    <cellStyle name="Currency 3 2 5 2 2 2" xfId="386" xr:uid="{00000000-0005-0000-0000-000048050000}"/>
    <cellStyle name="Currency 3 2 5 2 2 2 2" xfId="827" xr:uid="{00000000-0005-0000-0000-000049050000}"/>
    <cellStyle name="Currency 3 2 5 2 2 2 2 2" xfId="3475" xr:uid="{00000000-0005-0000-0000-00004A050000}"/>
    <cellStyle name="Currency 3 2 5 2 2 2 2 2 2" xfId="4806" xr:uid="{00000000-0005-0000-0000-00004B050000}"/>
    <cellStyle name="Currency 3 2 5 2 2 2 2 2 2 2" xfId="10983" xr:uid="{6542CA21-C547-4E37-B311-049557349F8E}"/>
    <cellStyle name="Currency 3 2 5 2 2 2 2 2 3" xfId="9652" xr:uid="{5097794E-24E2-4987-A1B3-1CD72D02060D}"/>
    <cellStyle name="Currency 3 2 5 2 2 2 2 3" xfId="2593" xr:uid="{00000000-0005-0000-0000-00004C050000}"/>
    <cellStyle name="Currency 3 2 5 2 2 2 2 3 2" xfId="4807" xr:uid="{00000000-0005-0000-0000-00004D050000}"/>
    <cellStyle name="Currency 3 2 5 2 2 2 2 3 2 2" xfId="10984" xr:uid="{B60A7BBD-72EC-4C8B-A538-4BE37260BC55}"/>
    <cellStyle name="Currency 3 2 5 2 2 2 2 3 3" xfId="8770" xr:uid="{ADC040EC-307A-4C55-914A-635181CD4238}"/>
    <cellStyle name="Currency 3 2 5 2 2 2 2 4" xfId="4357" xr:uid="{00000000-0005-0000-0000-00004E050000}"/>
    <cellStyle name="Currency 3 2 5 2 2 2 2 4 2" xfId="10534" xr:uid="{879F8AE1-C860-4DC1-B739-013F8687068B}"/>
    <cellStyle name="Currency 3 2 5 2 2 2 2 5" xfId="1710" xr:uid="{00000000-0005-0000-0000-00004F050000}"/>
    <cellStyle name="Currency 3 2 5 2 2 2 2 5 2" xfId="7887" xr:uid="{ECB19978-ED28-471F-8FEA-711A713D6588}"/>
    <cellStyle name="Currency 3 2 5 2 2 2 2 6" xfId="7004" xr:uid="{0513760E-CBF1-43BA-B39B-A2E3F115B31F}"/>
    <cellStyle name="Currency 3 2 5 2 2 2 3" xfId="3034" xr:uid="{00000000-0005-0000-0000-000050050000}"/>
    <cellStyle name="Currency 3 2 5 2 2 2 3 2" xfId="4808" xr:uid="{00000000-0005-0000-0000-000051050000}"/>
    <cellStyle name="Currency 3 2 5 2 2 2 3 2 2" xfId="10985" xr:uid="{FD2704EC-CDE5-48B8-886D-6B366644A300}"/>
    <cellStyle name="Currency 3 2 5 2 2 2 3 3" xfId="9211" xr:uid="{CB4A9B4C-449B-420D-B066-DD41FE7A31C4}"/>
    <cellStyle name="Currency 3 2 5 2 2 2 4" xfId="2152" xr:uid="{00000000-0005-0000-0000-000052050000}"/>
    <cellStyle name="Currency 3 2 5 2 2 2 4 2" xfId="4809" xr:uid="{00000000-0005-0000-0000-000053050000}"/>
    <cellStyle name="Currency 3 2 5 2 2 2 4 2 2" xfId="10986" xr:uid="{55A61C35-0EE9-4186-8782-4CE828A0CFE1}"/>
    <cellStyle name="Currency 3 2 5 2 2 2 4 3" xfId="8329" xr:uid="{F5995CC0-C783-48E5-A38D-22E2EA3F77FA}"/>
    <cellStyle name="Currency 3 2 5 2 2 2 5" xfId="3916" xr:uid="{00000000-0005-0000-0000-000054050000}"/>
    <cellStyle name="Currency 3 2 5 2 2 2 5 2" xfId="10093" xr:uid="{3C889298-8C3C-4CEC-BACC-2F9062E2AB4E}"/>
    <cellStyle name="Currency 3 2 5 2 2 2 6" xfId="1269" xr:uid="{00000000-0005-0000-0000-000055050000}"/>
    <cellStyle name="Currency 3 2 5 2 2 2 6 2" xfId="7446" xr:uid="{3EF92435-ECA6-43F0-96F8-F6DCBD7D8D56}"/>
    <cellStyle name="Currency 3 2 5 2 2 2 7" xfId="6563" xr:uid="{2820A89A-7E57-41FF-9DD4-8E98F1BF7A53}"/>
    <cellStyle name="Currency 3 2 5 2 2 3" xfId="607" xr:uid="{00000000-0005-0000-0000-000056050000}"/>
    <cellStyle name="Currency 3 2 5 2 2 3 2" xfId="3255" xr:uid="{00000000-0005-0000-0000-000057050000}"/>
    <cellStyle name="Currency 3 2 5 2 2 3 2 2" xfId="4810" xr:uid="{00000000-0005-0000-0000-000058050000}"/>
    <cellStyle name="Currency 3 2 5 2 2 3 2 2 2" xfId="10987" xr:uid="{87C8E724-D664-4902-A019-5145220BBC09}"/>
    <cellStyle name="Currency 3 2 5 2 2 3 2 3" xfId="9432" xr:uid="{9E095E46-09C5-4C6F-A565-97706EA15C54}"/>
    <cellStyle name="Currency 3 2 5 2 2 3 3" xfId="2373" xr:uid="{00000000-0005-0000-0000-000059050000}"/>
    <cellStyle name="Currency 3 2 5 2 2 3 3 2" xfId="4811" xr:uid="{00000000-0005-0000-0000-00005A050000}"/>
    <cellStyle name="Currency 3 2 5 2 2 3 3 2 2" xfId="10988" xr:uid="{F6D43687-ED67-4267-B1AF-2977A8FAD35E}"/>
    <cellStyle name="Currency 3 2 5 2 2 3 3 3" xfId="8550" xr:uid="{9CB96269-9C0F-4BB1-8359-1540CB72074C}"/>
    <cellStyle name="Currency 3 2 5 2 2 3 4" xfId="4137" xr:uid="{00000000-0005-0000-0000-00005B050000}"/>
    <cellStyle name="Currency 3 2 5 2 2 3 4 2" xfId="10314" xr:uid="{82C40022-9F49-45F7-AACD-2E707350CE15}"/>
    <cellStyle name="Currency 3 2 5 2 2 3 5" xfId="1490" xr:uid="{00000000-0005-0000-0000-00005C050000}"/>
    <cellStyle name="Currency 3 2 5 2 2 3 5 2" xfId="7667" xr:uid="{C2FC6F93-7F54-4F1A-B070-391DFE8DE336}"/>
    <cellStyle name="Currency 3 2 5 2 2 3 6" xfId="6784" xr:uid="{ED2EEAD9-0B83-4225-A1C7-D9BC07102D72}"/>
    <cellStyle name="Currency 3 2 5 2 2 4" xfId="2814" xr:uid="{00000000-0005-0000-0000-00005D050000}"/>
    <cellStyle name="Currency 3 2 5 2 2 4 2" xfId="4812" xr:uid="{00000000-0005-0000-0000-00005E050000}"/>
    <cellStyle name="Currency 3 2 5 2 2 4 2 2" xfId="10989" xr:uid="{57FD0BD9-83B1-448C-8819-B9D4B8969E75}"/>
    <cellStyle name="Currency 3 2 5 2 2 4 3" xfId="8991" xr:uid="{3D0C9EA8-4200-46B1-9EEE-CC2CC0B71EF3}"/>
    <cellStyle name="Currency 3 2 5 2 2 5" xfId="1932" xr:uid="{00000000-0005-0000-0000-00005F050000}"/>
    <cellStyle name="Currency 3 2 5 2 2 5 2" xfId="4813" xr:uid="{00000000-0005-0000-0000-000060050000}"/>
    <cellStyle name="Currency 3 2 5 2 2 5 2 2" xfId="10990" xr:uid="{41E59D66-8F9D-4AFA-8857-C49839E5F10E}"/>
    <cellStyle name="Currency 3 2 5 2 2 5 3" xfId="8109" xr:uid="{3BE49687-677D-4DB8-AEC8-03E3BE1A4133}"/>
    <cellStyle name="Currency 3 2 5 2 2 6" xfId="3696" xr:uid="{00000000-0005-0000-0000-000061050000}"/>
    <cellStyle name="Currency 3 2 5 2 2 6 2" xfId="9873" xr:uid="{43B86F7C-EC62-4C2E-A004-A169BF5AC827}"/>
    <cellStyle name="Currency 3 2 5 2 2 7" xfId="1049" xr:uid="{00000000-0005-0000-0000-000062050000}"/>
    <cellStyle name="Currency 3 2 5 2 2 7 2" xfId="7226" xr:uid="{366D8C3C-B94C-443B-8947-685C86D79B2D}"/>
    <cellStyle name="Currency 3 2 5 2 2 8" xfId="6343" xr:uid="{FCC6BD2F-FA3D-472D-9AF1-7832A82AF819}"/>
    <cellStyle name="Currency 3 2 5 2 3" xfId="276" xr:uid="{00000000-0005-0000-0000-000063050000}"/>
    <cellStyle name="Currency 3 2 5 2 3 2" xfId="717" xr:uid="{00000000-0005-0000-0000-000064050000}"/>
    <cellStyle name="Currency 3 2 5 2 3 2 2" xfId="3365" xr:uid="{00000000-0005-0000-0000-000065050000}"/>
    <cellStyle name="Currency 3 2 5 2 3 2 2 2" xfId="4814" xr:uid="{00000000-0005-0000-0000-000066050000}"/>
    <cellStyle name="Currency 3 2 5 2 3 2 2 2 2" xfId="10991" xr:uid="{C146E0FA-4D6D-4A47-A2EC-35A22FAB5B81}"/>
    <cellStyle name="Currency 3 2 5 2 3 2 2 3" xfId="9542" xr:uid="{2820F755-E0A6-4C82-B13C-1049C7B6FD5B}"/>
    <cellStyle name="Currency 3 2 5 2 3 2 3" xfId="2483" xr:uid="{00000000-0005-0000-0000-000067050000}"/>
    <cellStyle name="Currency 3 2 5 2 3 2 3 2" xfId="4815" xr:uid="{00000000-0005-0000-0000-000068050000}"/>
    <cellStyle name="Currency 3 2 5 2 3 2 3 2 2" xfId="10992" xr:uid="{E59B86BA-22E3-4A58-B141-594B4EB42311}"/>
    <cellStyle name="Currency 3 2 5 2 3 2 3 3" xfId="8660" xr:uid="{34F603AD-90E7-420F-BC43-ED10B3F625F1}"/>
    <cellStyle name="Currency 3 2 5 2 3 2 4" xfId="4247" xr:uid="{00000000-0005-0000-0000-000069050000}"/>
    <cellStyle name="Currency 3 2 5 2 3 2 4 2" xfId="10424" xr:uid="{74E3FE53-D82A-40E1-8B50-9895777D1F5A}"/>
    <cellStyle name="Currency 3 2 5 2 3 2 5" xfId="1600" xr:uid="{00000000-0005-0000-0000-00006A050000}"/>
    <cellStyle name="Currency 3 2 5 2 3 2 5 2" xfId="7777" xr:uid="{59CABCE9-915A-4B2D-A6A5-9087DF51717F}"/>
    <cellStyle name="Currency 3 2 5 2 3 2 6" xfId="6894" xr:uid="{842F114F-A301-4F93-9624-5F5809BBABAE}"/>
    <cellStyle name="Currency 3 2 5 2 3 3" xfId="2924" xr:uid="{00000000-0005-0000-0000-00006B050000}"/>
    <cellStyle name="Currency 3 2 5 2 3 3 2" xfId="4816" xr:uid="{00000000-0005-0000-0000-00006C050000}"/>
    <cellStyle name="Currency 3 2 5 2 3 3 2 2" xfId="10993" xr:uid="{85DD789D-3B21-4CBD-A650-066B33B734D9}"/>
    <cellStyle name="Currency 3 2 5 2 3 3 3" xfId="9101" xr:uid="{59517A12-E5FA-4ABA-B273-9A8039D8E4D4}"/>
    <cellStyle name="Currency 3 2 5 2 3 4" xfId="2042" xr:uid="{00000000-0005-0000-0000-00006D050000}"/>
    <cellStyle name="Currency 3 2 5 2 3 4 2" xfId="4817" xr:uid="{00000000-0005-0000-0000-00006E050000}"/>
    <cellStyle name="Currency 3 2 5 2 3 4 2 2" xfId="10994" xr:uid="{70F723C9-5EA0-4024-8C3A-B8FE07C3108D}"/>
    <cellStyle name="Currency 3 2 5 2 3 4 3" xfId="8219" xr:uid="{01FC6B1E-2A6C-4A72-B1B4-73A8BEB1113C}"/>
    <cellStyle name="Currency 3 2 5 2 3 5" xfId="3806" xr:uid="{00000000-0005-0000-0000-00006F050000}"/>
    <cellStyle name="Currency 3 2 5 2 3 5 2" xfId="9983" xr:uid="{F34ADB68-916D-492A-A68F-CDEE9F0981A0}"/>
    <cellStyle name="Currency 3 2 5 2 3 6" xfId="1159" xr:uid="{00000000-0005-0000-0000-000070050000}"/>
    <cellStyle name="Currency 3 2 5 2 3 6 2" xfId="7336" xr:uid="{A3B8F8C8-7C8F-4E35-94FB-BACEB27E5DF3}"/>
    <cellStyle name="Currency 3 2 5 2 3 7" xfId="6453" xr:uid="{F8E0C405-D248-4C72-A8DE-572C41F1EC5B}"/>
    <cellStyle name="Currency 3 2 5 2 4" xfId="497" xr:uid="{00000000-0005-0000-0000-000071050000}"/>
    <cellStyle name="Currency 3 2 5 2 4 2" xfId="3145" xr:uid="{00000000-0005-0000-0000-000072050000}"/>
    <cellStyle name="Currency 3 2 5 2 4 2 2" xfId="4818" xr:uid="{00000000-0005-0000-0000-000073050000}"/>
    <cellStyle name="Currency 3 2 5 2 4 2 2 2" xfId="10995" xr:uid="{BC188E95-2832-4501-98B0-2F7E2B27A9DC}"/>
    <cellStyle name="Currency 3 2 5 2 4 2 3" xfId="9322" xr:uid="{02A2DF89-ED22-477A-A50E-649C9C1511F6}"/>
    <cellStyle name="Currency 3 2 5 2 4 3" xfId="2263" xr:uid="{00000000-0005-0000-0000-000074050000}"/>
    <cellStyle name="Currency 3 2 5 2 4 3 2" xfId="4819" xr:uid="{00000000-0005-0000-0000-000075050000}"/>
    <cellStyle name="Currency 3 2 5 2 4 3 2 2" xfId="10996" xr:uid="{7842B558-B4B5-4AD2-9EED-57AA11D56863}"/>
    <cellStyle name="Currency 3 2 5 2 4 3 3" xfId="8440" xr:uid="{1EFA8972-53BE-46C5-B40F-A78609BB37C7}"/>
    <cellStyle name="Currency 3 2 5 2 4 4" xfId="4027" xr:uid="{00000000-0005-0000-0000-000076050000}"/>
    <cellStyle name="Currency 3 2 5 2 4 4 2" xfId="10204" xr:uid="{F8EDE887-5A76-4D27-A3E2-1E75D89D1721}"/>
    <cellStyle name="Currency 3 2 5 2 4 5" xfId="1380" xr:uid="{00000000-0005-0000-0000-000077050000}"/>
    <cellStyle name="Currency 3 2 5 2 4 5 2" xfId="7557" xr:uid="{29BC48AF-DB2A-47F0-BBD8-43DD726796AD}"/>
    <cellStyle name="Currency 3 2 5 2 4 6" xfId="6674" xr:uid="{41F2BD90-A709-4D8A-B573-9A8DC3E58864}"/>
    <cellStyle name="Currency 3 2 5 2 5" xfId="2704" xr:uid="{00000000-0005-0000-0000-000078050000}"/>
    <cellStyle name="Currency 3 2 5 2 5 2" xfId="4820" xr:uid="{00000000-0005-0000-0000-000079050000}"/>
    <cellStyle name="Currency 3 2 5 2 5 2 2" xfId="10997" xr:uid="{855F839F-EE4D-4B44-AB25-B7CCD1606C5B}"/>
    <cellStyle name="Currency 3 2 5 2 5 3" xfId="8881" xr:uid="{06E50363-0FA2-4523-AE29-E48B1FF4264A}"/>
    <cellStyle name="Currency 3 2 5 2 6" xfId="1822" xr:uid="{00000000-0005-0000-0000-00007A050000}"/>
    <cellStyle name="Currency 3 2 5 2 6 2" xfId="4821" xr:uid="{00000000-0005-0000-0000-00007B050000}"/>
    <cellStyle name="Currency 3 2 5 2 6 2 2" xfId="10998" xr:uid="{C526735D-D44B-4FF4-B368-A02495A4F539}"/>
    <cellStyle name="Currency 3 2 5 2 6 3" xfId="7999" xr:uid="{732D6F01-F25E-49B9-A50C-511443E4F9D9}"/>
    <cellStyle name="Currency 3 2 5 2 7" xfId="3586" xr:uid="{00000000-0005-0000-0000-00007C050000}"/>
    <cellStyle name="Currency 3 2 5 2 7 2" xfId="9763" xr:uid="{18905F3C-4276-4996-99CE-F3E10425B339}"/>
    <cellStyle name="Currency 3 2 5 2 8" xfId="939" xr:uid="{00000000-0005-0000-0000-00007D050000}"/>
    <cellStyle name="Currency 3 2 5 2 8 2" xfId="7116" xr:uid="{63E8B443-79D9-4F8E-B859-256BDAE09E63}"/>
    <cellStyle name="Currency 3 2 5 2 9" xfId="6233" xr:uid="{0895C7F4-8024-49E2-A7B5-06B02975C3AF}"/>
    <cellStyle name="Currency 3 2 5 3" xfId="72" xr:uid="{00000000-0005-0000-0000-00007E050000}"/>
    <cellStyle name="Currency 3 2 5 3 2" xfId="182" xr:uid="{00000000-0005-0000-0000-00007F050000}"/>
    <cellStyle name="Currency 3 2 5 3 2 2" xfId="402" xr:uid="{00000000-0005-0000-0000-000080050000}"/>
    <cellStyle name="Currency 3 2 5 3 2 2 2" xfId="843" xr:uid="{00000000-0005-0000-0000-000081050000}"/>
    <cellStyle name="Currency 3 2 5 3 2 2 2 2" xfId="3491" xr:uid="{00000000-0005-0000-0000-000082050000}"/>
    <cellStyle name="Currency 3 2 5 3 2 2 2 2 2" xfId="4822" xr:uid="{00000000-0005-0000-0000-000083050000}"/>
    <cellStyle name="Currency 3 2 5 3 2 2 2 2 2 2" xfId="10999" xr:uid="{9B726810-7C90-42DE-AB66-F2250DB474F1}"/>
    <cellStyle name="Currency 3 2 5 3 2 2 2 2 3" xfId="9668" xr:uid="{68C9A2C2-2DF5-4CB4-B75A-CC85FC94E237}"/>
    <cellStyle name="Currency 3 2 5 3 2 2 2 3" xfId="2609" xr:uid="{00000000-0005-0000-0000-000084050000}"/>
    <cellStyle name="Currency 3 2 5 3 2 2 2 3 2" xfId="4823" xr:uid="{00000000-0005-0000-0000-000085050000}"/>
    <cellStyle name="Currency 3 2 5 3 2 2 2 3 2 2" xfId="11000" xr:uid="{6E658A14-4ED8-4043-9FDF-F19439FC68D0}"/>
    <cellStyle name="Currency 3 2 5 3 2 2 2 3 3" xfId="8786" xr:uid="{E95D13A6-20B6-4DC1-8C3F-B2F0C604BEFE}"/>
    <cellStyle name="Currency 3 2 5 3 2 2 2 4" xfId="4373" xr:uid="{00000000-0005-0000-0000-000086050000}"/>
    <cellStyle name="Currency 3 2 5 3 2 2 2 4 2" xfId="10550" xr:uid="{340587F5-ED5C-49ED-8A09-04FCA996C6D5}"/>
    <cellStyle name="Currency 3 2 5 3 2 2 2 5" xfId="1726" xr:uid="{00000000-0005-0000-0000-000087050000}"/>
    <cellStyle name="Currency 3 2 5 3 2 2 2 5 2" xfId="7903" xr:uid="{B988FE16-DC6E-48B1-B37A-E9660F60228E}"/>
    <cellStyle name="Currency 3 2 5 3 2 2 2 6" xfId="7020" xr:uid="{16A8852D-D37B-448B-9F2C-27A6B7EA1707}"/>
    <cellStyle name="Currency 3 2 5 3 2 2 3" xfId="3050" xr:uid="{00000000-0005-0000-0000-000088050000}"/>
    <cellStyle name="Currency 3 2 5 3 2 2 3 2" xfId="4824" xr:uid="{00000000-0005-0000-0000-000089050000}"/>
    <cellStyle name="Currency 3 2 5 3 2 2 3 2 2" xfId="11001" xr:uid="{91FA38D3-715E-4531-B54E-10DCCA7C70C8}"/>
    <cellStyle name="Currency 3 2 5 3 2 2 3 3" xfId="9227" xr:uid="{E38E0A5A-C48E-4078-9D41-9708AB2FF4C1}"/>
    <cellStyle name="Currency 3 2 5 3 2 2 4" xfId="2168" xr:uid="{00000000-0005-0000-0000-00008A050000}"/>
    <cellStyle name="Currency 3 2 5 3 2 2 4 2" xfId="4825" xr:uid="{00000000-0005-0000-0000-00008B050000}"/>
    <cellStyle name="Currency 3 2 5 3 2 2 4 2 2" xfId="11002" xr:uid="{4C6D7970-F7A3-49F9-A28E-9F26EF22CB74}"/>
    <cellStyle name="Currency 3 2 5 3 2 2 4 3" xfId="8345" xr:uid="{6BBA68A5-020A-4D0A-B5D8-A74FEAEDBEB4}"/>
    <cellStyle name="Currency 3 2 5 3 2 2 5" xfId="3932" xr:uid="{00000000-0005-0000-0000-00008C050000}"/>
    <cellStyle name="Currency 3 2 5 3 2 2 5 2" xfId="10109" xr:uid="{FF2984C2-1E42-45F2-B68C-5DC4C7DE580F}"/>
    <cellStyle name="Currency 3 2 5 3 2 2 6" xfId="1285" xr:uid="{00000000-0005-0000-0000-00008D050000}"/>
    <cellStyle name="Currency 3 2 5 3 2 2 6 2" xfId="7462" xr:uid="{753B7C81-C165-4E9D-8070-0407D891E458}"/>
    <cellStyle name="Currency 3 2 5 3 2 2 7" xfId="6579" xr:uid="{D6114C03-492D-4957-BDF5-A26948DAE0B4}"/>
    <cellStyle name="Currency 3 2 5 3 2 3" xfId="623" xr:uid="{00000000-0005-0000-0000-00008E050000}"/>
    <cellStyle name="Currency 3 2 5 3 2 3 2" xfId="3271" xr:uid="{00000000-0005-0000-0000-00008F050000}"/>
    <cellStyle name="Currency 3 2 5 3 2 3 2 2" xfId="4826" xr:uid="{00000000-0005-0000-0000-000090050000}"/>
    <cellStyle name="Currency 3 2 5 3 2 3 2 2 2" xfId="11003" xr:uid="{A4DB0F77-FFBF-4682-B0FC-B7AF03038633}"/>
    <cellStyle name="Currency 3 2 5 3 2 3 2 3" xfId="9448" xr:uid="{03238605-6D5F-44D2-9114-30A1A7142CA0}"/>
    <cellStyle name="Currency 3 2 5 3 2 3 3" xfId="2389" xr:uid="{00000000-0005-0000-0000-000091050000}"/>
    <cellStyle name="Currency 3 2 5 3 2 3 3 2" xfId="4827" xr:uid="{00000000-0005-0000-0000-000092050000}"/>
    <cellStyle name="Currency 3 2 5 3 2 3 3 2 2" xfId="11004" xr:uid="{B4996305-A4AD-462D-9804-9EE397A40684}"/>
    <cellStyle name="Currency 3 2 5 3 2 3 3 3" xfId="8566" xr:uid="{A1200504-7635-4A4A-B2F4-5FFCCB1917E9}"/>
    <cellStyle name="Currency 3 2 5 3 2 3 4" xfId="4153" xr:uid="{00000000-0005-0000-0000-000093050000}"/>
    <cellStyle name="Currency 3 2 5 3 2 3 4 2" xfId="10330" xr:uid="{E5FE6328-81A0-4A3F-8EA5-5C9B7A121454}"/>
    <cellStyle name="Currency 3 2 5 3 2 3 5" xfId="1506" xr:uid="{00000000-0005-0000-0000-000094050000}"/>
    <cellStyle name="Currency 3 2 5 3 2 3 5 2" xfId="7683" xr:uid="{48CB7202-B642-4C43-A157-D82275854B44}"/>
    <cellStyle name="Currency 3 2 5 3 2 3 6" xfId="6800" xr:uid="{3A1F6375-234A-49E3-9914-D4AD2C965855}"/>
    <cellStyle name="Currency 3 2 5 3 2 4" xfId="2830" xr:uid="{00000000-0005-0000-0000-000095050000}"/>
    <cellStyle name="Currency 3 2 5 3 2 4 2" xfId="4828" xr:uid="{00000000-0005-0000-0000-000096050000}"/>
    <cellStyle name="Currency 3 2 5 3 2 4 2 2" xfId="11005" xr:uid="{D3D8240C-03F4-47DF-8F30-26D2960E330D}"/>
    <cellStyle name="Currency 3 2 5 3 2 4 3" xfId="9007" xr:uid="{239C8AB7-A900-4512-8663-6C3FC650356B}"/>
    <cellStyle name="Currency 3 2 5 3 2 5" xfId="1948" xr:uid="{00000000-0005-0000-0000-000097050000}"/>
    <cellStyle name="Currency 3 2 5 3 2 5 2" xfId="4829" xr:uid="{00000000-0005-0000-0000-000098050000}"/>
    <cellStyle name="Currency 3 2 5 3 2 5 2 2" xfId="11006" xr:uid="{678FDC3E-8EE8-4230-AA96-1AEA20A98F64}"/>
    <cellStyle name="Currency 3 2 5 3 2 5 3" xfId="8125" xr:uid="{CB9258F6-58B3-4394-896B-53F9DF987961}"/>
    <cellStyle name="Currency 3 2 5 3 2 6" xfId="3712" xr:uid="{00000000-0005-0000-0000-000099050000}"/>
    <cellStyle name="Currency 3 2 5 3 2 6 2" xfId="9889" xr:uid="{E739139B-8416-48BB-893D-59C5C8538821}"/>
    <cellStyle name="Currency 3 2 5 3 2 7" xfId="1065" xr:uid="{00000000-0005-0000-0000-00009A050000}"/>
    <cellStyle name="Currency 3 2 5 3 2 7 2" xfId="7242" xr:uid="{05003A81-FDDE-4445-B15B-1EC1036F089D}"/>
    <cellStyle name="Currency 3 2 5 3 2 8" xfId="6359" xr:uid="{32CA78BD-02E5-446F-8DB3-99C503B6F8B3}"/>
    <cellStyle name="Currency 3 2 5 3 3" xfId="292" xr:uid="{00000000-0005-0000-0000-00009B050000}"/>
    <cellStyle name="Currency 3 2 5 3 3 2" xfId="733" xr:uid="{00000000-0005-0000-0000-00009C050000}"/>
    <cellStyle name="Currency 3 2 5 3 3 2 2" xfId="3381" xr:uid="{00000000-0005-0000-0000-00009D050000}"/>
    <cellStyle name="Currency 3 2 5 3 3 2 2 2" xfId="4830" xr:uid="{00000000-0005-0000-0000-00009E050000}"/>
    <cellStyle name="Currency 3 2 5 3 3 2 2 2 2" xfId="11007" xr:uid="{C550F706-9672-4458-9EE2-B7081F6CACC8}"/>
    <cellStyle name="Currency 3 2 5 3 3 2 2 3" xfId="9558" xr:uid="{6E21631B-FF93-4397-8E0E-9C4DAADF7E8E}"/>
    <cellStyle name="Currency 3 2 5 3 3 2 3" xfId="2499" xr:uid="{00000000-0005-0000-0000-00009F050000}"/>
    <cellStyle name="Currency 3 2 5 3 3 2 3 2" xfId="4831" xr:uid="{00000000-0005-0000-0000-0000A0050000}"/>
    <cellStyle name="Currency 3 2 5 3 3 2 3 2 2" xfId="11008" xr:uid="{A7ABD56C-EB7B-4586-969A-F37EAC65A2D2}"/>
    <cellStyle name="Currency 3 2 5 3 3 2 3 3" xfId="8676" xr:uid="{CD3ECE09-A0F3-4EF1-AF3F-9A2CB79FEB32}"/>
    <cellStyle name="Currency 3 2 5 3 3 2 4" xfId="4263" xr:uid="{00000000-0005-0000-0000-0000A1050000}"/>
    <cellStyle name="Currency 3 2 5 3 3 2 4 2" xfId="10440" xr:uid="{B865210E-A74E-4589-813C-17E308818FCD}"/>
    <cellStyle name="Currency 3 2 5 3 3 2 5" xfId="1616" xr:uid="{00000000-0005-0000-0000-0000A2050000}"/>
    <cellStyle name="Currency 3 2 5 3 3 2 5 2" xfId="7793" xr:uid="{01CFCAEF-1B6C-4C73-8FFD-0E42B53E3028}"/>
    <cellStyle name="Currency 3 2 5 3 3 2 6" xfId="6910" xr:uid="{35673AF5-4C84-4460-94CA-AC4513F6A022}"/>
    <cellStyle name="Currency 3 2 5 3 3 3" xfId="2940" xr:uid="{00000000-0005-0000-0000-0000A3050000}"/>
    <cellStyle name="Currency 3 2 5 3 3 3 2" xfId="4832" xr:uid="{00000000-0005-0000-0000-0000A4050000}"/>
    <cellStyle name="Currency 3 2 5 3 3 3 2 2" xfId="11009" xr:uid="{0C6B7796-FB32-4FAC-A613-611D162E0895}"/>
    <cellStyle name="Currency 3 2 5 3 3 3 3" xfId="9117" xr:uid="{17D77A17-CE1C-4D7D-87D4-FB426FB0457A}"/>
    <cellStyle name="Currency 3 2 5 3 3 4" xfId="2058" xr:uid="{00000000-0005-0000-0000-0000A5050000}"/>
    <cellStyle name="Currency 3 2 5 3 3 4 2" xfId="4833" xr:uid="{00000000-0005-0000-0000-0000A6050000}"/>
    <cellStyle name="Currency 3 2 5 3 3 4 2 2" xfId="11010" xr:uid="{AF1682CD-E4BC-4F4D-923A-19F6CFC8093D}"/>
    <cellStyle name="Currency 3 2 5 3 3 4 3" xfId="8235" xr:uid="{A042BFCF-4B0A-4291-9A35-F92BA1497B3A}"/>
    <cellStyle name="Currency 3 2 5 3 3 5" xfId="3822" xr:uid="{00000000-0005-0000-0000-0000A7050000}"/>
    <cellStyle name="Currency 3 2 5 3 3 5 2" xfId="9999" xr:uid="{64442B20-E3B8-4C0E-AF86-2F1A2AB36D5C}"/>
    <cellStyle name="Currency 3 2 5 3 3 6" xfId="1175" xr:uid="{00000000-0005-0000-0000-0000A8050000}"/>
    <cellStyle name="Currency 3 2 5 3 3 6 2" xfId="7352" xr:uid="{0959E258-FAC8-4CB8-A0A0-DDE96A8500E1}"/>
    <cellStyle name="Currency 3 2 5 3 3 7" xfId="6469" xr:uid="{BB339A9B-B66E-4CA9-A21B-F526E7CF86A5}"/>
    <cellStyle name="Currency 3 2 5 3 4" xfId="513" xr:uid="{00000000-0005-0000-0000-0000A9050000}"/>
    <cellStyle name="Currency 3 2 5 3 4 2" xfId="3161" xr:uid="{00000000-0005-0000-0000-0000AA050000}"/>
    <cellStyle name="Currency 3 2 5 3 4 2 2" xfId="4834" xr:uid="{00000000-0005-0000-0000-0000AB050000}"/>
    <cellStyle name="Currency 3 2 5 3 4 2 2 2" xfId="11011" xr:uid="{CEF0933C-75CC-403B-9444-4FCBCD066241}"/>
    <cellStyle name="Currency 3 2 5 3 4 2 3" xfId="9338" xr:uid="{51A8FE32-99AF-4E1B-BC15-AD3165EF112F}"/>
    <cellStyle name="Currency 3 2 5 3 4 3" xfId="2279" xr:uid="{00000000-0005-0000-0000-0000AC050000}"/>
    <cellStyle name="Currency 3 2 5 3 4 3 2" xfId="4835" xr:uid="{00000000-0005-0000-0000-0000AD050000}"/>
    <cellStyle name="Currency 3 2 5 3 4 3 2 2" xfId="11012" xr:uid="{5E199CB6-A369-4810-921D-FB75BEDFBC71}"/>
    <cellStyle name="Currency 3 2 5 3 4 3 3" xfId="8456" xr:uid="{09D14477-FCD1-4BA4-9F0E-64CE7C908CB3}"/>
    <cellStyle name="Currency 3 2 5 3 4 4" xfId="4043" xr:uid="{00000000-0005-0000-0000-0000AE050000}"/>
    <cellStyle name="Currency 3 2 5 3 4 4 2" xfId="10220" xr:uid="{7F8E1C43-5425-4FD2-97D6-EFFFCF6E6492}"/>
    <cellStyle name="Currency 3 2 5 3 4 5" xfId="1396" xr:uid="{00000000-0005-0000-0000-0000AF050000}"/>
    <cellStyle name="Currency 3 2 5 3 4 5 2" xfId="7573" xr:uid="{5E4B26D4-A147-49C1-B95B-15ED234C283A}"/>
    <cellStyle name="Currency 3 2 5 3 4 6" xfId="6690" xr:uid="{12B3E3AE-7115-4A23-802A-228F581F89A5}"/>
    <cellStyle name="Currency 3 2 5 3 5" xfId="2720" xr:uid="{00000000-0005-0000-0000-0000B0050000}"/>
    <cellStyle name="Currency 3 2 5 3 5 2" xfId="4836" xr:uid="{00000000-0005-0000-0000-0000B1050000}"/>
    <cellStyle name="Currency 3 2 5 3 5 2 2" xfId="11013" xr:uid="{00CA2A92-A65D-4A77-9E4F-8B4E75DFFBAC}"/>
    <cellStyle name="Currency 3 2 5 3 5 3" xfId="8897" xr:uid="{91BA4910-920C-4705-9322-A056274B42A8}"/>
    <cellStyle name="Currency 3 2 5 3 6" xfId="1838" xr:uid="{00000000-0005-0000-0000-0000B2050000}"/>
    <cellStyle name="Currency 3 2 5 3 6 2" xfId="4837" xr:uid="{00000000-0005-0000-0000-0000B3050000}"/>
    <cellStyle name="Currency 3 2 5 3 6 2 2" xfId="11014" xr:uid="{E7F62124-F10C-4160-BEE8-125522983C83}"/>
    <cellStyle name="Currency 3 2 5 3 6 3" xfId="8015" xr:uid="{D8A44335-D5E7-4088-8868-6B854C1F2C81}"/>
    <cellStyle name="Currency 3 2 5 3 7" xfId="3602" xr:uid="{00000000-0005-0000-0000-0000B4050000}"/>
    <cellStyle name="Currency 3 2 5 3 7 2" xfId="9779" xr:uid="{9D1F05DF-3DBB-441D-A71C-9A20AF993F03}"/>
    <cellStyle name="Currency 3 2 5 3 8" xfId="955" xr:uid="{00000000-0005-0000-0000-0000B5050000}"/>
    <cellStyle name="Currency 3 2 5 3 8 2" xfId="7132" xr:uid="{07E4E361-17AA-45A2-8A48-AAC444E60C85}"/>
    <cellStyle name="Currency 3 2 5 3 9" xfId="6249" xr:uid="{214F07F6-7D66-4D9C-98A1-622C436ABF9E}"/>
    <cellStyle name="Currency 3 2 5 4" xfId="88" xr:uid="{00000000-0005-0000-0000-0000B6050000}"/>
    <cellStyle name="Currency 3 2 5 4 2" xfId="198" xr:uid="{00000000-0005-0000-0000-0000B7050000}"/>
    <cellStyle name="Currency 3 2 5 4 2 2" xfId="418" xr:uid="{00000000-0005-0000-0000-0000B8050000}"/>
    <cellStyle name="Currency 3 2 5 4 2 2 2" xfId="859" xr:uid="{00000000-0005-0000-0000-0000B9050000}"/>
    <cellStyle name="Currency 3 2 5 4 2 2 2 2" xfId="3507" xr:uid="{00000000-0005-0000-0000-0000BA050000}"/>
    <cellStyle name="Currency 3 2 5 4 2 2 2 2 2" xfId="4838" xr:uid="{00000000-0005-0000-0000-0000BB050000}"/>
    <cellStyle name="Currency 3 2 5 4 2 2 2 2 2 2" xfId="11015" xr:uid="{BE30DE8D-ADC1-4F5D-A033-597AE20CD27B}"/>
    <cellStyle name="Currency 3 2 5 4 2 2 2 2 3" xfId="9684" xr:uid="{01338850-1963-4FAD-B33E-30F44A65633B}"/>
    <cellStyle name="Currency 3 2 5 4 2 2 2 3" xfId="2625" xr:uid="{00000000-0005-0000-0000-0000BC050000}"/>
    <cellStyle name="Currency 3 2 5 4 2 2 2 3 2" xfId="4839" xr:uid="{00000000-0005-0000-0000-0000BD050000}"/>
    <cellStyle name="Currency 3 2 5 4 2 2 2 3 2 2" xfId="11016" xr:uid="{B5AB482B-E918-415E-9F01-A52380A9E087}"/>
    <cellStyle name="Currency 3 2 5 4 2 2 2 3 3" xfId="8802" xr:uid="{159E3160-B5B2-4784-B794-E8D1407900D0}"/>
    <cellStyle name="Currency 3 2 5 4 2 2 2 4" xfId="4389" xr:uid="{00000000-0005-0000-0000-0000BE050000}"/>
    <cellStyle name="Currency 3 2 5 4 2 2 2 4 2" xfId="10566" xr:uid="{751B27B6-6644-47AA-8D74-D89DC0D6764D}"/>
    <cellStyle name="Currency 3 2 5 4 2 2 2 5" xfId="1742" xr:uid="{00000000-0005-0000-0000-0000BF050000}"/>
    <cellStyle name="Currency 3 2 5 4 2 2 2 5 2" xfId="7919" xr:uid="{F9E5D7B2-73A2-4FF7-99F5-00DD62D4D35D}"/>
    <cellStyle name="Currency 3 2 5 4 2 2 2 6" xfId="7036" xr:uid="{DFB69224-C5FD-4149-A09D-BF70EDD5934B}"/>
    <cellStyle name="Currency 3 2 5 4 2 2 3" xfId="3066" xr:uid="{00000000-0005-0000-0000-0000C0050000}"/>
    <cellStyle name="Currency 3 2 5 4 2 2 3 2" xfId="4840" xr:uid="{00000000-0005-0000-0000-0000C1050000}"/>
    <cellStyle name="Currency 3 2 5 4 2 2 3 2 2" xfId="11017" xr:uid="{66C994A3-DEFE-4982-A68C-A75149A92CCC}"/>
    <cellStyle name="Currency 3 2 5 4 2 2 3 3" xfId="9243" xr:uid="{A6CDD81A-B99E-4676-8CC6-520EE15E8A4E}"/>
    <cellStyle name="Currency 3 2 5 4 2 2 4" xfId="2184" xr:uid="{00000000-0005-0000-0000-0000C2050000}"/>
    <cellStyle name="Currency 3 2 5 4 2 2 4 2" xfId="4841" xr:uid="{00000000-0005-0000-0000-0000C3050000}"/>
    <cellStyle name="Currency 3 2 5 4 2 2 4 2 2" xfId="11018" xr:uid="{E2919703-1D14-4515-A8D7-E5CA3BDF0675}"/>
    <cellStyle name="Currency 3 2 5 4 2 2 4 3" xfId="8361" xr:uid="{D3FE98A8-A48A-4A8D-86BD-12C522BE633F}"/>
    <cellStyle name="Currency 3 2 5 4 2 2 5" xfId="3948" xr:uid="{00000000-0005-0000-0000-0000C4050000}"/>
    <cellStyle name="Currency 3 2 5 4 2 2 5 2" xfId="10125" xr:uid="{7FA44C58-103D-49E1-8D15-C4A820C4CE19}"/>
    <cellStyle name="Currency 3 2 5 4 2 2 6" xfId="1301" xr:uid="{00000000-0005-0000-0000-0000C5050000}"/>
    <cellStyle name="Currency 3 2 5 4 2 2 6 2" xfId="7478" xr:uid="{452CBD31-A45B-49EB-8E4E-92798C604121}"/>
    <cellStyle name="Currency 3 2 5 4 2 2 7" xfId="6595" xr:uid="{56917487-DE92-4EBC-B5C1-5B25E74EF508}"/>
    <cellStyle name="Currency 3 2 5 4 2 3" xfId="639" xr:uid="{00000000-0005-0000-0000-0000C6050000}"/>
    <cellStyle name="Currency 3 2 5 4 2 3 2" xfId="3287" xr:uid="{00000000-0005-0000-0000-0000C7050000}"/>
    <cellStyle name="Currency 3 2 5 4 2 3 2 2" xfId="4842" xr:uid="{00000000-0005-0000-0000-0000C8050000}"/>
    <cellStyle name="Currency 3 2 5 4 2 3 2 2 2" xfId="11019" xr:uid="{E4B61735-09B8-43C3-BA99-83ED3CAF0A02}"/>
    <cellStyle name="Currency 3 2 5 4 2 3 2 3" xfId="9464" xr:uid="{0F356B84-66FD-4A9F-9DC1-4B0B9D4E55D5}"/>
    <cellStyle name="Currency 3 2 5 4 2 3 3" xfId="2405" xr:uid="{00000000-0005-0000-0000-0000C9050000}"/>
    <cellStyle name="Currency 3 2 5 4 2 3 3 2" xfId="4843" xr:uid="{00000000-0005-0000-0000-0000CA050000}"/>
    <cellStyle name="Currency 3 2 5 4 2 3 3 2 2" xfId="11020" xr:uid="{CBE9A615-A360-4F3D-9D86-467C57D6452B}"/>
    <cellStyle name="Currency 3 2 5 4 2 3 3 3" xfId="8582" xr:uid="{0B3D00AA-5C5F-4DAC-9807-3EFB5191A84F}"/>
    <cellStyle name="Currency 3 2 5 4 2 3 4" xfId="4169" xr:uid="{00000000-0005-0000-0000-0000CB050000}"/>
    <cellStyle name="Currency 3 2 5 4 2 3 4 2" xfId="10346" xr:uid="{7F39D8A0-8121-4319-8B07-5E46BB8018FB}"/>
    <cellStyle name="Currency 3 2 5 4 2 3 5" xfId="1522" xr:uid="{00000000-0005-0000-0000-0000CC050000}"/>
    <cellStyle name="Currency 3 2 5 4 2 3 5 2" xfId="7699" xr:uid="{9112418D-0802-4D18-A2FB-75AD20A2EB8F}"/>
    <cellStyle name="Currency 3 2 5 4 2 3 6" xfId="6816" xr:uid="{5063F9AA-6968-425D-985B-484B30D79864}"/>
    <cellStyle name="Currency 3 2 5 4 2 4" xfId="2846" xr:uid="{00000000-0005-0000-0000-0000CD050000}"/>
    <cellStyle name="Currency 3 2 5 4 2 4 2" xfId="4844" xr:uid="{00000000-0005-0000-0000-0000CE050000}"/>
    <cellStyle name="Currency 3 2 5 4 2 4 2 2" xfId="11021" xr:uid="{69405773-72F1-46A4-98EB-096810FEFE64}"/>
    <cellStyle name="Currency 3 2 5 4 2 4 3" xfId="9023" xr:uid="{3CBD3F66-FE5C-4A31-91FA-0CA941CFA281}"/>
    <cellStyle name="Currency 3 2 5 4 2 5" xfId="1964" xr:uid="{00000000-0005-0000-0000-0000CF050000}"/>
    <cellStyle name="Currency 3 2 5 4 2 5 2" xfId="4845" xr:uid="{00000000-0005-0000-0000-0000D0050000}"/>
    <cellStyle name="Currency 3 2 5 4 2 5 2 2" xfId="11022" xr:uid="{F4266183-62A8-4DDA-A8DD-04B0AD6E10B9}"/>
    <cellStyle name="Currency 3 2 5 4 2 5 3" xfId="8141" xr:uid="{B3BF4487-1BE4-4DFF-8ECE-E6C0E8290E6D}"/>
    <cellStyle name="Currency 3 2 5 4 2 6" xfId="3728" xr:uid="{00000000-0005-0000-0000-0000D1050000}"/>
    <cellStyle name="Currency 3 2 5 4 2 6 2" xfId="9905" xr:uid="{B8D1AB54-98C4-423B-AACB-6601600CD9D7}"/>
    <cellStyle name="Currency 3 2 5 4 2 7" xfId="1081" xr:uid="{00000000-0005-0000-0000-0000D2050000}"/>
    <cellStyle name="Currency 3 2 5 4 2 7 2" xfId="7258" xr:uid="{623D9A3C-BAA6-456A-B555-F48B9D39CAE2}"/>
    <cellStyle name="Currency 3 2 5 4 2 8" xfId="6375" xr:uid="{78E1D822-1F56-4115-8AD4-B8E0411F1EF0}"/>
    <cellStyle name="Currency 3 2 5 4 3" xfId="308" xr:uid="{00000000-0005-0000-0000-0000D3050000}"/>
    <cellStyle name="Currency 3 2 5 4 3 2" xfId="749" xr:uid="{00000000-0005-0000-0000-0000D4050000}"/>
    <cellStyle name="Currency 3 2 5 4 3 2 2" xfId="3397" xr:uid="{00000000-0005-0000-0000-0000D5050000}"/>
    <cellStyle name="Currency 3 2 5 4 3 2 2 2" xfId="4846" xr:uid="{00000000-0005-0000-0000-0000D6050000}"/>
    <cellStyle name="Currency 3 2 5 4 3 2 2 2 2" xfId="11023" xr:uid="{7BA0B9D6-C07C-4659-991D-504DC9D55985}"/>
    <cellStyle name="Currency 3 2 5 4 3 2 2 3" xfId="9574" xr:uid="{76DE3A95-912B-4787-A3C8-0BB569B6D7D9}"/>
    <cellStyle name="Currency 3 2 5 4 3 2 3" xfId="2515" xr:uid="{00000000-0005-0000-0000-0000D7050000}"/>
    <cellStyle name="Currency 3 2 5 4 3 2 3 2" xfId="4847" xr:uid="{00000000-0005-0000-0000-0000D8050000}"/>
    <cellStyle name="Currency 3 2 5 4 3 2 3 2 2" xfId="11024" xr:uid="{D2FB102B-20C2-4B94-A19A-35D6A7AC0DFA}"/>
    <cellStyle name="Currency 3 2 5 4 3 2 3 3" xfId="8692" xr:uid="{0966DD16-3883-4BE0-AAFE-C207B687932C}"/>
    <cellStyle name="Currency 3 2 5 4 3 2 4" xfId="4279" xr:uid="{00000000-0005-0000-0000-0000D9050000}"/>
    <cellStyle name="Currency 3 2 5 4 3 2 4 2" xfId="10456" xr:uid="{C5CA9FAE-C904-43B4-A15D-56D14741D4AC}"/>
    <cellStyle name="Currency 3 2 5 4 3 2 5" xfId="1632" xr:uid="{00000000-0005-0000-0000-0000DA050000}"/>
    <cellStyle name="Currency 3 2 5 4 3 2 5 2" xfId="7809" xr:uid="{62090CF9-5706-4E1E-B26A-90D0F05D97F4}"/>
    <cellStyle name="Currency 3 2 5 4 3 2 6" xfId="6926" xr:uid="{395A4F85-80B0-4268-B252-813B9274A35B}"/>
    <cellStyle name="Currency 3 2 5 4 3 3" xfId="2956" xr:uid="{00000000-0005-0000-0000-0000DB050000}"/>
    <cellStyle name="Currency 3 2 5 4 3 3 2" xfId="4848" xr:uid="{00000000-0005-0000-0000-0000DC050000}"/>
    <cellStyle name="Currency 3 2 5 4 3 3 2 2" xfId="11025" xr:uid="{1CDA4ED4-4F68-4208-9FC0-2EB6F1A7E4CF}"/>
    <cellStyle name="Currency 3 2 5 4 3 3 3" xfId="9133" xr:uid="{377A6FC5-76D7-4CFE-871C-0171293001CA}"/>
    <cellStyle name="Currency 3 2 5 4 3 4" xfId="2074" xr:uid="{00000000-0005-0000-0000-0000DD050000}"/>
    <cellStyle name="Currency 3 2 5 4 3 4 2" xfId="4849" xr:uid="{00000000-0005-0000-0000-0000DE050000}"/>
    <cellStyle name="Currency 3 2 5 4 3 4 2 2" xfId="11026" xr:uid="{A00952D5-C75D-4A86-956A-88812720FEDC}"/>
    <cellStyle name="Currency 3 2 5 4 3 4 3" xfId="8251" xr:uid="{9B5A9C70-C6B6-40C0-9E1B-1FBD207E6563}"/>
    <cellStyle name="Currency 3 2 5 4 3 5" xfId="3838" xr:uid="{00000000-0005-0000-0000-0000DF050000}"/>
    <cellStyle name="Currency 3 2 5 4 3 5 2" xfId="10015" xr:uid="{0D0FC5F6-84B9-43EA-A79C-23887F58785B}"/>
    <cellStyle name="Currency 3 2 5 4 3 6" xfId="1191" xr:uid="{00000000-0005-0000-0000-0000E0050000}"/>
    <cellStyle name="Currency 3 2 5 4 3 6 2" xfId="7368" xr:uid="{8446B820-C48A-41EB-8205-9A3F82EC6325}"/>
    <cellStyle name="Currency 3 2 5 4 3 7" xfId="6485" xr:uid="{DA0A756C-BD5D-4752-A315-25BB32320376}"/>
    <cellStyle name="Currency 3 2 5 4 4" xfId="529" xr:uid="{00000000-0005-0000-0000-0000E1050000}"/>
    <cellStyle name="Currency 3 2 5 4 4 2" xfId="3177" xr:uid="{00000000-0005-0000-0000-0000E2050000}"/>
    <cellStyle name="Currency 3 2 5 4 4 2 2" xfId="4850" xr:uid="{00000000-0005-0000-0000-0000E3050000}"/>
    <cellStyle name="Currency 3 2 5 4 4 2 2 2" xfId="11027" xr:uid="{29B0E36C-2AA4-4C7F-8355-1C53BBAA0D77}"/>
    <cellStyle name="Currency 3 2 5 4 4 2 3" xfId="9354" xr:uid="{66729C87-B3B1-49F9-A727-D6519E503D43}"/>
    <cellStyle name="Currency 3 2 5 4 4 3" xfId="2295" xr:uid="{00000000-0005-0000-0000-0000E4050000}"/>
    <cellStyle name="Currency 3 2 5 4 4 3 2" xfId="4851" xr:uid="{00000000-0005-0000-0000-0000E5050000}"/>
    <cellStyle name="Currency 3 2 5 4 4 3 2 2" xfId="11028" xr:uid="{2090BAB1-B20B-4D33-8993-541325A777F7}"/>
    <cellStyle name="Currency 3 2 5 4 4 3 3" xfId="8472" xr:uid="{DFFF7724-393A-48FF-BABD-8618C7CA3AD8}"/>
    <cellStyle name="Currency 3 2 5 4 4 4" xfId="4059" xr:uid="{00000000-0005-0000-0000-0000E6050000}"/>
    <cellStyle name="Currency 3 2 5 4 4 4 2" xfId="10236" xr:uid="{A70129C6-D078-497A-B14B-815843FA5445}"/>
    <cellStyle name="Currency 3 2 5 4 4 5" xfId="1412" xr:uid="{00000000-0005-0000-0000-0000E7050000}"/>
    <cellStyle name="Currency 3 2 5 4 4 5 2" xfId="7589" xr:uid="{74D570D1-9949-4CB7-8E02-1FE4998F0D9C}"/>
    <cellStyle name="Currency 3 2 5 4 4 6" xfId="6706" xr:uid="{D55DE2DF-C595-484D-8D4D-35EBA7211DA9}"/>
    <cellStyle name="Currency 3 2 5 4 5" xfId="2736" xr:uid="{00000000-0005-0000-0000-0000E8050000}"/>
    <cellStyle name="Currency 3 2 5 4 5 2" xfId="4852" xr:uid="{00000000-0005-0000-0000-0000E9050000}"/>
    <cellStyle name="Currency 3 2 5 4 5 2 2" xfId="11029" xr:uid="{C27FBE4E-ED8F-4A1D-91AE-65922F4C6C39}"/>
    <cellStyle name="Currency 3 2 5 4 5 3" xfId="8913" xr:uid="{64331824-3C82-4593-BDC6-76276467531F}"/>
    <cellStyle name="Currency 3 2 5 4 6" xfId="1854" xr:uid="{00000000-0005-0000-0000-0000EA050000}"/>
    <cellStyle name="Currency 3 2 5 4 6 2" xfId="4853" xr:uid="{00000000-0005-0000-0000-0000EB050000}"/>
    <cellStyle name="Currency 3 2 5 4 6 2 2" xfId="11030" xr:uid="{596F272D-FBCF-49EC-9C15-DA07CCE5B477}"/>
    <cellStyle name="Currency 3 2 5 4 6 3" xfId="8031" xr:uid="{DD74F221-3218-4986-A02B-0AB93CA4BE0F}"/>
    <cellStyle name="Currency 3 2 5 4 7" xfId="3618" xr:uid="{00000000-0005-0000-0000-0000EC050000}"/>
    <cellStyle name="Currency 3 2 5 4 7 2" xfId="9795" xr:uid="{5BAC5803-6522-4F03-AEC7-D5B006C99D49}"/>
    <cellStyle name="Currency 3 2 5 4 8" xfId="971" xr:uid="{00000000-0005-0000-0000-0000ED050000}"/>
    <cellStyle name="Currency 3 2 5 4 8 2" xfId="7148" xr:uid="{684A6FE2-18A8-4073-90A3-3D8A7E22E5C8}"/>
    <cellStyle name="Currency 3 2 5 4 9" xfId="6265" xr:uid="{88FE8757-878F-4F3F-9BB6-EA75B9BD2205}"/>
    <cellStyle name="Currency 3 2 5 5" xfId="132" xr:uid="{00000000-0005-0000-0000-0000EE050000}"/>
    <cellStyle name="Currency 3 2 5 5 2" xfId="352" xr:uid="{00000000-0005-0000-0000-0000EF050000}"/>
    <cellStyle name="Currency 3 2 5 5 2 2" xfId="793" xr:uid="{00000000-0005-0000-0000-0000F0050000}"/>
    <cellStyle name="Currency 3 2 5 5 2 2 2" xfId="3441" xr:uid="{00000000-0005-0000-0000-0000F1050000}"/>
    <cellStyle name="Currency 3 2 5 5 2 2 2 2" xfId="4854" xr:uid="{00000000-0005-0000-0000-0000F2050000}"/>
    <cellStyle name="Currency 3 2 5 5 2 2 2 2 2" xfId="11031" xr:uid="{DD26B2AF-58E9-45B1-8A96-74B67519C9E0}"/>
    <cellStyle name="Currency 3 2 5 5 2 2 2 3" xfId="9618" xr:uid="{C9D8D893-3E2F-4AE6-8D22-CCA224378044}"/>
    <cellStyle name="Currency 3 2 5 5 2 2 3" xfId="2559" xr:uid="{00000000-0005-0000-0000-0000F3050000}"/>
    <cellStyle name="Currency 3 2 5 5 2 2 3 2" xfId="4855" xr:uid="{00000000-0005-0000-0000-0000F4050000}"/>
    <cellStyle name="Currency 3 2 5 5 2 2 3 2 2" xfId="11032" xr:uid="{CC3B15AC-55FD-4E8B-865B-744C07286C1A}"/>
    <cellStyle name="Currency 3 2 5 5 2 2 3 3" xfId="8736" xr:uid="{DEB4A399-CD33-4401-BFD2-551FFA87C8B0}"/>
    <cellStyle name="Currency 3 2 5 5 2 2 4" xfId="4323" xr:uid="{00000000-0005-0000-0000-0000F5050000}"/>
    <cellStyle name="Currency 3 2 5 5 2 2 4 2" xfId="10500" xr:uid="{B8A9AB66-5446-46BD-ADA7-9A25025C5CC6}"/>
    <cellStyle name="Currency 3 2 5 5 2 2 5" xfId="1676" xr:uid="{00000000-0005-0000-0000-0000F6050000}"/>
    <cellStyle name="Currency 3 2 5 5 2 2 5 2" xfId="7853" xr:uid="{AB287A20-B5D8-4D67-ABF9-665661875A48}"/>
    <cellStyle name="Currency 3 2 5 5 2 2 6" xfId="6970" xr:uid="{D952B473-F267-4FA8-B758-E224C3588413}"/>
    <cellStyle name="Currency 3 2 5 5 2 3" xfId="3000" xr:uid="{00000000-0005-0000-0000-0000F7050000}"/>
    <cellStyle name="Currency 3 2 5 5 2 3 2" xfId="4856" xr:uid="{00000000-0005-0000-0000-0000F8050000}"/>
    <cellStyle name="Currency 3 2 5 5 2 3 2 2" xfId="11033" xr:uid="{170C86DB-33BE-4CB4-BFC4-C9CA378963B0}"/>
    <cellStyle name="Currency 3 2 5 5 2 3 3" xfId="9177" xr:uid="{B923ED20-F61A-4F1B-A61B-83FC73F56B07}"/>
    <cellStyle name="Currency 3 2 5 5 2 4" xfId="2118" xr:uid="{00000000-0005-0000-0000-0000F9050000}"/>
    <cellStyle name="Currency 3 2 5 5 2 4 2" xfId="4857" xr:uid="{00000000-0005-0000-0000-0000FA050000}"/>
    <cellStyle name="Currency 3 2 5 5 2 4 2 2" xfId="11034" xr:uid="{8CCC81F8-9303-44DF-9F2B-F88546CD4812}"/>
    <cellStyle name="Currency 3 2 5 5 2 4 3" xfId="8295" xr:uid="{242177E9-D2C2-433F-98B4-910B63017E12}"/>
    <cellStyle name="Currency 3 2 5 5 2 5" xfId="3882" xr:uid="{00000000-0005-0000-0000-0000FB050000}"/>
    <cellStyle name="Currency 3 2 5 5 2 5 2" xfId="10059" xr:uid="{DF1AFB54-191F-4DCC-B60B-8F732D4DDC70}"/>
    <cellStyle name="Currency 3 2 5 5 2 6" xfId="1235" xr:uid="{00000000-0005-0000-0000-0000FC050000}"/>
    <cellStyle name="Currency 3 2 5 5 2 6 2" xfId="7412" xr:uid="{5F61E900-8A46-41E0-9F2B-B5027EDD36B3}"/>
    <cellStyle name="Currency 3 2 5 5 2 7" xfId="6529" xr:uid="{BFA076FF-2F63-4219-BAB1-EE84D8A6D2F1}"/>
    <cellStyle name="Currency 3 2 5 5 3" xfId="573" xr:uid="{00000000-0005-0000-0000-0000FD050000}"/>
    <cellStyle name="Currency 3 2 5 5 3 2" xfId="3221" xr:uid="{00000000-0005-0000-0000-0000FE050000}"/>
    <cellStyle name="Currency 3 2 5 5 3 2 2" xfId="4858" xr:uid="{00000000-0005-0000-0000-0000FF050000}"/>
    <cellStyle name="Currency 3 2 5 5 3 2 2 2" xfId="11035" xr:uid="{E24CFC03-98F1-4B4E-9755-4EFE2A450CF3}"/>
    <cellStyle name="Currency 3 2 5 5 3 2 3" xfId="9398" xr:uid="{6406BC98-0728-4ED8-844C-7EA3D6F902AE}"/>
    <cellStyle name="Currency 3 2 5 5 3 3" xfId="2339" xr:uid="{00000000-0005-0000-0000-000000060000}"/>
    <cellStyle name="Currency 3 2 5 5 3 3 2" xfId="4859" xr:uid="{00000000-0005-0000-0000-000001060000}"/>
    <cellStyle name="Currency 3 2 5 5 3 3 2 2" xfId="11036" xr:uid="{3ED6BEF3-D900-48FC-8C63-3D1E8DDABFD5}"/>
    <cellStyle name="Currency 3 2 5 5 3 3 3" xfId="8516" xr:uid="{5168B02D-F681-4841-9905-788BB0506B53}"/>
    <cellStyle name="Currency 3 2 5 5 3 4" xfId="4103" xr:uid="{00000000-0005-0000-0000-000002060000}"/>
    <cellStyle name="Currency 3 2 5 5 3 4 2" xfId="10280" xr:uid="{0EE923F1-2EE3-4ADB-89B8-7C1BD02F87A9}"/>
    <cellStyle name="Currency 3 2 5 5 3 5" xfId="1456" xr:uid="{00000000-0005-0000-0000-000003060000}"/>
    <cellStyle name="Currency 3 2 5 5 3 5 2" xfId="7633" xr:uid="{00D3C2A0-9384-494C-AC35-DD0BC1E5E0C2}"/>
    <cellStyle name="Currency 3 2 5 5 3 6" xfId="6750" xr:uid="{4A7A290A-197E-4299-8B79-A7B783E6A76E}"/>
    <cellStyle name="Currency 3 2 5 5 4" xfId="2780" xr:uid="{00000000-0005-0000-0000-000004060000}"/>
    <cellStyle name="Currency 3 2 5 5 4 2" xfId="4860" xr:uid="{00000000-0005-0000-0000-000005060000}"/>
    <cellStyle name="Currency 3 2 5 5 4 2 2" xfId="11037" xr:uid="{ED7AAE72-E9F8-410E-A9B4-92A4DE0A2AA8}"/>
    <cellStyle name="Currency 3 2 5 5 4 3" xfId="8957" xr:uid="{A2434B42-35F0-4F5C-A7C5-D452D25A2729}"/>
    <cellStyle name="Currency 3 2 5 5 5" xfId="1898" xr:uid="{00000000-0005-0000-0000-000006060000}"/>
    <cellStyle name="Currency 3 2 5 5 5 2" xfId="4861" xr:uid="{00000000-0005-0000-0000-000007060000}"/>
    <cellStyle name="Currency 3 2 5 5 5 2 2" xfId="11038" xr:uid="{8A9FD8B1-063D-4FE1-877A-E78095F65929}"/>
    <cellStyle name="Currency 3 2 5 5 5 3" xfId="8075" xr:uid="{460667F4-695A-4504-815E-56E77DFD1EAD}"/>
    <cellStyle name="Currency 3 2 5 5 6" xfId="3662" xr:uid="{00000000-0005-0000-0000-000008060000}"/>
    <cellStyle name="Currency 3 2 5 5 6 2" xfId="9839" xr:uid="{98923A3D-D08A-4C40-AF35-7B945B4FB2D4}"/>
    <cellStyle name="Currency 3 2 5 5 7" xfId="1015" xr:uid="{00000000-0005-0000-0000-000009060000}"/>
    <cellStyle name="Currency 3 2 5 5 7 2" xfId="7192" xr:uid="{81BD8D92-4173-4389-A9BD-BDB886C90A55}"/>
    <cellStyle name="Currency 3 2 5 5 8" xfId="6309" xr:uid="{116CB480-6DEE-4E99-ADF3-CAAA98B00D5D}"/>
    <cellStyle name="Currency 3 2 5 6" xfId="242" xr:uid="{00000000-0005-0000-0000-00000A060000}"/>
    <cellStyle name="Currency 3 2 5 6 2" xfId="683" xr:uid="{00000000-0005-0000-0000-00000B060000}"/>
    <cellStyle name="Currency 3 2 5 6 2 2" xfId="3331" xr:uid="{00000000-0005-0000-0000-00000C060000}"/>
    <cellStyle name="Currency 3 2 5 6 2 2 2" xfId="4862" xr:uid="{00000000-0005-0000-0000-00000D060000}"/>
    <cellStyle name="Currency 3 2 5 6 2 2 2 2" xfId="11039" xr:uid="{3061065E-F4F2-41C7-8250-B18C64B867EF}"/>
    <cellStyle name="Currency 3 2 5 6 2 2 3" xfId="9508" xr:uid="{2E48F658-467D-4E67-B115-B6B4D3E5832E}"/>
    <cellStyle name="Currency 3 2 5 6 2 3" xfId="2449" xr:uid="{00000000-0005-0000-0000-00000E060000}"/>
    <cellStyle name="Currency 3 2 5 6 2 3 2" xfId="4863" xr:uid="{00000000-0005-0000-0000-00000F060000}"/>
    <cellStyle name="Currency 3 2 5 6 2 3 2 2" xfId="11040" xr:uid="{3FD51378-E82A-4C1D-97DD-31D18B17F4FD}"/>
    <cellStyle name="Currency 3 2 5 6 2 3 3" xfId="8626" xr:uid="{2E900D5E-A5C3-46F2-A295-F7DCBEC8E9D9}"/>
    <cellStyle name="Currency 3 2 5 6 2 4" xfId="4213" xr:uid="{00000000-0005-0000-0000-000010060000}"/>
    <cellStyle name="Currency 3 2 5 6 2 4 2" xfId="10390" xr:uid="{8541E30F-1531-4B27-A916-0BEB7DC15115}"/>
    <cellStyle name="Currency 3 2 5 6 2 5" xfId="1566" xr:uid="{00000000-0005-0000-0000-000011060000}"/>
    <cellStyle name="Currency 3 2 5 6 2 5 2" xfId="7743" xr:uid="{ED41D654-2063-467F-83BE-E0C9F81ED67C}"/>
    <cellStyle name="Currency 3 2 5 6 2 6" xfId="6860" xr:uid="{E12B8D51-308F-44E9-ABEE-FF9F47B9EF3A}"/>
    <cellStyle name="Currency 3 2 5 6 3" xfId="2890" xr:uid="{00000000-0005-0000-0000-000012060000}"/>
    <cellStyle name="Currency 3 2 5 6 3 2" xfId="4864" xr:uid="{00000000-0005-0000-0000-000013060000}"/>
    <cellStyle name="Currency 3 2 5 6 3 2 2" xfId="11041" xr:uid="{FDC459D0-B32A-4C28-B7D4-5DA512CF5A1D}"/>
    <cellStyle name="Currency 3 2 5 6 3 3" xfId="9067" xr:uid="{EAC95990-1FCA-47D3-AF96-B9285089BA3B}"/>
    <cellStyle name="Currency 3 2 5 6 4" xfId="2008" xr:uid="{00000000-0005-0000-0000-000014060000}"/>
    <cellStyle name="Currency 3 2 5 6 4 2" xfId="4865" xr:uid="{00000000-0005-0000-0000-000015060000}"/>
    <cellStyle name="Currency 3 2 5 6 4 2 2" xfId="11042" xr:uid="{DAD1AFFD-741B-452A-91F8-CCE849028444}"/>
    <cellStyle name="Currency 3 2 5 6 4 3" xfId="8185" xr:uid="{36100560-2946-46FB-866D-7663E7B5D4EF}"/>
    <cellStyle name="Currency 3 2 5 6 5" xfId="3772" xr:uid="{00000000-0005-0000-0000-000016060000}"/>
    <cellStyle name="Currency 3 2 5 6 5 2" xfId="9949" xr:uid="{8D6A287B-4161-4461-88DF-740B08F746A4}"/>
    <cellStyle name="Currency 3 2 5 6 6" xfId="1125" xr:uid="{00000000-0005-0000-0000-000017060000}"/>
    <cellStyle name="Currency 3 2 5 6 6 2" xfId="7302" xr:uid="{E0F091E5-F590-40A1-BEFE-711BAD5B44C4}"/>
    <cellStyle name="Currency 3 2 5 6 7" xfId="6419" xr:uid="{7AFAEF4F-9E3F-4194-B632-362CF63CBAD2}"/>
    <cellStyle name="Currency 3 2 5 7" xfId="463" xr:uid="{00000000-0005-0000-0000-000018060000}"/>
    <cellStyle name="Currency 3 2 5 7 2" xfId="3111" xr:uid="{00000000-0005-0000-0000-000019060000}"/>
    <cellStyle name="Currency 3 2 5 7 2 2" xfId="4866" xr:uid="{00000000-0005-0000-0000-00001A060000}"/>
    <cellStyle name="Currency 3 2 5 7 2 2 2" xfId="11043" xr:uid="{BB8568EB-3807-4FA9-88F9-B864A241A3F8}"/>
    <cellStyle name="Currency 3 2 5 7 2 3" xfId="9288" xr:uid="{3FC6EE35-C9F5-4E26-B1BD-A50314EC581C}"/>
    <cellStyle name="Currency 3 2 5 7 3" xfId="2229" xr:uid="{00000000-0005-0000-0000-00001B060000}"/>
    <cellStyle name="Currency 3 2 5 7 3 2" xfId="4867" xr:uid="{00000000-0005-0000-0000-00001C060000}"/>
    <cellStyle name="Currency 3 2 5 7 3 2 2" xfId="11044" xr:uid="{5367205C-BC02-420B-B585-E5B53D535C81}"/>
    <cellStyle name="Currency 3 2 5 7 3 3" xfId="8406" xr:uid="{7D79C7E5-DFCE-4293-BE57-04FC3F76AC32}"/>
    <cellStyle name="Currency 3 2 5 7 4" xfId="3993" xr:uid="{00000000-0005-0000-0000-00001D060000}"/>
    <cellStyle name="Currency 3 2 5 7 4 2" xfId="10170" xr:uid="{95C36190-87EE-474C-8351-8729C6885E04}"/>
    <cellStyle name="Currency 3 2 5 7 5" xfId="1346" xr:uid="{00000000-0005-0000-0000-00001E060000}"/>
    <cellStyle name="Currency 3 2 5 7 5 2" xfId="7523" xr:uid="{F088E925-1C5E-40EE-AD61-5C0EB2327C16}"/>
    <cellStyle name="Currency 3 2 5 7 6" xfId="6640" xr:uid="{E4206538-4711-4EC7-8923-52CFF6DAD5C1}"/>
    <cellStyle name="Currency 3 2 5 8" xfId="2670" xr:uid="{00000000-0005-0000-0000-00001F060000}"/>
    <cellStyle name="Currency 3 2 5 8 2" xfId="4868" xr:uid="{00000000-0005-0000-0000-000020060000}"/>
    <cellStyle name="Currency 3 2 5 8 2 2" xfId="11045" xr:uid="{AF56CF7B-3074-4326-BB10-0F8CCB227BFC}"/>
    <cellStyle name="Currency 3 2 5 8 3" xfId="8847" xr:uid="{27206F1E-5ED0-4211-BB73-3E23A71140F8}"/>
    <cellStyle name="Currency 3 2 5 9" xfId="1788" xr:uid="{00000000-0005-0000-0000-000021060000}"/>
    <cellStyle name="Currency 3 2 5 9 2" xfId="4869" xr:uid="{00000000-0005-0000-0000-000022060000}"/>
    <cellStyle name="Currency 3 2 5 9 2 2" xfId="11046" xr:uid="{8210C4D0-6E86-43A8-89DF-98213DD2EA93}"/>
    <cellStyle name="Currency 3 2 5 9 3" xfId="7965" xr:uid="{83D07846-E001-4BAE-9CC8-70D94C7DF655}"/>
    <cellStyle name="Currency 3 2 6" xfId="25" xr:uid="{00000000-0005-0000-0000-000023060000}"/>
    <cellStyle name="Currency 3 2 6 10" xfId="6202" xr:uid="{693D46B7-BA0C-4FD3-9C6B-01798BABA821}"/>
    <cellStyle name="Currency 3 2 6 2" xfId="91" xr:uid="{00000000-0005-0000-0000-000024060000}"/>
    <cellStyle name="Currency 3 2 6 2 2" xfId="201" xr:uid="{00000000-0005-0000-0000-000025060000}"/>
    <cellStyle name="Currency 3 2 6 2 2 2" xfId="421" xr:uid="{00000000-0005-0000-0000-000026060000}"/>
    <cellStyle name="Currency 3 2 6 2 2 2 2" xfId="862" xr:uid="{00000000-0005-0000-0000-000027060000}"/>
    <cellStyle name="Currency 3 2 6 2 2 2 2 2" xfId="3510" xr:uid="{00000000-0005-0000-0000-000028060000}"/>
    <cellStyle name="Currency 3 2 6 2 2 2 2 2 2" xfId="4870" xr:uid="{00000000-0005-0000-0000-000029060000}"/>
    <cellStyle name="Currency 3 2 6 2 2 2 2 2 2 2" xfId="11047" xr:uid="{A134F737-D5B4-4C29-9235-AA4D1BE0CDA4}"/>
    <cellStyle name="Currency 3 2 6 2 2 2 2 2 3" xfId="9687" xr:uid="{EA011F19-8238-4440-BAE4-799E7C1AF2EB}"/>
    <cellStyle name="Currency 3 2 6 2 2 2 2 3" xfId="2628" xr:uid="{00000000-0005-0000-0000-00002A060000}"/>
    <cellStyle name="Currency 3 2 6 2 2 2 2 3 2" xfId="4871" xr:uid="{00000000-0005-0000-0000-00002B060000}"/>
    <cellStyle name="Currency 3 2 6 2 2 2 2 3 2 2" xfId="11048" xr:uid="{FA7D6FFA-B0D0-4CDA-9428-2FA48CD046EF}"/>
    <cellStyle name="Currency 3 2 6 2 2 2 2 3 3" xfId="8805" xr:uid="{494CF370-CF22-4473-B468-53B3DCFD727F}"/>
    <cellStyle name="Currency 3 2 6 2 2 2 2 4" xfId="4392" xr:uid="{00000000-0005-0000-0000-00002C060000}"/>
    <cellStyle name="Currency 3 2 6 2 2 2 2 4 2" xfId="10569" xr:uid="{16DDAAAB-1B61-4DBC-8F95-26BC63DD43CB}"/>
    <cellStyle name="Currency 3 2 6 2 2 2 2 5" xfId="1745" xr:uid="{00000000-0005-0000-0000-00002D060000}"/>
    <cellStyle name="Currency 3 2 6 2 2 2 2 5 2" xfId="7922" xr:uid="{F653E6CC-5727-4108-B8E1-22E929A254CA}"/>
    <cellStyle name="Currency 3 2 6 2 2 2 2 6" xfId="7039" xr:uid="{FDE35504-54BF-496C-A660-A85A0F89EA77}"/>
    <cellStyle name="Currency 3 2 6 2 2 2 3" xfId="3069" xr:uid="{00000000-0005-0000-0000-00002E060000}"/>
    <cellStyle name="Currency 3 2 6 2 2 2 3 2" xfId="4872" xr:uid="{00000000-0005-0000-0000-00002F060000}"/>
    <cellStyle name="Currency 3 2 6 2 2 2 3 2 2" xfId="11049" xr:uid="{6A27D308-D83E-4DE7-B493-9CD2FC216293}"/>
    <cellStyle name="Currency 3 2 6 2 2 2 3 3" xfId="9246" xr:uid="{09E213E5-7F5B-4E79-9A63-107B7E6B823A}"/>
    <cellStyle name="Currency 3 2 6 2 2 2 4" xfId="2187" xr:uid="{00000000-0005-0000-0000-000030060000}"/>
    <cellStyle name="Currency 3 2 6 2 2 2 4 2" xfId="4873" xr:uid="{00000000-0005-0000-0000-000031060000}"/>
    <cellStyle name="Currency 3 2 6 2 2 2 4 2 2" xfId="11050" xr:uid="{08DBF557-D148-4CF8-BE87-C1DB2A8F922C}"/>
    <cellStyle name="Currency 3 2 6 2 2 2 4 3" xfId="8364" xr:uid="{7129ED05-6CAF-4E92-87F7-F23D2D1E5E89}"/>
    <cellStyle name="Currency 3 2 6 2 2 2 5" xfId="3951" xr:uid="{00000000-0005-0000-0000-000032060000}"/>
    <cellStyle name="Currency 3 2 6 2 2 2 5 2" xfId="10128" xr:uid="{2FF3D9EE-D616-4E15-97D5-D7C0861F6394}"/>
    <cellStyle name="Currency 3 2 6 2 2 2 6" xfId="1304" xr:uid="{00000000-0005-0000-0000-000033060000}"/>
    <cellStyle name="Currency 3 2 6 2 2 2 6 2" xfId="7481" xr:uid="{00A144D9-ED2A-4458-A6E3-CF0862B99893}"/>
    <cellStyle name="Currency 3 2 6 2 2 2 7" xfId="6598" xr:uid="{A8A8EB6F-05CF-4D3B-94F3-FD2AD5AA35CC}"/>
    <cellStyle name="Currency 3 2 6 2 2 3" xfId="642" xr:uid="{00000000-0005-0000-0000-000034060000}"/>
    <cellStyle name="Currency 3 2 6 2 2 3 2" xfId="3290" xr:uid="{00000000-0005-0000-0000-000035060000}"/>
    <cellStyle name="Currency 3 2 6 2 2 3 2 2" xfId="4874" xr:uid="{00000000-0005-0000-0000-000036060000}"/>
    <cellStyle name="Currency 3 2 6 2 2 3 2 2 2" xfId="11051" xr:uid="{E3CEF2B3-3556-47B6-A820-0913FB6BCA27}"/>
    <cellStyle name="Currency 3 2 6 2 2 3 2 3" xfId="9467" xr:uid="{59C1A099-4F83-421D-900D-A12D56B6EAC6}"/>
    <cellStyle name="Currency 3 2 6 2 2 3 3" xfId="2408" xr:uid="{00000000-0005-0000-0000-000037060000}"/>
    <cellStyle name="Currency 3 2 6 2 2 3 3 2" xfId="4875" xr:uid="{00000000-0005-0000-0000-000038060000}"/>
    <cellStyle name="Currency 3 2 6 2 2 3 3 2 2" xfId="11052" xr:uid="{7C34F921-3670-4BA7-956F-A4640C9759CC}"/>
    <cellStyle name="Currency 3 2 6 2 2 3 3 3" xfId="8585" xr:uid="{FEA5BBF9-9C8E-4369-9AB6-C46DF63456C1}"/>
    <cellStyle name="Currency 3 2 6 2 2 3 4" xfId="4172" xr:uid="{00000000-0005-0000-0000-000039060000}"/>
    <cellStyle name="Currency 3 2 6 2 2 3 4 2" xfId="10349" xr:uid="{00D00A4B-466B-4269-882D-0F0607BB3AEC}"/>
    <cellStyle name="Currency 3 2 6 2 2 3 5" xfId="1525" xr:uid="{00000000-0005-0000-0000-00003A060000}"/>
    <cellStyle name="Currency 3 2 6 2 2 3 5 2" xfId="7702" xr:uid="{BFDC2AC5-989E-4C6A-B45D-CED7D96475B3}"/>
    <cellStyle name="Currency 3 2 6 2 2 3 6" xfId="6819" xr:uid="{BC619DEF-DB83-4E1A-BE35-094BBB81F6F1}"/>
    <cellStyle name="Currency 3 2 6 2 2 4" xfId="2849" xr:uid="{00000000-0005-0000-0000-00003B060000}"/>
    <cellStyle name="Currency 3 2 6 2 2 4 2" xfId="4876" xr:uid="{00000000-0005-0000-0000-00003C060000}"/>
    <cellStyle name="Currency 3 2 6 2 2 4 2 2" xfId="11053" xr:uid="{93033CD7-8170-46DA-9E42-7E722480C522}"/>
    <cellStyle name="Currency 3 2 6 2 2 4 3" xfId="9026" xr:uid="{F37CC235-6607-4975-9AF8-94C5F0C2377D}"/>
    <cellStyle name="Currency 3 2 6 2 2 5" xfId="1967" xr:uid="{00000000-0005-0000-0000-00003D060000}"/>
    <cellStyle name="Currency 3 2 6 2 2 5 2" xfId="4877" xr:uid="{00000000-0005-0000-0000-00003E060000}"/>
    <cellStyle name="Currency 3 2 6 2 2 5 2 2" xfId="11054" xr:uid="{F79F1DF1-64F3-44F1-B990-6814CD93DE27}"/>
    <cellStyle name="Currency 3 2 6 2 2 5 3" xfId="8144" xr:uid="{34A29887-9B13-4956-A3BA-D3AC797CDCAE}"/>
    <cellStyle name="Currency 3 2 6 2 2 6" xfId="3731" xr:uid="{00000000-0005-0000-0000-00003F060000}"/>
    <cellStyle name="Currency 3 2 6 2 2 6 2" xfId="9908" xr:uid="{17027B36-52A3-4995-943B-46BC7D14D117}"/>
    <cellStyle name="Currency 3 2 6 2 2 7" xfId="1084" xr:uid="{00000000-0005-0000-0000-000040060000}"/>
    <cellStyle name="Currency 3 2 6 2 2 7 2" xfId="7261" xr:uid="{54E75B6C-A248-4C27-8B54-390BE5F355BB}"/>
    <cellStyle name="Currency 3 2 6 2 2 8" xfId="6378" xr:uid="{395AC2ED-11F0-4197-8C0B-CF33714A7D5D}"/>
    <cellStyle name="Currency 3 2 6 2 3" xfId="311" xr:uid="{00000000-0005-0000-0000-000041060000}"/>
    <cellStyle name="Currency 3 2 6 2 3 2" xfId="752" xr:uid="{00000000-0005-0000-0000-000042060000}"/>
    <cellStyle name="Currency 3 2 6 2 3 2 2" xfId="3400" xr:uid="{00000000-0005-0000-0000-000043060000}"/>
    <cellStyle name="Currency 3 2 6 2 3 2 2 2" xfId="4878" xr:uid="{00000000-0005-0000-0000-000044060000}"/>
    <cellStyle name="Currency 3 2 6 2 3 2 2 2 2" xfId="11055" xr:uid="{9A338715-D91E-46D2-893B-F74D559B5A24}"/>
    <cellStyle name="Currency 3 2 6 2 3 2 2 3" xfId="9577" xr:uid="{DD6718D2-9941-43C7-B90E-1D81B920BD79}"/>
    <cellStyle name="Currency 3 2 6 2 3 2 3" xfId="2518" xr:uid="{00000000-0005-0000-0000-000045060000}"/>
    <cellStyle name="Currency 3 2 6 2 3 2 3 2" xfId="4879" xr:uid="{00000000-0005-0000-0000-000046060000}"/>
    <cellStyle name="Currency 3 2 6 2 3 2 3 2 2" xfId="11056" xr:uid="{508D0353-DD7E-4E7F-AC55-FCFF66C251AA}"/>
    <cellStyle name="Currency 3 2 6 2 3 2 3 3" xfId="8695" xr:uid="{87E99601-07F9-470A-9B73-7BB5609DF28C}"/>
    <cellStyle name="Currency 3 2 6 2 3 2 4" xfId="4282" xr:uid="{00000000-0005-0000-0000-000047060000}"/>
    <cellStyle name="Currency 3 2 6 2 3 2 4 2" xfId="10459" xr:uid="{F612E988-C663-40BD-9530-AFAE47308577}"/>
    <cellStyle name="Currency 3 2 6 2 3 2 5" xfId="1635" xr:uid="{00000000-0005-0000-0000-000048060000}"/>
    <cellStyle name="Currency 3 2 6 2 3 2 5 2" xfId="7812" xr:uid="{740D47EE-2F34-40F8-8D48-07B653C3B2BB}"/>
    <cellStyle name="Currency 3 2 6 2 3 2 6" xfId="6929" xr:uid="{B70060BD-62EE-436C-B03C-C44B992DEFA8}"/>
    <cellStyle name="Currency 3 2 6 2 3 3" xfId="2959" xr:uid="{00000000-0005-0000-0000-000049060000}"/>
    <cellStyle name="Currency 3 2 6 2 3 3 2" xfId="4880" xr:uid="{00000000-0005-0000-0000-00004A060000}"/>
    <cellStyle name="Currency 3 2 6 2 3 3 2 2" xfId="11057" xr:uid="{D4020486-C16B-45A7-81F8-436DD3DE5F5B}"/>
    <cellStyle name="Currency 3 2 6 2 3 3 3" xfId="9136" xr:uid="{7B054320-2804-457F-B4C8-67A6403F425B}"/>
    <cellStyle name="Currency 3 2 6 2 3 4" xfId="2077" xr:uid="{00000000-0005-0000-0000-00004B060000}"/>
    <cellStyle name="Currency 3 2 6 2 3 4 2" xfId="4881" xr:uid="{00000000-0005-0000-0000-00004C060000}"/>
    <cellStyle name="Currency 3 2 6 2 3 4 2 2" xfId="11058" xr:uid="{8DED5FC7-AB2E-48B5-932B-728B409966D7}"/>
    <cellStyle name="Currency 3 2 6 2 3 4 3" xfId="8254" xr:uid="{898E48C9-EB29-4E17-9025-32261BC5424B}"/>
    <cellStyle name="Currency 3 2 6 2 3 5" xfId="3841" xr:uid="{00000000-0005-0000-0000-00004D060000}"/>
    <cellStyle name="Currency 3 2 6 2 3 5 2" xfId="10018" xr:uid="{6CCF3C88-951B-4B77-B0F4-C8B11C8B8232}"/>
    <cellStyle name="Currency 3 2 6 2 3 6" xfId="1194" xr:uid="{00000000-0005-0000-0000-00004E060000}"/>
    <cellStyle name="Currency 3 2 6 2 3 6 2" xfId="7371" xr:uid="{BA5E9295-7A9A-4499-8DEF-33647F614076}"/>
    <cellStyle name="Currency 3 2 6 2 3 7" xfId="6488" xr:uid="{FFFBF4A5-25A5-41F3-AC2A-5986BB787F1F}"/>
    <cellStyle name="Currency 3 2 6 2 4" xfId="532" xr:uid="{00000000-0005-0000-0000-00004F060000}"/>
    <cellStyle name="Currency 3 2 6 2 4 2" xfId="3180" xr:uid="{00000000-0005-0000-0000-000050060000}"/>
    <cellStyle name="Currency 3 2 6 2 4 2 2" xfId="4882" xr:uid="{00000000-0005-0000-0000-000051060000}"/>
    <cellStyle name="Currency 3 2 6 2 4 2 2 2" xfId="11059" xr:uid="{E7852FA2-2E09-41FF-8FDF-BE91237821D2}"/>
    <cellStyle name="Currency 3 2 6 2 4 2 3" xfId="9357" xr:uid="{76E5A569-069D-4FEC-8564-BE7269621FB0}"/>
    <cellStyle name="Currency 3 2 6 2 4 3" xfId="2298" xr:uid="{00000000-0005-0000-0000-000052060000}"/>
    <cellStyle name="Currency 3 2 6 2 4 3 2" xfId="4883" xr:uid="{00000000-0005-0000-0000-000053060000}"/>
    <cellStyle name="Currency 3 2 6 2 4 3 2 2" xfId="11060" xr:uid="{D98635EC-0AE3-462B-A5B0-4BFC96BFF053}"/>
    <cellStyle name="Currency 3 2 6 2 4 3 3" xfId="8475" xr:uid="{9B61FBE0-1597-41F0-BDEA-9872D9D8AAF5}"/>
    <cellStyle name="Currency 3 2 6 2 4 4" xfId="4062" xr:uid="{00000000-0005-0000-0000-000054060000}"/>
    <cellStyle name="Currency 3 2 6 2 4 4 2" xfId="10239" xr:uid="{529504B6-036D-4A52-8AC2-2BD39406D39E}"/>
    <cellStyle name="Currency 3 2 6 2 4 5" xfId="1415" xr:uid="{00000000-0005-0000-0000-000055060000}"/>
    <cellStyle name="Currency 3 2 6 2 4 5 2" xfId="7592" xr:uid="{61860AA1-541A-47C4-9DF4-92A959FC2802}"/>
    <cellStyle name="Currency 3 2 6 2 4 6" xfId="6709" xr:uid="{1CD7481C-83ED-4190-9227-1B9338FB8485}"/>
    <cellStyle name="Currency 3 2 6 2 5" xfId="2739" xr:uid="{00000000-0005-0000-0000-000056060000}"/>
    <cellStyle name="Currency 3 2 6 2 5 2" xfId="4884" xr:uid="{00000000-0005-0000-0000-000057060000}"/>
    <cellStyle name="Currency 3 2 6 2 5 2 2" xfId="11061" xr:uid="{A1DF5E25-B491-402D-8744-8BC9BEBCDC77}"/>
    <cellStyle name="Currency 3 2 6 2 5 3" xfId="8916" xr:uid="{17D958F5-928D-4E65-AC5B-50BBA98F5E52}"/>
    <cellStyle name="Currency 3 2 6 2 6" xfId="1857" xr:uid="{00000000-0005-0000-0000-000058060000}"/>
    <cellStyle name="Currency 3 2 6 2 6 2" xfId="4885" xr:uid="{00000000-0005-0000-0000-000059060000}"/>
    <cellStyle name="Currency 3 2 6 2 6 2 2" xfId="11062" xr:uid="{DC55C43B-D323-4995-89FE-D09522BB6360}"/>
    <cellStyle name="Currency 3 2 6 2 6 3" xfId="8034" xr:uid="{8352D2BF-C98F-4E03-A6C3-8A6FDDC6CD50}"/>
    <cellStyle name="Currency 3 2 6 2 7" xfId="3621" xr:uid="{00000000-0005-0000-0000-00005A060000}"/>
    <cellStyle name="Currency 3 2 6 2 7 2" xfId="9798" xr:uid="{A9AF8309-FB8B-4D85-A874-9D9D3F16B58B}"/>
    <cellStyle name="Currency 3 2 6 2 8" xfId="974" xr:uid="{00000000-0005-0000-0000-00005B060000}"/>
    <cellStyle name="Currency 3 2 6 2 8 2" xfId="7151" xr:uid="{8D0D6343-E184-4921-8273-CEC9D9DD9BF4}"/>
    <cellStyle name="Currency 3 2 6 2 9" xfId="6268" xr:uid="{A8C24C53-2EF4-4BE9-B99A-D3E07C4D467E}"/>
    <cellStyle name="Currency 3 2 6 3" xfId="135" xr:uid="{00000000-0005-0000-0000-00005C060000}"/>
    <cellStyle name="Currency 3 2 6 3 2" xfId="355" xr:uid="{00000000-0005-0000-0000-00005D060000}"/>
    <cellStyle name="Currency 3 2 6 3 2 2" xfId="796" xr:uid="{00000000-0005-0000-0000-00005E060000}"/>
    <cellStyle name="Currency 3 2 6 3 2 2 2" xfId="3444" xr:uid="{00000000-0005-0000-0000-00005F060000}"/>
    <cellStyle name="Currency 3 2 6 3 2 2 2 2" xfId="4886" xr:uid="{00000000-0005-0000-0000-000060060000}"/>
    <cellStyle name="Currency 3 2 6 3 2 2 2 2 2" xfId="11063" xr:uid="{9EE3DD04-DB6F-4889-AC6E-D00566A450F0}"/>
    <cellStyle name="Currency 3 2 6 3 2 2 2 3" xfId="9621" xr:uid="{468AD53D-67C4-4375-82D8-DC6FD18DDFEC}"/>
    <cellStyle name="Currency 3 2 6 3 2 2 3" xfId="2562" xr:uid="{00000000-0005-0000-0000-000061060000}"/>
    <cellStyle name="Currency 3 2 6 3 2 2 3 2" xfId="4887" xr:uid="{00000000-0005-0000-0000-000062060000}"/>
    <cellStyle name="Currency 3 2 6 3 2 2 3 2 2" xfId="11064" xr:uid="{9E398E03-070E-4260-BDB8-B3E2B9D4818D}"/>
    <cellStyle name="Currency 3 2 6 3 2 2 3 3" xfId="8739" xr:uid="{068DC217-8A1B-464C-8205-E07326931389}"/>
    <cellStyle name="Currency 3 2 6 3 2 2 4" xfId="4326" xr:uid="{00000000-0005-0000-0000-000063060000}"/>
    <cellStyle name="Currency 3 2 6 3 2 2 4 2" xfId="10503" xr:uid="{C660D22F-EC24-47FD-80F8-A482CAFD387D}"/>
    <cellStyle name="Currency 3 2 6 3 2 2 5" xfId="1679" xr:uid="{00000000-0005-0000-0000-000064060000}"/>
    <cellStyle name="Currency 3 2 6 3 2 2 5 2" xfId="7856" xr:uid="{AF5FF0E1-1149-4CAD-8797-6800668E61E3}"/>
    <cellStyle name="Currency 3 2 6 3 2 2 6" xfId="6973" xr:uid="{19034DB0-3392-4AA1-A87F-86E4ABA67AFD}"/>
    <cellStyle name="Currency 3 2 6 3 2 3" xfId="3003" xr:uid="{00000000-0005-0000-0000-000065060000}"/>
    <cellStyle name="Currency 3 2 6 3 2 3 2" xfId="4888" xr:uid="{00000000-0005-0000-0000-000066060000}"/>
    <cellStyle name="Currency 3 2 6 3 2 3 2 2" xfId="11065" xr:uid="{96CFC1D7-60CF-4BE7-8BD0-DA5B4594B8D5}"/>
    <cellStyle name="Currency 3 2 6 3 2 3 3" xfId="9180" xr:uid="{1C127FAE-8447-4149-9305-F25974F2028C}"/>
    <cellStyle name="Currency 3 2 6 3 2 4" xfId="2121" xr:uid="{00000000-0005-0000-0000-000067060000}"/>
    <cellStyle name="Currency 3 2 6 3 2 4 2" xfId="4889" xr:uid="{00000000-0005-0000-0000-000068060000}"/>
    <cellStyle name="Currency 3 2 6 3 2 4 2 2" xfId="11066" xr:uid="{385423C3-BC21-45B3-81BE-6EC10CD068D0}"/>
    <cellStyle name="Currency 3 2 6 3 2 4 3" xfId="8298" xr:uid="{B8DD50B2-3A7D-4200-BBC1-1DD777CC40CE}"/>
    <cellStyle name="Currency 3 2 6 3 2 5" xfId="3885" xr:uid="{00000000-0005-0000-0000-000069060000}"/>
    <cellStyle name="Currency 3 2 6 3 2 5 2" xfId="10062" xr:uid="{C9D94134-47C1-453C-B51A-E55B0A6CFE28}"/>
    <cellStyle name="Currency 3 2 6 3 2 6" xfId="1238" xr:uid="{00000000-0005-0000-0000-00006A060000}"/>
    <cellStyle name="Currency 3 2 6 3 2 6 2" xfId="7415" xr:uid="{02763EFF-33B3-49BF-923C-2091674B5C04}"/>
    <cellStyle name="Currency 3 2 6 3 2 7" xfId="6532" xr:uid="{E3E3F6FD-1CA5-4386-9487-49CE49CCB7FC}"/>
    <cellStyle name="Currency 3 2 6 3 3" xfId="576" xr:uid="{00000000-0005-0000-0000-00006B060000}"/>
    <cellStyle name="Currency 3 2 6 3 3 2" xfId="3224" xr:uid="{00000000-0005-0000-0000-00006C060000}"/>
    <cellStyle name="Currency 3 2 6 3 3 2 2" xfId="4890" xr:uid="{00000000-0005-0000-0000-00006D060000}"/>
    <cellStyle name="Currency 3 2 6 3 3 2 2 2" xfId="11067" xr:uid="{70D4EC0A-6768-4878-B546-38EA7F9CBCCE}"/>
    <cellStyle name="Currency 3 2 6 3 3 2 3" xfId="9401" xr:uid="{3AB13233-5465-4DFC-8FF3-BDAA773A4AB8}"/>
    <cellStyle name="Currency 3 2 6 3 3 3" xfId="2342" xr:uid="{00000000-0005-0000-0000-00006E060000}"/>
    <cellStyle name="Currency 3 2 6 3 3 3 2" xfId="4891" xr:uid="{00000000-0005-0000-0000-00006F060000}"/>
    <cellStyle name="Currency 3 2 6 3 3 3 2 2" xfId="11068" xr:uid="{6612BB0D-9EFC-4D4A-8DD8-3DC733B1EDC9}"/>
    <cellStyle name="Currency 3 2 6 3 3 3 3" xfId="8519" xr:uid="{41007A77-FB79-492D-A93B-D00917B60D5A}"/>
    <cellStyle name="Currency 3 2 6 3 3 4" xfId="4106" xr:uid="{00000000-0005-0000-0000-000070060000}"/>
    <cellStyle name="Currency 3 2 6 3 3 4 2" xfId="10283" xr:uid="{61915317-E040-4FB2-AF49-F357A4351E91}"/>
    <cellStyle name="Currency 3 2 6 3 3 5" xfId="1459" xr:uid="{00000000-0005-0000-0000-000071060000}"/>
    <cellStyle name="Currency 3 2 6 3 3 5 2" xfId="7636" xr:uid="{DB529D86-7570-4962-AE4F-26E6387D2EA5}"/>
    <cellStyle name="Currency 3 2 6 3 3 6" xfId="6753" xr:uid="{AAF39007-203C-4D62-AC3A-308E8A8C437A}"/>
    <cellStyle name="Currency 3 2 6 3 4" xfId="2783" xr:uid="{00000000-0005-0000-0000-000072060000}"/>
    <cellStyle name="Currency 3 2 6 3 4 2" xfId="4892" xr:uid="{00000000-0005-0000-0000-000073060000}"/>
    <cellStyle name="Currency 3 2 6 3 4 2 2" xfId="11069" xr:uid="{F45402E2-6840-4BE3-9C09-CAF172326C44}"/>
    <cellStyle name="Currency 3 2 6 3 4 3" xfId="8960" xr:uid="{F5AF91DE-5401-4477-ACC8-116B6B0DC391}"/>
    <cellStyle name="Currency 3 2 6 3 5" xfId="1901" xr:uid="{00000000-0005-0000-0000-000074060000}"/>
    <cellStyle name="Currency 3 2 6 3 5 2" xfId="4893" xr:uid="{00000000-0005-0000-0000-000075060000}"/>
    <cellStyle name="Currency 3 2 6 3 5 2 2" xfId="11070" xr:uid="{1AEC78D7-1D0C-4698-9682-25FF30266435}"/>
    <cellStyle name="Currency 3 2 6 3 5 3" xfId="8078" xr:uid="{8831D680-033F-41B4-8ECB-CF5A8D95676A}"/>
    <cellStyle name="Currency 3 2 6 3 6" xfId="3665" xr:uid="{00000000-0005-0000-0000-000076060000}"/>
    <cellStyle name="Currency 3 2 6 3 6 2" xfId="9842" xr:uid="{1D2928A1-D30E-4472-B36F-190AFD544A7E}"/>
    <cellStyle name="Currency 3 2 6 3 7" xfId="1018" xr:uid="{00000000-0005-0000-0000-000077060000}"/>
    <cellStyle name="Currency 3 2 6 3 7 2" xfId="7195" xr:uid="{EAB18E91-424E-4A21-88FA-BF20A85C53C2}"/>
    <cellStyle name="Currency 3 2 6 3 8" xfId="6312" xr:uid="{3E40C023-F751-4538-BD92-BE0271B58C5D}"/>
    <cellStyle name="Currency 3 2 6 4" xfId="245" xr:uid="{00000000-0005-0000-0000-000078060000}"/>
    <cellStyle name="Currency 3 2 6 4 2" xfId="686" xr:uid="{00000000-0005-0000-0000-000079060000}"/>
    <cellStyle name="Currency 3 2 6 4 2 2" xfId="3334" xr:uid="{00000000-0005-0000-0000-00007A060000}"/>
    <cellStyle name="Currency 3 2 6 4 2 2 2" xfId="4894" xr:uid="{00000000-0005-0000-0000-00007B060000}"/>
    <cellStyle name="Currency 3 2 6 4 2 2 2 2" xfId="11071" xr:uid="{43996FF8-A2A0-4867-A09F-E7296630C3FC}"/>
    <cellStyle name="Currency 3 2 6 4 2 2 3" xfId="9511" xr:uid="{908C019F-FF1C-4AEC-A114-01A03D9D73C0}"/>
    <cellStyle name="Currency 3 2 6 4 2 3" xfId="2452" xr:uid="{00000000-0005-0000-0000-00007C060000}"/>
    <cellStyle name="Currency 3 2 6 4 2 3 2" xfId="4895" xr:uid="{00000000-0005-0000-0000-00007D060000}"/>
    <cellStyle name="Currency 3 2 6 4 2 3 2 2" xfId="11072" xr:uid="{7F662C2E-C2D0-4F4C-8F64-0456A7A4B318}"/>
    <cellStyle name="Currency 3 2 6 4 2 3 3" xfId="8629" xr:uid="{F4DA90EF-B043-4324-A939-292C39FE0728}"/>
    <cellStyle name="Currency 3 2 6 4 2 4" xfId="4216" xr:uid="{00000000-0005-0000-0000-00007E060000}"/>
    <cellStyle name="Currency 3 2 6 4 2 4 2" xfId="10393" xr:uid="{5BF00D9B-67D6-4C8D-824A-E31AF2BD0ECB}"/>
    <cellStyle name="Currency 3 2 6 4 2 5" xfId="1569" xr:uid="{00000000-0005-0000-0000-00007F060000}"/>
    <cellStyle name="Currency 3 2 6 4 2 5 2" xfId="7746" xr:uid="{CE0023B3-A345-491C-B70A-962811649ABB}"/>
    <cellStyle name="Currency 3 2 6 4 2 6" xfId="6863" xr:uid="{615FC820-DA3D-4B4A-8EB9-40FD520CBF51}"/>
    <cellStyle name="Currency 3 2 6 4 3" xfId="2893" xr:uid="{00000000-0005-0000-0000-000080060000}"/>
    <cellStyle name="Currency 3 2 6 4 3 2" xfId="4896" xr:uid="{00000000-0005-0000-0000-000081060000}"/>
    <cellStyle name="Currency 3 2 6 4 3 2 2" xfId="11073" xr:uid="{22FF387C-7084-47FF-8725-7DA0C5B9150D}"/>
    <cellStyle name="Currency 3 2 6 4 3 3" xfId="9070" xr:uid="{6E97AA39-A8AD-491E-95B1-D4FA372A8D18}"/>
    <cellStyle name="Currency 3 2 6 4 4" xfId="2011" xr:uid="{00000000-0005-0000-0000-000082060000}"/>
    <cellStyle name="Currency 3 2 6 4 4 2" xfId="4897" xr:uid="{00000000-0005-0000-0000-000083060000}"/>
    <cellStyle name="Currency 3 2 6 4 4 2 2" xfId="11074" xr:uid="{54C4EC6C-15D0-4AAC-BE73-354E6CC85E7E}"/>
    <cellStyle name="Currency 3 2 6 4 4 3" xfId="8188" xr:uid="{B1A4A806-A271-4CF0-9816-E6284C4FC1B2}"/>
    <cellStyle name="Currency 3 2 6 4 5" xfId="3775" xr:uid="{00000000-0005-0000-0000-000084060000}"/>
    <cellStyle name="Currency 3 2 6 4 5 2" xfId="9952" xr:uid="{6BA37BD4-151E-4BBC-A9BE-1781D104D443}"/>
    <cellStyle name="Currency 3 2 6 4 6" xfId="1128" xr:uid="{00000000-0005-0000-0000-000085060000}"/>
    <cellStyle name="Currency 3 2 6 4 6 2" xfId="7305" xr:uid="{8B145BEB-75D3-4625-B74B-C94FC67D89C7}"/>
    <cellStyle name="Currency 3 2 6 4 7" xfId="6422" xr:uid="{4EBBF5BE-A991-48B4-AF0B-B41AFD188A45}"/>
    <cellStyle name="Currency 3 2 6 5" xfId="466" xr:uid="{00000000-0005-0000-0000-000086060000}"/>
    <cellStyle name="Currency 3 2 6 5 2" xfId="3114" xr:uid="{00000000-0005-0000-0000-000087060000}"/>
    <cellStyle name="Currency 3 2 6 5 2 2" xfId="4898" xr:uid="{00000000-0005-0000-0000-000088060000}"/>
    <cellStyle name="Currency 3 2 6 5 2 2 2" xfId="11075" xr:uid="{63CD40F9-DF06-4AE6-89DF-BEFE2F17E76D}"/>
    <cellStyle name="Currency 3 2 6 5 2 3" xfId="9291" xr:uid="{965E5531-517C-4CF6-9ECC-4B66D94FACDE}"/>
    <cellStyle name="Currency 3 2 6 5 3" xfId="2232" xr:uid="{00000000-0005-0000-0000-000089060000}"/>
    <cellStyle name="Currency 3 2 6 5 3 2" xfId="4899" xr:uid="{00000000-0005-0000-0000-00008A060000}"/>
    <cellStyle name="Currency 3 2 6 5 3 2 2" xfId="11076" xr:uid="{98993397-474B-474B-8419-AA43F34A7C75}"/>
    <cellStyle name="Currency 3 2 6 5 3 3" xfId="8409" xr:uid="{251A4479-1361-4016-B70A-AC80DB1BA526}"/>
    <cellStyle name="Currency 3 2 6 5 4" xfId="3996" xr:uid="{00000000-0005-0000-0000-00008B060000}"/>
    <cellStyle name="Currency 3 2 6 5 4 2" xfId="10173" xr:uid="{35E81E8D-DCC4-47D5-9EF2-6A5AE87300E4}"/>
    <cellStyle name="Currency 3 2 6 5 5" xfId="1349" xr:uid="{00000000-0005-0000-0000-00008C060000}"/>
    <cellStyle name="Currency 3 2 6 5 5 2" xfId="7526" xr:uid="{90B425DF-FE3B-493B-AB6A-5109ACE8AFA0}"/>
    <cellStyle name="Currency 3 2 6 5 6" xfId="6643" xr:uid="{6492656D-B14B-4463-909A-5EA15F08106E}"/>
    <cellStyle name="Currency 3 2 6 6" xfId="2673" xr:uid="{00000000-0005-0000-0000-00008D060000}"/>
    <cellStyle name="Currency 3 2 6 6 2" xfId="4900" xr:uid="{00000000-0005-0000-0000-00008E060000}"/>
    <cellStyle name="Currency 3 2 6 6 2 2" xfId="11077" xr:uid="{82082382-A43A-4D8E-9CD7-0B4A87E25A02}"/>
    <cellStyle name="Currency 3 2 6 6 3" xfId="8850" xr:uid="{91069B41-A3EB-4DFA-A085-9B551952EBA1}"/>
    <cellStyle name="Currency 3 2 6 7" xfId="1791" xr:uid="{00000000-0005-0000-0000-00008F060000}"/>
    <cellStyle name="Currency 3 2 6 7 2" xfId="4901" xr:uid="{00000000-0005-0000-0000-000090060000}"/>
    <cellStyle name="Currency 3 2 6 7 2 2" xfId="11078" xr:uid="{B553C32B-59C3-4D23-AE27-0EDDF8B99217}"/>
    <cellStyle name="Currency 3 2 6 7 3" xfId="7968" xr:uid="{6C842A8C-D1E4-4EDA-A662-89792C7CAD0F}"/>
    <cellStyle name="Currency 3 2 6 8" xfId="3555" xr:uid="{00000000-0005-0000-0000-000091060000}"/>
    <cellStyle name="Currency 3 2 6 8 2" xfId="9732" xr:uid="{8523308B-9349-4C54-BADF-F44D3EDC210C}"/>
    <cellStyle name="Currency 3 2 6 9" xfId="908" xr:uid="{00000000-0005-0000-0000-000092060000}"/>
    <cellStyle name="Currency 3 2 6 9 2" xfId="7085" xr:uid="{E99F89D6-FD7C-49B0-AE60-62C2E1EB9F5F}"/>
    <cellStyle name="Currency 3 2 7" xfId="31" xr:uid="{00000000-0005-0000-0000-000093060000}"/>
    <cellStyle name="Currency 3 2 7 10" xfId="6208" xr:uid="{36243083-8D3C-43A5-9899-BFBD1B1ED217}"/>
    <cellStyle name="Currency 3 2 7 2" xfId="97" xr:uid="{00000000-0005-0000-0000-000094060000}"/>
    <cellStyle name="Currency 3 2 7 2 2" xfId="207" xr:uid="{00000000-0005-0000-0000-000095060000}"/>
    <cellStyle name="Currency 3 2 7 2 2 2" xfId="427" xr:uid="{00000000-0005-0000-0000-000096060000}"/>
    <cellStyle name="Currency 3 2 7 2 2 2 2" xfId="868" xr:uid="{00000000-0005-0000-0000-000097060000}"/>
    <cellStyle name="Currency 3 2 7 2 2 2 2 2" xfId="3516" xr:uid="{00000000-0005-0000-0000-000098060000}"/>
    <cellStyle name="Currency 3 2 7 2 2 2 2 2 2" xfId="4902" xr:uid="{00000000-0005-0000-0000-000099060000}"/>
    <cellStyle name="Currency 3 2 7 2 2 2 2 2 2 2" xfId="11079" xr:uid="{E579F258-1F19-48C1-8A2A-16F2E095FE10}"/>
    <cellStyle name="Currency 3 2 7 2 2 2 2 2 3" xfId="9693" xr:uid="{D4A6D316-F960-4540-AEFE-C45CA371405E}"/>
    <cellStyle name="Currency 3 2 7 2 2 2 2 3" xfId="2634" xr:uid="{00000000-0005-0000-0000-00009A060000}"/>
    <cellStyle name="Currency 3 2 7 2 2 2 2 3 2" xfId="4903" xr:uid="{00000000-0005-0000-0000-00009B060000}"/>
    <cellStyle name="Currency 3 2 7 2 2 2 2 3 2 2" xfId="11080" xr:uid="{7067C662-D940-4DF9-8671-C4768FAD2F42}"/>
    <cellStyle name="Currency 3 2 7 2 2 2 2 3 3" xfId="8811" xr:uid="{6B0042E4-F24F-45F1-AA59-10053504C7F6}"/>
    <cellStyle name="Currency 3 2 7 2 2 2 2 4" xfId="4398" xr:uid="{00000000-0005-0000-0000-00009C060000}"/>
    <cellStyle name="Currency 3 2 7 2 2 2 2 4 2" xfId="10575" xr:uid="{786F3FF9-52A5-4E95-9E99-B34DA1316374}"/>
    <cellStyle name="Currency 3 2 7 2 2 2 2 5" xfId="1751" xr:uid="{00000000-0005-0000-0000-00009D060000}"/>
    <cellStyle name="Currency 3 2 7 2 2 2 2 5 2" xfId="7928" xr:uid="{D5D6E8E4-5A21-4250-A3D0-A9E76922DA91}"/>
    <cellStyle name="Currency 3 2 7 2 2 2 2 6" xfId="7045" xr:uid="{3913C0B5-713F-47A1-86A6-1F08E5E3029E}"/>
    <cellStyle name="Currency 3 2 7 2 2 2 3" xfId="3075" xr:uid="{00000000-0005-0000-0000-00009E060000}"/>
    <cellStyle name="Currency 3 2 7 2 2 2 3 2" xfId="4904" xr:uid="{00000000-0005-0000-0000-00009F060000}"/>
    <cellStyle name="Currency 3 2 7 2 2 2 3 2 2" xfId="11081" xr:uid="{5C435B4A-A416-44F8-BE07-4BE47086FD06}"/>
    <cellStyle name="Currency 3 2 7 2 2 2 3 3" xfId="9252" xr:uid="{363A6E1D-3E7E-452D-A84F-FF7AC8428085}"/>
    <cellStyle name="Currency 3 2 7 2 2 2 4" xfId="2193" xr:uid="{00000000-0005-0000-0000-0000A0060000}"/>
    <cellStyle name="Currency 3 2 7 2 2 2 4 2" xfId="4905" xr:uid="{00000000-0005-0000-0000-0000A1060000}"/>
    <cellStyle name="Currency 3 2 7 2 2 2 4 2 2" xfId="11082" xr:uid="{B5BC41BF-90A5-46E7-9E55-784B1860AA91}"/>
    <cellStyle name="Currency 3 2 7 2 2 2 4 3" xfId="8370" xr:uid="{74288C4D-3C9A-4F26-8B31-0396CE503100}"/>
    <cellStyle name="Currency 3 2 7 2 2 2 5" xfId="3957" xr:uid="{00000000-0005-0000-0000-0000A2060000}"/>
    <cellStyle name="Currency 3 2 7 2 2 2 5 2" xfId="10134" xr:uid="{A40FB8A6-03DF-4CA3-97B7-2E9A9E4EE6FE}"/>
    <cellStyle name="Currency 3 2 7 2 2 2 6" xfId="1310" xr:uid="{00000000-0005-0000-0000-0000A3060000}"/>
    <cellStyle name="Currency 3 2 7 2 2 2 6 2" xfId="7487" xr:uid="{9956DA23-BB49-487F-8B53-7918F4A6DC51}"/>
    <cellStyle name="Currency 3 2 7 2 2 2 7" xfId="6604" xr:uid="{55859B4E-1785-4979-B801-CDC86D0DF05E}"/>
    <cellStyle name="Currency 3 2 7 2 2 3" xfId="648" xr:uid="{00000000-0005-0000-0000-0000A4060000}"/>
    <cellStyle name="Currency 3 2 7 2 2 3 2" xfId="3296" xr:uid="{00000000-0005-0000-0000-0000A5060000}"/>
    <cellStyle name="Currency 3 2 7 2 2 3 2 2" xfId="4906" xr:uid="{00000000-0005-0000-0000-0000A6060000}"/>
    <cellStyle name="Currency 3 2 7 2 2 3 2 2 2" xfId="11083" xr:uid="{111ED2A9-1EAD-49EB-A1AD-52F66047077E}"/>
    <cellStyle name="Currency 3 2 7 2 2 3 2 3" xfId="9473" xr:uid="{EBC7529C-042B-42A0-AD4B-19A06A47452A}"/>
    <cellStyle name="Currency 3 2 7 2 2 3 3" xfId="2414" xr:uid="{00000000-0005-0000-0000-0000A7060000}"/>
    <cellStyle name="Currency 3 2 7 2 2 3 3 2" xfId="4907" xr:uid="{00000000-0005-0000-0000-0000A8060000}"/>
    <cellStyle name="Currency 3 2 7 2 2 3 3 2 2" xfId="11084" xr:uid="{CEF5F970-5F18-4BC1-B65E-BFF7595E2A17}"/>
    <cellStyle name="Currency 3 2 7 2 2 3 3 3" xfId="8591" xr:uid="{857439E2-EF59-4896-8B23-C419BD5FEAA3}"/>
    <cellStyle name="Currency 3 2 7 2 2 3 4" xfId="4178" xr:uid="{00000000-0005-0000-0000-0000A9060000}"/>
    <cellStyle name="Currency 3 2 7 2 2 3 4 2" xfId="10355" xr:uid="{C4F79734-3897-42DB-9320-AFB7FBF97912}"/>
    <cellStyle name="Currency 3 2 7 2 2 3 5" xfId="1531" xr:uid="{00000000-0005-0000-0000-0000AA060000}"/>
    <cellStyle name="Currency 3 2 7 2 2 3 5 2" xfId="7708" xr:uid="{FBEDE788-2F73-48E9-A645-1DFF6DD5E2F2}"/>
    <cellStyle name="Currency 3 2 7 2 2 3 6" xfId="6825" xr:uid="{11F9005C-1E74-49B2-A84F-8E7D6F532B41}"/>
    <cellStyle name="Currency 3 2 7 2 2 4" xfId="2855" xr:uid="{00000000-0005-0000-0000-0000AB060000}"/>
    <cellStyle name="Currency 3 2 7 2 2 4 2" xfId="4908" xr:uid="{00000000-0005-0000-0000-0000AC060000}"/>
    <cellStyle name="Currency 3 2 7 2 2 4 2 2" xfId="11085" xr:uid="{559F35E4-D677-4D2E-964A-C6D16A62D7F5}"/>
    <cellStyle name="Currency 3 2 7 2 2 4 3" xfId="9032" xr:uid="{3B51DB37-E1BB-4116-83B4-FF3D63FFB4B5}"/>
    <cellStyle name="Currency 3 2 7 2 2 5" xfId="1973" xr:uid="{00000000-0005-0000-0000-0000AD060000}"/>
    <cellStyle name="Currency 3 2 7 2 2 5 2" xfId="4909" xr:uid="{00000000-0005-0000-0000-0000AE060000}"/>
    <cellStyle name="Currency 3 2 7 2 2 5 2 2" xfId="11086" xr:uid="{E19E683D-A145-4616-9ADE-A81315B07E09}"/>
    <cellStyle name="Currency 3 2 7 2 2 5 3" xfId="8150" xr:uid="{1085452C-F4CA-46F4-8A5B-C61A97C7208A}"/>
    <cellStyle name="Currency 3 2 7 2 2 6" xfId="3737" xr:uid="{00000000-0005-0000-0000-0000AF060000}"/>
    <cellStyle name="Currency 3 2 7 2 2 6 2" xfId="9914" xr:uid="{D3B57B41-42E5-4592-AE15-FC6A953BF369}"/>
    <cellStyle name="Currency 3 2 7 2 2 7" xfId="1090" xr:uid="{00000000-0005-0000-0000-0000B0060000}"/>
    <cellStyle name="Currency 3 2 7 2 2 7 2" xfId="7267" xr:uid="{FAFA843B-7E77-41C3-878D-77169D3349BF}"/>
    <cellStyle name="Currency 3 2 7 2 2 8" xfId="6384" xr:uid="{9BFB1485-146E-4D51-8BD8-379667828704}"/>
    <cellStyle name="Currency 3 2 7 2 3" xfId="317" xr:uid="{00000000-0005-0000-0000-0000B1060000}"/>
    <cellStyle name="Currency 3 2 7 2 3 2" xfId="758" xr:uid="{00000000-0005-0000-0000-0000B2060000}"/>
    <cellStyle name="Currency 3 2 7 2 3 2 2" xfId="3406" xr:uid="{00000000-0005-0000-0000-0000B3060000}"/>
    <cellStyle name="Currency 3 2 7 2 3 2 2 2" xfId="4910" xr:uid="{00000000-0005-0000-0000-0000B4060000}"/>
    <cellStyle name="Currency 3 2 7 2 3 2 2 2 2" xfId="11087" xr:uid="{310985BB-90C0-48A6-BA36-481343BECF96}"/>
    <cellStyle name="Currency 3 2 7 2 3 2 2 3" xfId="9583" xr:uid="{92D40DA9-7387-49E7-87C6-F95028071252}"/>
    <cellStyle name="Currency 3 2 7 2 3 2 3" xfId="2524" xr:uid="{00000000-0005-0000-0000-0000B5060000}"/>
    <cellStyle name="Currency 3 2 7 2 3 2 3 2" xfId="4911" xr:uid="{00000000-0005-0000-0000-0000B6060000}"/>
    <cellStyle name="Currency 3 2 7 2 3 2 3 2 2" xfId="11088" xr:uid="{4554EB2E-A961-4CC2-A978-D4F496CFC56C}"/>
    <cellStyle name="Currency 3 2 7 2 3 2 3 3" xfId="8701" xr:uid="{41B6440D-DB74-4EBE-862E-01CFBA103456}"/>
    <cellStyle name="Currency 3 2 7 2 3 2 4" xfId="4288" xr:uid="{00000000-0005-0000-0000-0000B7060000}"/>
    <cellStyle name="Currency 3 2 7 2 3 2 4 2" xfId="10465" xr:uid="{87F5FAC8-331F-4587-8B81-22031BBD3E80}"/>
    <cellStyle name="Currency 3 2 7 2 3 2 5" xfId="1641" xr:uid="{00000000-0005-0000-0000-0000B8060000}"/>
    <cellStyle name="Currency 3 2 7 2 3 2 5 2" xfId="7818" xr:uid="{617BB6BD-1A92-4AB1-9391-08192B33212D}"/>
    <cellStyle name="Currency 3 2 7 2 3 2 6" xfId="6935" xr:uid="{55E994D7-9608-4077-A3A2-9BD50C14F0AF}"/>
    <cellStyle name="Currency 3 2 7 2 3 3" xfId="2965" xr:uid="{00000000-0005-0000-0000-0000B9060000}"/>
    <cellStyle name="Currency 3 2 7 2 3 3 2" xfId="4912" xr:uid="{00000000-0005-0000-0000-0000BA060000}"/>
    <cellStyle name="Currency 3 2 7 2 3 3 2 2" xfId="11089" xr:uid="{DDB3788F-FF5A-45F2-A107-7708BBC7E52B}"/>
    <cellStyle name="Currency 3 2 7 2 3 3 3" xfId="9142" xr:uid="{467DED20-5501-45D9-ABDC-81C6CA82B1E1}"/>
    <cellStyle name="Currency 3 2 7 2 3 4" xfId="2083" xr:uid="{00000000-0005-0000-0000-0000BB060000}"/>
    <cellStyle name="Currency 3 2 7 2 3 4 2" xfId="4913" xr:uid="{00000000-0005-0000-0000-0000BC060000}"/>
    <cellStyle name="Currency 3 2 7 2 3 4 2 2" xfId="11090" xr:uid="{820F4362-DDC1-46AB-89DC-CF3AD6F5BB24}"/>
    <cellStyle name="Currency 3 2 7 2 3 4 3" xfId="8260" xr:uid="{50F416A8-A1FE-453F-A8AA-B0DFDE6E638E}"/>
    <cellStyle name="Currency 3 2 7 2 3 5" xfId="3847" xr:uid="{00000000-0005-0000-0000-0000BD060000}"/>
    <cellStyle name="Currency 3 2 7 2 3 5 2" xfId="10024" xr:uid="{BC16B675-48B0-4280-844F-7023B5A3B3C7}"/>
    <cellStyle name="Currency 3 2 7 2 3 6" xfId="1200" xr:uid="{00000000-0005-0000-0000-0000BE060000}"/>
    <cellStyle name="Currency 3 2 7 2 3 6 2" xfId="7377" xr:uid="{0A6AC499-FF71-49E5-BA5A-D0A5B83E9C39}"/>
    <cellStyle name="Currency 3 2 7 2 3 7" xfId="6494" xr:uid="{F8D0E296-99EC-4C23-85CF-C3D234DC0D84}"/>
    <cellStyle name="Currency 3 2 7 2 4" xfId="538" xr:uid="{00000000-0005-0000-0000-0000BF060000}"/>
    <cellStyle name="Currency 3 2 7 2 4 2" xfId="3186" xr:uid="{00000000-0005-0000-0000-0000C0060000}"/>
    <cellStyle name="Currency 3 2 7 2 4 2 2" xfId="4914" xr:uid="{00000000-0005-0000-0000-0000C1060000}"/>
    <cellStyle name="Currency 3 2 7 2 4 2 2 2" xfId="11091" xr:uid="{6A951297-C7EA-41AA-BCE8-D0F258EAFBCA}"/>
    <cellStyle name="Currency 3 2 7 2 4 2 3" xfId="9363" xr:uid="{E118CD24-B873-44E3-BBAF-E71D7975A802}"/>
    <cellStyle name="Currency 3 2 7 2 4 3" xfId="2304" xr:uid="{00000000-0005-0000-0000-0000C2060000}"/>
    <cellStyle name="Currency 3 2 7 2 4 3 2" xfId="4915" xr:uid="{00000000-0005-0000-0000-0000C3060000}"/>
    <cellStyle name="Currency 3 2 7 2 4 3 2 2" xfId="11092" xr:uid="{F33C66B9-C9D4-4F27-9F1D-C1B38401F0AA}"/>
    <cellStyle name="Currency 3 2 7 2 4 3 3" xfId="8481" xr:uid="{D5C7CB3B-35B3-4DC9-B118-67910F10DF09}"/>
    <cellStyle name="Currency 3 2 7 2 4 4" xfId="4068" xr:uid="{00000000-0005-0000-0000-0000C4060000}"/>
    <cellStyle name="Currency 3 2 7 2 4 4 2" xfId="10245" xr:uid="{98FC8DB2-D555-428F-AB08-BEBFB5F01AF2}"/>
    <cellStyle name="Currency 3 2 7 2 4 5" xfId="1421" xr:uid="{00000000-0005-0000-0000-0000C5060000}"/>
    <cellStyle name="Currency 3 2 7 2 4 5 2" xfId="7598" xr:uid="{8F7518DC-6BE3-46DE-B895-5DCCF74521A5}"/>
    <cellStyle name="Currency 3 2 7 2 4 6" xfId="6715" xr:uid="{A57FAC10-63BC-45B7-930D-C77E82EAACBC}"/>
    <cellStyle name="Currency 3 2 7 2 5" xfId="2745" xr:uid="{00000000-0005-0000-0000-0000C6060000}"/>
    <cellStyle name="Currency 3 2 7 2 5 2" xfId="4916" xr:uid="{00000000-0005-0000-0000-0000C7060000}"/>
    <cellStyle name="Currency 3 2 7 2 5 2 2" xfId="11093" xr:uid="{91FE9549-F7CD-419D-951C-E67A9C1AAFA2}"/>
    <cellStyle name="Currency 3 2 7 2 5 3" xfId="8922" xr:uid="{C31467E5-7EF3-41BF-B57E-87A601FD06BE}"/>
    <cellStyle name="Currency 3 2 7 2 6" xfId="1863" xr:uid="{00000000-0005-0000-0000-0000C8060000}"/>
    <cellStyle name="Currency 3 2 7 2 6 2" xfId="4917" xr:uid="{00000000-0005-0000-0000-0000C9060000}"/>
    <cellStyle name="Currency 3 2 7 2 6 2 2" xfId="11094" xr:uid="{059E5A10-02BD-45BA-962C-103A25015C5E}"/>
    <cellStyle name="Currency 3 2 7 2 6 3" xfId="8040" xr:uid="{18EB3786-D736-4416-ADD9-908900FE65E9}"/>
    <cellStyle name="Currency 3 2 7 2 7" xfId="3627" xr:uid="{00000000-0005-0000-0000-0000CA060000}"/>
    <cellStyle name="Currency 3 2 7 2 7 2" xfId="9804" xr:uid="{8FFEAADF-D923-48A0-8F26-A3919029473C}"/>
    <cellStyle name="Currency 3 2 7 2 8" xfId="980" xr:uid="{00000000-0005-0000-0000-0000CB060000}"/>
    <cellStyle name="Currency 3 2 7 2 8 2" xfId="7157" xr:uid="{A7C10529-BDA0-4D18-A87A-1375E9C91D40}"/>
    <cellStyle name="Currency 3 2 7 2 9" xfId="6274" xr:uid="{2A5ACE41-364E-4DE1-9187-FA24EA2D0579}"/>
    <cellStyle name="Currency 3 2 7 3" xfId="141" xr:uid="{00000000-0005-0000-0000-0000CC060000}"/>
    <cellStyle name="Currency 3 2 7 3 2" xfId="361" xr:uid="{00000000-0005-0000-0000-0000CD060000}"/>
    <cellStyle name="Currency 3 2 7 3 2 2" xfId="802" xr:uid="{00000000-0005-0000-0000-0000CE060000}"/>
    <cellStyle name="Currency 3 2 7 3 2 2 2" xfId="3450" xr:uid="{00000000-0005-0000-0000-0000CF060000}"/>
    <cellStyle name="Currency 3 2 7 3 2 2 2 2" xfId="4918" xr:uid="{00000000-0005-0000-0000-0000D0060000}"/>
    <cellStyle name="Currency 3 2 7 3 2 2 2 2 2" xfId="11095" xr:uid="{CB27B892-0A88-4B14-8706-1E764720E38A}"/>
    <cellStyle name="Currency 3 2 7 3 2 2 2 3" xfId="9627" xr:uid="{3B17C413-654B-4692-AD03-9F889BE7765E}"/>
    <cellStyle name="Currency 3 2 7 3 2 2 3" xfId="2568" xr:uid="{00000000-0005-0000-0000-0000D1060000}"/>
    <cellStyle name="Currency 3 2 7 3 2 2 3 2" xfId="4919" xr:uid="{00000000-0005-0000-0000-0000D2060000}"/>
    <cellStyle name="Currency 3 2 7 3 2 2 3 2 2" xfId="11096" xr:uid="{3EF7CA17-3F4F-4942-96C4-B55A361319E2}"/>
    <cellStyle name="Currency 3 2 7 3 2 2 3 3" xfId="8745" xr:uid="{A63F545D-A87C-45B5-9AFF-25E20C7C5931}"/>
    <cellStyle name="Currency 3 2 7 3 2 2 4" xfId="4332" xr:uid="{00000000-0005-0000-0000-0000D3060000}"/>
    <cellStyle name="Currency 3 2 7 3 2 2 4 2" xfId="10509" xr:uid="{2F790EFF-A507-4A95-9737-F942B44AEBE3}"/>
    <cellStyle name="Currency 3 2 7 3 2 2 5" xfId="1685" xr:uid="{00000000-0005-0000-0000-0000D4060000}"/>
    <cellStyle name="Currency 3 2 7 3 2 2 5 2" xfId="7862" xr:uid="{2554D711-23CA-4D4B-A448-866E435ACC56}"/>
    <cellStyle name="Currency 3 2 7 3 2 2 6" xfId="6979" xr:uid="{B4B53F0C-CF6F-44FB-9D23-5C894496CAA7}"/>
    <cellStyle name="Currency 3 2 7 3 2 3" xfId="3009" xr:uid="{00000000-0005-0000-0000-0000D5060000}"/>
    <cellStyle name="Currency 3 2 7 3 2 3 2" xfId="4920" xr:uid="{00000000-0005-0000-0000-0000D6060000}"/>
    <cellStyle name="Currency 3 2 7 3 2 3 2 2" xfId="11097" xr:uid="{C5DF24B0-97C4-4E86-A11E-AE7D3CF60588}"/>
    <cellStyle name="Currency 3 2 7 3 2 3 3" xfId="9186" xr:uid="{E5E7912C-6C9D-4D89-95FA-CD1D8DCEA58C}"/>
    <cellStyle name="Currency 3 2 7 3 2 4" xfId="2127" xr:uid="{00000000-0005-0000-0000-0000D7060000}"/>
    <cellStyle name="Currency 3 2 7 3 2 4 2" xfId="4921" xr:uid="{00000000-0005-0000-0000-0000D8060000}"/>
    <cellStyle name="Currency 3 2 7 3 2 4 2 2" xfId="11098" xr:uid="{F47202A2-CFDF-4F1E-B271-D1F3ECB01FAF}"/>
    <cellStyle name="Currency 3 2 7 3 2 4 3" xfId="8304" xr:uid="{2DA1D3F7-F902-4227-B41B-1AC304B24745}"/>
    <cellStyle name="Currency 3 2 7 3 2 5" xfId="3891" xr:uid="{00000000-0005-0000-0000-0000D9060000}"/>
    <cellStyle name="Currency 3 2 7 3 2 5 2" xfId="10068" xr:uid="{4F40DC47-D170-4015-A14C-15E572F4A13F}"/>
    <cellStyle name="Currency 3 2 7 3 2 6" xfId="1244" xr:uid="{00000000-0005-0000-0000-0000DA060000}"/>
    <cellStyle name="Currency 3 2 7 3 2 6 2" xfId="7421" xr:uid="{8E13F306-2950-451A-A7CF-5B89A5848423}"/>
    <cellStyle name="Currency 3 2 7 3 2 7" xfId="6538" xr:uid="{DE7B455E-944B-4E79-BF21-B0A8ED16AD8B}"/>
    <cellStyle name="Currency 3 2 7 3 3" xfId="582" xr:uid="{00000000-0005-0000-0000-0000DB060000}"/>
    <cellStyle name="Currency 3 2 7 3 3 2" xfId="3230" xr:uid="{00000000-0005-0000-0000-0000DC060000}"/>
    <cellStyle name="Currency 3 2 7 3 3 2 2" xfId="4922" xr:uid="{00000000-0005-0000-0000-0000DD060000}"/>
    <cellStyle name="Currency 3 2 7 3 3 2 2 2" xfId="11099" xr:uid="{38AF3B88-9218-46BF-963E-FB18118D4FB0}"/>
    <cellStyle name="Currency 3 2 7 3 3 2 3" xfId="9407" xr:uid="{1E12F3C0-A1BC-4AFE-B0F8-9BB2485B41F5}"/>
    <cellStyle name="Currency 3 2 7 3 3 3" xfId="2348" xr:uid="{00000000-0005-0000-0000-0000DE060000}"/>
    <cellStyle name="Currency 3 2 7 3 3 3 2" xfId="4923" xr:uid="{00000000-0005-0000-0000-0000DF060000}"/>
    <cellStyle name="Currency 3 2 7 3 3 3 2 2" xfId="11100" xr:uid="{50B58157-51FC-438C-A61B-446C31891C4B}"/>
    <cellStyle name="Currency 3 2 7 3 3 3 3" xfId="8525" xr:uid="{5AA9E142-7052-4950-ADE0-88C13014F5DB}"/>
    <cellStyle name="Currency 3 2 7 3 3 4" xfId="4112" xr:uid="{00000000-0005-0000-0000-0000E0060000}"/>
    <cellStyle name="Currency 3 2 7 3 3 4 2" xfId="10289" xr:uid="{3D227EE0-1F88-4EA4-B600-DA5CC3CB78F7}"/>
    <cellStyle name="Currency 3 2 7 3 3 5" xfId="1465" xr:uid="{00000000-0005-0000-0000-0000E1060000}"/>
    <cellStyle name="Currency 3 2 7 3 3 5 2" xfId="7642" xr:uid="{8A552B35-6D84-4556-BBAA-18AEE59E2BC1}"/>
    <cellStyle name="Currency 3 2 7 3 3 6" xfId="6759" xr:uid="{1457A85B-9AF3-4157-B64B-7BCC49125B31}"/>
    <cellStyle name="Currency 3 2 7 3 4" xfId="2789" xr:uid="{00000000-0005-0000-0000-0000E2060000}"/>
    <cellStyle name="Currency 3 2 7 3 4 2" xfId="4924" xr:uid="{00000000-0005-0000-0000-0000E3060000}"/>
    <cellStyle name="Currency 3 2 7 3 4 2 2" xfId="11101" xr:uid="{A3DB27C7-0C63-414D-A7B2-5FEBCE7044ED}"/>
    <cellStyle name="Currency 3 2 7 3 4 3" xfId="8966" xr:uid="{C70016BA-6014-4E8A-933B-C85A0B5CFCBF}"/>
    <cellStyle name="Currency 3 2 7 3 5" xfId="1907" xr:uid="{00000000-0005-0000-0000-0000E4060000}"/>
    <cellStyle name="Currency 3 2 7 3 5 2" xfId="4925" xr:uid="{00000000-0005-0000-0000-0000E5060000}"/>
    <cellStyle name="Currency 3 2 7 3 5 2 2" xfId="11102" xr:uid="{425858D6-C1EC-4786-B971-1FB1B6C1FFF9}"/>
    <cellStyle name="Currency 3 2 7 3 5 3" xfId="8084" xr:uid="{2C02461A-AE39-4813-8A96-A7D39038C7C2}"/>
    <cellStyle name="Currency 3 2 7 3 6" xfId="3671" xr:uid="{00000000-0005-0000-0000-0000E6060000}"/>
    <cellStyle name="Currency 3 2 7 3 6 2" xfId="9848" xr:uid="{CC398908-07FC-406A-8B5F-8A04D31DB3AF}"/>
    <cellStyle name="Currency 3 2 7 3 7" xfId="1024" xr:uid="{00000000-0005-0000-0000-0000E7060000}"/>
    <cellStyle name="Currency 3 2 7 3 7 2" xfId="7201" xr:uid="{9BFF67D4-9B1D-4CE1-BD10-FA0617198ECC}"/>
    <cellStyle name="Currency 3 2 7 3 8" xfId="6318" xr:uid="{AFD346E6-7BD8-4B70-B7D5-AD06874D239B}"/>
    <cellStyle name="Currency 3 2 7 4" xfId="251" xr:uid="{00000000-0005-0000-0000-0000E8060000}"/>
    <cellStyle name="Currency 3 2 7 4 2" xfId="692" xr:uid="{00000000-0005-0000-0000-0000E9060000}"/>
    <cellStyle name="Currency 3 2 7 4 2 2" xfId="3340" xr:uid="{00000000-0005-0000-0000-0000EA060000}"/>
    <cellStyle name="Currency 3 2 7 4 2 2 2" xfId="4926" xr:uid="{00000000-0005-0000-0000-0000EB060000}"/>
    <cellStyle name="Currency 3 2 7 4 2 2 2 2" xfId="11103" xr:uid="{F1595D56-BAAA-4446-9C1E-DDCB441C5787}"/>
    <cellStyle name="Currency 3 2 7 4 2 2 3" xfId="9517" xr:uid="{219699B2-9AA2-49EE-891C-CEB15B98C814}"/>
    <cellStyle name="Currency 3 2 7 4 2 3" xfId="2458" xr:uid="{00000000-0005-0000-0000-0000EC060000}"/>
    <cellStyle name="Currency 3 2 7 4 2 3 2" xfId="4927" xr:uid="{00000000-0005-0000-0000-0000ED060000}"/>
    <cellStyle name="Currency 3 2 7 4 2 3 2 2" xfId="11104" xr:uid="{35A351CA-ECED-40CF-B31D-FE78DFEFC49D}"/>
    <cellStyle name="Currency 3 2 7 4 2 3 3" xfId="8635" xr:uid="{79FE100E-DC77-4B3E-AF63-4AA9B9688E17}"/>
    <cellStyle name="Currency 3 2 7 4 2 4" xfId="4222" xr:uid="{00000000-0005-0000-0000-0000EE060000}"/>
    <cellStyle name="Currency 3 2 7 4 2 4 2" xfId="10399" xr:uid="{44B2A9A2-6454-4CCD-A5DB-745D32895011}"/>
    <cellStyle name="Currency 3 2 7 4 2 5" xfId="1575" xr:uid="{00000000-0005-0000-0000-0000EF060000}"/>
    <cellStyle name="Currency 3 2 7 4 2 5 2" xfId="7752" xr:uid="{96CAD62E-4BCD-49EA-BA5C-5304DE20C926}"/>
    <cellStyle name="Currency 3 2 7 4 2 6" xfId="6869" xr:uid="{4AE7438F-5BEE-46AD-A2BA-3CA83E0964B7}"/>
    <cellStyle name="Currency 3 2 7 4 3" xfId="2899" xr:uid="{00000000-0005-0000-0000-0000F0060000}"/>
    <cellStyle name="Currency 3 2 7 4 3 2" xfId="4928" xr:uid="{00000000-0005-0000-0000-0000F1060000}"/>
    <cellStyle name="Currency 3 2 7 4 3 2 2" xfId="11105" xr:uid="{57796621-2ED7-4C59-8AFB-DDB5A88EF3AA}"/>
    <cellStyle name="Currency 3 2 7 4 3 3" xfId="9076" xr:uid="{B5CA37AD-A6A6-4DB5-8282-D7199BB813C4}"/>
    <cellStyle name="Currency 3 2 7 4 4" xfId="2017" xr:uid="{00000000-0005-0000-0000-0000F2060000}"/>
    <cellStyle name="Currency 3 2 7 4 4 2" xfId="4929" xr:uid="{00000000-0005-0000-0000-0000F3060000}"/>
    <cellStyle name="Currency 3 2 7 4 4 2 2" xfId="11106" xr:uid="{9B8E50A3-7AD3-4ADB-817C-0B4B3E532BD6}"/>
    <cellStyle name="Currency 3 2 7 4 4 3" xfId="8194" xr:uid="{85D2DFA4-4E9D-4A37-9DA7-CE11225CE6D4}"/>
    <cellStyle name="Currency 3 2 7 4 5" xfId="3781" xr:uid="{00000000-0005-0000-0000-0000F4060000}"/>
    <cellStyle name="Currency 3 2 7 4 5 2" xfId="9958" xr:uid="{18B23007-65B2-42F5-AABB-7C5E077ECC0C}"/>
    <cellStyle name="Currency 3 2 7 4 6" xfId="1134" xr:uid="{00000000-0005-0000-0000-0000F5060000}"/>
    <cellStyle name="Currency 3 2 7 4 6 2" xfId="7311" xr:uid="{6DD84DE2-451B-4616-A400-AFEE737344B3}"/>
    <cellStyle name="Currency 3 2 7 4 7" xfId="6428" xr:uid="{6EBB6211-6BE6-4900-B916-5D3B2E84D90B}"/>
    <cellStyle name="Currency 3 2 7 5" xfId="472" xr:uid="{00000000-0005-0000-0000-0000F6060000}"/>
    <cellStyle name="Currency 3 2 7 5 2" xfId="3120" xr:uid="{00000000-0005-0000-0000-0000F7060000}"/>
    <cellStyle name="Currency 3 2 7 5 2 2" xfId="4930" xr:uid="{00000000-0005-0000-0000-0000F8060000}"/>
    <cellStyle name="Currency 3 2 7 5 2 2 2" xfId="11107" xr:uid="{343AD307-A580-4325-911E-A1F2C36B9FAC}"/>
    <cellStyle name="Currency 3 2 7 5 2 3" xfId="9297" xr:uid="{64C05142-158B-42D8-9E46-BA8E14848052}"/>
    <cellStyle name="Currency 3 2 7 5 3" xfId="2238" xr:uid="{00000000-0005-0000-0000-0000F9060000}"/>
    <cellStyle name="Currency 3 2 7 5 3 2" xfId="4931" xr:uid="{00000000-0005-0000-0000-0000FA060000}"/>
    <cellStyle name="Currency 3 2 7 5 3 2 2" xfId="11108" xr:uid="{B59CFF42-6032-4AC2-8DC7-EF6A530927D8}"/>
    <cellStyle name="Currency 3 2 7 5 3 3" xfId="8415" xr:uid="{7A85CD81-BAB0-40E9-A515-E69043E7AE4B}"/>
    <cellStyle name="Currency 3 2 7 5 4" xfId="4002" xr:uid="{00000000-0005-0000-0000-0000FB060000}"/>
    <cellStyle name="Currency 3 2 7 5 4 2" xfId="10179" xr:uid="{393C7764-861D-4C66-B922-E34F831A4013}"/>
    <cellStyle name="Currency 3 2 7 5 5" xfId="1355" xr:uid="{00000000-0005-0000-0000-0000FC060000}"/>
    <cellStyle name="Currency 3 2 7 5 5 2" xfId="7532" xr:uid="{7DE544CF-0CA1-4A2C-B871-4DC46BBC001E}"/>
    <cellStyle name="Currency 3 2 7 5 6" xfId="6649" xr:uid="{85296FD4-1F33-4D4C-B226-CEF9924FC114}"/>
    <cellStyle name="Currency 3 2 7 6" xfId="2679" xr:uid="{00000000-0005-0000-0000-0000FD060000}"/>
    <cellStyle name="Currency 3 2 7 6 2" xfId="4932" xr:uid="{00000000-0005-0000-0000-0000FE060000}"/>
    <cellStyle name="Currency 3 2 7 6 2 2" xfId="11109" xr:uid="{B9AD7257-6286-4375-82C9-1D2673075EC7}"/>
    <cellStyle name="Currency 3 2 7 6 3" xfId="8856" xr:uid="{E4C76F7A-2AB5-45A4-9265-C95F595E1A9C}"/>
    <cellStyle name="Currency 3 2 7 7" xfId="1797" xr:uid="{00000000-0005-0000-0000-0000FF060000}"/>
    <cellStyle name="Currency 3 2 7 7 2" xfId="4933" xr:uid="{00000000-0005-0000-0000-000000070000}"/>
    <cellStyle name="Currency 3 2 7 7 2 2" xfId="11110" xr:uid="{137DD098-521E-4491-9F22-6AF3EB862935}"/>
    <cellStyle name="Currency 3 2 7 7 3" xfId="7974" xr:uid="{3217BAA6-4561-4C3B-9101-53308B060343}"/>
    <cellStyle name="Currency 3 2 7 8" xfId="3561" xr:uid="{00000000-0005-0000-0000-000001070000}"/>
    <cellStyle name="Currency 3 2 7 8 2" xfId="9738" xr:uid="{7833903E-9802-4B28-94AA-94AB8DC12E87}"/>
    <cellStyle name="Currency 3 2 7 9" xfId="914" xr:uid="{00000000-0005-0000-0000-000002070000}"/>
    <cellStyle name="Currency 3 2 7 9 2" xfId="7091" xr:uid="{61A05BD0-09B7-4889-A774-B556EA216DE0}"/>
    <cellStyle name="Currency 3 2 8" xfId="37" xr:uid="{00000000-0005-0000-0000-000003070000}"/>
    <cellStyle name="Currency 3 2 8 10" xfId="6214" xr:uid="{C0709527-6266-46D4-A785-0DCC0EDA040E}"/>
    <cellStyle name="Currency 3 2 8 2" xfId="103" xr:uid="{00000000-0005-0000-0000-000004070000}"/>
    <cellStyle name="Currency 3 2 8 2 2" xfId="213" xr:uid="{00000000-0005-0000-0000-000005070000}"/>
    <cellStyle name="Currency 3 2 8 2 2 2" xfId="433" xr:uid="{00000000-0005-0000-0000-000006070000}"/>
    <cellStyle name="Currency 3 2 8 2 2 2 2" xfId="874" xr:uid="{00000000-0005-0000-0000-000007070000}"/>
    <cellStyle name="Currency 3 2 8 2 2 2 2 2" xfId="3522" xr:uid="{00000000-0005-0000-0000-000008070000}"/>
    <cellStyle name="Currency 3 2 8 2 2 2 2 2 2" xfId="4934" xr:uid="{00000000-0005-0000-0000-000009070000}"/>
    <cellStyle name="Currency 3 2 8 2 2 2 2 2 2 2" xfId="11111" xr:uid="{B135F8C7-09D3-4DB2-AA16-D6002C7CEDE4}"/>
    <cellStyle name="Currency 3 2 8 2 2 2 2 2 3" xfId="9699" xr:uid="{7A94FC85-46FF-4698-966D-A8C8ACC9A986}"/>
    <cellStyle name="Currency 3 2 8 2 2 2 2 3" xfId="2640" xr:uid="{00000000-0005-0000-0000-00000A070000}"/>
    <cellStyle name="Currency 3 2 8 2 2 2 2 3 2" xfId="4935" xr:uid="{00000000-0005-0000-0000-00000B070000}"/>
    <cellStyle name="Currency 3 2 8 2 2 2 2 3 2 2" xfId="11112" xr:uid="{CD933F55-5A75-45DA-8736-3865F73DA528}"/>
    <cellStyle name="Currency 3 2 8 2 2 2 2 3 3" xfId="8817" xr:uid="{80838FA5-ECAA-4268-B710-F055868D0795}"/>
    <cellStyle name="Currency 3 2 8 2 2 2 2 4" xfId="4404" xr:uid="{00000000-0005-0000-0000-00000C070000}"/>
    <cellStyle name="Currency 3 2 8 2 2 2 2 4 2" xfId="10581" xr:uid="{E43272E2-53C6-4182-B4E1-211309BDEE85}"/>
    <cellStyle name="Currency 3 2 8 2 2 2 2 5" xfId="1757" xr:uid="{00000000-0005-0000-0000-00000D070000}"/>
    <cellStyle name="Currency 3 2 8 2 2 2 2 5 2" xfId="7934" xr:uid="{6C643CDC-6488-4C97-8273-A638230E9864}"/>
    <cellStyle name="Currency 3 2 8 2 2 2 2 6" xfId="7051" xr:uid="{EEBFEF47-275C-4574-8600-ED0207A1FA70}"/>
    <cellStyle name="Currency 3 2 8 2 2 2 3" xfId="3081" xr:uid="{00000000-0005-0000-0000-00000E070000}"/>
    <cellStyle name="Currency 3 2 8 2 2 2 3 2" xfId="4936" xr:uid="{00000000-0005-0000-0000-00000F070000}"/>
    <cellStyle name="Currency 3 2 8 2 2 2 3 2 2" xfId="11113" xr:uid="{5D30728D-01AF-46B7-B8EC-92BF552EDCD2}"/>
    <cellStyle name="Currency 3 2 8 2 2 2 3 3" xfId="9258" xr:uid="{8AE3854B-5CEC-40DD-9148-4DB936BD9FD4}"/>
    <cellStyle name="Currency 3 2 8 2 2 2 4" xfId="2199" xr:uid="{00000000-0005-0000-0000-000010070000}"/>
    <cellStyle name="Currency 3 2 8 2 2 2 4 2" xfId="4937" xr:uid="{00000000-0005-0000-0000-000011070000}"/>
    <cellStyle name="Currency 3 2 8 2 2 2 4 2 2" xfId="11114" xr:uid="{39EA2B08-C1E2-46EC-899F-A6E34701D2FC}"/>
    <cellStyle name="Currency 3 2 8 2 2 2 4 3" xfId="8376" xr:uid="{E5F1A3B7-7F95-4710-8003-DCA4C7BA5473}"/>
    <cellStyle name="Currency 3 2 8 2 2 2 5" xfId="3963" xr:uid="{00000000-0005-0000-0000-000012070000}"/>
    <cellStyle name="Currency 3 2 8 2 2 2 5 2" xfId="10140" xr:uid="{5AF07644-731A-4E40-8DEE-29169ED6CDD6}"/>
    <cellStyle name="Currency 3 2 8 2 2 2 6" xfId="1316" xr:uid="{00000000-0005-0000-0000-000013070000}"/>
    <cellStyle name="Currency 3 2 8 2 2 2 6 2" xfId="7493" xr:uid="{58854224-7EAF-4362-A8B8-C343F274A53E}"/>
    <cellStyle name="Currency 3 2 8 2 2 2 7" xfId="6610" xr:uid="{59090EB8-D48F-4F3F-94C7-A2B4D0C4D901}"/>
    <cellStyle name="Currency 3 2 8 2 2 3" xfId="654" xr:uid="{00000000-0005-0000-0000-000014070000}"/>
    <cellStyle name="Currency 3 2 8 2 2 3 2" xfId="3302" xr:uid="{00000000-0005-0000-0000-000015070000}"/>
    <cellStyle name="Currency 3 2 8 2 2 3 2 2" xfId="4938" xr:uid="{00000000-0005-0000-0000-000016070000}"/>
    <cellStyle name="Currency 3 2 8 2 2 3 2 2 2" xfId="11115" xr:uid="{B5B76E72-F527-4A2C-AF07-1534138630AD}"/>
    <cellStyle name="Currency 3 2 8 2 2 3 2 3" xfId="9479" xr:uid="{280A1BAB-C584-4610-A6FC-08F578EE4AC5}"/>
    <cellStyle name="Currency 3 2 8 2 2 3 3" xfId="2420" xr:uid="{00000000-0005-0000-0000-000017070000}"/>
    <cellStyle name="Currency 3 2 8 2 2 3 3 2" xfId="4939" xr:uid="{00000000-0005-0000-0000-000018070000}"/>
    <cellStyle name="Currency 3 2 8 2 2 3 3 2 2" xfId="11116" xr:uid="{30CDBC4B-0057-4605-8ECA-7F90795E84B9}"/>
    <cellStyle name="Currency 3 2 8 2 2 3 3 3" xfId="8597" xr:uid="{4C1D6EC0-CBE1-4251-A771-E6FE4114F176}"/>
    <cellStyle name="Currency 3 2 8 2 2 3 4" xfId="4184" xr:uid="{00000000-0005-0000-0000-000019070000}"/>
    <cellStyle name="Currency 3 2 8 2 2 3 4 2" xfId="10361" xr:uid="{FCCB1DFC-11AE-48AA-B2B1-6A8BAAC4056B}"/>
    <cellStyle name="Currency 3 2 8 2 2 3 5" xfId="1537" xr:uid="{00000000-0005-0000-0000-00001A070000}"/>
    <cellStyle name="Currency 3 2 8 2 2 3 5 2" xfId="7714" xr:uid="{BCD3AF7B-AF8C-4A02-810C-C38BE68245E6}"/>
    <cellStyle name="Currency 3 2 8 2 2 3 6" xfId="6831" xr:uid="{E48DC67F-1AAC-4C7F-AEBB-FD6496602AFA}"/>
    <cellStyle name="Currency 3 2 8 2 2 4" xfId="2861" xr:uid="{00000000-0005-0000-0000-00001B070000}"/>
    <cellStyle name="Currency 3 2 8 2 2 4 2" xfId="4940" xr:uid="{00000000-0005-0000-0000-00001C070000}"/>
    <cellStyle name="Currency 3 2 8 2 2 4 2 2" xfId="11117" xr:uid="{AA9C0444-AA8D-4D6A-B223-1605CAD8F4B5}"/>
    <cellStyle name="Currency 3 2 8 2 2 4 3" xfId="9038" xr:uid="{419FA0E1-B1FD-421E-8018-15CBBB8AF460}"/>
    <cellStyle name="Currency 3 2 8 2 2 5" xfId="1979" xr:uid="{00000000-0005-0000-0000-00001D070000}"/>
    <cellStyle name="Currency 3 2 8 2 2 5 2" xfId="4941" xr:uid="{00000000-0005-0000-0000-00001E070000}"/>
    <cellStyle name="Currency 3 2 8 2 2 5 2 2" xfId="11118" xr:uid="{DFEBCD5D-875B-4B95-B732-168B7BB2FBB6}"/>
    <cellStyle name="Currency 3 2 8 2 2 5 3" xfId="8156" xr:uid="{A2BB72AF-BB5D-4576-81B3-8EB1D49CC57E}"/>
    <cellStyle name="Currency 3 2 8 2 2 6" xfId="3743" xr:uid="{00000000-0005-0000-0000-00001F070000}"/>
    <cellStyle name="Currency 3 2 8 2 2 6 2" xfId="9920" xr:uid="{162CCE70-F6C8-4C37-AB96-21F99F6C87D9}"/>
    <cellStyle name="Currency 3 2 8 2 2 7" xfId="1096" xr:uid="{00000000-0005-0000-0000-000020070000}"/>
    <cellStyle name="Currency 3 2 8 2 2 7 2" xfId="7273" xr:uid="{B24DC54A-F74B-41AA-92D9-571F82EB8514}"/>
    <cellStyle name="Currency 3 2 8 2 2 8" xfId="6390" xr:uid="{5A9DF907-0E50-42FC-BB48-CD8DDE834080}"/>
    <cellStyle name="Currency 3 2 8 2 3" xfId="323" xr:uid="{00000000-0005-0000-0000-000021070000}"/>
    <cellStyle name="Currency 3 2 8 2 3 2" xfId="764" xr:uid="{00000000-0005-0000-0000-000022070000}"/>
    <cellStyle name="Currency 3 2 8 2 3 2 2" xfId="3412" xr:uid="{00000000-0005-0000-0000-000023070000}"/>
    <cellStyle name="Currency 3 2 8 2 3 2 2 2" xfId="4942" xr:uid="{00000000-0005-0000-0000-000024070000}"/>
    <cellStyle name="Currency 3 2 8 2 3 2 2 2 2" xfId="11119" xr:uid="{606A8D8E-E2ED-4EC3-9D5A-E4003AE08E93}"/>
    <cellStyle name="Currency 3 2 8 2 3 2 2 3" xfId="9589" xr:uid="{C2C5C323-F713-497C-A22D-A8641A0CE221}"/>
    <cellStyle name="Currency 3 2 8 2 3 2 3" xfId="2530" xr:uid="{00000000-0005-0000-0000-000025070000}"/>
    <cellStyle name="Currency 3 2 8 2 3 2 3 2" xfId="4943" xr:uid="{00000000-0005-0000-0000-000026070000}"/>
    <cellStyle name="Currency 3 2 8 2 3 2 3 2 2" xfId="11120" xr:uid="{D2C21ECF-4D7F-4CC4-8A90-238321C7A0C2}"/>
    <cellStyle name="Currency 3 2 8 2 3 2 3 3" xfId="8707" xr:uid="{251F9602-FE79-491E-9BE9-CD125EBC727F}"/>
    <cellStyle name="Currency 3 2 8 2 3 2 4" xfId="4294" xr:uid="{00000000-0005-0000-0000-000027070000}"/>
    <cellStyle name="Currency 3 2 8 2 3 2 4 2" xfId="10471" xr:uid="{3050C54A-9DC2-4BAC-AC7C-0104C5158521}"/>
    <cellStyle name="Currency 3 2 8 2 3 2 5" xfId="1647" xr:uid="{00000000-0005-0000-0000-000028070000}"/>
    <cellStyle name="Currency 3 2 8 2 3 2 5 2" xfId="7824" xr:uid="{207EC5B0-421F-4223-9ECF-502DB6B22B72}"/>
    <cellStyle name="Currency 3 2 8 2 3 2 6" xfId="6941" xr:uid="{E643F537-A443-4E02-ACAF-387C4926BDD5}"/>
    <cellStyle name="Currency 3 2 8 2 3 3" xfId="2971" xr:uid="{00000000-0005-0000-0000-000029070000}"/>
    <cellStyle name="Currency 3 2 8 2 3 3 2" xfId="4944" xr:uid="{00000000-0005-0000-0000-00002A070000}"/>
    <cellStyle name="Currency 3 2 8 2 3 3 2 2" xfId="11121" xr:uid="{9571F1C2-F419-493D-9B70-EA752BCB610D}"/>
    <cellStyle name="Currency 3 2 8 2 3 3 3" xfId="9148" xr:uid="{A061788B-7538-4BE0-BE77-BDA36215DE53}"/>
    <cellStyle name="Currency 3 2 8 2 3 4" xfId="2089" xr:uid="{00000000-0005-0000-0000-00002B070000}"/>
    <cellStyle name="Currency 3 2 8 2 3 4 2" xfId="4945" xr:uid="{00000000-0005-0000-0000-00002C070000}"/>
    <cellStyle name="Currency 3 2 8 2 3 4 2 2" xfId="11122" xr:uid="{7F65BB0A-F298-4005-ABB0-6E220E29CE3D}"/>
    <cellStyle name="Currency 3 2 8 2 3 4 3" xfId="8266" xr:uid="{5B76F4F1-2854-4FD7-A473-EBAA91175768}"/>
    <cellStyle name="Currency 3 2 8 2 3 5" xfId="3853" xr:uid="{00000000-0005-0000-0000-00002D070000}"/>
    <cellStyle name="Currency 3 2 8 2 3 5 2" xfId="10030" xr:uid="{871C85C7-963A-4B28-8607-BCA91862F3F6}"/>
    <cellStyle name="Currency 3 2 8 2 3 6" xfId="1206" xr:uid="{00000000-0005-0000-0000-00002E070000}"/>
    <cellStyle name="Currency 3 2 8 2 3 6 2" xfId="7383" xr:uid="{4C3490F7-5CA4-4340-B2D4-6EA9035F6C10}"/>
    <cellStyle name="Currency 3 2 8 2 3 7" xfId="6500" xr:uid="{C6F8C80E-4741-47A3-B997-35F5E901A225}"/>
    <cellStyle name="Currency 3 2 8 2 4" xfId="544" xr:uid="{00000000-0005-0000-0000-00002F070000}"/>
    <cellStyle name="Currency 3 2 8 2 4 2" xfId="3192" xr:uid="{00000000-0005-0000-0000-000030070000}"/>
    <cellStyle name="Currency 3 2 8 2 4 2 2" xfId="4946" xr:uid="{00000000-0005-0000-0000-000031070000}"/>
    <cellStyle name="Currency 3 2 8 2 4 2 2 2" xfId="11123" xr:uid="{AFD40882-CD99-4DAE-BC22-5CC0EAA7F25B}"/>
    <cellStyle name="Currency 3 2 8 2 4 2 3" xfId="9369" xr:uid="{6C711800-7A4F-4E78-9B70-42161418E0A3}"/>
    <cellStyle name="Currency 3 2 8 2 4 3" xfId="2310" xr:uid="{00000000-0005-0000-0000-000032070000}"/>
    <cellStyle name="Currency 3 2 8 2 4 3 2" xfId="4947" xr:uid="{00000000-0005-0000-0000-000033070000}"/>
    <cellStyle name="Currency 3 2 8 2 4 3 2 2" xfId="11124" xr:uid="{A66853F2-33BD-4465-B389-74CC3EA7BF86}"/>
    <cellStyle name="Currency 3 2 8 2 4 3 3" xfId="8487" xr:uid="{3336DEEC-6032-4847-BA42-7EAFB2E7F9FD}"/>
    <cellStyle name="Currency 3 2 8 2 4 4" xfId="4074" xr:uid="{00000000-0005-0000-0000-000034070000}"/>
    <cellStyle name="Currency 3 2 8 2 4 4 2" xfId="10251" xr:uid="{5E9E0980-A516-40D3-805D-D9097F15814E}"/>
    <cellStyle name="Currency 3 2 8 2 4 5" xfId="1427" xr:uid="{00000000-0005-0000-0000-000035070000}"/>
    <cellStyle name="Currency 3 2 8 2 4 5 2" xfId="7604" xr:uid="{970FEF21-097F-4A9F-98DE-505DB80B4A84}"/>
    <cellStyle name="Currency 3 2 8 2 4 6" xfId="6721" xr:uid="{C8816AF9-4A31-4B74-8FD6-760D5994EFDB}"/>
    <cellStyle name="Currency 3 2 8 2 5" xfId="2751" xr:uid="{00000000-0005-0000-0000-000036070000}"/>
    <cellStyle name="Currency 3 2 8 2 5 2" xfId="4948" xr:uid="{00000000-0005-0000-0000-000037070000}"/>
    <cellStyle name="Currency 3 2 8 2 5 2 2" xfId="11125" xr:uid="{D9EBB42D-92BB-460E-86F1-52773388990C}"/>
    <cellStyle name="Currency 3 2 8 2 5 3" xfId="8928" xr:uid="{5524C820-2DC0-4016-9A2E-82A7E2D89636}"/>
    <cellStyle name="Currency 3 2 8 2 6" xfId="1869" xr:uid="{00000000-0005-0000-0000-000038070000}"/>
    <cellStyle name="Currency 3 2 8 2 6 2" xfId="4949" xr:uid="{00000000-0005-0000-0000-000039070000}"/>
    <cellStyle name="Currency 3 2 8 2 6 2 2" xfId="11126" xr:uid="{D2861145-12E8-4402-93DC-12CEDC6676F5}"/>
    <cellStyle name="Currency 3 2 8 2 6 3" xfId="8046" xr:uid="{B43BE248-0E1B-4CFD-86CD-B656BD66C555}"/>
    <cellStyle name="Currency 3 2 8 2 7" xfId="3633" xr:uid="{00000000-0005-0000-0000-00003A070000}"/>
    <cellStyle name="Currency 3 2 8 2 7 2" xfId="9810" xr:uid="{ACB3E72E-1AE5-4C70-9300-6CC960E3F462}"/>
    <cellStyle name="Currency 3 2 8 2 8" xfId="986" xr:uid="{00000000-0005-0000-0000-00003B070000}"/>
    <cellStyle name="Currency 3 2 8 2 8 2" xfId="7163" xr:uid="{4E104A3D-B41B-43D8-9FBB-15AC5A0FFEC0}"/>
    <cellStyle name="Currency 3 2 8 2 9" xfId="6280" xr:uid="{9A07DFBA-0E72-4E17-B392-B5FBD88BC203}"/>
    <cellStyle name="Currency 3 2 8 3" xfId="147" xr:uid="{00000000-0005-0000-0000-00003C070000}"/>
    <cellStyle name="Currency 3 2 8 3 2" xfId="367" xr:uid="{00000000-0005-0000-0000-00003D070000}"/>
    <cellStyle name="Currency 3 2 8 3 2 2" xfId="808" xr:uid="{00000000-0005-0000-0000-00003E070000}"/>
    <cellStyle name="Currency 3 2 8 3 2 2 2" xfId="3456" xr:uid="{00000000-0005-0000-0000-00003F070000}"/>
    <cellStyle name="Currency 3 2 8 3 2 2 2 2" xfId="4950" xr:uid="{00000000-0005-0000-0000-000040070000}"/>
    <cellStyle name="Currency 3 2 8 3 2 2 2 2 2" xfId="11127" xr:uid="{0B33E67E-ED0A-4B4F-BFAB-B454682B0695}"/>
    <cellStyle name="Currency 3 2 8 3 2 2 2 3" xfId="9633" xr:uid="{BDA495B6-C962-4A17-A9D1-43EC87CFBC3D}"/>
    <cellStyle name="Currency 3 2 8 3 2 2 3" xfId="2574" xr:uid="{00000000-0005-0000-0000-000041070000}"/>
    <cellStyle name="Currency 3 2 8 3 2 2 3 2" xfId="4951" xr:uid="{00000000-0005-0000-0000-000042070000}"/>
    <cellStyle name="Currency 3 2 8 3 2 2 3 2 2" xfId="11128" xr:uid="{89F79FB3-19C3-4F4F-A970-BFD58CEC8EA0}"/>
    <cellStyle name="Currency 3 2 8 3 2 2 3 3" xfId="8751" xr:uid="{474ADB3C-E923-430D-A70B-6E4658523363}"/>
    <cellStyle name="Currency 3 2 8 3 2 2 4" xfId="4338" xr:uid="{00000000-0005-0000-0000-000043070000}"/>
    <cellStyle name="Currency 3 2 8 3 2 2 4 2" xfId="10515" xr:uid="{6F596B4C-DDD5-4400-ACAC-9CC1914C98D3}"/>
    <cellStyle name="Currency 3 2 8 3 2 2 5" xfId="1691" xr:uid="{00000000-0005-0000-0000-000044070000}"/>
    <cellStyle name="Currency 3 2 8 3 2 2 5 2" xfId="7868" xr:uid="{6C1C83B8-52C8-4F6A-8F9C-C6B3B650BD13}"/>
    <cellStyle name="Currency 3 2 8 3 2 2 6" xfId="6985" xr:uid="{BB694662-DF80-429C-9D57-A8A7E69E5A8B}"/>
    <cellStyle name="Currency 3 2 8 3 2 3" xfId="3015" xr:uid="{00000000-0005-0000-0000-000045070000}"/>
    <cellStyle name="Currency 3 2 8 3 2 3 2" xfId="4952" xr:uid="{00000000-0005-0000-0000-000046070000}"/>
    <cellStyle name="Currency 3 2 8 3 2 3 2 2" xfId="11129" xr:uid="{4FCDFAEC-FE73-466C-AFFF-CCFE9587BD51}"/>
    <cellStyle name="Currency 3 2 8 3 2 3 3" xfId="9192" xr:uid="{8156979D-DBA3-47DD-B307-89783FD731BB}"/>
    <cellStyle name="Currency 3 2 8 3 2 4" xfId="2133" xr:uid="{00000000-0005-0000-0000-000047070000}"/>
    <cellStyle name="Currency 3 2 8 3 2 4 2" xfId="4953" xr:uid="{00000000-0005-0000-0000-000048070000}"/>
    <cellStyle name="Currency 3 2 8 3 2 4 2 2" xfId="11130" xr:uid="{E1FE6BB7-E201-4F12-B192-3AEEF92F9E77}"/>
    <cellStyle name="Currency 3 2 8 3 2 4 3" xfId="8310" xr:uid="{6AA8E31D-57D8-4800-87F7-99F2914D50EC}"/>
    <cellStyle name="Currency 3 2 8 3 2 5" xfId="3897" xr:uid="{00000000-0005-0000-0000-000049070000}"/>
    <cellStyle name="Currency 3 2 8 3 2 5 2" xfId="10074" xr:uid="{EE769AFF-20AC-41B1-865C-CBFDD7308C76}"/>
    <cellStyle name="Currency 3 2 8 3 2 6" xfId="1250" xr:uid="{00000000-0005-0000-0000-00004A070000}"/>
    <cellStyle name="Currency 3 2 8 3 2 6 2" xfId="7427" xr:uid="{CD492E5D-046D-4D91-BE6A-C82CC785BC92}"/>
    <cellStyle name="Currency 3 2 8 3 2 7" xfId="6544" xr:uid="{2831FAB7-44BA-4743-92F4-810E83711DAA}"/>
    <cellStyle name="Currency 3 2 8 3 3" xfId="588" xr:uid="{00000000-0005-0000-0000-00004B070000}"/>
    <cellStyle name="Currency 3 2 8 3 3 2" xfId="3236" xr:uid="{00000000-0005-0000-0000-00004C070000}"/>
    <cellStyle name="Currency 3 2 8 3 3 2 2" xfId="4954" xr:uid="{00000000-0005-0000-0000-00004D070000}"/>
    <cellStyle name="Currency 3 2 8 3 3 2 2 2" xfId="11131" xr:uid="{A5F8DBF3-5DEB-425E-9322-8161FC103AD2}"/>
    <cellStyle name="Currency 3 2 8 3 3 2 3" xfId="9413" xr:uid="{AB996CE7-60ED-4C70-A36B-9A6E48C079E2}"/>
    <cellStyle name="Currency 3 2 8 3 3 3" xfId="2354" xr:uid="{00000000-0005-0000-0000-00004E070000}"/>
    <cellStyle name="Currency 3 2 8 3 3 3 2" xfId="4955" xr:uid="{00000000-0005-0000-0000-00004F070000}"/>
    <cellStyle name="Currency 3 2 8 3 3 3 2 2" xfId="11132" xr:uid="{F19BB9DA-4C1E-4EC8-924A-6B5366E9F6A8}"/>
    <cellStyle name="Currency 3 2 8 3 3 3 3" xfId="8531" xr:uid="{61BB0A09-C0DE-4711-A7C4-A8D4B2AB98CC}"/>
    <cellStyle name="Currency 3 2 8 3 3 4" xfId="4118" xr:uid="{00000000-0005-0000-0000-000050070000}"/>
    <cellStyle name="Currency 3 2 8 3 3 4 2" xfId="10295" xr:uid="{6720CE55-E0F4-4CE2-97FF-AE28A3FB6202}"/>
    <cellStyle name="Currency 3 2 8 3 3 5" xfId="1471" xr:uid="{00000000-0005-0000-0000-000051070000}"/>
    <cellStyle name="Currency 3 2 8 3 3 5 2" xfId="7648" xr:uid="{202D5FF0-96E3-4D7F-9C47-47793A8315E2}"/>
    <cellStyle name="Currency 3 2 8 3 3 6" xfId="6765" xr:uid="{0423E2C6-7493-4EE3-8C3E-DF2E92BC5A0D}"/>
    <cellStyle name="Currency 3 2 8 3 4" xfId="2795" xr:uid="{00000000-0005-0000-0000-000052070000}"/>
    <cellStyle name="Currency 3 2 8 3 4 2" xfId="4956" xr:uid="{00000000-0005-0000-0000-000053070000}"/>
    <cellStyle name="Currency 3 2 8 3 4 2 2" xfId="11133" xr:uid="{0A4DC9DD-7D26-4A95-8F2C-35D1D528617D}"/>
    <cellStyle name="Currency 3 2 8 3 4 3" xfId="8972" xr:uid="{51F51625-EAD9-497F-BDD1-6DD9CD9D7392}"/>
    <cellStyle name="Currency 3 2 8 3 5" xfId="1913" xr:uid="{00000000-0005-0000-0000-000054070000}"/>
    <cellStyle name="Currency 3 2 8 3 5 2" xfId="4957" xr:uid="{00000000-0005-0000-0000-000055070000}"/>
    <cellStyle name="Currency 3 2 8 3 5 2 2" xfId="11134" xr:uid="{74A75FA7-4705-4831-B4F0-58316C97493D}"/>
    <cellStyle name="Currency 3 2 8 3 5 3" xfId="8090" xr:uid="{3ED852B0-669B-43A6-89F4-CFAD6DE5BE9E}"/>
    <cellStyle name="Currency 3 2 8 3 6" xfId="3677" xr:uid="{00000000-0005-0000-0000-000056070000}"/>
    <cellStyle name="Currency 3 2 8 3 6 2" xfId="9854" xr:uid="{F923C2F0-AEA9-4ED6-A8A2-8CFCBDD05E6B}"/>
    <cellStyle name="Currency 3 2 8 3 7" xfId="1030" xr:uid="{00000000-0005-0000-0000-000057070000}"/>
    <cellStyle name="Currency 3 2 8 3 7 2" xfId="7207" xr:uid="{08DB181E-7488-4E52-9497-EC76EFA2C954}"/>
    <cellStyle name="Currency 3 2 8 3 8" xfId="6324" xr:uid="{98C3E7F9-B689-477A-A162-0DA85CE05705}"/>
    <cellStyle name="Currency 3 2 8 4" xfId="257" xr:uid="{00000000-0005-0000-0000-000058070000}"/>
    <cellStyle name="Currency 3 2 8 4 2" xfId="698" xr:uid="{00000000-0005-0000-0000-000059070000}"/>
    <cellStyle name="Currency 3 2 8 4 2 2" xfId="3346" xr:uid="{00000000-0005-0000-0000-00005A070000}"/>
    <cellStyle name="Currency 3 2 8 4 2 2 2" xfId="4958" xr:uid="{00000000-0005-0000-0000-00005B070000}"/>
    <cellStyle name="Currency 3 2 8 4 2 2 2 2" xfId="11135" xr:uid="{8161792D-77C2-4E6B-BB07-0226ACB4857B}"/>
    <cellStyle name="Currency 3 2 8 4 2 2 3" xfId="9523" xr:uid="{2FCA395F-0620-45E3-8CE5-6696FBBB4860}"/>
    <cellStyle name="Currency 3 2 8 4 2 3" xfId="2464" xr:uid="{00000000-0005-0000-0000-00005C070000}"/>
    <cellStyle name="Currency 3 2 8 4 2 3 2" xfId="4959" xr:uid="{00000000-0005-0000-0000-00005D070000}"/>
    <cellStyle name="Currency 3 2 8 4 2 3 2 2" xfId="11136" xr:uid="{D1C7A8C4-464C-41D8-937B-900F1F9F0B75}"/>
    <cellStyle name="Currency 3 2 8 4 2 3 3" xfId="8641" xr:uid="{A828CAC7-6869-442C-AA25-9EB6C547DB05}"/>
    <cellStyle name="Currency 3 2 8 4 2 4" xfId="4228" xr:uid="{00000000-0005-0000-0000-00005E070000}"/>
    <cellStyle name="Currency 3 2 8 4 2 4 2" xfId="10405" xr:uid="{753A7902-53F0-4BC4-AE1A-F9591B75ECB6}"/>
    <cellStyle name="Currency 3 2 8 4 2 5" xfId="1581" xr:uid="{00000000-0005-0000-0000-00005F070000}"/>
    <cellStyle name="Currency 3 2 8 4 2 5 2" xfId="7758" xr:uid="{B62590DC-3184-4F8A-A2A4-C0259B9B5D8C}"/>
    <cellStyle name="Currency 3 2 8 4 2 6" xfId="6875" xr:uid="{35A5A74D-81C0-4B22-8B5B-A5D8178910B2}"/>
    <cellStyle name="Currency 3 2 8 4 3" xfId="2905" xr:uid="{00000000-0005-0000-0000-000060070000}"/>
    <cellStyle name="Currency 3 2 8 4 3 2" xfId="4960" xr:uid="{00000000-0005-0000-0000-000061070000}"/>
    <cellStyle name="Currency 3 2 8 4 3 2 2" xfId="11137" xr:uid="{8D36020F-3920-4FE0-86A7-383442852431}"/>
    <cellStyle name="Currency 3 2 8 4 3 3" xfId="9082" xr:uid="{BFEDF41F-6899-4299-AE83-FF036A088760}"/>
    <cellStyle name="Currency 3 2 8 4 4" xfId="2023" xr:uid="{00000000-0005-0000-0000-000062070000}"/>
    <cellStyle name="Currency 3 2 8 4 4 2" xfId="4961" xr:uid="{00000000-0005-0000-0000-000063070000}"/>
    <cellStyle name="Currency 3 2 8 4 4 2 2" xfId="11138" xr:uid="{B763A425-95B1-41FB-9F07-C3023C4E9E73}"/>
    <cellStyle name="Currency 3 2 8 4 4 3" xfId="8200" xr:uid="{029B6EB2-CC2D-45F1-9426-DE689948AA5E}"/>
    <cellStyle name="Currency 3 2 8 4 5" xfId="3787" xr:uid="{00000000-0005-0000-0000-000064070000}"/>
    <cellStyle name="Currency 3 2 8 4 5 2" xfId="9964" xr:uid="{E1D96E5B-DBFA-4A76-B702-F4969F61FC22}"/>
    <cellStyle name="Currency 3 2 8 4 6" xfId="1140" xr:uid="{00000000-0005-0000-0000-000065070000}"/>
    <cellStyle name="Currency 3 2 8 4 6 2" xfId="7317" xr:uid="{87BBBF66-10E7-41A8-9723-175F052CBEBB}"/>
    <cellStyle name="Currency 3 2 8 4 7" xfId="6434" xr:uid="{4E7D036D-5C2B-4885-8929-28D8C144ED26}"/>
    <cellStyle name="Currency 3 2 8 5" xfId="478" xr:uid="{00000000-0005-0000-0000-000066070000}"/>
    <cellStyle name="Currency 3 2 8 5 2" xfId="3126" xr:uid="{00000000-0005-0000-0000-000067070000}"/>
    <cellStyle name="Currency 3 2 8 5 2 2" xfId="4962" xr:uid="{00000000-0005-0000-0000-000068070000}"/>
    <cellStyle name="Currency 3 2 8 5 2 2 2" xfId="11139" xr:uid="{4AC3A815-62EF-4B0D-B89F-121B5587B545}"/>
    <cellStyle name="Currency 3 2 8 5 2 3" xfId="9303" xr:uid="{C57D5941-6E18-44F0-8A96-4D6DE50D7313}"/>
    <cellStyle name="Currency 3 2 8 5 3" xfId="2244" xr:uid="{00000000-0005-0000-0000-000069070000}"/>
    <cellStyle name="Currency 3 2 8 5 3 2" xfId="4963" xr:uid="{00000000-0005-0000-0000-00006A070000}"/>
    <cellStyle name="Currency 3 2 8 5 3 2 2" xfId="11140" xr:uid="{4B0F6B21-677D-4A1A-884D-CB661796C9EC}"/>
    <cellStyle name="Currency 3 2 8 5 3 3" xfId="8421" xr:uid="{6796BF89-21DC-4413-A980-E1975717732B}"/>
    <cellStyle name="Currency 3 2 8 5 4" xfId="4008" xr:uid="{00000000-0005-0000-0000-00006B070000}"/>
    <cellStyle name="Currency 3 2 8 5 4 2" xfId="10185" xr:uid="{2544E2A3-BA2F-41BC-9196-96B35E497475}"/>
    <cellStyle name="Currency 3 2 8 5 5" xfId="1361" xr:uid="{00000000-0005-0000-0000-00006C070000}"/>
    <cellStyle name="Currency 3 2 8 5 5 2" xfId="7538" xr:uid="{FA85364B-53F5-49E7-BDE0-5687F39DE658}"/>
    <cellStyle name="Currency 3 2 8 5 6" xfId="6655" xr:uid="{F1696050-9742-41E2-86AC-B80BBFD9D215}"/>
    <cellStyle name="Currency 3 2 8 6" xfId="2685" xr:uid="{00000000-0005-0000-0000-00006D070000}"/>
    <cellStyle name="Currency 3 2 8 6 2" xfId="4964" xr:uid="{00000000-0005-0000-0000-00006E070000}"/>
    <cellStyle name="Currency 3 2 8 6 2 2" xfId="11141" xr:uid="{5952A46F-5B7F-48AD-843E-8092C6772CF1}"/>
    <cellStyle name="Currency 3 2 8 6 3" xfId="8862" xr:uid="{4F3361CA-BD28-4FC7-ADD0-9A1600682C97}"/>
    <cellStyle name="Currency 3 2 8 7" xfId="1803" xr:uid="{00000000-0005-0000-0000-00006F070000}"/>
    <cellStyle name="Currency 3 2 8 7 2" xfId="4965" xr:uid="{00000000-0005-0000-0000-000070070000}"/>
    <cellStyle name="Currency 3 2 8 7 2 2" xfId="11142" xr:uid="{DF3B5C61-09B1-47ED-9D9F-A67A8EE18B66}"/>
    <cellStyle name="Currency 3 2 8 7 3" xfId="7980" xr:uid="{7373378A-BBE7-4F0D-92E3-7C54C01B702A}"/>
    <cellStyle name="Currency 3 2 8 8" xfId="3567" xr:uid="{00000000-0005-0000-0000-000071070000}"/>
    <cellStyle name="Currency 3 2 8 8 2" xfId="9744" xr:uid="{5933170E-890F-4C79-BE40-D8CA024FBF09}"/>
    <cellStyle name="Currency 3 2 8 9" xfId="920" xr:uid="{00000000-0005-0000-0000-000072070000}"/>
    <cellStyle name="Currency 3 2 8 9 2" xfId="7097" xr:uid="{DC08A29D-D9B7-483A-930C-7C754BD05406}"/>
    <cellStyle name="Currency 3 2 9" xfId="43" xr:uid="{00000000-0005-0000-0000-000073070000}"/>
    <cellStyle name="Currency 3 2 9 2" xfId="153" xr:uid="{00000000-0005-0000-0000-000074070000}"/>
    <cellStyle name="Currency 3 2 9 2 2" xfId="373" xr:uid="{00000000-0005-0000-0000-000075070000}"/>
    <cellStyle name="Currency 3 2 9 2 2 2" xfId="814" xr:uid="{00000000-0005-0000-0000-000076070000}"/>
    <cellStyle name="Currency 3 2 9 2 2 2 2" xfId="3462" xr:uid="{00000000-0005-0000-0000-000077070000}"/>
    <cellStyle name="Currency 3 2 9 2 2 2 2 2" xfId="4966" xr:uid="{00000000-0005-0000-0000-000078070000}"/>
    <cellStyle name="Currency 3 2 9 2 2 2 2 2 2" xfId="11143" xr:uid="{C83E4C8B-5897-4D25-9EAC-1563FB31C02F}"/>
    <cellStyle name="Currency 3 2 9 2 2 2 2 3" xfId="9639" xr:uid="{B2DDC6BE-5FEF-4EA2-900C-CD9305A2AC8A}"/>
    <cellStyle name="Currency 3 2 9 2 2 2 3" xfId="2580" xr:uid="{00000000-0005-0000-0000-000079070000}"/>
    <cellStyle name="Currency 3 2 9 2 2 2 3 2" xfId="4967" xr:uid="{00000000-0005-0000-0000-00007A070000}"/>
    <cellStyle name="Currency 3 2 9 2 2 2 3 2 2" xfId="11144" xr:uid="{EB1D6867-16FB-4C15-B3A8-92FEF39928F5}"/>
    <cellStyle name="Currency 3 2 9 2 2 2 3 3" xfId="8757" xr:uid="{ED35ACD7-5B1E-408D-82F7-97BFD8A1F1D1}"/>
    <cellStyle name="Currency 3 2 9 2 2 2 4" xfId="4344" xr:uid="{00000000-0005-0000-0000-00007B070000}"/>
    <cellStyle name="Currency 3 2 9 2 2 2 4 2" xfId="10521" xr:uid="{BF87FCBC-3208-4AE9-AE15-5748BC9B3185}"/>
    <cellStyle name="Currency 3 2 9 2 2 2 5" xfId="1697" xr:uid="{00000000-0005-0000-0000-00007C070000}"/>
    <cellStyle name="Currency 3 2 9 2 2 2 5 2" xfId="7874" xr:uid="{E53EBAA6-EBB9-44FE-A36D-BFA220220493}"/>
    <cellStyle name="Currency 3 2 9 2 2 2 6" xfId="6991" xr:uid="{D2A375FD-AE81-430A-B11B-66E4D9D4CB3B}"/>
    <cellStyle name="Currency 3 2 9 2 2 3" xfId="3021" xr:uid="{00000000-0005-0000-0000-00007D070000}"/>
    <cellStyle name="Currency 3 2 9 2 2 3 2" xfId="4968" xr:uid="{00000000-0005-0000-0000-00007E070000}"/>
    <cellStyle name="Currency 3 2 9 2 2 3 2 2" xfId="11145" xr:uid="{D96C01C6-D555-4F47-905E-6D5FE0DCF757}"/>
    <cellStyle name="Currency 3 2 9 2 2 3 3" xfId="9198" xr:uid="{2783D055-7BD1-4669-811A-D1896DC4EDE1}"/>
    <cellStyle name="Currency 3 2 9 2 2 4" xfId="2139" xr:uid="{00000000-0005-0000-0000-00007F070000}"/>
    <cellStyle name="Currency 3 2 9 2 2 4 2" xfId="4969" xr:uid="{00000000-0005-0000-0000-000080070000}"/>
    <cellStyle name="Currency 3 2 9 2 2 4 2 2" xfId="11146" xr:uid="{3702FEB1-235D-4511-92F8-8A90BC2E1A84}"/>
    <cellStyle name="Currency 3 2 9 2 2 4 3" xfId="8316" xr:uid="{67E5445C-4890-4DC2-85EF-F9FA015D92AD}"/>
    <cellStyle name="Currency 3 2 9 2 2 5" xfId="3903" xr:uid="{00000000-0005-0000-0000-000081070000}"/>
    <cellStyle name="Currency 3 2 9 2 2 5 2" xfId="10080" xr:uid="{A9B5013F-6E44-4BDE-8CA5-4ED98C034B7E}"/>
    <cellStyle name="Currency 3 2 9 2 2 6" xfId="1256" xr:uid="{00000000-0005-0000-0000-000082070000}"/>
    <cellStyle name="Currency 3 2 9 2 2 6 2" xfId="7433" xr:uid="{3EA31964-99CF-4914-9754-7290D1D2DD65}"/>
    <cellStyle name="Currency 3 2 9 2 2 7" xfId="6550" xr:uid="{A08EF9F2-0DBE-4E1E-95A3-645F882DE086}"/>
    <cellStyle name="Currency 3 2 9 2 3" xfId="594" xr:uid="{00000000-0005-0000-0000-000083070000}"/>
    <cellStyle name="Currency 3 2 9 2 3 2" xfId="3242" xr:uid="{00000000-0005-0000-0000-000084070000}"/>
    <cellStyle name="Currency 3 2 9 2 3 2 2" xfId="4970" xr:uid="{00000000-0005-0000-0000-000085070000}"/>
    <cellStyle name="Currency 3 2 9 2 3 2 2 2" xfId="11147" xr:uid="{E6A5486C-7B87-4217-B629-809616A0FD5E}"/>
    <cellStyle name="Currency 3 2 9 2 3 2 3" xfId="9419" xr:uid="{81D6587C-23F2-4146-9AFF-0611F2ED2439}"/>
    <cellStyle name="Currency 3 2 9 2 3 3" xfId="2360" xr:uid="{00000000-0005-0000-0000-000086070000}"/>
    <cellStyle name="Currency 3 2 9 2 3 3 2" xfId="4971" xr:uid="{00000000-0005-0000-0000-000087070000}"/>
    <cellStyle name="Currency 3 2 9 2 3 3 2 2" xfId="11148" xr:uid="{071F9C69-D424-4AC2-9DBF-CF3EBC4981AC}"/>
    <cellStyle name="Currency 3 2 9 2 3 3 3" xfId="8537" xr:uid="{F3DA8D12-23D6-44F1-953A-F0CC27A54511}"/>
    <cellStyle name="Currency 3 2 9 2 3 4" xfId="4124" xr:uid="{00000000-0005-0000-0000-000088070000}"/>
    <cellStyle name="Currency 3 2 9 2 3 4 2" xfId="10301" xr:uid="{9BACCE98-E33D-4B13-B9D6-D0AD690C3DB9}"/>
    <cellStyle name="Currency 3 2 9 2 3 5" xfId="1477" xr:uid="{00000000-0005-0000-0000-000089070000}"/>
    <cellStyle name="Currency 3 2 9 2 3 5 2" xfId="7654" xr:uid="{E85715BA-73EE-4201-8B05-B640C55CEB40}"/>
    <cellStyle name="Currency 3 2 9 2 3 6" xfId="6771" xr:uid="{C6A6AF2C-0501-41E9-A9FD-BF7118D41D81}"/>
    <cellStyle name="Currency 3 2 9 2 4" xfId="2801" xr:uid="{00000000-0005-0000-0000-00008A070000}"/>
    <cellStyle name="Currency 3 2 9 2 4 2" xfId="4972" xr:uid="{00000000-0005-0000-0000-00008B070000}"/>
    <cellStyle name="Currency 3 2 9 2 4 2 2" xfId="11149" xr:uid="{71F806F0-E0AA-4D17-9D25-DA78238983C3}"/>
    <cellStyle name="Currency 3 2 9 2 4 3" xfId="8978" xr:uid="{C93C7366-3EF4-445A-92E9-7376F0322423}"/>
    <cellStyle name="Currency 3 2 9 2 5" xfId="1919" xr:uid="{00000000-0005-0000-0000-00008C070000}"/>
    <cellStyle name="Currency 3 2 9 2 5 2" xfId="4973" xr:uid="{00000000-0005-0000-0000-00008D070000}"/>
    <cellStyle name="Currency 3 2 9 2 5 2 2" xfId="11150" xr:uid="{9A8A57E0-CBF0-4EC7-B837-4DED06227F2B}"/>
    <cellStyle name="Currency 3 2 9 2 5 3" xfId="8096" xr:uid="{3C6DEBF0-01EA-414B-A2AB-5B2596959537}"/>
    <cellStyle name="Currency 3 2 9 2 6" xfId="3683" xr:uid="{00000000-0005-0000-0000-00008E070000}"/>
    <cellStyle name="Currency 3 2 9 2 6 2" xfId="9860" xr:uid="{E46613F3-8E84-4DCF-8DF7-E905161FDF0A}"/>
    <cellStyle name="Currency 3 2 9 2 7" xfId="1036" xr:uid="{00000000-0005-0000-0000-00008F070000}"/>
    <cellStyle name="Currency 3 2 9 2 7 2" xfId="7213" xr:uid="{B55A870B-78B6-42BA-9CEB-5B61FE8B860B}"/>
    <cellStyle name="Currency 3 2 9 2 8" xfId="6330" xr:uid="{355E368E-DCB5-49FF-BED0-09FCE3F4CFCB}"/>
    <cellStyle name="Currency 3 2 9 3" xfId="263" xr:uid="{00000000-0005-0000-0000-000090070000}"/>
    <cellStyle name="Currency 3 2 9 3 2" xfId="704" xr:uid="{00000000-0005-0000-0000-000091070000}"/>
    <cellStyle name="Currency 3 2 9 3 2 2" xfId="3352" xr:uid="{00000000-0005-0000-0000-000092070000}"/>
    <cellStyle name="Currency 3 2 9 3 2 2 2" xfId="4974" xr:uid="{00000000-0005-0000-0000-000093070000}"/>
    <cellStyle name="Currency 3 2 9 3 2 2 2 2" xfId="11151" xr:uid="{BE9B0117-77D0-4CCF-83BF-8C5A2ACEE633}"/>
    <cellStyle name="Currency 3 2 9 3 2 2 3" xfId="9529" xr:uid="{DA6138CD-A1DC-43D6-9927-4FAE9C524B72}"/>
    <cellStyle name="Currency 3 2 9 3 2 3" xfId="2470" xr:uid="{00000000-0005-0000-0000-000094070000}"/>
    <cellStyle name="Currency 3 2 9 3 2 3 2" xfId="4975" xr:uid="{00000000-0005-0000-0000-000095070000}"/>
    <cellStyle name="Currency 3 2 9 3 2 3 2 2" xfId="11152" xr:uid="{0E062065-D64D-47D2-8E67-6414B47619E0}"/>
    <cellStyle name="Currency 3 2 9 3 2 3 3" xfId="8647" xr:uid="{13252FB7-5DC6-418B-9091-636CE3BADCD3}"/>
    <cellStyle name="Currency 3 2 9 3 2 4" xfId="4234" xr:uid="{00000000-0005-0000-0000-000096070000}"/>
    <cellStyle name="Currency 3 2 9 3 2 4 2" xfId="10411" xr:uid="{33175CC1-2596-4646-A24B-E013C50B42DC}"/>
    <cellStyle name="Currency 3 2 9 3 2 5" xfId="1587" xr:uid="{00000000-0005-0000-0000-000097070000}"/>
    <cellStyle name="Currency 3 2 9 3 2 5 2" xfId="7764" xr:uid="{290EE490-A060-4090-9366-249CB7CDAB7D}"/>
    <cellStyle name="Currency 3 2 9 3 2 6" xfId="6881" xr:uid="{23DE0E6F-24A8-475F-A474-4229492920B4}"/>
    <cellStyle name="Currency 3 2 9 3 3" xfId="2911" xr:uid="{00000000-0005-0000-0000-000098070000}"/>
    <cellStyle name="Currency 3 2 9 3 3 2" xfId="4976" xr:uid="{00000000-0005-0000-0000-000099070000}"/>
    <cellStyle name="Currency 3 2 9 3 3 2 2" xfId="11153" xr:uid="{64344465-2489-4A83-8FFA-BEE63E3B9C7C}"/>
    <cellStyle name="Currency 3 2 9 3 3 3" xfId="9088" xr:uid="{80AD2462-05E2-46E4-9BA6-9D8CB536DAA7}"/>
    <cellStyle name="Currency 3 2 9 3 4" xfId="2029" xr:uid="{00000000-0005-0000-0000-00009A070000}"/>
    <cellStyle name="Currency 3 2 9 3 4 2" xfId="4977" xr:uid="{00000000-0005-0000-0000-00009B070000}"/>
    <cellStyle name="Currency 3 2 9 3 4 2 2" xfId="11154" xr:uid="{2B9D1EA3-3A29-4286-8C2B-13459A02CB8F}"/>
    <cellStyle name="Currency 3 2 9 3 4 3" xfId="8206" xr:uid="{2B5493E6-876C-42FE-92A4-ED22DA4B871A}"/>
    <cellStyle name="Currency 3 2 9 3 5" xfId="3793" xr:uid="{00000000-0005-0000-0000-00009C070000}"/>
    <cellStyle name="Currency 3 2 9 3 5 2" xfId="9970" xr:uid="{55DF277C-C4C8-42DA-BDE8-BB0923EDC867}"/>
    <cellStyle name="Currency 3 2 9 3 6" xfId="1146" xr:uid="{00000000-0005-0000-0000-00009D070000}"/>
    <cellStyle name="Currency 3 2 9 3 6 2" xfId="7323" xr:uid="{A573EDF8-A5E1-437A-96A8-97958DBD21D5}"/>
    <cellStyle name="Currency 3 2 9 3 7" xfId="6440" xr:uid="{E5721A51-63D7-4112-B71E-9FBF0A33A922}"/>
    <cellStyle name="Currency 3 2 9 4" xfId="484" xr:uid="{00000000-0005-0000-0000-00009E070000}"/>
    <cellStyle name="Currency 3 2 9 4 2" xfId="3132" xr:uid="{00000000-0005-0000-0000-00009F070000}"/>
    <cellStyle name="Currency 3 2 9 4 2 2" xfId="4978" xr:uid="{00000000-0005-0000-0000-0000A0070000}"/>
    <cellStyle name="Currency 3 2 9 4 2 2 2" xfId="11155" xr:uid="{4232DE71-647E-4087-AA2C-6224CC49AEAE}"/>
    <cellStyle name="Currency 3 2 9 4 2 3" xfId="9309" xr:uid="{048A3170-4204-4A5F-8F88-ABD5F62DF05F}"/>
    <cellStyle name="Currency 3 2 9 4 3" xfId="2250" xr:uid="{00000000-0005-0000-0000-0000A1070000}"/>
    <cellStyle name="Currency 3 2 9 4 3 2" xfId="4979" xr:uid="{00000000-0005-0000-0000-0000A2070000}"/>
    <cellStyle name="Currency 3 2 9 4 3 2 2" xfId="11156" xr:uid="{DAA5F827-55BE-4E16-B415-E1B762DC572F}"/>
    <cellStyle name="Currency 3 2 9 4 3 3" xfId="8427" xr:uid="{D481F6BC-569E-48A2-AA27-208E2EFB5365}"/>
    <cellStyle name="Currency 3 2 9 4 4" xfId="4014" xr:uid="{00000000-0005-0000-0000-0000A3070000}"/>
    <cellStyle name="Currency 3 2 9 4 4 2" xfId="10191" xr:uid="{F251D941-F7C6-451C-85E7-C8F38818BE78}"/>
    <cellStyle name="Currency 3 2 9 4 5" xfId="1367" xr:uid="{00000000-0005-0000-0000-0000A4070000}"/>
    <cellStyle name="Currency 3 2 9 4 5 2" xfId="7544" xr:uid="{C7126D1D-F8E9-4C54-8129-BCBFBC4FCE79}"/>
    <cellStyle name="Currency 3 2 9 4 6" xfId="6661" xr:uid="{D9E0D69E-C115-4B84-8E4A-7B2012EF6A40}"/>
    <cellStyle name="Currency 3 2 9 5" xfId="2691" xr:uid="{00000000-0005-0000-0000-0000A5070000}"/>
    <cellStyle name="Currency 3 2 9 5 2" xfId="4980" xr:uid="{00000000-0005-0000-0000-0000A6070000}"/>
    <cellStyle name="Currency 3 2 9 5 2 2" xfId="11157" xr:uid="{8CB7C26B-B9A3-4E88-AB7A-C9C0B9AAC006}"/>
    <cellStyle name="Currency 3 2 9 5 3" xfId="8868" xr:uid="{DFE5C4BA-C312-4D92-B1A1-BAFC6C34BEE6}"/>
    <cellStyle name="Currency 3 2 9 6" xfId="1809" xr:uid="{00000000-0005-0000-0000-0000A7070000}"/>
    <cellStyle name="Currency 3 2 9 6 2" xfId="4981" xr:uid="{00000000-0005-0000-0000-0000A8070000}"/>
    <cellStyle name="Currency 3 2 9 6 2 2" xfId="11158" xr:uid="{99509586-912B-49C6-8FEE-463F59363E63}"/>
    <cellStyle name="Currency 3 2 9 6 3" xfId="7986" xr:uid="{7871389B-8A17-4F0A-994D-1D4A6D2EDAA8}"/>
    <cellStyle name="Currency 3 2 9 7" xfId="3573" xr:uid="{00000000-0005-0000-0000-0000A9070000}"/>
    <cellStyle name="Currency 3 2 9 7 2" xfId="9750" xr:uid="{A9A2F28A-0CFE-48EF-99BA-572958A450D1}"/>
    <cellStyle name="Currency 3 2 9 8" xfId="926" xr:uid="{00000000-0005-0000-0000-0000AA070000}"/>
    <cellStyle name="Currency 3 2 9 8 2" xfId="7103" xr:uid="{42926FA0-BA5D-49F9-A672-66E17FF0FE78}"/>
    <cellStyle name="Currency 3 2 9 9" xfId="6220" xr:uid="{98B91D27-9251-45D0-86E8-5B73CB2EA64C}"/>
    <cellStyle name="Currency 4" xfId="113" xr:uid="{00000000-0005-0000-0000-0000AB070000}"/>
    <cellStyle name="Currency 4 2" xfId="223" xr:uid="{00000000-0005-0000-0000-0000AC070000}"/>
    <cellStyle name="Currency 4 2 2" xfId="443" xr:uid="{00000000-0005-0000-0000-0000AD070000}"/>
    <cellStyle name="Currency 4 2 2 2" xfId="884" xr:uid="{00000000-0005-0000-0000-0000AE070000}"/>
    <cellStyle name="Currency 4 2 2 2 2" xfId="3532" xr:uid="{00000000-0005-0000-0000-0000AF070000}"/>
    <cellStyle name="Currency 4 2 2 2 2 2" xfId="4982" xr:uid="{00000000-0005-0000-0000-0000B0070000}"/>
    <cellStyle name="Currency 4 2 2 2 2 2 2" xfId="11159" xr:uid="{5E15C3EC-7EBF-419A-811C-84E190A0861A}"/>
    <cellStyle name="Currency 4 2 2 2 2 3" xfId="9709" xr:uid="{67DA3F14-4A09-4392-87F7-994B5D11CFDE}"/>
    <cellStyle name="Currency 4 2 2 2 3" xfId="2650" xr:uid="{00000000-0005-0000-0000-0000B1070000}"/>
    <cellStyle name="Currency 4 2 2 2 3 2" xfId="4983" xr:uid="{00000000-0005-0000-0000-0000B2070000}"/>
    <cellStyle name="Currency 4 2 2 2 3 2 2" xfId="11160" xr:uid="{14E87A65-31D0-4517-834E-DCA2C84F210E}"/>
    <cellStyle name="Currency 4 2 2 2 3 3" xfId="8827" xr:uid="{DAC51C3F-B325-4F3D-BC70-3243DA61EDDF}"/>
    <cellStyle name="Currency 4 2 2 2 4" xfId="4414" xr:uid="{00000000-0005-0000-0000-0000B3070000}"/>
    <cellStyle name="Currency 4 2 2 2 4 2" xfId="10591" xr:uid="{6B5F8A80-11D1-47F1-BA0E-8D0A829A9D4A}"/>
    <cellStyle name="Currency 4 2 2 2 5" xfId="1767" xr:uid="{00000000-0005-0000-0000-0000B4070000}"/>
    <cellStyle name="Currency 4 2 2 2 5 2" xfId="7944" xr:uid="{2E33700C-85BD-41CB-8CEE-E630918F038E}"/>
    <cellStyle name="Currency 4 2 2 2 6" xfId="7061" xr:uid="{798B2726-33C1-4465-A010-9A2D86CE7A83}"/>
    <cellStyle name="Currency 4 2 2 3" xfId="3091" xr:uid="{00000000-0005-0000-0000-0000B5070000}"/>
    <cellStyle name="Currency 4 2 2 3 2" xfId="4984" xr:uid="{00000000-0005-0000-0000-0000B6070000}"/>
    <cellStyle name="Currency 4 2 2 3 2 2" xfId="11161" xr:uid="{1DC700A0-06C0-409C-BCC7-8AC5E01D2FEB}"/>
    <cellStyle name="Currency 4 2 2 3 3" xfId="9268" xr:uid="{FE47FA98-DB87-43BA-B224-D06BD095C7BE}"/>
    <cellStyle name="Currency 4 2 2 4" xfId="2209" xr:uid="{00000000-0005-0000-0000-0000B7070000}"/>
    <cellStyle name="Currency 4 2 2 4 2" xfId="4985" xr:uid="{00000000-0005-0000-0000-0000B8070000}"/>
    <cellStyle name="Currency 4 2 2 4 2 2" xfId="11162" xr:uid="{E5BF53DA-1BEA-4F75-9009-E925326C8055}"/>
    <cellStyle name="Currency 4 2 2 4 3" xfId="8386" xr:uid="{85E3B96F-291D-4466-89DA-3109CC4929EB}"/>
    <cellStyle name="Currency 4 2 2 5" xfId="3973" xr:uid="{00000000-0005-0000-0000-0000B9070000}"/>
    <cellStyle name="Currency 4 2 2 5 2" xfId="10150" xr:uid="{AF132024-FC97-4EA0-82EF-716B40470A09}"/>
    <cellStyle name="Currency 4 2 2 6" xfId="1326" xr:uid="{00000000-0005-0000-0000-0000BA070000}"/>
    <cellStyle name="Currency 4 2 2 6 2" xfId="7503" xr:uid="{5E61E3BC-F675-4E7F-9C65-0FA6C24FDB35}"/>
    <cellStyle name="Currency 4 2 2 7" xfId="6620" xr:uid="{0C4B8C9D-7F6F-4F01-9889-054E62D397BA}"/>
    <cellStyle name="Currency 4 2 3" xfId="664" xr:uid="{00000000-0005-0000-0000-0000BB070000}"/>
    <cellStyle name="Currency 4 2 3 2" xfId="3312" xr:uid="{00000000-0005-0000-0000-0000BC070000}"/>
    <cellStyle name="Currency 4 2 3 2 2" xfId="4986" xr:uid="{00000000-0005-0000-0000-0000BD070000}"/>
    <cellStyle name="Currency 4 2 3 2 2 2" xfId="11163" xr:uid="{C752ECBA-6BA5-4CDD-8023-88A8CDB9D2F0}"/>
    <cellStyle name="Currency 4 2 3 2 3" xfId="9489" xr:uid="{85B853C8-3ADC-4C18-9043-E1ABE3AF8334}"/>
    <cellStyle name="Currency 4 2 3 3" xfId="2430" xr:uid="{00000000-0005-0000-0000-0000BE070000}"/>
    <cellStyle name="Currency 4 2 3 3 2" xfId="4987" xr:uid="{00000000-0005-0000-0000-0000BF070000}"/>
    <cellStyle name="Currency 4 2 3 3 2 2" xfId="11164" xr:uid="{92588D11-4D18-49B5-88BD-F3C844F8E248}"/>
    <cellStyle name="Currency 4 2 3 3 3" xfId="8607" xr:uid="{7A1FDCF4-EB25-4D8D-B190-434544DF6731}"/>
    <cellStyle name="Currency 4 2 3 4" xfId="4194" xr:uid="{00000000-0005-0000-0000-0000C0070000}"/>
    <cellStyle name="Currency 4 2 3 4 2" xfId="10371" xr:uid="{FED611D8-C0E9-4A74-BA5E-9CA92FB690D1}"/>
    <cellStyle name="Currency 4 2 3 5" xfId="1547" xr:uid="{00000000-0005-0000-0000-0000C1070000}"/>
    <cellStyle name="Currency 4 2 3 5 2" xfId="7724" xr:uid="{3E5F7EDB-5846-4C19-A847-724D0AAEC477}"/>
    <cellStyle name="Currency 4 2 3 6" xfId="6841" xr:uid="{EB38150D-EE55-4900-816F-36648E4C6485}"/>
    <cellStyle name="Currency 4 2 4" xfId="2871" xr:uid="{00000000-0005-0000-0000-0000C2070000}"/>
    <cellStyle name="Currency 4 2 4 2" xfId="4988" xr:uid="{00000000-0005-0000-0000-0000C3070000}"/>
    <cellStyle name="Currency 4 2 4 2 2" xfId="11165" xr:uid="{1EE4FD28-9608-4380-A870-5B6446BBE2BA}"/>
    <cellStyle name="Currency 4 2 4 3" xfId="9048" xr:uid="{B27B4E2C-BA1A-46BF-8D76-F84A578F1E36}"/>
    <cellStyle name="Currency 4 2 5" xfId="1989" xr:uid="{00000000-0005-0000-0000-0000C4070000}"/>
    <cellStyle name="Currency 4 2 5 2" xfId="4989" xr:uid="{00000000-0005-0000-0000-0000C5070000}"/>
    <cellStyle name="Currency 4 2 5 2 2" xfId="11166" xr:uid="{6F90E1CF-41E8-4851-8C8C-1C9766D270AD}"/>
    <cellStyle name="Currency 4 2 5 3" xfId="8166" xr:uid="{85D11B5F-2601-4295-9C9F-F30FF9305858}"/>
    <cellStyle name="Currency 4 2 6" xfId="3753" xr:uid="{00000000-0005-0000-0000-0000C6070000}"/>
    <cellStyle name="Currency 4 2 6 2" xfId="9930" xr:uid="{F25966AD-4636-4D5E-A5B5-AE58BFC17C5D}"/>
    <cellStyle name="Currency 4 2 7" xfId="1106" xr:uid="{00000000-0005-0000-0000-0000C7070000}"/>
    <cellStyle name="Currency 4 2 7 2" xfId="7283" xr:uid="{995F746A-BF21-491A-B9FE-1901AAF39E5F}"/>
    <cellStyle name="Currency 4 2 8" xfId="6400" xr:uid="{670530EC-D5CB-471B-9323-E972BB41BD32}"/>
    <cellStyle name="Currency 4 3" xfId="333" xr:uid="{00000000-0005-0000-0000-0000C8070000}"/>
    <cellStyle name="Currency 4 3 2" xfId="774" xr:uid="{00000000-0005-0000-0000-0000C9070000}"/>
    <cellStyle name="Currency 4 3 2 2" xfId="3422" xr:uid="{00000000-0005-0000-0000-0000CA070000}"/>
    <cellStyle name="Currency 4 3 2 2 2" xfId="4990" xr:uid="{00000000-0005-0000-0000-0000CB070000}"/>
    <cellStyle name="Currency 4 3 2 2 2 2" xfId="11167" xr:uid="{366EDC01-0D94-4289-B02F-AB28BC1B5DB4}"/>
    <cellStyle name="Currency 4 3 2 2 3" xfId="9599" xr:uid="{7CB361B2-5F19-49F0-8B30-87BD04EFDE03}"/>
    <cellStyle name="Currency 4 3 2 3" xfId="2540" xr:uid="{00000000-0005-0000-0000-0000CC070000}"/>
    <cellStyle name="Currency 4 3 2 3 2" xfId="4991" xr:uid="{00000000-0005-0000-0000-0000CD070000}"/>
    <cellStyle name="Currency 4 3 2 3 2 2" xfId="11168" xr:uid="{A54522E2-CFCB-4AC6-8AA4-72DC9601C30E}"/>
    <cellStyle name="Currency 4 3 2 3 3" xfId="8717" xr:uid="{8B784C2B-39E6-4920-A3F3-0A00573A162E}"/>
    <cellStyle name="Currency 4 3 2 4" xfId="4304" xr:uid="{00000000-0005-0000-0000-0000CE070000}"/>
    <cellStyle name="Currency 4 3 2 4 2" xfId="10481" xr:uid="{F8D14F1E-2413-4CC7-964B-C5C8CC9AF07F}"/>
    <cellStyle name="Currency 4 3 2 5" xfId="1657" xr:uid="{00000000-0005-0000-0000-0000CF070000}"/>
    <cellStyle name="Currency 4 3 2 5 2" xfId="7834" xr:uid="{ED865415-B38A-4228-AB0E-DD18741FCA16}"/>
    <cellStyle name="Currency 4 3 2 6" xfId="6951" xr:uid="{DF77DAFF-37A4-491D-BE49-4B64461E8AA1}"/>
    <cellStyle name="Currency 4 3 3" xfId="2981" xr:uid="{00000000-0005-0000-0000-0000D0070000}"/>
    <cellStyle name="Currency 4 3 3 2" xfId="4992" xr:uid="{00000000-0005-0000-0000-0000D1070000}"/>
    <cellStyle name="Currency 4 3 3 2 2" xfId="11169" xr:uid="{68CFB47E-0D0B-46C6-A51A-17BA17F12F5B}"/>
    <cellStyle name="Currency 4 3 3 3" xfId="9158" xr:uid="{A3D101BF-E09E-49E0-9051-711116E5213F}"/>
    <cellStyle name="Currency 4 3 4" xfId="2099" xr:uid="{00000000-0005-0000-0000-0000D2070000}"/>
    <cellStyle name="Currency 4 3 4 2" xfId="4993" xr:uid="{00000000-0005-0000-0000-0000D3070000}"/>
    <cellStyle name="Currency 4 3 4 2 2" xfId="11170" xr:uid="{B587D859-53EE-49F4-8877-13C13FD1ED9F}"/>
    <cellStyle name="Currency 4 3 4 3" xfId="8276" xr:uid="{2C879426-93C9-44B1-BE13-1D26A17AEBFD}"/>
    <cellStyle name="Currency 4 3 5" xfId="3863" xr:uid="{00000000-0005-0000-0000-0000D4070000}"/>
    <cellStyle name="Currency 4 3 5 2" xfId="10040" xr:uid="{E8D004E9-8A96-4057-BD59-2F32A33C190B}"/>
    <cellStyle name="Currency 4 3 6" xfId="1216" xr:uid="{00000000-0005-0000-0000-0000D5070000}"/>
    <cellStyle name="Currency 4 3 6 2" xfId="7393" xr:uid="{812998C3-2C38-4901-AB89-9D193655833A}"/>
    <cellStyle name="Currency 4 3 7" xfId="6510" xr:uid="{E7B422B4-3E89-4308-A481-FA1DFE83CDBB}"/>
    <cellStyle name="Currency 4 4" xfId="554" xr:uid="{00000000-0005-0000-0000-0000D6070000}"/>
    <cellStyle name="Currency 4 4 2" xfId="3202" xr:uid="{00000000-0005-0000-0000-0000D7070000}"/>
    <cellStyle name="Currency 4 4 2 2" xfId="4994" xr:uid="{00000000-0005-0000-0000-0000D8070000}"/>
    <cellStyle name="Currency 4 4 2 2 2" xfId="11171" xr:uid="{9A28F422-2CC7-46C1-84C1-8DBE9339D86F}"/>
    <cellStyle name="Currency 4 4 2 3" xfId="9379" xr:uid="{CC9DCC38-AE4A-4396-8A3C-08325B058C49}"/>
    <cellStyle name="Currency 4 4 3" xfId="2320" xr:uid="{00000000-0005-0000-0000-0000D9070000}"/>
    <cellStyle name="Currency 4 4 3 2" xfId="4995" xr:uid="{00000000-0005-0000-0000-0000DA070000}"/>
    <cellStyle name="Currency 4 4 3 2 2" xfId="11172" xr:uid="{D8D9D7CA-6764-4DC9-8A0C-29C18516F9A8}"/>
    <cellStyle name="Currency 4 4 3 3" xfId="8497" xr:uid="{E4F7D1F3-3EBB-418C-8656-71A89169A350}"/>
    <cellStyle name="Currency 4 4 4" xfId="4084" xr:uid="{00000000-0005-0000-0000-0000DB070000}"/>
    <cellStyle name="Currency 4 4 4 2" xfId="10261" xr:uid="{DE179A04-ACF3-49E0-B930-FFB28A813D99}"/>
    <cellStyle name="Currency 4 4 5" xfId="1437" xr:uid="{00000000-0005-0000-0000-0000DC070000}"/>
    <cellStyle name="Currency 4 4 5 2" xfId="7614" xr:uid="{474B7C32-FD27-4918-AAD7-D4A7886BBDCB}"/>
    <cellStyle name="Currency 4 4 6" xfId="6731" xr:uid="{493CE983-3B51-4051-A4A5-FB592F07C63E}"/>
    <cellStyle name="Currency 4 5" xfId="2761" xr:uid="{00000000-0005-0000-0000-0000DD070000}"/>
    <cellStyle name="Currency 4 5 2" xfId="4996" xr:uid="{00000000-0005-0000-0000-0000DE070000}"/>
    <cellStyle name="Currency 4 5 2 2" xfId="11173" xr:uid="{CA775BC2-5909-48BB-931F-E33EE6854405}"/>
    <cellStyle name="Currency 4 5 3" xfId="8938" xr:uid="{C6A7D215-BF37-4141-B338-0953382578FC}"/>
    <cellStyle name="Currency 4 6" xfId="1879" xr:uid="{00000000-0005-0000-0000-0000DF070000}"/>
    <cellStyle name="Currency 4 6 2" xfId="4997" xr:uid="{00000000-0005-0000-0000-0000E0070000}"/>
    <cellStyle name="Currency 4 6 2 2" xfId="11174" xr:uid="{C78D228E-D963-4F6D-A005-5092210E0D69}"/>
    <cellStyle name="Currency 4 6 3" xfId="8056" xr:uid="{C11FA74A-5E70-4975-A182-E9B528DBB3AF}"/>
    <cellStyle name="Currency 4 7" xfId="3643" xr:uid="{00000000-0005-0000-0000-0000E1070000}"/>
    <cellStyle name="Currency 4 7 2" xfId="9820" xr:uid="{53EBF665-B9F9-4224-B810-C0EE0BF390FD}"/>
    <cellStyle name="Currency 4 8" xfId="996" xr:uid="{00000000-0005-0000-0000-0000E2070000}"/>
    <cellStyle name="Currency 4 8 2" xfId="7173" xr:uid="{E6F638BC-2F1C-4CDD-A3F5-F7E5ACA8D540}"/>
    <cellStyle name="Currency 4 9" xfId="6290" xr:uid="{ED7ECF91-A040-4900-99FA-74B72AE90964}"/>
    <cellStyle name="Currency 5" xfId="114" xr:uid="{00000000-0005-0000-0000-0000E3070000}"/>
    <cellStyle name="Currency 5 2" xfId="224" xr:uid="{00000000-0005-0000-0000-0000E4070000}"/>
    <cellStyle name="Currency 5 2 2" xfId="444" xr:uid="{00000000-0005-0000-0000-0000E5070000}"/>
    <cellStyle name="Currency 5 2 2 2" xfId="885" xr:uid="{00000000-0005-0000-0000-0000E6070000}"/>
    <cellStyle name="Currency 5 2 2 2 2" xfId="3533" xr:uid="{00000000-0005-0000-0000-0000E7070000}"/>
    <cellStyle name="Currency 5 2 2 2 2 2" xfId="4998" xr:uid="{00000000-0005-0000-0000-0000E8070000}"/>
    <cellStyle name="Currency 5 2 2 2 2 2 2" xfId="11175" xr:uid="{3028A3BA-72AE-4543-A38C-D0ED2633473B}"/>
    <cellStyle name="Currency 5 2 2 2 2 3" xfId="9710" xr:uid="{2DDBF498-C395-495E-8CFD-B69DF84BDDE3}"/>
    <cellStyle name="Currency 5 2 2 2 3" xfId="2651" xr:uid="{00000000-0005-0000-0000-0000E9070000}"/>
    <cellStyle name="Currency 5 2 2 2 3 2" xfId="4999" xr:uid="{00000000-0005-0000-0000-0000EA070000}"/>
    <cellStyle name="Currency 5 2 2 2 3 2 2" xfId="11176" xr:uid="{6CDC1EDA-F0A3-4885-B3D4-5DB4B4504307}"/>
    <cellStyle name="Currency 5 2 2 2 3 3" xfId="8828" xr:uid="{94C78C5B-E83F-4D1F-9ACB-AB51833BB3AA}"/>
    <cellStyle name="Currency 5 2 2 2 4" xfId="4415" xr:uid="{00000000-0005-0000-0000-0000EB070000}"/>
    <cellStyle name="Currency 5 2 2 2 4 2" xfId="10592" xr:uid="{DD701EC6-0B60-425F-8848-35BFFA9CE454}"/>
    <cellStyle name="Currency 5 2 2 2 5" xfId="1768" xr:uid="{00000000-0005-0000-0000-0000EC070000}"/>
    <cellStyle name="Currency 5 2 2 2 5 2" xfId="7945" xr:uid="{A73DC544-E6CD-4D9D-831A-80CCFB5AC165}"/>
    <cellStyle name="Currency 5 2 2 2 6" xfId="7062" xr:uid="{08F6214A-0DDF-41BE-8486-7FE5A1F571BF}"/>
    <cellStyle name="Currency 5 2 2 3" xfId="3092" xr:uid="{00000000-0005-0000-0000-0000ED070000}"/>
    <cellStyle name="Currency 5 2 2 3 2" xfId="5000" xr:uid="{00000000-0005-0000-0000-0000EE070000}"/>
    <cellStyle name="Currency 5 2 2 3 2 2" xfId="11177" xr:uid="{026AB7AC-9C7A-431F-AE8C-037594077B4C}"/>
    <cellStyle name="Currency 5 2 2 3 3" xfId="9269" xr:uid="{9C76D676-A55F-4871-A36B-5AD6ED82E2ED}"/>
    <cellStyle name="Currency 5 2 2 4" xfId="2210" xr:uid="{00000000-0005-0000-0000-0000EF070000}"/>
    <cellStyle name="Currency 5 2 2 4 2" xfId="5001" xr:uid="{00000000-0005-0000-0000-0000F0070000}"/>
    <cellStyle name="Currency 5 2 2 4 2 2" xfId="11178" xr:uid="{CD29C451-DD0D-4F3F-AA61-CC9E81A0C5DF}"/>
    <cellStyle name="Currency 5 2 2 4 3" xfId="8387" xr:uid="{E4F53E55-BF32-464B-A4A6-C9446E35668B}"/>
    <cellStyle name="Currency 5 2 2 5" xfId="3974" xr:uid="{00000000-0005-0000-0000-0000F1070000}"/>
    <cellStyle name="Currency 5 2 2 5 2" xfId="10151" xr:uid="{A030D262-DB78-4D19-A189-C9BD6889B64C}"/>
    <cellStyle name="Currency 5 2 2 6" xfId="1327" xr:uid="{00000000-0005-0000-0000-0000F2070000}"/>
    <cellStyle name="Currency 5 2 2 6 2" xfId="7504" xr:uid="{30E2CA53-68F6-4E3A-9925-BC9131A1DB17}"/>
    <cellStyle name="Currency 5 2 2 7" xfId="6621" xr:uid="{F4D00D1D-7B56-400E-B2E9-ADDEA222F779}"/>
    <cellStyle name="Currency 5 2 3" xfId="665" xr:uid="{00000000-0005-0000-0000-0000F3070000}"/>
    <cellStyle name="Currency 5 2 3 2" xfId="3313" xr:uid="{00000000-0005-0000-0000-0000F4070000}"/>
    <cellStyle name="Currency 5 2 3 2 2" xfId="5002" xr:uid="{00000000-0005-0000-0000-0000F5070000}"/>
    <cellStyle name="Currency 5 2 3 2 2 2" xfId="11179" xr:uid="{C8B5E290-FCC7-47D2-B2E3-BBAEB3EDBFAA}"/>
    <cellStyle name="Currency 5 2 3 2 3" xfId="9490" xr:uid="{B050A574-72D1-4785-8EC6-F47691A99839}"/>
    <cellStyle name="Currency 5 2 3 3" xfId="2431" xr:uid="{00000000-0005-0000-0000-0000F6070000}"/>
    <cellStyle name="Currency 5 2 3 3 2" xfId="5003" xr:uid="{00000000-0005-0000-0000-0000F7070000}"/>
    <cellStyle name="Currency 5 2 3 3 2 2" xfId="11180" xr:uid="{B157DBB4-2EF7-48E7-A638-8423CF01BA68}"/>
    <cellStyle name="Currency 5 2 3 3 3" xfId="8608" xr:uid="{4DD911F2-86BA-4B5B-892F-28D94D33EA67}"/>
    <cellStyle name="Currency 5 2 3 4" xfId="4195" xr:uid="{00000000-0005-0000-0000-0000F8070000}"/>
    <cellStyle name="Currency 5 2 3 4 2" xfId="10372" xr:uid="{D2DB9AE6-3FF5-42BE-8569-8E09871E88C1}"/>
    <cellStyle name="Currency 5 2 3 5" xfId="1548" xr:uid="{00000000-0005-0000-0000-0000F9070000}"/>
    <cellStyle name="Currency 5 2 3 5 2" xfId="7725" xr:uid="{54DDFBBA-200F-4241-8D50-7351C5B200B1}"/>
    <cellStyle name="Currency 5 2 3 6" xfId="6842" xr:uid="{D6961CBF-D6FC-43E6-93A5-794A3A5934B4}"/>
    <cellStyle name="Currency 5 2 4" xfId="2872" xr:uid="{00000000-0005-0000-0000-0000FA070000}"/>
    <cellStyle name="Currency 5 2 4 2" xfId="5004" xr:uid="{00000000-0005-0000-0000-0000FB070000}"/>
    <cellStyle name="Currency 5 2 4 2 2" xfId="11181" xr:uid="{58D1605A-F176-48F3-896D-12165DFE6474}"/>
    <cellStyle name="Currency 5 2 4 3" xfId="9049" xr:uid="{2D9B4AB6-16B2-4704-8FD2-BB08FFEE749D}"/>
    <cellStyle name="Currency 5 2 5" xfId="1990" xr:uid="{00000000-0005-0000-0000-0000FC070000}"/>
    <cellStyle name="Currency 5 2 5 2" xfId="5005" xr:uid="{00000000-0005-0000-0000-0000FD070000}"/>
    <cellStyle name="Currency 5 2 5 2 2" xfId="11182" xr:uid="{FDC7C717-C56E-413B-82DC-7936FB2758E6}"/>
    <cellStyle name="Currency 5 2 5 3" xfId="8167" xr:uid="{DA5CAE38-4E70-4D18-845E-18BC36B966E6}"/>
    <cellStyle name="Currency 5 2 6" xfId="3754" xr:uid="{00000000-0005-0000-0000-0000FE070000}"/>
    <cellStyle name="Currency 5 2 6 2" xfId="9931" xr:uid="{2802E0B4-F846-49B5-BFB4-C1670EBE311B}"/>
    <cellStyle name="Currency 5 2 7" xfId="1107" xr:uid="{00000000-0005-0000-0000-0000FF070000}"/>
    <cellStyle name="Currency 5 2 7 2" xfId="7284" xr:uid="{9AF0B2DA-E3CD-4655-AAE4-62E08EBFBF8F}"/>
    <cellStyle name="Currency 5 2 8" xfId="6401" xr:uid="{8DFBCC5D-FA2D-41DA-8FCC-5171217AFDBD}"/>
    <cellStyle name="Currency 5 3" xfId="334" xr:uid="{00000000-0005-0000-0000-000000080000}"/>
    <cellStyle name="Currency 5 3 2" xfId="775" xr:uid="{00000000-0005-0000-0000-000001080000}"/>
    <cellStyle name="Currency 5 3 2 2" xfId="3423" xr:uid="{00000000-0005-0000-0000-000002080000}"/>
    <cellStyle name="Currency 5 3 2 2 2" xfId="5006" xr:uid="{00000000-0005-0000-0000-000003080000}"/>
    <cellStyle name="Currency 5 3 2 2 2 2" xfId="11183" xr:uid="{18E52B3D-013C-4CAA-A4DE-FB87C0BC2CEE}"/>
    <cellStyle name="Currency 5 3 2 2 3" xfId="9600" xr:uid="{137E1C32-548F-47A4-93A3-3FCDA740FDF2}"/>
    <cellStyle name="Currency 5 3 2 3" xfId="2541" xr:uid="{00000000-0005-0000-0000-000004080000}"/>
    <cellStyle name="Currency 5 3 2 3 2" xfId="5007" xr:uid="{00000000-0005-0000-0000-000005080000}"/>
    <cellStyle name="Currency 5 3 2 3 2 2" xfId="11184" xr:uid="{11A9D59E-364C-4CB7-8581-847E6F22483D}"/>
    <cellStyle name="Currency 5 3 2 3 3" xfId="8718" xr:uid="{5606C4B1-8495-4DF9-A872-9C185550B2A2}"/>
    <cellStyle name="Currency 5 3 2 4" xfId="4305" xr:uid="{00000000-0005-0000-0000-000006080000}"/>
    <cellStyle name="Currency 5 3 2 4 2" xfId="10482" xr:uid="{95789016-79DB-474C-BC5C-78AA5AC6DFCC}"/>
    <cellStyle name="Currency 5 3 2 5" xfId="1658" xr:uid="{00000000-0005-0000-0000-000007080000}"/>
    <cellStyle name="Currency 5 3 2 5 2" xfId="7835" xr:uid="{566448B5-564C-48A0-B07E-6D21691A4F90}"/>
    <cellStyle name="Currency 5 3 2 6" xfId="6952" xr:uid="{DFA88853-C5FC-4E22-9F79-AF16FF6BF458}"/>
    <cellStyle name="Currency 5 3 3" xfId="2982" xr:uid="{00000000-0005-0000-0000-000008080000}"/>
    <cellStyle name="Currency 5 3 3 2" xfId="5008" xr:uid="{00000000-0005-0000-0000-000009080000}"/>
    <cellStyle name="Currency 5 3 3 2 2" xfId="11185" xr:uid="{F3CB4996-AA25-497E-8FEB-9E8F6ECC8948}"/>
    <cellStyle name="Currency 5 3 3 3" xfId="9159" xr:uid="{FE825429-9AFB-4FB9-9858-AE3D9B1BFC3F}"/>
    <cellStyle name="Currency 5 3 4" xfId="2100" xr:uid="{00000000-0005-0000-0000-00000A080000}"/>
    <cellStyle name="Currency 5 3 4 2" xfId="5009" xr:uid="{00000000-0005-0000-0000-00000B080000}"/>
    <cellStyle name="Currency 5 3 4 2 2" xfId="11186" xr:uid="{E781C803-2DA5-43B0-A62D-DC1D25B275E1}"/>
    <cellStyle name="Currency 5 3 4 3" xfId="8277" xr:uid="{C8683A02-79C4-4536-9961-D0A94B8DB8E5}"/>
    <cellStyle name="Currency 5 3 5" xfId="3864" xr:uid="{00000000-0005-0000-0000-00000C080000}"/>
    <cellStyle name="Currency 5 3 5 2" xfId="10041" xr:uid="{ED4831B4-1A0A-40B7-9D90-007CD79879EB}"/>
    <cellStyle name="Currency 5 3 6" xfId="1217" xr:uid="{00000000-0005-0000-0000-00000D080000}"/>
    <cellStyle name="Currency 5 3 6 2" xfId="7394" xr:uid="{2DA69E61-02A2-4FCF-8648-45797F39AC6A}"/>
    <cellStyle name="Currency 5 3 7" xfId="6511" xr:uid="{1DEF73FD-B5C8-4AF4-9544-B6DA23EDDC7C}"/>
    <cellStyle name="Currency 5 4" xfId="555" xr:uid="{00000000-0005-0000-0000-00000E080000}"/>
    <cellStyle name="Currency 5 4 2" xfId="3203" xr:uid="{00000000-0005-0000-0000-00000F080000}"/>
    <cellStyle name="Currency 5 4 2 2" xfId="5010" xr:uid="{00000000-0005-0000-0000-000010080000}"/>
    <cellStyle name="Currency 5 4 2 2 2" xfId="11187" xr:uid="{93DB2A3A-FE13-4B22-A6DF-DA3EBEDE8C75}"/>
    <cellStyle name="Currency 5 4 2 3" xfId="9380" xr:uid="{3E90AC5A-3003-4163-8870-766FB4D371F4}"/>
    <cellStyle name="Currency 5 4 3" xfId="2321" xr:uid="{00000000-0005-0000-0000-000011080000}"/>
    <cellStyle name="Currency 5 4 3 2" xfId="5011" xr:uid="{00000000-0005-0000-0000-000012080000}"/>
    <cellStyle name="Currency 5 4 3 2 2" xfId="11188" xr:uid="{53E00B12-A977-46E2-A23C-84787C58047C}"/>
    <cellStyle name="Currency 5 4 3 3" xfId="8498" xr:uid="{5AC44118-361B-41CE-87FE-8658A824A22D}"/>
    <cellStyle name="Currency 5 4 4" xfId="4085" xr:uid="{00000000-0005-0000-0000-000013080000}"/>
    <cellStyle name="Currency 5 4 4 2" xfId="10262" xr:uid="{68F9E83E-F8BC-4F74-85DE-690F53511794}"/>
    <cellStyle name="Currency 5 4 5" xfId="1438" xr:uid="{00000000-0005-0000-0000-000014080000}"/>
    <cellStyle name="Currency 5 4 5 2" xfId="7615" xr:uid="{C55A7765-722D-47B7-97A1-40BCCFE50BC4}"/>
    <cellStyle name="Currency 5 4 6" xfId="6732" xr:uid="{4627BE37-A995-4E1F-BDB0-1424161D2777}"/>
    <cellStyle name="Currency 5 5" xfId="2762" xr:uid="{00000000-0005-0000-0000-000015080000}"/>
    <cellStyle name="Currency 5 5 2" xfId="5012" xr:uid="{00000000-0005-0000-0000-000016080000}"/>
    <cellStyle name="Currency 5 5 2 2" xfId="11189" xr:uid="{0D9E36FA-D735-4ECB-99BA-E26D202850C3}"/>
    <cellStyle name="Currency 5 5 3" xfId="8939" xr:uid="{FC407907-6911-4CB8-A97A-698582F4455C}"/>
    <cellStyle name="Currency 5 6" xfId="1880" xr:uid="{00000000-0005-0000-0000-000017080000}"/>
    <cellStyle name="Currency 5 6 2" xfId="5013" xr:uid="{00000000-0005-0000-0000-000018080000}"/>
    <cellStyle name="Currency 5 6 2 2" xfId="11190" xr:uid="{8CFECD7D-6F46-40CE-81CD-25CD2C30B98D}"/>
    <cellStyle name="Currency 5 6 3" xfId="8057" xr:uid="{70864F95-4ECD-489A-BBEF-840AA4F27119}"/>
    <cellStyle name="Currency 5 7" xfId="3644" xr:uid="{00000000-0005-0000-0000-000019080000}"/>
    <cellStyle name="Currency 5 7 2" xfId="9821" xr:uid="{8E5B72AD-916D-41BF-BE8D-6139DCA99917}"/>
    <cellStyle name="Currency 5 8" xfId="997" xr:uid="{00000000-0005-0000-0000-00001A080000}"/>
    <cellStyle name="Currency 5 8 2" xfId="7174" xr:uid="{7966F951-1DB7-493E-8B52-9DBFBE88AC8C}"/>
    <cellStyle name="Currency 5 9" xfId="6291" xr:uid="{24187B43-059E-49AD-9F15-1F5018CFB860}"/>
    <cellStyle name="Currency 6" xfId="115" xr:uid="{00000000-0005-0000-0000-00001B080000}"/>
    <cellStyle name="Currency 6 2" xfId="225" xr:uid="{00000000-0005-0000-0000-00001C080000}"/>
    <cellStyle name="Currency 6 2 2" xfId="445" xr:uid="{00000000-0005-0000-0000-00001D080000}"/>
    <cellStyle name="Currency 6 2 2 2" xfId="886" xr:uid="{00000000-0005-0000-0000-00001E080000}"/>
    <cellStyle name="Currency 6 2 2 2 2" xfId="3534" xr:uid="{00000000-0005-0000-0000-00001F080000}"/>
    <cellStyle name="Currency 6 2 2 2 2 2" xfId="5014" xr:uid="{00000000-0005-0000-0000-000020080000}"/>
    <cellStyle name="Currency 6 2 2 2 2 2 2" xfId="11191" xr:uid="{9455DEEA-38AD-437B-932B-DFCBD6E68407}"/>
    <cellStyle name="Currency 6 2 2 2 2 3" xfId="9711" xr:uid="{B944CBA6-12F0-4363-9B7C-57F2F68DE815}"/>
    <cellStyle name="Currency 6 2 2 2 3" xfId="2652" xr:uid="{00000000-0005-0000-0000-000021080000}"/>
    <cellStyle name="Currency 6 2 2 2 3 2" xfId="5015" xr:uid="{00000000-0005-0000-0000-000022080000}"/>
    <cellStyle name="Currency 6 2 2 2 3 2 2" xfId="11192" xr:uid="{3287D8B9-EEB3-4AF5-816C-1B889642C576}"/>
    <cellStyle name="Currency 6 2 2 2 3 3" xfId="8829" xr:uid="{4D5E90F0-B9A0-4956-AF62-3C34539EDFEB}"/>
    <cellStyle name="Currency 6 2 2 2 4" xfId="4416" xr:uid="{00000000-0005-0000-0000-000023080000}"/>
    <cellStyle name="Currency 6 2 2 2 4 2" xfId="10593" xr:uid="{10387FAB-DB57-43B5-95D4-D1C53FC257EF}"/>
    <cellStyle name="Currency 6 2 2 2 5" xfId="1769" xr:uid="{00000000-0005-0000-0000-000024080000}"/>
    <cellStyle name="Currency 6 2 2 2 5 2" xfId="7946" xr:uid="{726B5B15-C0CB-451F-BAD4-95DF97BADFD5}"/>
    <cellStyle name="Currency 6 2 2 2 6" xfId="7063" xr:uid="{FE35821B-2444-4AEA-8471-171193CFC1C1}"/>
    <cellStyle name="Currency 6 2 2 3" xfId="3093" xr:uid="{00000000-0005-0000-0000-000025080000}"/>
    <cellStyle name="Currency 6 2 2 3 2" xfId="5016" xr:uid="{00000000-0005-0000-0000-000026080000}"/>
    <cellStyle name="Currency 6 2 2 3 2 2" xfId="11193" xr:uid="{CA2ABDEA-B579-49AF-9FDA-EE15D87B5A70}"/>
    <cellStyle name="Currency 6 2 2 3 3" xfId="9270" xr:uid="{C228629F-FE58-4F7C-8116-23553E991726}"/>
    <cellStyle name="Currency 6 2 2 4" xfId="2211" xr:uid="{00000000-0005-0000-0000-000027080000}"/>
    <cellStyle name="Currency 6 2 2 4 2" xfId="5017" xr:uid="{00000000-0005-0000-0000-000028080000}"/>
    <cellStyle name="Currency 6 2 2 4 2 2" xfId="11194" xr:uid="{7A0A76A8-DF0E-446E-A95E-814839EFAE3A}"/>
    <cellStyle name="Currency 6 2 2 4 3" xfId="8388" xr:uid="{9BC7EB1C-EC59-43F6-9DDC-2B08A46691CF}"/>
    <cellStyle name="Currency 6 2 2 5" xfId="3975" xr:uid="{00000000-0005-0000-0000-000029080000}"/>
    <cellStyle name="Currency 6 2 2 5 2" xfId="10152" xr:uid="{5E98E6B7-DA46-4450-B9A7-98A5EC25A264}"/>
    <cellStyle name="Currency 6 2 2 6" xfId="1328" xr:uid="{00000000-0005-0000-0000-00002A080000}"/>
    <cellStyle name="Currency 6 2 2 6 2" xfId="7505" xr:uid="{FA4599C6-1CB7-4C4B-92FA-B88BA298EF95}"/>
    <cellStyle name="Currency 6 2 2 7" xfId="6622" xr:uid="{21581BD4-369F-4B33-A595-2B77D2A58F8D}"/>
    <cellStyle name="Currency 6 2 3" xfId="666" xr:uid="{00000000-0005-0000-0000-00002B080000}"/>
    <cellStyle name="Currency 6 2 3 2" xfId="3314" xr:uid="{00000000-0005-0000-0000-00002C080000}"/>
    <cellStyle name="Currency 6 2 3 2 2" xfId="5018" xr:uid="{00000000-0005-0000-0000-00002D080000}"/>
    <cellStyle name="Currency 6 2 3 2 2 2" xfId="11195" xr:uid="{C2B6643F-79AC-4A38-AAFD-4586D3817711}"/>
    <cellStyle name="Currency 6 2 3 2 3" xfId="9491" xr:uid="{EB346584-2EA4-47F8-BABC-BF4C0F4F491D}"/>
    <cellStyle name="Currency 6 2 3 3" xfId="2432" xr:uid="{00000000-0005-0000-0000-00002E080000}"/>
    <cellStyle name="Currency 6 2 3 3 2" xfId="5019" xr:uid="{00000000-0005-0000-0000-00002F080000}"/>
    <cellStyle name="Currency 6 2 3 3 2 2" xfId="11196" xr:uid="{CCA236D3-2235-49DE-9E1D-8757BE74CDAF}"/>
    <cellStyle name="Currency 6 2 3 3 3" xfId="8609" xr:uid="{0E2BD012-9880-413C-8B15-0AD2B3234FF5}"/>
    <cellStyle name="Currency 6 2 3 4" xfId="4196" xr:uid="{00000000-0005-0000-0000-000030080000}"/>
    <cellStyle name="Currency 6 2 3 4 2" xfId="10373" xr:uid="{F656DBC2-956E-4F81-B71F-28686B090DC7}"/>
    <cellStyle name="Currency 6 2 3 5" xfId="1549" xr:uid="{00000000-0005-0000-0000-000031080000}"/>
    <cellStyle name="Currency 6 2 3 5 2" xfId="7726" xr:uid="{4EDB651E-C767-4AB7-A7AC-30B834954F7D}"/>
    <cellStyle name="Currency 6 2 3 6" xfId="6843" xr:uid="{152FAB40-25BD-4588-B790-E29EDA711310}"/>
    <cellStyle name="Currency 6 2 4" xfId="2873" xr:uid="{00000000-0005-0000-0000-000032080000}"/>
    <cellStyle name="Currency 6 2 4 2" xfId="5020" xr:uid="{00000000-0005-0000-0000-000033080000}"/>
    <cellStyle name="Currency 6 2 4 2 2" xfId="11197" xr:uid="{DB7AE354-D710-4412-85BC-A5374D3C2F5B}"/>
    <cellStyle name="Currency 6 2 4 3" xfId="9050" xr:uid="{09C7A519-07E3-4975-9818-BA23033C7F3F}"/>
    <cellStyle name="Currency 6 2 5" xfId="1991" xr:uid="{00000000-0005-0000-0000-000034080000}"/>
    <cellStyle name="Currency 6 2 5 2" xfId="5021" xr:uid="{00000000-0005-0000-0000-000035080000}"/>
    <cellStyle name="Currency 6 2 5 2 2" xfId="11198" xr:uid="{38219C57-EFF9-4300-874D-4FEEA9F7A0F2}"/>
    <cellStyle name="Currency 6 2 5 3" xfId="8168" xr:uid="{4D7C2B81-9679-4BF9-9AD1-F6D39BE0B116}"/>
    <cellStyle name="Currency 6 2 6" xfId="3755" xr:uid="{00000000-0005-0000-0000-000036080000}"/>
    <cellStyle name="Currency 6 2 6 2" xfId="9932" xr:uid="{E17B29A8-E984-47AE-985E-5880E3296873}"/>
    <cellStyle name="Currency 6 2 7" xfId="1108" xr:uid="{00000000-0005-0000-0000-000037080000}"/>
    <cellStyle name="Currency 6 2 7 2" xfId="7285" xr:uid="{2FDB2632-9341-4272-BDE6-F6444C9BF793}"/>
    <cellStyle name="Currency 6 2 8" xfId="6402" xr:uid="{2612AED9-A853-4250-A175-CAEB6814B84A}"/>
    <cellStyle name="Currency 6 3" xfId="335" xr:uid="{00000000-0005-0000-0000-000038080000}"/>
    <cellStyle name="Currency 6 3 2" xfId="776" xr:uid="{00000000-0005-0000-0000-000039080000}"/>
    <cellStyle name="Currency 6 3 2 2" xfId="3424" xr:uid="{00000000-0005-0000-0000-00003A080000}"/>
    <cellStyle name="Currency 6 3 2 2 2" xfId="5022" xr:uid="{00000000-0005-0000-0000-00003B080000}"/>
    <cellStyle name="Currency 6 3 2 2 2 2" xfId="11199" xr:uid="{2E230FC4-87E6-4E72-AD3B-7DA5913FD95F}"/>
    <cellStyle name="Currency 6 3 2 2 3" xfId="9601" xr:uid="{24C38B67-ADA5-4E79-BE62-A2793C89966C}"/>
    <cellStyle name="Currency 6 3 2 3" xfId="2542" xr:uid="{00000000-0005-0000-0000-00003C080000}"/>
    <cellStyle name="Currency 6 3 2 3 2" xfId="5023" xr:uid="{00000000-0005-0000-0000-00003D080000}"/>
    <cellStyle name="Currency 6 3 2 3 2 2" xfId="11200" xr:uid="{47C2A0B2-1704-470A-8ACE-C9B74CB0A947}"/>
    <cellStyle name="Currency 6 3 2 3 3" xfId="8719" xr:uid="{38298513-3B5A-4F4E-BD21-8CF1569D376B}"/>
    <cellStyle name="Currency 6 3 2 4" xfId="4306" xr:uid="{00000000-0005-0000-0000-00003E080000}"/>
    <cellStyle name="Currency 6 3 2 4 2" xfId="10483" xr:uid="{C1B4EED4-3020-4F12-A3A2-A972B7984C98}"/>
    <cellStyle name="Currency 6 3 2 5" xfId="1659" xr:uid="{00000000-0005-0000-0000-00003F080000}"/>
    <cellStyle name="Currency 6 3 2 5 2" xfId="7836" xr:uid="{AA183A04-033B-4424-9F95-C9D83310FBA1}"/>
    <cellStyle name="Currency 6 3 2 6" xfId="6953" xr:uid="{AB5EDFE1-BB04-4554-B458-DB8CE3FB4BA1}"/>
    <cellStyle name="Currency 6 3 3" xfId="2983" xr:uid="{00000000-0005-0000-0000-000040080000}"/>
    <cellStyle name="Currency 6 3 3 2" xfId="5024" xr:uid="{00000000-0005-0000-0000-000041080000}"/>
    <cellStyle name="Currency 6 3 3 2 2" xfId="11201" xr:uid="{432E4C83-9C84-4DAC-B2B6-A321591C34C6}"/>
    <cellStyle name="Currency 6 3 3 3" xfId="9160" xr:uid="{BE3C3F1F-EF0B-4FE1-9A1F-54303A47B505}"/>
    <cellStyle name="Currency 6 3 4" xfId="2101" xr:uid="{00000000-0005-0000-0000-000042080000}"/>
    <cellStyle name="Currency 6 3 4 2" xfId="5025" xr:uid="{00000000-0005-0000-0000-000043080000}"/>
    <cellStyle name="Currency 6 3 4 2 2" xfId="11202" xr:uid="{F1457DF4-BE45-4F7C-BE37-286ACD5BB9F7}"/>
    <cellStyle name="Currency 6 3 4 3" xfId="8278" xr:uid="{328DCA38-5BCD-4C0C-8065-A5412588DE08}"/>
    <cellStyle name="Currency 6 3 5" xfId="3865" xr:uid="{00000000-0005-0000-0000-000044080000}"/>
    <cellStyle name="Currency 6 3 5 2" xfId="10042" xr:uid="{635067B0-8044-4848-BCA5-21ACC0C10236}"/>
    <cellStyle name="Currency 6 3 6" xfId="1218" xr:uid="{00000000-0005-0000-0000-000045080000}"/>
    <cellStyle name="Currency 6 3 6 2" xfId="7395" xr:uid="{F27FE60E-1287-4319-8BBA-08F50C9DD1B2}"/>
    <cellStyle name="Currency 6 3 7" xfId="6512" xr:uid="{9449D117-5347-474E-8FB8-CAAB497FE370}"/>
    <cellStyle name="Currency 6 4" xfId="556" xr:uid="{00000000-0005-0000-0000-000046080000}"/>
    <cellStyle name="Currency 6 4 2" xfId="3204" xr:uid="{00000000-0005-0000-0000-000047080000}"/>
    <cellStyle name="Currency 6 4 2 2" xfId="5026" xr:uid="{00000000-0005-0000-0000-000048080000}"/>
    <cellStyle name="Currency 6 4 2 2 2" xfId="11203" xr:uid="{6F14B5DD-DDE6-4EA6-9007-08A6A934162E}"/>
    <cellStyle name="Currency 6 4 2 3" xfId="9381" xr:uid="{707EB4FF-D7F8-4EB4-A01B-0D649C594F46}"/>
    <cellStyle name="Currency 6 4 3" xfId="2322" xr:uid="{00000000-0005-0000-0000-000049080000}"/>
    <cellStyle name="Currency 6 4 3 2" xfId="5027" xr:uid="{00000000-0005-0000-0000-00004A080000}"/>
    <cellStyle name="Currency 6 4 3 2 2" xfId="11204" xr:uid="{80B0315E-BF4D-4B59-8042-7058D1BAF540}"/>
    <cellStyle name="Currency 6 4 3 3" xfId="8499" xr:uid="{7144755F-545D-41B8-82A2-599B03E0886A}"/>
    <cellStyle name="Currency 6 4 4" xfId="4086" xr:uid="{00000000-0005-0000-0000-00004B080000}"/>
    <cellStyle name="Currency 6 4 4 2" xfId="10263" xr:uid="{30936768-70D8-4787-9A45-0056863B9BCB}"/>
    <cellStyle name="Currency 6 4 5" xfId="1439" xr:uid="{00000000-0005-0000-0000-00004C080000}"/>
    <cellStyle name="Currency 6 4 5 2" xfId="7616" xr:uid="{DB8F00B7-AA6A-45F7-AC5F-112024F5DD5C}"/>
    <cellStyle name="Currency 6 4 6" xfId="6733" xr:uid="{ECA0F2C3-C1DA-44DC-AD31-43EBC6C0D1C4}"/>
    <cellStyle name="Currency 6 5" xfId="2763" xr:uid="{00000000-0005-0000-0000-00004D080000}"/>
    <cellStyle name="Currency 6 5 2" xfId="5028" xr:uid="{00000000-0005-0000-0000-00004E080000}"/>
    <cellStyle name="Currency 6 5 2 2" xfId="11205" xr:uid="{99ED7B9D-71BC-4CB9-A1F2-69A702845BCD}"/>
    <cellStyle name="Currency 6 5 3" xfId="8940" xr:uid="{5891954B-E91A-450A-BBFF-5102CFBC06AB}"/>
    <cellStyle name="Currency 6 6" xfId="1881" xr:uid="{00000000-0005-0000-0000-00004F080000}"/>
    <cellStyle name="Currency 6 6 2" xfId="5029" xr:uid="{00000000-0005-0000-0000-000050080000}"/>
    <cellStyle name="Currency 6 6 2 2" xfId="11206" xr:uid="{51670049-491B-44F2-9379-8E4983F9B636}"/>
    <cellStyle name="Currency 6 6 3" xfId="8058" xr:uid="{E256673A-C42B-4A32-BA93-8B7086E6617E}"/>
    <cellStyle name="Currency 6 7" xfId="3645" xr:uid="{00000000-0005-0000-0000-000051080000}"/>
    <cellStyle name="Currency 6 7 2" xfId="9822" xr:uid="{95CB82CE-8488-4CDB-BAAA-7E06FA243F8C}"/>
    <cellStyle name="Currency 6 8" xfId="998" xr:uid="{00000000-0005-0000-0000-000052080000}"/>
    <cellStyle name="Currency 6 8 2" xfId="7175" xr:uid="{B2EB885F-A9F4-4FC5-A77F-7F34DE199468}"/>
    <cellStyle name="Currency 6 9" xfId="6292" xr:uid="{89578151-91AE-48A0-A269-BE9F51F1C41E}"/>
    <cellStyle name="Hyperlink" xfId="5" builtinId="8"/>
    <cellStyle name="Normal" xfId="0" builtinId="0"/>
    <cellStyle name="Normal 2" xfId="6" xr:uid="{00000000-0005-0000-0000-000055080000}"/>
    <cellStyle name="Normal 3" xfId="7" xr:uid="{00000000-0005-0000-0000-000056080000}"/>
    <cellStyle name="Normal 3 10" xfId="44" xr:uid="{00000000-0005-0000-0000-000057080000}"/>
    <cellStyle name="Normal 3 10 2" xfId="154" xr:uid="{00000000-0005-0000-0000-000058080000}"/>
    <cellStyle name="Normal 3 10 2 2" xfId="374" xr:uid="{00000000-0005-0000-0000-000059080000}"/>
    <cellStyle name="Normal 3 10 2 2 2" xfId="815" xr:uid="{00000000-0005-0000-0000-00005A080000}"/>
    <cellStyle name="Normal 3 10 2 2 2 2" xfId="3463" xr:uid="{00000000-0005-0000-0000-00005B080000}"/>
    <cellStyle name="Normal 3 10 2 2 2 2 2" xfId="5030" xr:uid="{00000000-0005-0000-0000-00005C080000}"/>
    <cellStyle name="Normal 3 10 2 2 2 2 2 2" xfId="11207" xr:uid="{2FA6F755-C2E5-4C3E-B4CC-EC03D7365D21}"/>
    <cellStyle name="Normal 3 10 2 2 2 2 3" xfId="9640" xr:uid="{C2FAF378-1D12-4D6C-8A26-F85CD76E10BB}"/>
    <cellStyle name="Normal 3 10 2 2 2 3" xfId="2581" xr:uid="{00000000-0005-0000-0000-00005D080000}"/>
    <cellStyle name="Normal 3 10 2 2 2 3 2" xfId="5031" xr:uid="{00000000-0005-0000-0000-00005E080000}"/>
    <cellStyle name="Normal 3 10 2 2 2 3 2 2" xfId="11208" xr:uid="{C0BFA9FF-B75A-4FC0-AA9F-5F8672926550}"/>
    <cellStyle name="Normal 3 10 2 2 2 3 3" xfId="8758" xr:uid="{9215B102-7E57-40B2-A9B1-2F61DC2ACDFF}"/>
    <cellStyle name="Normal 3 10 2 2 2 4" xfId="4345" xr:uid="{00000000-0005-0000-0000-00005F080000}"/>
    <cellStyle name="Normal 3 10 2 2 2 4 2" xfId="10522" xr:uid="{D0CE2BC8-CA2F-4B00-B838-FE42C6A55A38}"/>
    <cellStyle name="Normal 3 10 2 2 2 5" xfId="1698" xr:uid="{00000000-0005-0000-0000-000060080000}"/>
    <cellStyle name="Normal 3 10 2 2 2 5 2" xfId="7875" xr:uid="{F6A0ABE7-A2A5-4413-AC58-7B8EDC58EF84}"/>
    <cellStyle name="Normal 3 10 2 2 2 6" xfId="6992" xr:uid="{DDEF2DA3-6AB3-4ADB-A763-266596C64575}"/>
    <cellStyle name="Normal 3 10 2 2 3" xfId="3022" xr:uid="{00000000-0005-0000-0000-000061080000}"/>
    <cellStyle name="Normal 3 10 2 2 3 2" xfId="5032" xr:uid="{00000000-0005-0000-0000-000062080000}"/>
    <cellStyle name="Normal 3 10 2 2 3 2 2" xfId="11209" xr:uid="{A2B7187E-E023-4A95-BF3D-E38074544C1B}"/>
    <cellStyle name="Normal 3 10 2 2 3 3" xfId="9199" xr:uid="{86B1F20E-8A6C-43E9-87D2-EE0F9F3723BF}"/>
    <cellStyle name="Normal 3 10 2 2 4" xfId="2140" xr:uid="{00000000-0005-0000-0000-000063080000}"/>
    <cellStyle name="Normal 3 10 2 2 4 2" xfId="5033" xr:uid="{00000000-0005-0000-0000-000064080000}"/>
    <cellStyle name="Normal 3 10 2 2 4 2 2" xfId="11210" xr:uid="{673DED26-DFBB-4D26-9093-76EA791886D6}"/>
    <cellStyle name="Normal 3 10 2 2 4 3" xfId="8317" xr:uid="{51AF3E5C-4325-4FE8-917F-483A74FC59DF}"/>
    <cellStyle name="Normal 3 10 2 2 5" xfId="3904" xr:uid="{00000000-0005-0000-0000-000065080000}"/>
    <cellStyle name="Normal 3 10 2 2 5 2" xfId="10081" xr:uid="{A6F03D5A-7E5F-4A1A-9B74-5817B2DC9309}"/>
    <cellStyle name="Normal 3 10 2 2 6" xfId="1257" xr:uid="{00000000-0005-0000-0000-000066080000}"/>
    <cellStyle name="Normal 3 10 2 2 6 2" xfId="7434" xr:uid="{D8A22742-AD04-4A72-A232-F5D4821F953E}"/>
    <cellStyle name="Normal 3 10 2 2 7" xfId="6551" xr:uid="{A7F92D84-5247-4686-843C-62C10F97CD9B}"/>
    <cellStyle name="Normal 3 10 2 3" xfId="595" xr:uid="{00000000-0005-0000-0000-000067080000}"/>
    <cellStyle name="Normal 3 10 2 3 2" xfId="3243" xr:uid="{00000000-0005-0000-0000-000068080000}"/>
    <cellStyle name="Normal 3 10 2 3 2 2" xfId="5034" xr:uid="{00000000-0005-0000-0000-000069080000}"/>
    <cellStyle name="Normal 3 10 2 3 2 2 2" xfId="11211" xr:uid="{E3F425B0-68A5-4919-AFD1-7B4939D741F1}"/>
    <cellStyle name="Normal 3 10 2 3 2 3" xfId="9420" xr:uid="{C8BC1759-6645-4F84-B77B-F4A2B72FE79F}"/>
    <cellStyle name="Normal 3 10 2 3 3" xfId="2361" xr:uid="{00000000-0005-0000-0000-00006A080000}"/>
    <cellStyle name="Normal 3 10 2 3 3 2" xfId="5035" xr:uid="{00000000-0005-0000-0000-00006B080000}"/>
    <cellStyle name="Normal 3 10 2 3 3 2 2" xfId="11212" xr:uid="{7256FEDF-C214-4A6D-95A9-002B947614F3}"/>
    <cellStyle name="Normal 3 10 2 3 3 3" xfId="8538" xr:uid="{732364B1-5117-4FD8-87EA-A8BD2E4CB227}"/>
    <cellStyle name="Normal 3 10 2 3 4" xfId="4125" xr:uid="{00000000-0005-0000-0000-00006C080000}"/>
    <cellStyle name="Normal 3 10 2 3 4 2" xfId="10302" xr:uid="{FACF80CD-3E15-493E-81DD-2D3AFF055043}"/>
    <cellStyle name="Normal 3 10 2 3 5" xfId="1478" xr:uid="{00000000-0005-0000-0000-00006D080000}"/>
    <cellStyle name="Normal 3 10 2 3 5 2" xfId="7655" xr:uid="{CABFFA07-4F16-4CB6-B527-F42894244944}"/>
    <cellStyle name="Normal 3 10 2 3 6" xfId="6772" xr:uid="{43D26150-570A-4598-97CA-19442117AFE5}"/>
    <cellStyle name="Normal 3 10 2 4" xfId="2802" xr:uid="{00000000-0005-0000-0000-00006E080000}"/>
    <cellStyle name="Normal 3 10 2 4 2" xfId="5036" xr:uid="{00000000-0005-0000-0000-00006F080000}"/>
    <cellStyle name="Normal 3 10 2 4 2 2" xfId="11213" xr:uid="{845B79DF-FF37-4D67-9490-406068ABC4EC}"/>
    <cellStyle name="Normal 3 10 2 4 3" xfId="8979" xr:uid="{ABFE73B5-3555-4A38-8BC0-A792BA96494B}"/>
    <cellStyle name="Normal 3 10 2 5" xfId="1920" xr:uid="{00000000-0005-0000-0000-000070080000}"/>
    <cellStyle name="Normal 3 10 2 5 2" xfId="5037" xr:uid="{00000000-0005-0000-0000-000071080000}"/>
    <cellStyle name="Normal 3 10 2 5 2 2" xfId="11214" xr:uid="{3EA47212-2669-49E9-B1B0-A547183698F2}"/>
    <cellStyle name="Normal 3 10 2 5 3" xfId="8097" xr:uid="{9349388B-0F21-4472-80B1-5BD5E68AD6DA}"/>
    <cellStyle name="Normal 3 10 2 6" xfId="3684" xr:uid="{00000000-0005-0000-0000-000072080000}"/>
    <cellStyle name="Normal 3 10 2 6 2" xfId="9861" xr:uid="{C257E3A0-B5BA-4BEB-8126-EEA351CBEB1D}"/>
    <cellStyle name="Normal 3 10 2 7" xfId="1037" xr:uid="{00000000-0005-0000-0000-000073080000}"/>
    <cellStyle name="Normal 3 10 2 7 2" xfId="7214" xr:uid="{96C79E2E-A020-43C4-B633-675AF6374F0C}"/>
    <cellStyle name="Normal 3 10 2 8" xfId="6331" xr:uid="{664D5905-87A2-4CD4-9CEE-787A0C31D8BB}"/>
    <cellStyle name="Normal 3 10 3" xfId="264" xr:uid="{00000000-0005-0000-0000-000074080000}"/>
    <cellStyle name="Normal 3 10 3 2" xfId="705" xr:uid="{00000000-0005-0000-0000-000075080000}"/>
    <cellStyle name="Normal 3 10 3 2 2" xfId="3353" xr:uid="{00000000-0005-0000-0000-000076080000}"/>
    <cellStyle name="Normal 3 10 3 2 2 2" xfId="5038" xr:uid="{00000000-0005-0000-0000-000077080000}"/>
    <cellStyle name="Normal 3 10 3 2 2 2 2" xfId="11215" xr:uid="{3D0DD7E8-1BE8-4097-815E-3574448D8609}"/>
    <cellStyle name="Normal 3 10 3 2 2 3" xfId="9530" xr:uid="{8B8F9BD6-0199-4E05-BFDE-986C713D5AAB}"/>
    <cellStyle name="Normal 3 10 3 2 3" xfId="2471" xr:uid="{00000000-0005-0000-0000-000078080000}"/>
    <cellStyle name="Normal 3 10 3 2 3 2" xfId="5039" xr:uid="{00000000-0005-0000-0000-000079080000}"/>
    <cellStyle name="Normal 3 10 3 2 3 2 2" xfId="11216" xr:uid="{44432A22-7290-45DE-8CC0-9F9D688E39CC}"/>
    <cellStyle name="Normal 3 10 3 2 3 3" xfId="8648" xr:uid="{C217C29E-12A5-43AA-9219-2062D780C980}"/>
    <cellStyle name="Normal 3 10 3 2 4" xfId="4235" xr:uid="{00000000-0005-0000-0000-00007A080000}"/>
    <cellStyle name="Normal 3 10 3 2 4 2" xfId="10412" xr:uid="{09191ECC-E119-4AFD-9598-AA7C10FF5C02}"/>
    <cellStyle name="Normal 3 10 3 2 5" xfId="1588" xr:uid="{00000000-0005-0000-0000-00007B080000}"/>
    <cellStyle name="Normal 3 10 3 2 5 2" xfId="7765" xr:uid="{2022F86A-05B8-471E-AC05-3B5003E06914}"/>
    <cellStyle name="Normal 3 10 3 2 6" xfId="6882" xr:uid="{FFF2E832-1674-4C52-94F9-7A06CA7D626D}"/>
    <cellStyle name="Normal 3 10 3 3" xfId="2912" xr:uid="{00000000-0005-0000-0000-00007C080000}"/>
    <cellStyle name="Normal 3 10 3 3 2" xfId="5040" xr:uid="{00000000-0005-0000-0000-00007D080000}"/>
    <cellStyle name="Normal 3 10 3 3 2 2" xfId="11217" xr:uid="{EB32A289-8467-46E6-9C9B-9CCC252CD68C}"/>
    <cellStyle name="Normal 3 10 3 3 3" xfId="9089" xr:uid="{ED5AD9E8-CA5D-444F-B8C9-B7C694AF5E8D}"/>
    <cellStyle name="Normal 3 10 3 4" xfId="2030" xr:uid="{00000000-0005-0000-0000-00007E080000}"/>
    <cellStyle name="Normal 3 10 3 4 2" xfId="5041" xr:uid="{00000000-0005-0000-0000-00007F080000}"/>
    <cellStyle name="Normal 3 10 3 4 2 2" xfId="11218" xr:uid="{F372760A-0E1B-4956-8A79-70F60B0756ED}"/>
    <cellStyle name="Normal 3 10 3 4 3" xfId="8207" xr:uid="{1A2EA721-5536-4A41-A9B5-4EE2045EBC8F}"/>
    <cellStyle name="Normal 3 10 3 5" xfId="3794" xr:uid="{00000000-0005-0000-0000-000080080000}"/>
    <cellStyle name="Normal 3 10 3 5 2" xfId="9971" xr:uid="{5D7B15A3-CD1E-442E-9A9D-B59B021A8109}"/>
    <cellStyle name="Normal 3 10 3 6" xfId="1147" xr:uid="{00000000-0005-0000-0000-000081080000}"/>
    <cellStyle name="Normal 3 10 3 6 2" xfId="7324" xr:uid="{710ACCE0-FA1C-4908-A6D3-BA756AC32712}"/>
    <cellStyle name="Normal 3 10 3 7" xfId="6441" xr:uid="{29A9B55F-0DA2-4A75-943D-568AE3ED076E}"/>
    <cellStyle name="Normal 3 10 4" xfId="485" xr:uid="{00000000-0005-0000-0000-000082080000}"/>
    <cellStyle name="Normal 3 10 4 2" xfId="3133" xr:uid="{00000000-0005-0000-0000-000083080000}"/>
    <cellStyle name="Normal 3 10 4 2 2" xfId="5042" xr:uid="{00000000-0005-0000-0000-000084080000}"/>
    <cellStyle name="Normal 3 10 4 2 2 2" xfId="11219" xr:uid="{06D77913-7669-4BE9-B3BB-D931275EE3C9}"/>
    <cellStyle name="Normal 3 10 4 2 3" xfId="9310" xr:uid="{20EE4CB0-74E9-4D8C-A8B7-FC818B2DC19C}"/>
    <cellStyle name="Normal 3 10 4 3" xfId="2251" xr:uid="{00000000-0005-0000-0000-000085080000}"/>
    <cellStyle name="Normal 3 10 4 3 2" xfId="5043" xr:uid="{00000000-0005-0000-0000-000086080000}"/>
    <cellStyle name="Normal 3 10 4 3 2 2" xfId="11220" xr:uid="{20A311EE-E1E8-4766-8F8A-459BB2852299}"/>
    <cellStyle name="Normal 3 10 4 3 3" xfId="8428" xr:uid="{B9CC405D-C5B1-4404-945A-6F75C8B711FB}"/>
    <cellStyle name="Normal 3 10 4 4" xfId="4015" xr:uid="{00000000-0005-0000-0000-000087080000}"/>
    <cellStyle name="Normal 3 10 4 4 2" xfId="10192" xr:uid="{4AD7C497-18D0-4006-96FC-52B2F4EE8B6A}"/>
    <cellStyle name="Normal 3 10 4 5" xfId="1368" xr:uid="{00000000-0005-0000-0000-000088080000}"/>
    <cellStyle name="Normal 3 10 4 5 2" xfId="7545" xr:uid="{66BF2311-B596-4022-8BFB-1ABDD1AFDFB7}"/>
    <cellStyle name="Normal 3 10 4 6" xfId="6662" xr:uid="{48A475BD-C8C2-4F1E-BF2C-AF90C1161071}"/>
    <cellStyle name="Normal 3 10 5" xfId="2692" xr:uid="{00000000-0005-0000-0000-000089080000}"/>
    <cellStyle name="Normal 3 10 5 2" xfId="5044" xr:uid="{00000000-0005-0000-0000-00008A080000}"/>
    <cellStyle name="Normal 3 10 5 2 2" xfId="11221" xr:uid="{68277360-A60B-4876-A1AE-CD59E252EEF4}"/>
    <cellStyle name="Normal 3 10 5 3" xfId="8869" xr:uid="{534FD06A-A47F-4E0A-B06B-AE373CABBD8E}"/>
    <cellStyle name="Normal 3 10 6" xfId="1810" xr:uid="{00000000-0005-0000-0000-00008B080000}"/>
    <cellStyle name="Normal 3 10 6 2" xfId="5045" xr:uid="{00000000-0005-0000-0000-00008C080000}"/>
    <cellStyle name="Normal 3 10 6 2 2" xfId="11222" xr:uid="{2DBB2351-92AA-44EA-9D5C-6DB507F6521C}"/>
    <cellStyle name="Normal 3 10 6 3" xfId="7987" xr:uid="{92BEC6AE-8BF0-4D85-9A7B-D07181BB8A08}"/>
    <cellStyle name="Normal 3 10 7" xfId="3574" xr:uid="{00000000-0005-0000-0000-00008D080000}"/>
    <cellStyle name="Normal 3 10 7 2" xfId="9751" xr:uid="{6928EA8F-D75C-4180-8E10-8698A1032744}"/>
    <cellStyle name="Normal 3 10 8" xfId="927" xr:uid="{00000000-0005-0000-0000-00008E080000}"/>
    <cellStyle name="Normal 3 10 8 2" xfId="7104" xr:uid="{DDECA75C-ECF9-4BC5-9A66-761EE2BF0299}"/>
    <cellStyle name="Normal 3 10 9" xfId="6221" xr:uid="{193E6170-6B38-4BE4-AD80-45F4C1042A39}"/>
    <cellStyle name="Normal 3 11" xfId="60" xr:uid="{00000000-0005-0000-0000-00008F080000}"/>
    <cellStyle name="Normal 3 11 2" xfId="170" xr:uid="{00000000-0005-0000-0000-000090080000}"/>
    <cellStyle name="Normal 3 11 2 2" xfId="390" xr:uid="{00000000-0005-0000-0000-000091080000}"/>
    <cellStyle name="Normal 3 11 2 2 2" xfId="831" xr:uid="{00000000-0005-0000-0000-000092080000}"/>
    <cellStyle name="Normal 3 11 2 2 2 2" xfId="3479" xr:uid="{00000000-0005-0000-0000-000093080000}"/>
    <cellStyle name="Normal 3 11 2 2 2 2 2" xfId="5046" xr:uid="{00000000-0005-0000-0000-000094080000}"/>
    <cellStyle name="Normal 3 11 2 2 2 2 2 2" xfId="11223" xr:uid="{BF6FEBA1-7621-4141-BFD6-9B1D96F4FB2E}"/>
    <cellStyle name="Normal 3 11 2 2 2 2 3" xfId="9656" xr:uid="{65978C44-749B-4592-9087-14634BDF3A38}"/>
    <cellStyle name="Normal 3 11 2 2 2 3" xfId="2597" xr:uid="{00000000-0005-0000-0000-000095080000}"/>
    <cellStyle name="Normal 3 11 2 2 2 3 2" xfId="5047" xr:uid="{00000000-0005-0000-0000-000096080000}"/>
    <cellStyle name="Normal 3 11 2 2 2 3 2 2" xfId="11224" xr:uid="{01504000-1976-4FC7-9F9F-8667C76E7541}"/>
    <cellStyle name="Normal 3 11 2 2 2 3 3" xfId="8774" xr:uid="{55641091-E56B-4039-94A5-D8B5D9597051}"/>
    <cellStyle name="Normal 3 11 2 2 2 4" xfId="4361" xr:uid="{00000000-0005-0000-0000-000097080000}"/>
    <cellStyle name="Normal 3 11 2 2 2 4 2" xfId="10538" xr:uid="{597B95A1-0C93-4988-ADD8-2C61C49F9455}"/>
    <cellStyle name="Normal 3 11 2 2 2 5" xfId="1714" xr:uid="{00000000-0005-0000-0000-000098080000}"/>
    <cellStyle name="Normal 3 11 2 2 2 5 2" xfId="7891" xr:uid="{29C7AFDE-59A5-4A2E-AA8A-D00B6394BE74}"/>
    <cellStyle name="Normal 3 11 2 2 2 6" xfId="7008" xr:uid="{16659412-08CE-43A0-8B8B-A349750099C3}"/>
    <cellStyle name="Normal 3 11 2 2 3" xfId="3038" xr:uid="{00000000-0005-0000-0000-000099080000}"/>
    <cellStyle name="Normal 3 11 2 2 3 2" xfId="5048" xr:uid="{00000000-0005-0000-0000-00009A080000}"/>
    <cellStyle name="Normal 3 11 2 2 3 2 2" xfId="11225" xr:uid="{F49CC6F8-7853-4631-987A-37ADAAAC970F}"/>
    <cellStyle name="Normal 3 11 2 2 3 3" xfId="9215" xr:uid="{E09F7326-A89F-4E7F-9EE8-99F91A28C81A}"/>
    <cellStyle name="Normal 3 11 2 2 4" xfId="2156" xr:uid="{00000000-0005-0000-0000-00009B080000}"/>
    <cellStyle name="Normal 3 11 2 2 4 2" xfId="5049" xr:uid="{00000000-0005-0000-0000-00009C080000}"/>
    <cellStyle name="Normal 3 11 2 2 4 2 2" xfId="11226" xr:uid="{59274C61-384F-415F-BC6C-36356B30B2A7}"/>
    <cellStyle name="Normal 3 11 2 2 4 3" xfId="8333" xr:uid="{1BB93D53-FF89-40BA-BE44-302CD5E579CC}"/>
    <cellStyle name="Normal 3 11 2 2 5" xfId="3920" xr:uid="{00000000-0005-0000-0000-00009D080000}"/>
    <cellStyle name="Normal 3 11 2 2 5 2" xfId="10097" xr:uid="{AEEE2183-B4BA-4E12-9548-C63DA12A3042}"/>
    <cellStyle name="Normal 3 11 2 2 6" xfId="1273" xr:uid="{00000000-0005-0000-0000-00009E080000}"/>
    <cellStyle name="Normal 3 11 2 2 6 2" xfId="7450" xr:uid="{03C483F9-E341-4576-8622-D2E6603CBAE5}"/>
    <cellStyle name="Normal 3 11 2 2 7" xfId="6567" xr:uid="{F7D2A1AA-0A51-4C09-83E8-177569FD5923}"/>
    <cellStyle name="Normal 3 11 2 3" xfId="611" xr:uid="{00000000-0005-0000-0000-00009F080000}"/>
    <cellStyle name="Normal 3 11 2 3 2" xfId="3259" xr:uid="{00000000-0005-0000-0000-0000A0080000}"/>
    <cellStyle name="Normal 3 11 2 3 2 2" xfId="5050" xr:uid="{00000000-0005-0000-0000-0000A1080000}"/>
    <cellStyle name="Normal 3 11 2 3 2 2 2" xfId="11227" xr:uid="{78DD1A3D-553A-40B4-A2DB-39238A47D36B}"/>
    <cellStyle name="Normal 3 11 2 3 2 3" xfId="9436" xr:uid="{700C7BD2-7612-423F-A711-417793D4273D}"/>
    <cellStyle name="Normal 3 11 2 3 3" xfId="2377" xr:uid="{00000000-0005-0000-0000-0000A2080000}"/>
    <cellStyle name="Normal 3 11 2 3 3 2" xfId="5051" xr:uid="{00000000-0005-0000-0000-0000A3080000}"/>
    <cellStyle name="Normal 3 11 2 3 3 2 2" xfId="11228" xr:uid="{8F3D8B4B-C213-4E32-8443-87C07F4CC1AB}"/>
    <cellStyle name="Normal 3 11 2 3 3 3" xfId="8554" xr:uid="{5B7E3305-CE4E-475C-A5CF-6EB9C7EA6982}"/>
    <cellStyle name="Normal 3 11 2 3 4" xfId="4141" xr:uid="{00000000-0005-0000-0000-0000A4080000}"/>
    <cellStyle name="Normal 3 11 2 3 4 2" xfId="10318" xr:uid="{00F9B7DD-9CF6-4288-930D-AA0499CAC5DA}"/>
    <cellStyle name="Normal 3 11 2 3 5" xfId="1494" xr:uid="{00000000-0005-0000-0000-0000A5080000}"/>
    <cellStyle name="Normal 3 11 2 3 5 2" xfId="7671" xr:uid="{D7A78999-F842-44F2-AC03-8D9EF01F0CB0}"/>
    <cellStyle name="Normal 3 11 2 3 6" xfId="6788" xr:uid="{FAA19875-13D6-401E-9E18-8AC4A64F62B5}"/>
    <cellStyle name="Normal 3 11 2 4" xfId="2818" xr:uid="{00000000-0005-0000-0000-0000A6080000}"/>
    <cellStyle name="Normal 3 11 2 4 2" xfId="5052" xr:uid="{00000000-0005-0000-0000-0000A7080000}"/>
    <cellStyle name="Normal 3 11 2 4 2 2" xfId="11229" xr:uid="{38C9C2ED-E814-4566-9072-D4A90A09C214}"/>
    <cellStyle name="Normal 3 11 2 4 3" xfId="8995" xr:uid="{D2FB9908-9696-4FB7-B6B2-AB3A90187ECB}"/>
    <cellStyle name="Normal 3 11 2 5" xfId="1936" xr:uid="{00000000-0005-0000-0000-0000A8080000}"/>
    <cellStyle name="Normal 3 11 2 5 2" xfId="5053" xr:uid="{00000000-0005-0000-0000-0000A9080000}"/>
    <cellStyle name="Normal 3 11 2 5 2 2" xfId="11230" xr:uid="{685C8DC9-D886-4482-A434-8BD04F9DD5AB}"/>
    <cellStyle name="Normal 3 11 2 5 3" xfId="8113" xr:uid="{6DFB41BB-3F32-45E1-B4ED-9702C4FD7C3D}"/>
    <cellStyle name="Normal 3 11 2 6" xfId="3700" xr:uid="{00000000-0005-0000-0000-0000AA080000}"/>
    <cellStyle name="Normal 3 11 2 6 2" xfId="9877" xr:uid="{F6746512-66CA-46AC-9850-01C3B3894503}"/>
    <cellStyle name="Normal 3 11 2 7" xfId="1053" xr:uid="{00000000-0005-0000-0000-0000AB080000}"/>
    <cellStyle name="Normal 3 11 2 7 2" xfId="7230" xr:uid="{55E62DE0-ECA4-4442-8E41-19963A85A8F1}"/>
    <cellStyle name="Normal 3 11 2 8" xfId="6347" xr:uid="{010B4F2C-19F8-48D4-A71E-38DD4CE414E8}"/>
    <cellStyle name="Normal 3 11 3" xfId="280" xr:uid="{00000000-0005-0000-0000-0000AC080000}"/>
    <cellStyle name="Normal 3 11 3 2" xfId="721" xr:uid="{00000000-0005-0000-0000-0000AD080000}"/>
    <cellStyle name="Normal 3 11 3 2 2" xfId="3369" xr:uid="{00000000-0005-0000-0000-0000AE080000}"/>
    <cellStyle name="Normal 3 11 3 2 2 2" xfId="5054" xr:uid="{00000000-0005-0000-0000-0000AF080000}"/>
    <cellStyle name="Normal 3 11 3 2 2 2 2" xfId="11231" xr:uid="{4B8D365D-F859-47ED-9623-2F5B673807C3}"/>
    <cellStyle name="Normal 3 11 3 2 2 3" xfId="9546" xr:uid="{60D0BA51-48A5-4A1D-AE18-3B3ADCC6B4E4}"/>
    <cellStyle name="Normal 3 11 3 2 3" xfId="2487" xr:uid="{00000000-0005-0000-0000-0000B0080000}"/>
    <cellStyle name="Normal 3 11 3 2 3 2" xfId="5055" xr:uid="{00000000-0005-0000-0000-0000B1080000}"/>
    <cellStyle name="Normal 3 11 3 2 3 2 2" xfId="11232" xr:uid="{9077B200-9BDE-44DA-B62E-8DA6A8E32328}"/>
    <cellStyle name="Normal 3 11 3 2 3 3" xfId="8664" xr:uid="{FDF6CEF4-8893-43B0-917F-24911B6E1299}"/>
    <cellStyle name="Normal 3 11 3 2 4" xfId="4251" xr:uid="{00000000-0005-0000-0000-0000B2080000}"/>
    <cellStyle name="Normal 3 11 3 2 4 2" xfId="10428" xr:uid="{834AE2A8-8A61-4464-AEE7-394AA15630E5}"/>
    <cellStyle name="Normal 3 11 3 2 5" xfId="1604" xr:uid="{00000000-0005-0000-0000-0000B3080000}"/>
    <cellStyle name="Normal 3 11 3 2 5 2" xfId="7781" xr:uid="{2DDB7F22-33A3-4567-93D4-181DAFD576CC}"/>
    <cellStyle name="Normal 3 11 3 2 6" xfId="6898" xr:uid="{A51DE7AB-3C92-4631-9ABA-69B59FA1BBE6}"/>
    <cellStyle name="Normal 3 11 3 3" xfId="2928" xr:uid="{00000000-0005-0000-0000-0000B4080000}"/>
    <cellStyle name="Normal 3 11 3 3 2" xfId="5056" xr:uid="{00000000-0005-0000-0000-0000B5080000}"/>
    <cellStyle name="Normal 3 11 3 3 2 2" xfId="11233" xr:uid="{69C9284D-36D1-40E4-8BA7-BC96A5945605}"/>
    <cellStyle name="Normal 3 11 3 3 3" xfId="9105" xr:uid="{D646A307-E5C5-442B-8CFD-59FCF0868FDA}"/>
    <cellStyle name="Normal 3 11 3 4" xfId="2046" xr:uid="{00000000-0005-0000-0000-0000B6080000}"/>
    <cellStyle name="Normal 3 11 3 4 2" xfId="5057" xr:uid="{00000000-0005-0000-0000-0000B7080000}"/>
    <cellStyle name="Normal 3 11 3 4 2 2" xfId="11234" xr:uid="{E2107ADF-4606-40B3-A6DE-65BC716EDCD2}"/>
    <cellStyle name="Normal 3 11 3 4 3" xfId="8223" xr:uid="{2568890C-CF9F-4375-AF27-D66DC6732D16}"/>
    <cellStyle name="Normal 3 11 3 5" xfId="3810" xr:uid="{00000000-0005-0000-0000-0000B8080000}"/>
    <cellStyle name="Normal 3 11 3 5 2" xfId="9987" xr:uid="{DAE11315-F113-4FE1-8A33-3D6B0E8E867F}"/>
    <cellStyle name="Normal 3 11 3 6" xfId="1163" xr:uid="{00000000-0005-0000-0000-0000B9080000}"/>
    <cellStyle name="Normal 3 11 3 6 2" xfId="7340" xr:uid="{FD2FBE9A-D168-405B-B995-E2F6DA9D2DE5}"/>
    <cellStyle name="Normal 3 11 3 7" xfId="6457" xr:uid="{90AF833D-6CF1-4290-ACAA-A0725663913C}"/>
    <cellStyle name="Normal 3 11 4" xfId="501" xr:uid="{00000000-0005-0000-0000-0000BA080000}"/>
    <cellStyle name="Normal 3 11 4 2" xfId="3149" xr:uid="{00000000-0005-0000-0000-0000BB080000}"/>
    <cellStyle name="Normal 3 11 4 2 2" xfId="5058" xr:uid="{00000000-0005-0000-0000-0000BC080000}"/>
    <cellStyle name="Normal 3 11 4 2 2 2" xfId="11235" xr:uid="{AB7A0BA7-D7A7-4D63-B2FD-856B9F492FE4}"/>
    <cellStyle name="Normal 3 11 4 2 3" xfId="9326" xr:uid="{806C3553-244E-4909-80FA-147BABC6332B}"/>
    <cellStyle name="Normal 3 11 4 3" xfId="2267" xr:uid="{00000000-0005-0000-0000-0000BD080000}"/>
    <cellStyle name="Normal 3 11 4 3 2" xfId="5059" xr:uid="{00000000-0005-0000-0000-0000BE080000}"/>
    <cellStyle name="Normal 3 11 4 3 2 2" xfId="11236" xr:uid="{1F35C847-F662-4C77-BC38-1C30B0E76138}"/>
    <cellStyle name="Normal 3 11 4 3 3" xfId="8444" xr:uid="{E8ABADB5-A9F8-42C9-9C2A-C26D9F0BDACB}"/>
    <cellStyle name="Normal 3 11 4 4" xfId="4031" xr:uid="{00000000-0005-0000-0000-0000BF080000}"/>
    <cellStyle name="Normal 3 11 4 4 2" xfId="10208" xr:uid="{963F778E-3B5F-4E45-96DA-6D3049E264F5}"/>
    <cellStyle name="Normal 3 11 4 5" xfId="1384" xr:uid="{00000000-0005-0000-0000-0000C0080000}"/>
    <cellStyle name="Normal 3 11 4 5 2" xfId="7561" xr:uid="{CE26C92B-A09C-4730-B724-875EB89A1E85}"/>
    <cellStyle name="Normal 3 11 4 6" xfId="6678" xr:uid="{66ACB3FA-6611-458F-BECC-AB8F4D01595E}"/>
    <cellStyle name="Normal 3 11 5" xfId="2708" xr:uid="{00000000-0005-0000-0000-0000C1080000}"/>
    <cellStyle name="Normal 3 11 5 2" xfId="5060" xr:uid="{00000000-0005-0000-0000-0000C2080000}"/>
    <cellStyle name="Normal 3 11 5 2 2" xfId="11237" xr:uid="{20D27DFB-3AC4-487E-ADAD-16FC39D0D513}"/>
    <cellStyle name="Normal 3 11 5 3" xfId="8885" xr:uid="{2C21D8B0-AA85-4837-A5A8-AC685F0B3492}"/>
    <cellStyle name="Normal 3 11 6" xfId="1826" xr:uid="{00000000-0005-0000-0000-0000C3080000}"/>
    <cellStyle name="Normal 3 11 6 2" xfId="5061" xr:uid="{00000000-0005-0000-0000-0000C4080000}"/>
    <cellStyle name="Normal 3 11 6 2 2" xfId="11238" xr:uid="{512359C6-6CFE-4A87-9BB0-55DB26BC949D}"/>
    <cellStyle name="Normal 3 11 6 3" xfId="8003" xr:uid="{3C6FD60E-68C8-4DF5-B480-62B187F56F45}"/>
    <cellStyle name="Normal 3 11 7" xfId="3590" xr:uid="{00000000-0005-0000-0000-0000C5080000}"/>
    <cellStyle name="Normal 3 11 7 2" xfId="9767" xr:uid="{07C6C5C3-84ED-442A-8C32-8E80FF14D008}"/>
    <cellStyle name="Normal 3 11 8" xfId="943" xr:uid="{00000000-0005-0000-0000-0000C6080000}"/>
    <cellStyle name="Normal 3 11 8 2" xfId="7120" xr:uid="{D8C6BADA-7BD0-488F-AD45-3B851EAAE8FE}"/>
    <cellStyle name="Normal 3 11 9" xfId="6237" xr:uid="{D6E737A8-8BF1-49CA-87E0-7389372D93BD}"/>
    <cellStyle name="Normal 3 12" xfId="76" xr:uid="{00000000-0005-0000-0000-0000C7080000}"/>
    <cellStyle name="Normal 3 12 2" xfId="186" xr:uid="{00000000-0005-0000-0000-0000C8080000}"/>
    <cellStyle name="Normal 3 12 2 2" xfId="406" xr:uid="{00000000-0005-0000-0000-0000C9080000}"/>
    <cellStyle name="Normal 3 12 2 2 2" xfId="847" xr:uid="{00000000-0005-0000-0000-0000CA080000}"/>
    <cellStyle name="Normal 3 12 2 2 2 2" xfId="3495" xr:uid="{00000000-0005-0000-0000-0000CB080000}"/>
    <cellStyle name="Normal 3 12 2 2 2 2 2" xfId="5062" xr:uid="{00000000-0005-0000-0000-0000CC080000}"/>
    <cellStyle name="Normal 3 12 2 2 2 2 2 2" xfId="11239" xr:uid="{570FBF69-C26C-47C6-A995-CAADD3CCA024}"/>
    <cellStyle name="Normal 3 12 2 2 2 2 3" xfId="9672" xr:uid="{C6274448-DE57-406B-9C04-38380189E612}"/>
    <cellStyle name="Normal 3 12 2 2 2 3" xfId="2613" xr:uid="{00000000-0005-0000-0000-0000CD080000}"/>
    <cellStyle name="Normal 3 12 2 2 2 3 2" xfId="5063" xr:uid="{00000000-0005-0000-0000-0000CE080000}"/>
    <cellStyle name="Normal 3 12 2 2 2 3 2 2" xfId="11240" xr:uid="{45399439-E598-403D-A288-E0C5F699A81A}"/>
    <cellStyle name="Normal 3 12 2 2 2 3 3" xfId="8790" xr:uid="{875ECD81-4F24-4F7F-A0DD-0B08064A3AD2}"/>
    <cellStyle name="Normal 3 12 2 2 2 4" xfId="4377" xr:uid="{00000000-0005-0000-0000-0000CF080000}"/>
    <cellStyle name="Normal 3 12 2 2 2 4 2" xfId="10554" xr:uid="{F0EC7B59-F094-437B-9485-DC2AC58336E0}"/>
    <cellStyle name="Normal 3 12 2 2 2 5" xfId="1730" xr:uid="{00000000-0005-0000-0000-0000D0080000}"/>
    <cellStyle name="Normal 3 12 2 2 2 5 2" xfId="7907" xr:uid="{C28525EC-99B9-4440-82AA-18FDBB168E4A}"/>
    <cellStyle name="Normal 3 12 2 2 2 6" xfId="7024" xr:uid="{799857C3-3A3F-4C84-B0E4-5892EC2638FB}"/>
    <cellStyle name="Normal 3 12 2 2 3" xfId="3054" xr:uid="{00000000-0005-0000-0000-0000D1080000}"/>
    <cellStyle name="Normal 3 12 2 2 3 2" xfId="5064" xr:uid="{00000000-0005-0000-0000-0000D2080000}"/>
    <cellStyle name="Normal 3 12 2 2 3 2 2" xfId="11241" xr:uid="{FC5586B7-9FB2-4A52-85C4-B655CA3DD1AB}"/>
    <cellStyle name="Normal 3 12 2 2 3 3" xfId="9231" xr:uid="{EA839304-97CC-4132-87D6-2FA56F9EA577}"/>
    <cellStyle name="Normal 3 12 2 2 4" xfId="2172" xr:uid="{00000000-0005-0000-0000-0000D3080000}"/>
    <cellStyle name="Normal 3 12 2 2 4 2" xfId="5065" xr:uid="{00000000-0005-0000-0000-0000D4080000}"/>
    <cellStyle name="Normal 3 12 2 2 4 2 2" xfId="11242" xr:uid="{F7404029-980F-4968-B2D9-0C979AB372A9}"/>
    <cellStyle name="Normal 3 12 2 2 4 3" xfId="8349" xr:uid="{3F9BE94B-C8B4-479A-86F0-6365BF926BE3}"/>
    <cellStyle name="Normal 3 12 2 2 5" xfId="3936" xr:uid="{00000000-0005-0000-0000-0000D5080000}"/>
    <cellStyle name="Normal 3 12 2 2 5 2" xfId="10113" xr:uid="{62C0F95C-923C-43EA-B20B-AFF6A5BA0C1B}"/>
    <cellStyle name="Normal 3 12 2 2 6" xfId="1289" xr:uid="{00000000-0005-0000-0000-0000D6080000}"/>
    <cellStyle name="Normal 3 12 2 2 6 2" xfId="7466" xr:uid="{07027EC5-AED8-440C-ADB5-AF0F3F8CED31}"/>
    <cellStyle name="Normal 3 12 2 2 7" xfId="6583" xr:uid="{9CA61CFC-36FD-437A-9C11-0521ECADA18F}"/>
    <cellStyle name="Normal 3 12 2 3" xfId="627" xr:uid="{00000000-0005-0000-0000-0000D7080000}"/>
    <cellStyle name="Normal 3 12 2 3 2" xfId="3275" xr:uid="{00000000-0005-0000-0000-0000D8080000}"/>
    <cellStyle name="Normal 3 12 2 3 2 2" xfId="5066" xr:uid="{00000000-0005-0000-0000-0000D9080000}"/>
    <cellStyle name="Normal 3 12 2 3 2 2 2" xfId="11243" xr:uid="{1A05CBE8-6982-403F-9444-A4BF2241677A}"/>
    <cellStyle name="Normal 3 12 2 3 2 3" xfId="9452" xr:uid="{93532A05-AE28-482F-B192-D3224E587DB8}"/>
    <cellStyle name="Normal 3 12 2 3 3" xfId="2393" xr:uid="{00000000-0005-0000-0000-0000DA080000}"/>
    <cellStyle name="Normal 3 12 2 3 3 2" xfId="5067" xr:uid="{00000000-0005-0000-0000-0000DB080000}"/>
    <cellStyle name="Normal 3 12 2 3 3 2 2" xfId="11244" xr:uid="{496D662E-64F9-4D94-8961-514258081736}"/>
    <cellStyle name="Normal 3 12 2 3 3 3" xfId="8570" xr:uid="{20E7BBAF-6912-4E31-B651-1A23F7C8A41F}"/>
    <cellStyle name="Normal 3 12 2 3 4" xfId="4157" xr:uid="{00000000-0005-0000-0000-0000DC080000}"/>
    <cellStyle name="Normal 3 12 2 3 4 2" xfId="10334" xr:uid="{49B21384-16CD-4C3C-9386-CEE70F8140CF}"/>
    <cellStyle name="Normal 3 12 2 3 5" xfId="1510" xr:uid="{00000000-0005-0000-0000-0000DD080000}"/>
    <cellStyle name="Normal 3 12 2 3 5 2" xfId="7687" xr:uid="{2462B9F6-AC44-4630-9543-FB8DA3121B3D}"/>
    <cellStyle name="Normal 3 12 2 3 6" xfId="6804" xr:uid="{490888C3-539B-471C-8BAC-BECF53331888}"/>
    <cellStyle name="Normal 3 12 2 4" xfId="2834" xr:uid="{00000000-0005-0000-0000-0000DE080000}"/>
    <cellStyle name="Normal 3 12 2 4 2" xfId="5068" xr:uid="{00000000-0005-0000-0000-0000DF080000}"/>
    <cellStyle name="Normal 3 12 2 4 2 2" xfId="11245" xr:uid="{B3F0F3DC-D46B-4B1F-8534-A7F755DE6E60}"/>
    <cellStyle name="Normal 3 12 2 4 3" xfId="9011" xr:uid="{169AED3B-0A7E-40FF-ACB3-7CEEF4D85A6C}"/>
    <cellStyle name="Normal 3 12 2 5" xfId="1952" xr:uid="{00000000-0005-0000-0000-0000E0080000}"/>
    <cellStyle name="Normal 3 12 2 5 2" xfId="5069" xr:uid="{00000000-0005-0000-0000-0000E1080000}"/>
    <cellStyle name="Normal 3 12 2 5 2 2" xfId="11246" xr:uid="{BB609E82-FDAB-4CA9-A2B1-490F0E8B4F3B}"/>
    <cellStyle name="Normal 3 12 2 5 3" xfId="8129" xr:uid="{E241B6F1-6365-44E8-8D0E-D2AE5CA8888C}"/>
    <cellStyle name="Normal 3 12 2 6" xfId="3716" xr:uid="{00000000-0005-0000-0000-0000E2080000}"/>
    <cellStyle name="Normal 3 12 2 6 2" xfId="9893" xr:uid="{62B5919B-C51E-42E0-AB3F-378536F09EF3}"/>
    <cellStyle name="Normal 3 12 2 7" xfId="1069" xr:uid="{00000000-0005-0000-0000-0000E3080000}"/>
    <cellStyle name="Normal 3 12 2 7 2" xfId="7246" xr:uid="{EF00897A-E5E5-430F-AEAC-3A325349ED57}"/>
    <cellStyle name="Normal 3 12 2 8" xfId="6363" xr:uid="{6E88B924-DDB5-4327-98EB-3A852F7940EE}"/>
    <cellStyle name="Normal 3 12 3" xfId="296" xr:uid="{00000000-0005-0000-0000-0000E4080000}"/>
    <cellStyle name="Normal 3 12 3 2" xfId="737" xr:uid="{00000000-0005-0000-0000-0000E5080000}"/>
    <cellStyle name="Normal 3 12 3 2 2" xfId="3385" xr:uid="{00000000-0005-0000-0000-0000E6080000}"/>
    <cellStyle name="Normal 3 12 3 2 2 2" xfId="5070" xr:uid="{00000000-0005-0000-0000-0000E7080000}"/>
    <cellStyle name="Normal 3 12 3 2 2 2 2" xfId="11247" xr:uid="{1C89ABC1-046E-4B57-AE23-2A7ACB12DC2B}"/>
    <cellStyle name="Normal 3 12 3 2 2 3" xfId="9562" xr:uid="{B71894CC-2327-436E-8846-FDDD952E47A6}"/>
    <cellStyle name="Normal 3 12 3 2 3" xfId="2503" xr:uid="{00000000-0005-0000-0000-0000E8080000}"/>
    <cellStyle name="Normal 3 12 3 2 3 2" xfId="5071" xr:uid="{00000000-0005-0000-0000-0000E9080000}"/>
    <cellStyle name="Normal 3 12 3 2 3 2 2" xfId="11248" xr:uid="{3E2CEFCB-A192-4DB4-B07F-BF155EB2ECCF}"/>
    <cellStyle name="Normal 3 12 3 2 3 3" xfId="8680" xr:uid="{B914F776-F17B-4368-8A80-811D6A301232}"/>
    <cellStyle name="Normal 3 12 3 2 4" xfId="4267" xr:uid="{00000000-0005-0000-0000-0000EA080000}"/>
    <cellStyle name="Normal 3 12 3 2 4 2" xfId="10444" xr:uid="{1C5025CB-029D-41FD-A7CC-EC2A77BBC279}"/>
    <cellStyle name="Normal 3 12 3 2 5" xfId="1620" xr:uid="{00000000-0005-0000-0000-0000EB080000}"/>
    <cellStyle name="Normal 3 12 3 2 5 2" xfId="7797" xr:uid="{A714AE80-0BAD-45EF-B07A-0A91FC63CD5F}"/>
    <cellStyle name="Normal 3 12 3 2 6" xfId="6914" xr:uid="{67E48A89-A6B6-4006-B14C-E89B6E1A857D}"/>
    <cellStyle name="Normal 3 12 3 3" xfId="2944" xr:uid="{00000000-0005-0000-0000-0000EC080000}"/>
    <cellStyle name="Normal 3 12 3 3 2" xfId="5072" xr:uid="{00000000-0005-0000-0000-0000ED080000}"/>
    <cellStyle name="Normal 3 12 3 3 2 2" xfId="11249" xr:uid="{B8026601-2E77-47CE-B652-9A5DB6105B7C}"/>
    <cellStyle name="Normal 3 12 3 3 3" xfId="9121" xr:uid="{F49729A5-EF9C-42C7-8A48-E9A2D4B9EC97}"/>
    <cellStyle name="Normal 3 12 3 4" xfId="2062" xr:uid="{00000000-0005-0000-0000-0000EE080000}"/>
    <cellStyle name="Normal 3 12 3 4 2" xfId="5073" xr:uid="{00000000-0005-0000-0000-0000EF080000}"/>
    <cellStyle name="Normal 3 12 3 4 2 2" xfId="11250" xr:uid="{975FEEF5-264D-4214-AC12-14E96BD4E644}"/>
    <cellStyle name="Normal 3 12 3 4 3" xfId="8239" xr:uid="{2F8C55AA-3EDA-4378-BA58-D2EB7056A665}"/>
    <cellStyle name="Normal 3 12 3 5" xfId="3826" xr:uid="{00000000-0005-0000-0000-0000F0080000}"/>
    <cellStyle name="Normal 3 12 3 5 2" xfId="10003" xr:uid="{94EAE433-94E8-48E8-9D60-A7806D573BD6}"/>
    <cellStyle name="Normal 3 12 3 6" xfId="1179" xr:uid="{00000000-0005-0000-0000-0000F1080000}"/>
    <cellStyle name="Normal 3 12 3 6 2" xfId="7356" xr:uid="{325F5898-35E5-4354-A8BE-AC0B5D7DC7FE}"/>
    <cellStyle name="Normal 3 12 3 7" xfId="6473" xr:uid="{4248E1F4-5C62-4829-B92A-E7D51177BD31}"/>
    <cellStyle name="Normal 3 12 4" xfId="517" xr:uid="{00000000-0005-0000-0000-0000F2080000}"/>
    <cellStyle name="Normal 3 12 4 2" xfId="3165" xr:uid="{00000000-0005-0000-0000-0000F3080000}"/>
    <cellStyle name="Normal 3 12 4 2 2" xfId="5074" xr:uid="{00000000-0005-0000-0000-0000F4080000}"/>
    <cellStyle name="Normal 3 12 4 2 2 2" xfId="11251" xr:uid="{E77C7A0D-E84B-46E2-A99D-7D8B8844A621}"/>
    <cellStyle name="Normal 3 12 4 2 3" xfId="9342" xr:uid="{B7925937-D909-4D01-A4B8-56B87334A334}"/>
    <cellStyle name="Normal 3 12 4 3" xfId="2283" xr:uid="{00000000-0005-0000-0000-0000F5080000}"/>
    <cellStyle name="Normal 3 12 4 3 2" xfId="5075" xr:uid="{00000000-0005-0000-0000-0000F6080000}"/>
    <cellStyle name="Normal 3 12 4 3 2 2" xfId="11252" xr:uid="{0A1C3A47-A600-4F3B-B913-A506FE95E737}"/>
    <cellStyle name="Normal 3 12 4 3 3" xfId="8460" xr:uid="{4FBEDE86-5A47-46DB-ABFC-F78C79B75C20}"/>
    <cellStyle name="Normal 3 12 4 4" xfId="4047" xr:uid="{00000000-0005-0000-0000-0000F7080000}"/>
    <cellStyle name="Normal 3 12 4 4 2" xfId="10224" xr:uid="{B41F5BEA-EC72-4441-814D-C7C8F3BF51F8}"/>
    <cellStyle name="Normal 3 12 4 5" xfId="1400" xr:uid="{00000000-0005-0000-0000-0000F8080000}"/>
    <cellStyle name="Normal 3 12 4 5 2" xfId="7577" xr:uid="{6975909B-B6F0-4472-B570-3B2D16C6F94C}"/>
    <cellStyle name="Normal 3 12 4 6" xfId="6694" xr:uid="{BC2824E9-F3AE-4047-98CD-48976314851B}"/>
    <cellStyle name="Normal 3 12 5" xfId="2724" xr:uid="{00000000-0005-0000-0000-0000F9080000}"/>
    <cellStyle name="Normal 3 12 5 2" xfId="5076" xr:uid="{00000000-0005-0000-0000-0000FA080000}"/>
    <cellStyle name="Normal 3 12 5 2 2" xfId="11253" xr:uid="{F620CECF-6434-4B74-A59B-FB8E09C8C8CD}"/>
    <cellStyle name="Normal 3 12 5 3" xfId="8901" xr:uid="{F23A5F4C-21FD-46DA-A033-EE5668E4070F}"/>
    <cellStyle name="Normal 3 12 6" xfId="1842" xr:uid="{00000000-0005-0000-0000-0000FB080000}"/>
    <cellStyle name="Normal 3 12 6 2" xfId="5077" xr:uid="{00000000-0005-0000-0000-0000FC080000}"/>
    <cellStyle name="Normal 3 12 6 2 2" xfId="11254" xr:uid="{79AC3F49-0D5B-46CD-8BF5-EE444F18252F}"/>
    <cellStyle name="Normal 3 12 6 3" xfId="8019" xr:uid="{49477F8E-B97A-43D9-8BB5-B0E69998EC48}"/>
    <cellStyle name="Normal 3 12 7" xfId="3606" xr:uid="{00000000-0005-0000-0000-0000FD080000}"/>
    <cellStyle name="Normal 3 12 7 2" xfId="9783" xr:uid="{52AD0384-9FF0-4D1E-90BA-562B6E984B22}"/>
    <cellStyle name="Normal 3 12 8" xfId="959" xr:uid="{00000000-0005-0000-0000-0000FE080000}"/>
    <cellStyle name="Normal 3 12 8 2" xfId="7136" xr:uid="{90B50E93-D0FA-4556-BEF1-C529F066B23F}"/>
    <cellStyle name="Normal 3 12 9" xfId="6253" xr:uid="{BD5D5D8A-7503-4BB6-9093-85B8B55136FB}"/>
    <cellStyle name="Normal 3 13" xfId="109" xr:uid="{00000000-0005-0000-0000-0000FF080000}"/>
    <cellStyle name="Normal 3 13 2" xfId="219" xr:uid="{00000000-0005-0000-0000-000000090000}"/>
    <cellStyle name="Normal 3 13 2 2" xfId="439" xr:uid="{00000000-0005-0000-0000-000001090000}"/>
    <cellStyle name="Normal 3 13 2 2 2" xfId="880" xr:uid="{00000000-0005-0000-0000-000002090000}"/>
    <cellStyle name="Normal 3 13 2 2 2 2" xfId="3528" xr:uid="{00000000-0005-0000-0000-000003090000}"/>
    <cellStyle name="Normal 3 13 2 2 2 2 2" xfId="5078" xr:uid="{00000000-0005-0000-0000-000004090000}"/>
    <cellStyle name="Normal 3 13 2 2 2 2 2 2" xfId="11255" xr:uid="{3214B4FB-83B1-4A51-86C1-0408AB8979EE}"/>
    <cellStyle name="Normal 3 13 2 2 2 2 3" xfId="9705" xr:uid="{2726BDF0-F095-4DC9-B81C-E4E8FBC70B9F}"/>
    <cellStyle name="Normal 3 13 2 2 2 3" xfId="2646" xr:uid="{00000000-0005-0000-0000-000005090000}"/>
    <cellStyle name="Normal 3 13 2 2 2 3 2" xfId="5079" xr:uid="{00000000-0005-0000-0000-000006090000}"/>
    <cellStyle name="Normal 3 13 2 2 2 3 2 2" xfId="11256" xr:uid="{FCD57E3D-6B10-464F-A427-8F401849C0DE}"/>
    <cellStyle name="Normal 3 13 2 2 2 3 3" xfId="8823" xr:uid="{AA1A07E1-15E6-4456-9826-5F3F9F07B9A5}"/>
    <cellStyle name="Normal 3 13 2 2 2 4" xfId="4410" xr:uid="{00000000-0005-0000-0000-000007090000}"/>
    <cellStyle name="Normal 3 13 2 2 2 4 2" xfId="10587" xr:uid="{99B889F3-74D6-4666-B691-5417AF27B97C}"/>
    <cellStyle name="Normal 3 13 2 2 2 5" xfId="1763" xr:uid="{00000000-0005-0000-0000-000008090000}"/>
    <cellStyle name="Normal 3 13 2 2 2 5 2" xfId="7940" xr:uid="{9CED6026-40CD-4097-AB0D-FB9A551FA71F}"/>
    <cellStyle name="Normal 3 13 2 2 2 6" xfId="7057" xr:uid="{8EB4C5A7-FE6A-4236-A865-B7683C83153A}"/>
    <cellStyle name="Normal 3 13 2 2 3" xfId="3087" xr:uid="{00000000-0005-0000-0000-000009090000}"/>
    <cellStyle name="Normal 3 13 2 2 3 2" xfId="5080" xr:uid="{00000000-0005-0000-0000-00000A090000}"/>
    <cellStyle name="Normal 3 13 2 2 3 2 2" xfId="11257" xr:uid="{4E5DFD1F-FD6A-4E56-9A9B-B97259475A72}"/>
    <cellStyle name="Normal 3 13 2 2 3 3" xfId="9264" xr:uid="{F124FAE5-6B58-488D-9E4F-50F3B9B23B90}"/>
    <cellStyle name="Normal 3 13 2 2 4" xfId="2205" xr:uid="{00000000-0005-0000-0000-00000B090000}"/>
    <cellStyle name="Normal 3 13 2 2 4 2" xfId="5081" xr:uid="{00000000-0005-0000-0000-00000C090000}"/>
    <cellStyle name="Normal 3 13 2 2 4 2 2" xfId="11258" xr:uid="{73C69EAF-E5E1-4A65-93FC-3D498FB54969}"/>
    <cellStyle name="Normal 3 13 2 2 4 3" xfId="8382" xr:uid="{74BBB460-8A41-4E10-9527-3447A150592E}"/>
    <cellStyle name="Normal 3 13 2 2 5" xfId="3969" xr:uid="{00000000-0005-0000-0000-00000D090000}"/>
    <cellStyle name="Normal 3 13 2 2 5 2" xfId="10146" xr:uid="{2A04ECF0-7CEC-46B8-BF40-B6BE75691C20}"/>
    <cellStyle name="Normal 3 13 2 2 6" xfId="1322" xr:uid="{00000000-0005-0000-0000-00000E090000}"/>
    <cellStyle name="Normal 3 13 2 2 6 2" xfId="7499" xr:uid="{E3861768-F2E8-4418-85B0-A6E4FAD7E30C}"/>
    <cellStyle name="Normal 3 13 2 2 7" xfId="6616" xr:uid="{7FBD1A68-25E3-4C35-80EF-F42942DE5ED4}"/>
    <cellStyle name="Normal 3 13 2 3" xfId="660" xr:uid="{00000000-0005-0000-0000-00000F090000}"/>
    <cellStyle name="Normal 3 13 2 3 2" xfId="3308" xr:uid="{00000000-0005-0000-0000-000010090000}"/>
    <cellStyle name="Normal 3 13 2 3 2 2" xfId="5082" xr:uid="{00000000-0005-0000-0000-000011090000}"/>
    <cellStyle name="Normal 3 13 2 3 2 2 2" xfId="11259" xr:uid="{451CB241-17D9-4A69-90E9-7992CEFFD6BC}"/>
    <cellStyle name="Normal 3 13 2 3 2 3" xfId="9485" xr:uid="{463F9BE8-B341-4836-AC8F-C70816C44741}"/>
    <cellStyle name="Normal 3 13 2 3 3" xfId="2426" xr:uid="{00000000-0005-0000-0000-000012090000}"/>
    <cellStyle name="Normal 3 13 2 3 3 2" xfId="5083" xr:uid="{00000000-0005-0000-0000-000013090000}"/>
    <cellStyle name="Normal 3 13 2 3 3 2 2" xfId="11260" xr:uid="{55A1959E-AA4D-4FE8-9366-1B03C4368E19}"/>
    <cellStyle name="Normal 3 13 2 3 3 3" xfId="8603" xr:uid="{7E262082-CA45-4C4D-838E-BD232A595AF3}"/>
    <cellStyle name="Normal 3 13 2 3 4" xfId="4190" xr:uid="{00000000-0005-0000-0000-000014090000}"/>
    <cellStyle name="Normal 3 13 2 3 4 2" xfId="10367" xr:uid="{C450653A-4CA9-4DA9-AC49-B355B7804A33}"/>
    <cellStyle name="Normal 3 13 2 3 5" xfId="1543" xr:uid="{00000000-0005-0000-0000-000015090000}"/>
    <cellStyle name="Normal 3 13 2 3 5 2" xfId="7720" xr:uid="{36D2674A-5365-42D8-936B-136140D4BCC7}"/>
    <cellStyle name="Normal 3 13 2 3 6" xfId="6837" xr:uid="{FCE688C6-E4FF-4566-B4DC-D302780236C2}"/>
    <cellStyle name="Normal 3 13 2 4" xfId="2867" xr:uid="{00000000-0005-0000-0000-000016090000}"/>
    <cellStyle name="Normal 3 13 2 4 2" xfId="5084" xr:uid="{00000000-0005-0000-0000-000017090000}"/>
    <cellStyle name="Normal 3 13 2 4 2 2" xfId="11261" xr:uid="{770A29DE-5ADF-43A1-9D97-6C4EF3ACE82D}"/>
    <cellStyle name="Normal 3 13 2 4 3" xfId="9044" xr:uid="{BCA60E27-FD20-477B-B79E-B0BAC329901F}"/>
    <cellStyle name="Normal 3 13 2 5" xfId="1985" xr:uid="{00000000-0005-0000-0000-000018090000}"/>
    <cellStyle name="Normal 3 13 2 5 2" xfId="5085" xr:uid="{00000000-0005-0000-0000-000019090000}"/>
    <cellStyle name="Normal 3 13 2 5 2 2" xfId="11262" xr:uid="{C0B4733C-2003-47B5-A788-015690628C04}"/>
    <cellStyle name="Normal 3 13 2 5 3" xfId="8162" xr:uid="{53EA187F-5869-4D76-9FC5-D2A992E25743}"/>
    <cellStyle name="Normal 3 13 2 6" xfId="3749" xr:uid="{00000000-0005-0000-0000-00001A090000}"/>
    <cellStyle name="Normal 3 13 2 6 2" xfId="9926" xr:uid="{8C2CDA7E-6BE9-4544-9B1F-E4CD60B54E75}"/>
    <cellStyle name="Normal 3 13 2 7" xfId="1102" xr:uid="{00000000-0005-0000-0000-00001B090000}"/>
    <cellStyle name="Normal 3 13 2 7 2" xfId="7279" xr:uid="{621F06EA-BB4A-4EB6-8DF2-97C633ACAE8A}"/>
    <cellStyle name="Normal 3 13 2 8" xfId="6396" xr:uid="{B98E5202-4387-4D4F-96C7-E8A096EBA508}"/>
    <cellStyle name="Normal 3 13 3" xfId="329" xr:uid="{00000000-0005-0000-0000-00001C090000}"/>
    <cellStyle name="Normal 3 13 3 2" xfId="770" xr:uid="{00000000-0005-0000-0000-00001D090000}"/>
    <cellStyle name="Normal 3 13 3 2 2" xfId="3418" xr:uid="{00000000-0005-0000-0000-00001E090000}"/>
    <cellStyle name="Normal 3 13 3 2 2 2" xfId="5086" xr:uid="{00000000-0005-0000-0000-00001F090000}"/>
    <cellStyle name="Normal 3 13 3 2 2 2 2" xfId="11263" xr:uid="{001A293D-6E2D-4D20-A8B6-4EEDD86B6801}"/>
    <cellStyle name="Normal 3 13 3 2 2 3" xfId="9595" xr:uid="{E0DB4B4A-5599-4F0E-B7E9-8846B47F8341}"/>
    <cellStyle name="Normal 3 13 3 2 3" xfId="2536" xr:uid="{00000000-0005-0000-0000-000020090000}"/>
    <cellStyle name="Normal 3 13 3 2 3 2" xfId="5087" xr:uid="{00000000-0005-0000-0000-000021090000}"/>
    <cellStyle name="Normal 3 13 3 2 3 2 2" xfId="11264" xr:uid="{EE5A5C36-7FBA-4732-8C13-CC720016A17F}"/>
    <cellStyle name="Normal 3 13 3 2 3 3" xfId="8713" xr:uid="{A536E48A-0D83-49EC-9387-DF0D3BB2C1FD}"/>
    <cellStyle name="Normal 3 13 3 2 4" xfId="4300" xr:uid="{00000000-0005-0000-0000-000022090000}"/>
    <cellStyle name="Normal 3 13 3 2 4 2" xfId="10477" xr:uid="{3CF2EDD5-DCF2-42EF-944D-404682BE6275}"/>
    <cellStyle name="Normal 3 13 3 2 5" xfId="1653" xr:uid="{00000000-0005-0000-0000-000023090000}"/>
    <cellStyle name="Normal 3 13 3 2 5 2" xfId="7830" xr:uid="{90860572-A5BD-4BBC-BD40-C4057B3F22CE}"/>
    <cellStyle name="Normal 3 13 3 2 6" xfId="6947" xr:uid="{61BC9CA8-157F-477E-A925-C3BFDA395B1D}"/>
    <cellStyle name="Normal 3 13 3 3" xfId="2977" xr:uid="{00000000-0005-0000-0000-000024090000}"/>
    <cellStyle name="Normal 3 13 3 3 2" xfId="5088" xr:uid="{00000000-0005-0000-0000-000025090000}"/>
    <cellStyle name="Normal 3 13 3 3 2 2" xfId="11265" xr:uid="{E0BB58F0-225B-4BC2-BB6B-F28A2C6B6663}"/>
    <cellStyle name="Normal 3 13 3 3 3" xfId="9154" xr:uid="{C2CB37B8-B801-4D80-B03E-CEB20E839CC1}"/>
    <cellStyle name="Normal 3 13 3 4" xfId="2095" xr:uid="{00000000-0005-0000-0000-000026090000}"/>
    <cellStyle name="Normal 3 13 3 4 2" xfId="5089" xr:uid="{00000000-0005-0000-0000-000027090000}"/>
    <cellStyle name="Normal 3 13 3 4 2 2" xfId="11266" xr:uid="{2A379D70-9B8D-4AE3-B81B-6A2CE7013EC0}"/>
    <cellStyle name="Normal 3 13 3 4 3" xfId="8272" xr:uid="{8C06E53F-A4C7-474F-BBD1-16EDD51A2FEF}"/>
    <cellStyle name="Normal 3 13 3 5" xfId="3859" xr:uid="{00000000-0005-0000-0000-000028090000}"/>
    <cellStyle name="Normal 3 13 3 5 2" xfId="10036" xr:uid="{9ABB3D36-8BF6-4EFB-83A6-3FBCCB8ED15F}"/>
    <cellStyle name="Normal 3 13 3 6" xfId="1212" xr:uid="{00000000-0005-0000-0000-000029090000}"/>
    <cellStyle name="Normal 3 13 3 6 2" xfId="7389" xr:uid="{16225164-E2FA-4412-ADB7-5DC866948CCD}"/>
    <cellStyle name="Normal 3 13 3 7" xfId="6506" xr:uid="{DDCD90B7-6FF9-4855-9187-49A2C46CB768}"/>
    <cellStyle name="Normal 3 13 4" xfId="550" xr:uid="{00000000-0005-0000-0000-00002A090000}"/>
    <cellStyle name="Normal 3 13 4 2" xfId="3198" xr:uid="{00000000-0005-0000-0000-00002B090000}"/>
    <cellStyle name="Normal 3 13 4 2 2" xfId="5090" xr:uid="{00000000-0005-0000-0000-00002C090000}"/>
    <cellStyle name="Normal 3 13 4 2 2 2" xfId="11267" xr:uid="{2A56D423-3C1C-45BE-B0AF-F1FA4EABB409}"/>
    <cellStyle name="Normal 3 13 4 2 3" xfId="9375" xr:uid="{186280D7-0D32-49DA-8DAE-0C225206755A}"/>
    <cellStyle name="Normal 3 13 4 3" xfId="2316" xr:uid="{00000000-0005-0000-0000-00002D090000}"/>
    <cellStyle name="Normal 3 13 4 3 2" xfId="5091" xr:uid="{00000000-0005-0000-0000-00002E090000}"/>
    <cellStyle name="Normal 3 13 4 3 2 2" xfId="11268" xr:uid="{0008F206-4FBC-4C19-ACBF-5EB38E5E0310}"/>
    <cellStyle name="Normal 3 13 4 3 3" xfId="8493" xr:uid="{60CDDA17-6DF7-4763-A1D1-23EFE739AE81}"/>
    <cellStyle name="Normal 3 13 4 4" xfId="4080" xr:uid="{00000000-0005-0000-0000-00002F090000}"/>
    <cellStyle name="Normal 3 13 4 4 2" xfId="10257" xr:uid="{87569595-EB71-46CE-977E-220462B4B3AB}"/>
    <cellStyle name="Normal 3 13 4 5" xfId="1433" xr:uid="{00000000-0005-0000-0000-000030090000}"/>
    <cellStyle name="Normal 3 13 4 5 2" xfId="7610" xr:uid="{DE9F2AE6-31C2-42CC-8380-22539F6DBB4B}"/>
    <cellStyle name="Normal 3 13 4 6" xfId="6727" xr:uid="{4DFFE02B-3667-4EDD-AACC-63571B444844}"/>
    <cellStyle name="Normal 3 13 5" xfId="2757" xr:uid="{00000000-0005-0000-0000-000031090000}"/>
    <cellStyle name="Normal 3 13 5 2" xfId="5092" xr:uid="{00000000-0005-0000-0000-000032090000}"/>
    <cellStyle name="Normal 3 13 5 2 2" xfId="11269" xr:uid="{40C4B560-0616-4FE8-984E-4052875A2D3D}"/>
    <cellStyle name="Normal 3 13 5 3" xfId="8934" xr:uid="{34769865-8EE1-4A03-80FC-CC399F746774}"/>
    <cellStyle name="Normal 3 13 6" xfId="1875" xr:uid="{00000000-0005-0000-0000-000033090000}"/>
    <cellStyle name="Normal 3 13 6 2" xfId="5093" xr:uid="{00000000-0005-0000-0000-000034090000}"/>
    <cellStyle name="Normal 3 13 6 2 2" xfId="11270" xr:uid="{FB00C4F2-4BE9-48F5-8E90-9C86D6A765FF}"/>
    <cellStyle name="Normal 3 13 6 3" xfId="8052" xr:uid="{70F95FF0-4622-416C-8325-43B7E51140B4}"/>
    <cellStyle name="Normal 3 13 7" xfId="3639" xr:uid="{00000000-0005-0000-0000-000035090000}"/>
    <cellStyle name="Normal 3 13 7 2" xfId="9816" xr:uid="{AC302C8B-3F82-4EFA-A458-454E50E405B9}"/>
    <cellStyle name="Normal 3 13 8" xfId="992" xr:uid="{00000000-0005-0000-0000-000036090000}"/>
    <cellStyle name="Normal 3 13 8 2" xfId="7169" xr:uid="{0A79F409-5C05-48A7-82C1-17CC9684E6E9}"/>
    <cellStyle name="Normal 3 13 9" xfId="6286" xr:uid="{469FC9A9-37CE-41C1-B2A4-79F8927E30BD}"/>
    <cellStyle name="Normal 3 14" xfId="120" xr:uid="{00000000-0005-0000-0000-000037090000}"/>
    <cellStyle name="Normal 3 14 2" xfId="340" xr:uid="{00000000-0005-0000-0000-000038090000}"/>
    <cellStyle name="Normal 3 14 2 2" xfId="781" xr:uid="{00000000-0005-0000-0000-000039090000}"/>
    <cellStyle name="Normal 3 14 2 2 2" xfId="3429" xr:uid="{00000000-0005-0000-0000-00003A090000}"/>
    <cellStyle name="Normal 3 14 2 2 2 2" xfId="5094" xr:uid="{00000000-0005-0000-0000-00003B090000}"/>
    <cellStyle name="Normal 3 14 2 2 2 2 2" xfId="11271" xr:uid="{9D8C0434-743A-4966-B9AE-3B9D23FE7C11}"/>
    <cellStyle name="Normal 3 14 2 2 2 3" xfId="9606" xr:uid="{8F96B508-4A1E-44D8-BBCE-5FA7308A553F}"/>
    <cellStyle name="Normal 3 14 2 2 3" xfId="2547" xr:uid="{00000000-0005-0000-0000-00003C090000}"/>
    <cellStyle name="Normal 3 14 2 2 3 2" xfId="5095" xr:uid="{00000000-0005-0000-0000-00003D090000}"/>
    <cellStyle name="Normal 3 14 2 2 3 2 2" xfId="11272" xr:uid="{E786672B-7045-4406-92EF-C7F1B9A9B2FC}"/>
    <cellStyle name="Normal 3 14 2 2 3 3" xfId="8724" xr:uid="{E296D14B-D7A2-49C5-8F6E-C7CAD9E9FCF4}"/>
    <cellStyle name="Normal 3 14 2 2 4" xfId="4311" xr:uid="{00000000-0005-0000-0000-00003E090000}"/>
    <cellStyle name="Normal 3 14 2 2 4 2" xfId="10488" xr:uid="{9CE8E434-F909-4CCD-9BAA-E0FEAEF56876}"/>
    <cellStyle name="Normal 3 14 2 2 5" xfId="1664" xr:uid="{00000000-0005-0000-0000-00003F090000}"/>
    <cellStyle name="Normal 3 14 2 2 5 2" xfId="7841" xr:uid="{38597A65-BD8B-4851-A2CC-DD8EADF73F1B}"/>
    <cellStyle name="Normal 3 14 2 2 6" xfId="6958" xr:uid="{C18D32EB-A972-491C-95B3-8ADED289FB2C}"/>
    <cellStyle name="Normal 3 14 2 3" xfId="2988" xr:uid="{00000000-0005-0000-0000-000040090000}"/>
    <cellStyle name="Normal 3 14 2 3 2" xfId="5096" xr:uid="{00000000-0005-0000-0000-000041090000}"/>
    <cellStyle name="Normal 3 14 2 3 2 2" xfId="11273" xr:uid="{19704397-4D1B-4D0E-A0FB-C32152A663D4}"/>
    <cellStyle name="Normal 3 14 2 3 3" xfId="9165" xr:uid="{B136B92A-337D-4375-B4B6-499AEA4D501E}"/>
    <cellStyle name="Normal 3 14 2 4" xfId="2106" xr:uid="{00000000-0005-0000-0000-000042090000}"/>
    <cellStyle name="Normal 3 14 2 4 2" xfId="5097" xr:uid="{00000000-0005-0000-0000-000043090000}"/>
    <cellStyle name="Normal 3 14 2 4 2 2" xfId="11274" xr:uid="{F47EE79C-D6B0-4C17-B35C-7E68ABAD43B6}"/>
    <cellStyle name="Normal 3 14 2 4 3" xfId="8283" xr:uid="{D8827FDB-28C6-4918-B1E1-898A24F909BA}"/>
    <cellStyle name="Normal 3 14 2 5" xfId="3870" xr:uid="{00000000-0005-0000-0000-000044090000}"/>
    <cellStyle name="Normal 3 14 2 5 2" xfId="10047" xr:uid="{93511AE4-7522-471D-88D4-27F796DA81C5}"/>
    <cellStyle name="Normal 3 14 2 6" xfId="1223" xr:uid="{00000000-0005-0000-0000-000045090000}"/>
    <cellStyle name="Normal 3 14 2 6 2" xfId="7400" xr:uid="{25E7B558-534A-4047-8126-054AEAB45A8D}"/>
    <cellStyle name="Normal 3 14 2 7" xfId="6517" xr:uid="{9080D966-4D94-4E45-9138-CC8B07AFF577}"/>
    <cellStyle name="Normal 3 14 3" xfId="561" xr:uid="{00000000-0005-0000-0000-000046090000}"/>
    <cellStyle name="Normal 3 14 3 2" xfId="3209" xr:uid="{00000000-0005-0000-0000-000047090000}"/>
    <cellStyle name="Normal 3 14 3 2 2" xfId="5098" xr:uid="{00000000-0005-0000-0000-000048090000}"/>
    <cellStyle name="Normal 3 14 3 2 2 2" xfId="11275" xr:uid="{D124435C-5F34-41C4-98AF-6E41315D6753}"/>
    <cellStyle name="Normal 3 14 3 2 3" xfId="9386" xr:uid="{8C2E1B5F-1894-47A9-B57A-4C61F9E08BBF}"/>
    <cellStyle name="Normal 3 14 3 3" xfId="2327" xr:uid="{00000000-0005-0000-0000-000049090000}"/>
    <cellStyle name="Normal 3 14 3 3 2" xfId="5099" xr:uid="{00000000-0005-0000-0000-00004A090000}"/>
    <cellStyle name="Normal 3 14 3 3 2 2" xfId="11276" xr:uid="{CD2DB0D5-6454-491A-B588-4A5A8C31D600}"/>
    <cellStyle name="Normal 3 14 3 3 3" xfId="8504" xr:uid="{E542F829-8F53-4673-A263-18F6129FA5C8}"/>
    <cellStyle name="Normal 3 14 3 4" xfId="4091" xr:uid="{00000000-0005-0000-0000-00004B090000}"/>
    <cellStyle name="Normal 3 14 3 4 2" xfId="10268" xr:uid="{A41A4257-FC7F-4860-8CC5-A6CBB33D0E78}"/>
    <cellStyle name="Normal 3 14 3 5" xfId="1444" xr:uid="{00000000-0005-0000-0000-00004C090000}"/>
    <cellStyle name="Normal 3 14 3 5 2" xfId="7621" xr:uid="{00A316FD-C287-49E0-B3C7-10973A76FF53}"/>
    <cellStyle name="Normal 3 14 3 6" xfId="6738" xr:uid="{1B165F9D-5E53-4134-9D14-AA54CD2A3D5F}"/>
    <cellStyle name="Normal 3 14 4" xfId="2768" xr:uid="{00000000-0005-0000-0000-00004D090000}"/>
    <cellStyle name="Normal 3 14 4 2" xfId="5100" xr:uid="{00000000-0005-0000-0000-00004E090000}"/>
    <cellStyle name="Normal 3 14 4 2 2" xfId="11277" xr:uid="{8EE5A843-1275-4AE8-B276-1F3832BC3085}"/>
    <cellStyle name="Normal 3 14 4 3" xfId="8945" xr:uid="{32A95CC9-7023-4166-803C-2E777EABEDA2}"/>
    <cellStyle name="Normal 3 14 5" xfId="1886" xr:uid="{00000000-0005-0000-0000-00004F090000}"/>
    <cellStyle name="Normal 3 14 5 2" xfId="5101" xr:uid="{00000000-0005-0000-0000-000050090000}"/>
    <cellStyle name="Normal 3 14 5 2 2" xfId="11278" xr:uid="{E72F609D-43E8-49E5-BE1B-75D3DAD607B5}"/>
    <cellStyle name="Normal 3 14 5 3" xfId="8063" xr:uid="{B05145D1-C4B1-4F07-B0AC-9B60AA7E0816}"/>
    <cellStyle name="Normal 3 14 6" xfId="3650" xr:uid="{00000000-0005-0000-0000-000051090000}"/>
    <cellStyle name="Normal 3 14 6 2" xfId="9827" xr:uid="{C206EC8B-54F6-4E72-8FDF-573EE73A0AF3}"/>
    <cellStyle name="Normal 3 14 7" xfId="1003" xr:uid="{00000000-0005-0000-0000-000052090000}"/>
    <cellStyle name="Normal 3 14 7 2" xfId="7180" xr:uid="{26E1888E-102F-4910-9464-764E60B70522}"/>
    <cellStyle name="Normal 3 14 8" xfId="6297" xr:uid="{D9FD029C-9EFF-49C4-830A-CFE2597A465E}"/>
    <cellStyle name="Normal 3 15" xfId="230" xr:uid="{00000000-0005-0000-0000-000053090000}"/>
    <cellStyle name="Normal 3 15 2" xfId="671" xr:uid="{00000000-0005-0000-0000-000054090000}"/>
    <cellStyle name="Normal 3 15 2 2" xfId="3319" xr:uid="{00000000-0005-0000-0000-000055090000}"/>
    <cellStyle name="Normal 3 15 2 2 2" xfId="5102" xr:uid="{00000000-0005-0000-0000-000056090000}"/>
    <cellStyle name="Normal 3 15 2 2 2 2" xfId="11279" xr:uid="{379CB420-FB5F-4042-AF26-90BA90F2DAFB}"/>
    <cellStyle name="Normal 3 15 2 2 3" xfId="9496" xr:uid="{68A76BB0-2B62-4497-9D66-B660C6427EB6}"/>
    <cellStyle name="Normal 3 15 2 3" xfId="2437" xr:uid="{00000000-0005-0000-0000-000057090000}"/>
    <cellStyle name="Normal 3 15 2 3 2" xfId="5103" xr:uid="{00000000-0005-0000-0000-000058090000}"/>
    <cellStyle name="Normal 3 15 2 3 2 2" xfId="11280" xr:uid="{FEFE0625-7D0A-4CB5-9441-74002A50E9D3}"/>
    <cellStyle name="Normal 3 15 2 3 3" xfId="8614" xr:uid="{8C81EF79-D1CD-40B2-A61C-895D81A455D7}"/>
    <cellStyle name="Normal 3 15 2 4" xfId="4201" xr:uid="{00000000-0005-0000-0000-000059090000}"/>
    <cellStyle name="Normal 3 15 2 4 2" xfId="10378" xr:uid="{1FCFD27B-B9E2-40D7-9785-A289668C3B00}"/>
    <cellStyle name="Normal 3 15 2 5" xfId="1554" xr:uid="{00000000-0005-0000-0000-00005A090000}"/>
    <cellStyle name="Normal 3 15 2 5 2" xfId="7731" xr:uid="{273E46E8-7694-4BA8-BACD-5080E0B01B03}"/>
    <cellStyle name="Normal 3 15 2 6" xfId="6848" xr:uid="{0D3ED506-3C4B-4CF4-824E-7FEA6FA6514E}"/>
    <cellStyle name="Normal 3 15 3" xfId="2878" xr:uid="{00000000-0005-0000-0000-00005B090000}"/>
    <cellStyle name="Normal 3 15 3 2" xfId="5104" xr:uid="{00000000-0005-0000-0000-00005C090000}"/>
    <cellStyle name="Normal 3 15 3 2 2" xfId="11281" xr:uid="{0C75EF88-F985-40B3-9082-3E138AA162AE}"/>
    <cellStyle name="Normal 3 15 3 3" xfId="9055" xr:uid="{F9AB6661-FBB2-4FBB-8CC5-5C3F02D4E227}"/>
    <cellStyle name="Normal 3 15 4" xfId="1996" xr:uid="{00000000-0005-0000-0000-00005D090000}"/>
    <cellStyle name="Normal 3 15 4 2" xfId="5105" xr:uid="{00000000-0005-0000-0000-00005E090000}"/>
    <cellStyle name="Normal 3 15 4 2 2" xfId="11282" xr:uid="{27CF3C04-E06C-47FD-8B60-B2D1356C010C}"/>
    <cellStyle name="Normal 3 15 4 3" xfId="8173" xr:uid="{30B9E823-35C2-48DD-A51B-D2242F862B85}"/>
    <cellStyle name="Normal 3 15 5" xfId="3760" xr:uid="{00000000-0005-0000-0000-00005F090000}"/>
    <cellStyle name="Normal 3 15 5 2" xfId="9937" xr:uid="{D63F90EE-61EE-471D-BCE2-DD9EF0F42330}"/>
    <cellStyle name="Normal 3 15 6" xfId="1113" xr:uid="{00000000-0005-0000-0000-000060090000}"/>
    <cellStyle name="Normal 3 15 6 2" xfId="7290" xr:uid="{AA136754-FDE0-4FB0-9507-3D58F2D97877}"/>
    <cellStyle name="Normal 3 15 7" xfId="6407" xr:uid="{2D8E9866-CF26-4355-B345-E636B16E875E}"/>
    <cellStyle name="Normal 3 16" xfId="451" xr:uid="{00000000-0005-0000-0000-000061090000}"/>
    <cellStyle name="Normal 3 16 2" xfId="3099" xr:uid="{00000000-0005-0000-0000-000062090000}"/>
    <cellStyle name="Normal 3 16 2 2" xfId="5106" xr:uid="{00000000-0005-0000-0000-000063090000}"/>
    <cellStyle name="Normal 3 16 2 2 2" xfId="11283" xr:uid="{D5E9A01E-912A-495F-8DAC-0E6568DB03ED}"/>
    <cellStyle name="Normal 3 16 2 3" xfId="9276" xr:uid="{66B060D3-723E-4821-8E1F-D0999B0D4886}"/>
    <cellStyle name="Normal 3 16 3" xfId="2217" xr:uid="{00000000-0005-0000-0000-000064090000}"/>
    <cellStyle name="Normal 3 16 3 2" xfId="5107" xr:uid="{00000000-0005-0000-0000-000065090000}"/>
    <cellStyle name="Normal 3 16 3 2 2" xfId="11284" xr:uid="{1BED5F63-21B6-4B79-9E0A-1075ACDAE72D}"/>
    <cellStyle name="Normal 3 16 3 3" xfId="8394" xr:uid="{E5204229-3DBB-44E4-95FB-DF61E3C30B23}"/>
    <cellStyle name="Normal 3 16 4" xfId="3981" xr:uid="{00000000-0005-0000-0000-000066090000}"/>
    <cellStyle name="Normal 3 16 4 2" xfId="10158" xr:uid="{06A7EE7F-A7ED-498E-B532-060995FF46BC}"/>
    <cellStyle name="Normal 3 16 5" xfId="1334" xr:uid="{00000000-0005-0000-0000-000067090000}"/>
    <cellStyle name="Normal 3 16 5 2" xfId="7511" xr:uid="{7D376020-F675-46A2-8311-C074B14B377C}"/>
    <cellStyle name="Normal 3 16 6" xfId="6628" xr:uid="{8FC92C60-B238-420A-9A9B-E5A18707D8AD}"/>
    <cellStyle name="Normal 3 17" xfId="891" xr:uid="{00000000-0005-0000-0000-000068090000}"/>
    <cellStyle name="Normal 3 17 2" xfId="2658" xr:uid="{00000000-0005-0000-0000-000069090000}"/>
    <cellStyle name="Normal 3 17 2 2" xfId="5108" xr:uid="{00000000-0005-0000-0000-00006A090000}"/>
    <cellStyle name="Normal 3 17 2 2 2" xfId="11285" xr:uid="{C11E7297-25BD-45E6-A9C9-A738CCB5639B}"/>
    <cellStyle name="Normal 3 17 2 3" xfId="8835" xr:uid="{E9D94EAB-44E9-495D-A56A-709AB524050E}"/>
    <cellStyle name="Normal 3 17 3" xfId="4421" xr:uid="{00000000-0005-0000-0000-00006B090000}"/>
    <cellStyle name="Normal 3 17 3 2" xfId="10598" xr:uid="{87B6709D-F79F-4AF6-A15E-47312D843A69}"/>
    <cellStyle name="Normal 3 17 4" xfId="1774" xr:uid="{00000000-0005-0000-0000-00006C090000}"/>
    <cellStyle name="Normal 3 17 4 2" xfId="7951" xr:uid="{7C4477E6-F6BB-4018-BB66-F2D936EEAC4F}"/>
    <cellStyle name="Normal 3 17 5" xfId="7068" xr:uid="{80CC4E7E-4289-47C0-B95D-346BEF31C187}"/>
    <cellStyle name="Normal 3 18" xfId="1776" xr:uid="{00000000-0005-0000-0000-00006D090000}"/>
    <cellStyle name="Normal 3 18 2" xfId="5109" xr:uid="{00000000-0005-0000-0000-00006E090000}"/>
    <cellStyle name="Normal 3 18 2 2" xfId="11286" xr:uid="{B9090D50-93CD-4A46-A8F4-C5934B7C656D}"/>
    <cellStyle name="Normal 3 18 3" xfId="7953" xr:uid="{72E66CCC-9505-4DDA-B91E-025D2566EE9D}"/>
    <cellStyle name="Normal 3 19" xfId="3540" xr:uid="{00000000-0005-0000-0000-00006F090000}"/>
    <cellStyle name="Normal 3 19 2" xfId="9717" xr:uid="{00BA2F43-68BB-44AC-A7B2-2630714773BD}"/>
    <cellStyle name="Normal 3 2" xfId="12" xr:uid="{00000000-0005-0000-0000-000070090000}"/>
    <cellStyle name="Normal 3 2 10" xfId="454" xr:uid="{00000000-0005-0000-0000-000071090000}"/>
    <cellStyle name="Normal 3 2 10 2" xfId="3102" xr:uid="{00000000-0005-0000-0000-000072090000}"/>
    <cellStyle name="Normal 3 2 10 2 2" xfId="5110" xr:uid="{00000000-0005-0000-0000-000073090000}"/>
    <cellStyle name="Normal 3 2 10 2 2 2" xfId="11287" xr:uid="{E11B6E50-CF94-4AC3-8E27-0577E6AC49F8}"/>
    <cellStyle name="Normal 3 2 10 2 3" xfId="9279" xr:uid="{93C87EE0-02A0-4983-A60F-B6C75DE5AC28}"/>
    <cellStyle name="Normal 3 2 10 3" xfId="2220" xr:uid="{00000000-0005-0000-0000-000074090000}"/>
    <cellStyle name="Normal 3 2 10 3 2" xfId="5111" xr:uid="{00000000-0005-0000-0000-000075090000}"/>
    <cellStyle name="Normal 3 2 10 3 2 2" xfId="11288" xr:uid="{2C319AF6-1BC9-4F73-AACC-4E1629633788}"/>
    <cellStyle name="Normal 3 2 10 3 3" xfId="8397" xr:uid="{CDC7CC20-5989-4DF5-91CF-18B7A1631DF5}"/>
    <cellStyle name="Normal 3 2 10 4" xfId="3984" xr:uid="{00000000-0005-0000-0000-000076090000}"/>
    <cellStyle name="Normal 3 2 10 4 2" xfId="10161" xr:uid="{C1C2114F-6986-433C-960A-7BE62F4E81A6}"/>
    <cellStyle name="Normal 3 2 10 5" xfId="1337" xr:uid="{00000000-0005-0000-0000-000077090000}"/>
    <cellStyle name="Normal 3 2 10 5 2" xfId="7514" xr:uid="{25A70D4C-AD21-48D7-AD32-AE13C442FE1E}"/>
    <cellStyle name="Normal 3 2 10 6" xfId="6631" xr:uid="{6959274E-A58F-4E06-9F72-DFE9573D851B}"/>
    <cellStyle name="Normal 3 2 11" xfId="2661" xr:uid="{00000000-0005-0000-0000-000078090000}"/>
    <cellStyle name="Normal 3 2 11 2" xfId="5112" xr:uid="{00000000-0005-0000-0000-000079090000}"/>
    <cellStyle name="Normal 3 2 11 2 2" xfId="11289" xr:uid="{081515D4-3102-4186-9BFD-D109989B9B54}"/>
    <cellStyle name="Normal 3 2 11 3" xfId="8838" xr:uid="{57F4A058-D679-45D7-82F7-0D8DF2D7A156}"/>
    <cellStyle name="Normal 3 2 12" xfId="1779" xr:uid="{00000000-0005-0000-0000-00007A090000}"/>
    <cellStyle name="Normal 3 2 12 2" xfId="5113" xr:uid="{00000000-0005-0000-0000-00007B090000}"/>
    <cellStyle name="Normal 3 2 12 2 2" xfId="11290" xr:uid="{800374D8-75C5-47D4-8C6E-B091972EFABC}"/>
    <cellStyle name="Normal 3 2 12 3" xfId="7956" xr:uid="{F3388B6B-B5E6-4F2B-82E5-A66313ECEA1E}"/>
    <cellStyle name="Normal 3 2 13" xfId="3543" xr:uid="{00000000-0005-0000-0000-00007C090000}"/>
    <cellStyle name="Normal 3 2 13 2" xfId="9720" xr:uid="{01BB14E2-E284-4E33-99BB-D573B5E68EA2}"/>
    <cellStyle name="Normal 3 2 14" xfId="896" xr:uid="{00000000-0005-0000-0000-00007D090000}"/>
    <cellStyle name="Normal 3 2 14 2" xfId="7073" xr:uid="{1AE6AF58-4671-4672-A5CB-D42B1C83E53F}"/>
    <cellStyle name="Normal 3 2 15" xfId="6190" xr:uid="{E3FCDD58-7A22-45B4-B5CB-FBC9D2A96E0D}"/>
    <cellStyle name="Normal 3 2 2" xfId="29" xr:uid="{00000000-0005-0000-0000-00007E090000}"/>
    <cellStyle name="Normal 3 2 2 10" xfId="6206" xr:uid="{C6DC5083-0235-4BB6-B1C9-D93A7621905C}"/>
    <cellStyle name="Normal 3 2 2 2" xfId="95" xr:uid="{00000000-0005-0000-0000-00007F090000}"/>
    <cellStyle name="Normal 3 2 2 2 2" xfId="205" xr:uid="{00000000-0005-0000-0000-000080090000}"/>
    <cellStyle name="Normal 3 2 2 2 2 2" xfId="425" xr:uid="{00000000-0005-0000-0000-000081090000}"/>
    <cellStyle name="Normal 3 2 2 2 2 2 2" xfId="866" xr:uid="{00000000-0005-0000-0000-000082090000}"/>
    <cellStyle name="Normal 3 2 2 2 2 2 2 2" xfId="3514" xr:uid="{00000000-0005-0000-0000-000083090000}"/>
    <cellStyle name="Normal 3 2 2 2 2 2 2 2 2" xfId="5114" xr:uid="{00000000-0005-0000-0000-000084090000}"/>
    <cellStyle name="Normal 3 2 2 2 2 2 2 2 2 2" xfId="11291" xr:uid="{D7CE66A1-8EF9-438B-8936-B138822CCFC5}"/>
    <cellStyle name="Normal 3 2 2 2 2 2 2 2 3" xfId="9691" xr:uid="{EE784B5D-1210-4BC5-93FD-68F8AF1D517B}"/>
    <cellStyle name="Normal 3 2 2 2 2 2 2 3" xfId="2632" xr:uid="{00000000-0005-0000-0000-000085090000}"/>
    <cellStyle name="Normal 3 2 2 2 2 2 2 3 2" xfId="5115" xr:uid="{00000000-0005-0000-0000-000086090000}"/>
    <cellStyle name="Normal 3 2 2 2 2 2 2 3 2 2" xfId="11292" xr:uid="{E1005963-4C28-4C72-8682-B0D005B53DA3}"/>
    <cellStyle name="Normal 3 2 2 2 2 2 2 3 3" xfId="8809" xr:uid="{E0A2C3BF-7D8A-4080-B2C4-E12B79EC6EEA}"/>
    <cellStyle name="Normal 3 2 2 2 2 2 2 4" xfId="4396" xr:uid="{00000000-0005-0000-0000-000087090000}"/>
    <cellStyle name="Normal 3 2 2 2 2 2 2 4 2" xfId="10573" xr:uid="{FF4962FC-7050-47CD-8D05-5DAFC16B4B4B}"/>
    <cellStyle name="Normal 3 2 2 2 2 2 2 5" xfId="1749" xr:uid="{00000000-0005-0000-0000-000088090000}"/>
    <cellStyle name="Normal 3 2 2 2 2 2 2 5 2" xfId="7926" xr:uid="{BC7A2E99-B072-45DD-B176-B49A6267284B}"/>
    <cellStyle name="Normal 3 2 2 2 2 2 2 6" xfId="7043" xr:uid="{2F601E0A-EEA8-42C0-A01C-D0F74FDB606D}"/>
    <cellStyle name="Normal 3 2 2 2 2 2 3" xfId="3073" xr:uid="{00000000-0005-0000-0000-000089090000}"/>
    <cellStyle name="Normal 3 2 2 2 2 2 3 2" xfId="5116" xr:uid="{00000000-0005-0000-0000-00008A090000}"/>
    <cellStyle name="Normal 3 2 2 2 2 2 3 2 2" xfId="11293" xr:uid="{22E5D199-DE1F-4F12-9119-C4D74C508146}"/>
    <cellStyle name="Normal 3 2 2 2 2 2 3 3" xfId="9250" xr:uid="{802091F8-1174-4066-9CB6-C8048C74815C}"/>
    <cellStyle name="Normal 3 2 2 2 2 2 4" xfId="2191" xr:uid="{00000000-0005-0000-0000-00008B090000}"/>
    <cellStyle name="Normal 3 2 2 2 2 2 4 2" xfId="5117" xr:uid="{00000000-0005-0000-0000-00008C090000}"/>
    <cellStyle name="Normal 3 2 2 2 2 2 4 2 2" xfId="11294" xr:uid="{8E20293A-FB8E-4ED9-94F2-E19736E69E75}"/>
    <cellStyle name="Normal 3 2 2 2 2 2 4 3" xfId="8368" xr:uid="{DDFB4E2A-CAE3-4AD8-BF6A-FEA4301A0AB7}"/>
    <cellStyle name="Normal 3 2 2 2 2 2 5" xfId="3955" xr:uid="{00000000-0005-0000-0000-00008D090000}"/>
    <cellStyle name="Normal 3 2 2 2 2 2 5 2" xfId="10132" xr:uid="{A6C6610A-DB69-447B-849F-57157CF03EF4}"/>
    <cellStyle name="Normal 3 2 2 2 2 2 6" xfId="1308" xr:uid="{00000000-0005-0000-0000-00008E090000}"/>
    <cellStyle name="Normal 3 2 2 2 2 2 6 2" xfId="7485" xr:uid="{BCFEA29A-D2C2-4FBD-B5A6-5A466063EADB}"/>
    <cellStyle name="Normal 3 2 2 2 2 2 7" xfId="6602" xr:uid="{1699401B-E937-4F84-A163-C9AE50230471}"/>
    <cellStyle name="Normal 3 2 2 2 2 3" xfId="646" xr:uid="{00000000-0005-0000-0000-00008F090000}"/>
    <cellStyle name="Normal 3 2 2 2 2 3 2" xfId="3294" xr:uid="{00000000-0005-0000-0000-000090090000}"/>
    <cellStyle name="Normal 3 2 2 2 2 3 2 2" xfId="5118" xr:uid="{00000000-0005-0000-0000-000091090000}"/>
    <cellStyle name="Normal 3 2 2 2 2 3 2 2 2" xfId="11295" xr:uid="{1A5D69F6-E904-4927-BE85-6B138456BAA2}"/>
    <cellStyle name="Normal 3 2 2 2 2 3 2 3" xfId="9471" xr:uid="{3921B65B-1C2C-457A-A8DE-58AA8E329C6D}"/>
    <cellStyle name="Normal 3 2 2 2 2 3 3" xfId="2412" xr:uid="{00000000-0005-0000-0000-000092090000}"/>
    <cellStyle name="Normal 3 2 2 2 2 3 3 2" xfId="5119" xr:uid="{00000000-0005-0000-0000-000093090000}"/>
    <cellStyle name="Normal 3 2 2 2 2 3 3 2 2" xfId="11296" xr:uid="{2C14ED67-5DEE-421E-857F-C7420152E4D6}"/>
    <cellStyle name="Normal 3 2 2 2 2 3 3 3" xfId="8589" xr:uid="{CEC2FE9F-3DAA-452D-9503-28DA6C7F48BA}"/>
    <cellStyle name="Normal 3 2 2 2 2 3 4" xfId="4176" xr:uid="{00000000-0005-0000-0000-000094090000}"/>
    <cellStyle name="Normal 3 2 2 2 2 3 4 2" xfId="10353" xr:uid="{E20F64AC-65C6-4B89-B9B4-48186C6DD1DE}"/>
    <cellStyle name="Normal 3 2 2 2 2 3 5" xfId="1529" xr:uid="{00000000-0005-0000-0000-000095090000}"/>
    <cellStyle name="Normal 3 2 2 2 2 3 5 2" xfId="7706" xr:uid="{139B7326-F069-4D54-AC54-DFBC8F9ABE0B}"/>
    <cellStyle name="Normal 3 2 2 2 2 3 6" xfId="6823" xr:uid="{AEE662B2-A33B-475E-B689-F8CA023005B1}"/>
    <cellStyle name="Normal 3 2 2 2 2 4" xfId="2853" xr:uid="{00000000-0005-0000-0000-000096090000}"/>
    <cellStyle name="Normal 3 2 2 2 2 4 2" xfId="5120" xr:uid="{00000000-0005-0000-0000-000097090000}"/>
    <cellStyle name="Normal 3 2 2 2 2 4 2 2" xfId="11297" xr:uid="{7A3EDBBC-B378-45AF-809D-48AD0F0F080E}"/>
    <cellStyle name="Normal 3 2 2 2 2 4 3" xfId="9030" xr:uid="{D9CF52AD-F366-410A-B13C-FFD2220189E5}"/>
    <cellStyle name="Normal 3 2 2 2 2 5" xfId="1971" xr:uid="{00000000-0005-0000-0000-000098090000}"/>
    <cellStyle name="Normal 3 2 2 2 2 5 2" xfId="5121" xr:uid="{00000000-0005-0000-0000-000099090000}"/>
    <cellStyle name="Normal 3 2 2 2 2 5 2 2" xfId="11298" xr:uid="{071A3010-F435-4284-B130-0349B6871E9D}"/>
    <cellStyle name="Normal 3 2 2 2 2 5 3" xfId="8148" xr:uid="{52ABF64D-805F-4D5B-9EF8-C9B660458C62}"/>
    <cellStyle name="Normal 3 2 2 2 2 6" xfId="3735" xr:uid="{00000000-0005-0000-0000-00009A090000}"/>
    <cellStyle name="Normal 3 2 2 2 2 6 2" xfId="9912" xr:uid="{DF068E6B-2266-45DD-8BC6-A3E1BC2E38E5}"/>
    <cellStyle name="Normal 3 2 2 2 2 7" xfId="1088" xr:uid="{00000000-0005-0000-0000-00009B090000}"/>
    <cellStyle name="Normal 3 2 2 2 2 7 2" xfId="7265" xr:uid="{E42F5443-AE32-4F92-9D22-BB60F56E91A5}"/>
    <cellStyle name="Normal 3 2 2 2 2 8" xfId="6382" xr:uid="{BCA3304F-5A1B-4EDB-886F-CA196634EC4F}"/>
    <cellStyle name="Normal 3 2 2 2 3" xfId="315" xr:uid="{00000000-0005-0000-0000-00009C090000}"/>
    <cellStyle name="Normal 3 2 2 2 3 2" xfId="756" xr:uid="{00000000-0005-0000-0000-00009D090000}"/>
    <cellStyle name="Normal 3 2 2 2 3 2 2" xfId="3404" xr:uid="{00000000-0005-0000-0000-00009E090000}"/>
    <cellStyle name="Normal 3 2 2 2 3 2 2 2" xfId="5122" xr:uid="{00000000-0005-0000-0000-00009F090000}"/>
    <cellStyle name="Normal 3 2 2 2 3 2 2 2 2" xfId="11299" xr:uid="{8487EBF8-C0A1-495D-8B50-9EC6826E8888}"/>
    <cellStyle name="Normal 3 2 2 2 3 2 2 3" xfId="9581" xr:uid="{F3E3AB9B-9A6A-4757-A040-E65F6D0DF400}"/>
    <cellStyle name="Normal 3 2 2 2 3 2 3" xfId="2522" xr:uid="{00000000-0005-0000-0000-0000A0090000}"/>
    <cellStyle name="Normal 3 2 2 2 3 2 3 2" xfId="5123" xr:uid="{00000000-0005-0000-0000-0000A1090000}"/>
    <cellStyle name="Normal 3 2 2 2 3 2 3 2 2" xfId="11300" xr:uid="{3A461BE9-48C5-4374-965E-90D0A6FB2773}"/>
    <cellStyle name="Normal 3 2 2 2 3 2 3 3" xfId="8699" xr:uid="{380F4FEE-4E25-487E-967D-E61F54ED4367}"/>
    <cellStyle name="Normal 3 2 2 2 3 2 4" xfId="4286" xr:uid="{00000000-0005-0000-0000-0000A2090000}"/>
    <cellStyle name="Normal 3 2 2 2 3 2 4 2" xfId="10463" xr:uid="{DE57C61C-D6CA-4099-AF03-D9C43383261C}"/>
    <cellStyle name="Normal 3 2 2 2 3 2 5" xfId="1639" xr:uid="{00000000-0005-0000-0000-0000A3090000}"/>
    <cellStyle name="Normal 3 2 2 2 3 2 5 2" xfId="7816" xr:uid="{4D0D3FEE-3AF0-47D7-B703-E0B18F888BA8}"/>
    <cellStyle name="Normal 3 2 2 2 3 2 6" xfId="6933" xr:uid="{ED820DFF-F08A-4617-9C16-3C5A2540B858}"/>
    <cellStyle name="Normal 3 2 2 2 3 3" xfId="2963" xr:uid="{00000000-0005-0000-0000-0000A4090000}"/>
    <cellStyle name="Normal 3 2 2 2 3 3 2" xfId="5124" xr:uid="{00000000-0005-0000-0000-0000A5090000}"/>
    <cellStyle name="Normal 3 2 2 2 3 3 2 2" xfId="11301" xr:uid="{6F9767C8-E8BE-473C-A1AF-DB81F90B8A00}"/>
    <cellStyle name="Normal 3 2 2 2 3 3 3" xfId="9140" xr:uid="{BD90BE50-F10B-477F-8C56-F0C0D34A01DB}"/>
    <cellStyle name="Normal 3 2 2 2 3 4" xfId="2081" xr:uid="{00000000-0005-0000-0000-0000A6090000}"/>
    <cellStyle name="Normal 3 2 2 2 3 4 2" xfId="5125" xr:uid="{00000000-0005-0000-0000-0000A7090000}"/>
    <cellStyle name="Normal 3 2 2 2 3 4 2 2" xfId="11302" xr:uid="{1FE9AC37-69F7-42EE-BE34-B6501FFAE2DD}"/>
    <cellStyle name="Normal 3 2 2 2 3 4 3" xfId="8258" xr:uid="{3102C691-34F0-43EB-9220-A8DEE40DB1DF}"/>
    <cellStyle name="Normal 3 2 2 2 3 5" xfId="3845" xr:uid="{00000000-0005-0000-0000-0000A8090000}"/>
    <cellStyle name="Normal 3 2 2 2 3 5 2" xfId="10022" xr:uid="{6E58ABBC-9B51-4B80-900B-EC2D480DA4E8}"/>
    <cellStyle name="Normal 3 2 2 2 3 6" xfId="1198" xr:uid="{00000000-0005-0000-0000-0000A9090000}"/>
    <cellStyle name="Normal 3 2 2 2 3 6 2" xfId="7375" xr:uid="{3E77011A-9CC0-4C28-A46B-2B9C327DAAAC}"/>
    <cellStyle name="Normal 3 2 2 2 3 7" xfId="6492" xr:uid="{737F69E7-1E07-40DA-A8DB-B400ECFD17E0}"/>
    <cellStyle name="Normal 3 2 2 2 4" xfId="536" xr:uid="{00000000-0005-0000-0000-0000AA090000}"/>
    <cellStyle name="Normal 3 2 2 2 4 2" xfId="3184" xr:uid="{00000000-0005-0000-0000-0000AB090000}"/>
    <cellStyle name="Normal 3 2 2 2 4 2 2" xfId="5126" xr:uid="{00000000-0005-0000-0000-0000AC090000}"/>
    <cellStyle name="Normal 3 2 2 2 4 2 2 2" xfId="11303" xr:uid="{460806BC-A9D9-4EB7-B886-B87408C2C8AF}"/>
    <cellStyle name="Normal 3 2 2 2 4 2 3" xfId="9361" xr:uid="{37E3CE79-3F86-422E-900B-5BE0061B44FA}"/>
    <cellStyle name="Normal 3 2 2 2 4 3" xfId="2302" xr:uid="{00000000-0005-0000-0000-0000AD090000}"/>
    <cellStyle name="Normal 3 2 2 2 4 3 2" xfId="5127" xr:uid="{00000000-0005-0000-0000-0000AE090000}"/>
    <cellStyle name="Normal 3 2 2 2 4 3 2 2" xfId="11304" xr:uid="{13ACAA5B-D87E-4608-BEBC-E61B4A5F84EF}"/>
    <cellStyle name="Normal 3 2 2 2 4 3 3" xfId="8479" xr:uid="{11067130-DBDF-4990-B356-B24A8591F809}"/>
    <cellStyle name="Normal 3 2 2 2 4 4" xfId="4066" xr:uid="{00000000-0005-0000-0000-0000AF090000}"/>
    <cellStyle name="Normal 3 2 2 2 4 4 2" xfId="10243" xr:uid="{5D42443F-C437-4D2C-97A7-436272101A81}"/>
    <cellStyle name="Normal 3 2 2 2 4 5" xfId="1419" xr:uid="{00000000-0005-0000-0000-0000B0090000}"/>
    <cellStyle name="Normal 3 2 2 2 4 5 2" xfId="7596" xr:uid="{42A90280-623F-4FED-A5C9-FB4601F7D718}"/>
    <cellStyle name="Normal 3 2 2 2 4 6" xfId="6713" xr:uid="{784318E2-D8D5-4760-8EA5-F71E4E882B1A}"/>
    <cellStyle name="Normal 3 2 2 2 5" xfId="2743" xr:uid="{00000000-0005-0000-0000-0000B1090000}"/>
    <cellStyle name="Normal 3 2 2 2 5 2" xfId="5128" xr:uid="{00000000-0005-0000-0000-0000B2090000}"/>
    <cellStyle name="Normal 3 2 2 2 5 2 2" xfId="11305" xr:uid="{1B495AD1-2E23-4CF7-8FAA-E4C1D8DF77BD}"/>
    <cellStyle name="Normal 3 2 2 2 5 3" xfId="8920" xr:uid="{A19F275D-6EB1-45F6-ACD8-850117C3504E}"/>
    <cellStyle name="Normal 3 2 2 2 6" xfId="1861" xr:uid="{00000000-0005-0000-0000-0000B3090000}"/>
    <cellStyle name="Normal 3 2 2 2 6 2" xfId="5129" xr:uid="{00000000-0005-0000-0000-0000B4090000}"/>
    <cellStyle name="Normal 3 2 2 2 6 2 2" xfId="11306" xr:uid="{9B8D2D97-966F-4337-8F9A-57A39F1B89EC}"/>
    <cellStyle name="Normal 3 2 2 2 6 3" xfId="8038" xr:uid="{D7953F24-5F39-4620-8283-91EF5CED6D6E}"/>
    <cellStyle name="Normal 3 2 2 2 7" xfId="3625" xr:uid="{00000000-0005-0000-0000-0000B5090000}"/>
    <cellStyle name="Normal 3 2 2 2 7 2" xfId="9802" xr:uid="{DE85E65D-2007-414A-8518-25D865A72CE4}"/>
    <cellStyle name="Normal 3 2 2 2 8" xfId="978" xr:uid="{00000000-0005-0000-0000-0000B6090000}"/>
    <cellStyle name="Normal 3 2 2 2 8 2" xfId="7155" xr:uid="{9F05A10D-FD9B-4707-9F6E-1166FAD0D7FB}"/>
    <cellStyle name="Normal 3 2 2 2 9" xfId="6272" xr:uid="{CADFC95E-3D1D-4D9B-A0F4-99210735474D}"/>
    <cellStyle name="Normal 3 2 2 3" xfId="139" xr:uid="{00000000-0005-0000-0000-0000B7090000}"/>
    <cellStyle name="Normal 3 2 2 3 2" xfId="359" xr:uid="{00000000-0005-0000-0000-0000B8090000}"/>
    <cellStyle name="Normal 3 2 2 3 2 2" xfId="800" xr:uid="{00000000-0005-0000-0000-0000B9090000}"/>
    <cellStyle name="Normal 3 2 2 3 2 2 2" xfId="3448" xr:uid="{00000000-0005-0000-0000-0000BA090000}"/>
    <cellStyle name="Normal 3 2 2 3 2 2 2 2" xfId="5130" xr:uid="{00000000-0005-0000-0000-0000BB090000}"/>
    <cellStyle name="Normal 3 2 2 3 2 2 2 2 2" xfId="11307" xr:uid="{65C256CC-5A63-4C73-AD61-82701B605B92}"/>
    <cellStyle name="Normal 3 2 2 3 2 2 2 3" xfId="9625" xr:uid="{4EDDFCD3-6CD7-425A-94C6-A4B7BE11F7D1}"/>
    <cellStyle name="Normal 3 2 2 3 2 2 3" xfId="2566" xr:uid="{00000000-0005-0000-0000-0000BC090000}"/>
    <cellStyle name="Normal 3 2 2 3 2 2 3 2" xfId="5131" xr:uid="{00000000-0005-0000-0000-0000BD090000}"/>
    <cellStyle name="Normal 3 2 2 3 2 2 3 2 2" xfId="11308" xr:uid="{2183C6AF-DF4C-4EA8-B17D-CCCC323E7227}"/>
    <cellStyle name="Normal 3 2 2 3 2 2 3 3" xfId="8743" xr:uid="{A3D80BA8-721F-4A39-97AD-D289C290D62B}"/>
    <cellStyle name="Normal 3 2 2 3 2 2 4" xfId="4330" xr:uid="{00000000-0005-0000-0000-0000BE090000}"/>
    <cellStyle name="Normal 3 2 2 3 2 2 4 2" xfId="10507" xr:uid="{20A57452-DE57-4DD2-916E-B3639E59C152}"/>
    <cellStyle name="Normal 3 2 2 3 2 2 5" xfId="1683" xr:uid="{00000000-0005-0000-0000-0000BF090000}"/>
    <cellStyle name="Normal 3 2 2 3 2 2 5 2" xfId="7860" xr:uid="{32C1D913-9BC9-4636-BB3C-012934C489FA}"/>
    <cellStyle name="Normal 3 2 2 3 2 2 6" xfId="6977" xr:uid="{A1BEBBBD-0FF8-4E43-A5A0-D8BE8DCDF4E5}"/>
    <cellStyle name="Normal 3 2 2 3 2 3" xfId="3007" xr:uid="{00000000-0005-0000-0000-0000C0090000}"/>
    <cellStyle name="Normal 3 2 2 3 2 3 2" xfId="5132" xr:uid="{00000000-0005-0000-0000-0000C1090000}"/>
    <cellStyle name="Normal 3 2 2 3 2 3 2 2" xfId="11309" xr:uid="{902C65A9-76E7-4186-9ED2-1698AFDD886A}"/>
    <cellStyle name="Normal 3 2 2 3 2 3 3" xfId="9184" xr:uid="{0E93C2DD-3439-4CC2-A2B3-12E970088E57}"/>
    <cellStyle name="Normal 3 2 2 3 2 4" xfId="2125" xr:uid="{00000000-0005-0000-0000-0000C2090000}"/>
    <cellStyle name="Normal 3 2 2 3 2 4 2" xfId="5133" xr:uid="{00000000-0005-0000-0000-0000C3090000}"/>
    <cellStyle name="Normal 3 2 2 3 2 4 2 2" xfId="11310" xr:uid="{9E2AE768-2DCC-4A96-85A3-5EBB9C211152}"/>
    <cellStyle name="Normal 3 2 2 3 2 4 3" xfId="8302" xr:uid="{E49F764D-490D-448C-97D9-49017B177086}"/>
    <cellStyle name="Normal 3 2 2 3 2 5" xfId="3889" xr:uid="{00000000-0005-0000-0000-0000C4090000}"/>
    <cellStyle name="Normal 3 2 2 3 2 5 2" xfId="10066" xr:uid="{5C15F7B7-F234-484A-8CD6-2AC55D7A5ADE}"/>
    <cellStyle name="Normal 3 2 2 3 2 6" xfId="1242" xr:uid="{00000000-0005-0000-0000-0000C5090000}"/>
    <cellStyle name="Normal 3 2 2 3 2 6 2" xfId="7419" xr:uid="{27CB007B-EB6C-4F4D-A9B5-9DCDE2D857CA}"/>
    <cellStyle name="Normal 3 2 2 3 2 7" xfId="6536" xr:uid="{C1418430-84BA-4D69-B7DF-D8F87F88FB2E}"/>
    <cellStyle name="Normal 3 2 2 3 3" xfId="580" xr:uid="{00000000-0005-0000-0000-0000C6090000}"/>
    <cellStyle name="Normal 3 2 2 3 3 2" xfId="3228" xr:uid="{00000000-0005-0000-0000-0000C7090000}"/>
    <cellStyle name="Normal 3 2 2 3 3 2 2" xfId="5134" xr:uid="{00000000-0005-0000-0000-0000C8090000}"/>
    <cellStyle name="Normal 3 2 2 3 3 2 2 2" xfId="11311" xr:uid="{B446307B-0ED8-45A7-8516-59CD62A8E728}"/>
    <cellStyle name="Normal 3 2 2 3 3 2 3" xfId="9405" xr:uid="{4767B9B0-3FB9-409A-A8C1-340733E18577}"/>
    <cellStyle name="Normal 3 2 2 3 3 3" xfId="2346" xr:uid="{00000000-0005-0000-0000-0000C9090000}"/>
    <cellStyle name="Normal 3 2 2 3 3 3 2" xfId="5135" xr:uid="{00000000-0005-0000-0000-0000CA090000}"/>
    <cellStyle name="Normal 3 2 2 3 3 3 2 2" xfId="11312" xr:uid="{C9469203-941A-4C00-AF68-A842B330D665}"/>
    <cellStyle name="Normal 3 2 2 3 3 3 3" xfId="8523" xr:uid="{52855B65-48A3-4422-9B9A-26029CD1D1ED}"/>
    <cellStyle name="Normal 3 2 2 3 3 4" xfId="4110" xr:uid="{00000000-0005-0000-0000-0000CB090000}"/>
    <cellStyle name="Normal 3 2 2 3 3 4 2" xfId="10287" xr:uid="{051BE70F-E409-4627-8C93-F509D5C1C415}"/>
    <cellStyle name="Normal 3 2 2 3 3 5" xfId="1463" xr:uid="{00000000-0005-0000-0000-0000CC090000}"/>
    <cellStyle name="Normal 3 2 2 3 3 5 2" xfId="7640" xr:uid="{1A7CF88E-D1B2-474C-ADDE-FD3277423B44}"/>
    <cellStyle name="Normal 3 2 2 3 3 6" xfId="6757" xr:uid="{DB03C8F4-37D9-44D1-B10C-9A93FD950609}"/>
    <cellStyle name="Normal 3 2 2 3 4" xfId="2787" xr:uid="{00000000-0005-0000-0000-0000CD090000}"/>
    <cellStyle name="Normal 3 2 2 3 4 2" xfId="5136" xr:uid="{00000000-0005-0000-0000-0000CE090000}"/>
    <cellStyle name="Normal 3 2 2 3 4 2 2" xfId="11313" xr:uid="{7B602A44-4FFF-4DB2-9E8E-19DF01FDE5D6}"/>
    <cellStyle name="Normal 3 2 2 3 4 3" xfId="8964" xr:uid="{BEF37FE1-074C-448B-BC61-DA42CEA4308D}"/>
    <cellStyle name="Normal 3 2 2 3 5" xfId="1905" xr:uid="{00000000-0005-0000-0000-0000CF090000}"/>
    <cellStyle name="Normal 3 2 2 3 5 2" xfId="5137" xr:uid="{00000000-0005-0000-0000-0000D0090000}"/>
    <cellStyle name="Normal 3 2 2 3 5 2 2" xfId="11314" xr:uid="{045CAFE6-BA6D-479C-85C6-9338F3AF42B4}"/>
    <cellStyle name="Normal 3 2 2 3 5 3" xfId="8082" xr:uid="{17E498F9-1B41-4515-9902-3953CA8C679A}"/>
    <cellStyle name="Normal 3 2 2 3 6" xfId="3669" xr:uid="{00000000-0005-0000-0000-0000D1090000}"/>
    <cellStyle name="Normal 3 2 2 3 6 2" xfId="9846" xr:uid="{909B8A84-70C0-4DC7-9084-6CA9E1A87417}"/>
    <cellStyle name="Normal 3 2 2 3 7" xfId="1022" xr:uid="{00000000-0005-0000-0000-0000D2090000}"/>
    <cellStyle name="Normal 3 2 2 3 7 2" xfId="7199" xr:uid="{6DED2254-F5FB-4F5D-861D-C5268D4847F9}"/>
    <cellStyle name="Normal 3 2 2 3 8" xfId="6316" xr:uid="{152CF375-498F-4804-A3A6-6B3B7C3D8EA3}"/>
    <cellStyle name="Normal 3 2 2 4" xfId="249" xr:uid="{00000000-0005-0000-0000-0000D3090000}"/>
    <cellStyle name="Normal 3 2 2 4 2" xfId="690" xr:uid="{00000000-0005-0000-0000-0000D4090000}"/>
    <cellStyle name="Normal 3 2 2 4 2 2" xfId="3338" xr:uid="{00000000-0005-0000-0000-0000D5090000}"/>
    <cellStyle name="Normal 3 2 2 4 2 2 2" xfId="5138" xr:uid="{00000000-0005-0000-0000-0000D6090000}"/>
    <cellStyle name="Normal 3 2 2 4 2 2 2 2" xfId="11315" xr:uid="{1B92381A-35CC-4598-843C-C98D6E788CAB}"/>
    <cellStyle name="Normal 3 2 2 4 2 2 3" xfId="9515" xr:uid="{01ECF728-9CA5-43EC-9262-7D22DD3EFD17}"/>
    <cellStyle name="Normal 3 2 2 4 2 3" xfId="2456" xr:uid="{00000000-0005-0000-0000-0000D7090000}"/>
    <cellStyle name="Normal 3 2 2 4 2 3 2" xfId="5139" xr:uid="{00000000-0005-0000-0000-0000D8090000}"/>
    <cellStyle name="Normal 3 2 2 4 2 3 2 2" xfId="11316" xr:uid="{6C6E7E6F-B25D-469A-B47F-166B4EB97DF3}"/>
    <cellStyle name="Normal 3 2 2 4 2 3 3" xfId="8633" xr:uid="{F53784A2-AA01-4178-A821-A6286021966F}"/>
    <cellStyle name="Normal 3 2 2 4 2 4" xfId="4220" xr:uid="{00000000-0005-0000-0000-0000D9090000}"/>
    <cellStyle name="Normal 3 2 2 4 2 4 2" xfId="10397" xr:uid="{1D748A68-E4E6-41A1-AA2F-817A37C9D7C6}"/>
    <cellStyle name="Normal 3 2 2 4 2 5" xfId="1573" xr:uid="{00000000-0005-0000-0000-0000DA090000}"/>
    <cellStyle name="Normal 3 2 2 4 2 5 2" xfId="7750" xr:uid="{70C79C5C-48B5-411F-A04F-7D8725DEC40D}"/>
    <cellStyle name="Normal 3 2 2 4 2 6" xfId="6867" xr:uid="{6A23BBD0-7BFE-4BB1-AE58-C4284CCDCB80}"/>
    <cellStyle name="Normal 3 2 2 4 3" xfId="2897" xr:uid="{00000000-0005-0000-0000-0000DB090000}"/>
    <cellStyle name="Normal 3 2 2 4 3 2" xfId="5140" xr:uid="{00000000-0005-0000-0000-0000DC090000}"/>
    <cellStyle name="Normal 3 2 2 4 3 2 2" xfId="11317" xr:uid="{AE338632-0A38-4EB4-AF37-23F246091E93}"/>
    <cellStyle name="Normal 3 2 2 4 3 3" xfId="9074" xr:uid="{606F1315-EAE9-4D62-92F1-149315642EC7}"/>
    <cellStyle name="Normal 3 2 2 4 4" xfId="2015" xr:uid="{00000000-0005-0000-0000-0000DD090000}"/>
    <cellStyle name="Normal 3 2 2 4 4 2" xfId="5141" xr:uid="{00000000-0005-0000-0000-0000DE090000}"/>
    <cellStyle name="Normal 3 2 2 4 4 2 2" xfId="11318" xr:uid="{49499656-A0C4-486B-B484-95C53FD578AE}"/>
    <cellStyle name="Normal 3 2 2 4 4 3" xfId="8192" xr:uid="{1128013C-1F4F-4971-B715-EE6C65C9696A}"/>
    <cellStyle name="Normal 3 2 2 4 5" xfId="3779" xr:uid="{00000000-0005-0000-0000-0000DF090000}"/>
    <cellStyle name="Normal 3 2 2 4 5 2" xfId="9956" xr:uid="{1A197435-B083-47A2-932F-4EB4B428AB64}"/>
    <cellStyle name="Normal 3 2 2 4 6" xfId="1132" xr:uid="{00000000-0005-0000-0000-0000E0090000}"/>
    <cellStyle name="Normal 3 2 2 4 6 2" xfId="7309" xr:uid="{11DE56BA-FD90-4B7F-B3F7-7120E003E81D}"/>
    <cellStyle name="Normal 3 2 2 4 7" xfId="6426" xr:uid="{9D92090A-82F0-44B8-A646-8DFDA989B815}"/>
    <cellStyle name="Normal 3 2 2 5" xfId="470" xr:uid="{00000000-0005-0000-0000-0000E1090000}"/>
    <cellStyle name="Normal 3 2 2 5 2" xfId="3118" xr:uid="{00000000-0005-0000-0000-0000E2090000}"/>
    <cellStyle name="Normal 3 2 2 5 2 2" xfId="5142" xr:uid="{00000000-0005-0000-0000-0000E3090000}"/>
    <cellStyle name="Normal 3 2 2 5 2 2 2" xfId="11319" xr:uid="{43A99794-2809-4989-AD4E-816287D5B553}"/>
    <cellStyle name="Normal 3 2 2 5 2 3" xfId="9295" xr:uid="{E858A14B-32FD-4473-9A40-50D9DB08497A}"/>
    <cellStyle name="Normal 3 2 2 5 3" xfId="2236" xr:uid="{00000000-0005-0000-0000-0000E4090000}"/>
    <cellStyle name="Normal 3 2 2 5 3 2" xfId="5143" xr:uid="{00000000-0005-0000-0000-0000E5090000}"/>
    <cellStyle name="Normal 3 2 2 5 3 2 2" xfId="11320" xr:uid="{C1CF4BB2-B691-495C-B107-30BF031B6878}"/>
    <cellStyle name="Normal 3 2 2 5 3 3" xfId="8413" xr:uid="{9913A31F-B7F2-4F8E-A0A1-B041E619929D}"/>
    <cellStyle name="Normal 3 2 2 5 4" xfId="4000" xr:uid="{00000000-0005-0000-0000-0000E6090000}"/>
    <cellStyle name="Normal 3 2 2 5 4 2" xfId="10177" xr:uid="{15C15F0B-FB2E-4C5D-B137-DE29709FAC70}"/>
    <cellStyle name="Normal 3 2 2 5 5" xfId="1353" xr:uid="{00000000-0005-0000-0000-0000E7090000}"/>
    <cellStyle name="Normal 3 2 2 5 5 2" xfId="7530" xr:uid="{7A5E9F1F-3DBB-46B0-8330-020BFFE8098C}"/>
    <cellStyle name="Normal 3 2 2 5 6" xfId="6647" xr:uid="{A47AC999-5A56-42BC-9902-959492812086}"/>
    <cellStyle name="Normal 3 2 2 6" xfId="2677" xr:uid="{00000000-0005-0000-0000-0000E8090000}"/>
    <cellStyle name="Normal 3 2 2 6 2" xfId="5144" xr:uid="{00000000-0005-0000-0000-0000E9090000}"/>
    <cellStyle name="Normal 3 2 2 6 2 2" xfId="11321" xr:uid="{FAD2D5D9-A6BD-4C5A-904F-AC46C49B2223}"/>
    <cellStyle name="Normal 3 2 2 6 3" xfId="8854" xr:uid="{329A909F-69C6-4E36-A2A3-7E807F605566}"/>
    <cellStyle name="Normal 3 2 2 7" xfId="1795" xr:uid="{00000000-0005-0000-0000-0000EA090000}"/>
    <cellStyle name="Normal 3 2 2 7 2" xfId="5145" xr:uid="{00000000-0005-0000-0000-0000EB090000}"/>
    <cellStyle name="Normal 3 2 2 7 2 2" xfId="11322" xr:uid="{5BE9950D-85CB-439F-8F7F-8EF4ED242164}"/>
    <cellStyle name="Normal 3 2 2 7 3" xfId="7972" xr:uid="{15E42A89-93C4-417E-8108-D2354A94C8B1}"/>
    <cellStyle name="Normal 3 2 2 8" xfId="3559" xr:uid="{00000000-0005-0000-0000-0000EC090000}"/>
    <cellStyle name="Normal 3 2 2 8 2" xfId="9736" xr:uid="{D6283E9F-D616-4AE4-8D47-90730F2779A1}"/>
    <cellStyle name="Normal 3 2 2 9" xfId="912" xr:uid="{00000000-0005-0000-0000-0000ED090000}"/>
    <cellStyle name="Normal 3 2 2 9 2" xfId="7089" xr:uid="{162363CB-5F9F-404D-BF5F-BEEA009A2780}"/>
    <cellStyle name="Normal 3 2 3" xfId="35" xr:uid="{00000000-0005-0000-0000-0000EE090000}"/>
    <cellStyle name="Normal 3 2 3 10" xfId="6212" xr:uid="{43B8B998-CDBA-4D24-9DF4-625B4A6BE8AA}"/>
    <cellStyle name="Normal 3 2 3 2" xfId="101" xr:uid="{00000000-0005-0000-0000-0000EF090000}"/>
    <cellStyle name="Normal 3 2 3 2 2" xfId="211" xr:uid="{00000000-0005-0000-0000-0000F0090000}"/>
    <cellStyle name="Normal 3 2 3 2 2 2" xfId="431" xr:uid="{00000000-0005-0000-0000-0000F1090000}"/>
    <cellStyle name="Normal 3 2 3 2 2 2 2" xfId="872" xr:uid="{00000000-0005-0000-0000-0000F2090000}"/>
    <cellStyle name="Normal 3 2 3 2 2 2 2 2" xfId="3520" xr:uid="{00000000-0005-0000-0000-0000F3090000}"/>
    <cellStyle name="Normal 3 2 3 2 2 2 2 2 2" xfId="5146" xr:uid="{00000000-0005-0000-0000-0000F4090000}"/>
    <cellStyle name="Normal 3 2 3 2 2 2 2 2 2 2" xfId="11323" xr:uid="{104B6F38-B738-45BD-90DD-B637C5A75ECB}"/>
    <cellStyle name="Normal 3 2 3 2 2 2 2 2 3" xfId="9697" xr:uid="{922B58E1-2505-4DB1-8805-9E9010CB310F}"/>
    <cellStyle name="Normal 3 2 3 2 2 2 2 3" xfId="2638" xr:uid="{00000000-0005-0000-0000-0000F5090000}"/>
    <cellStyle name="Normal 3 2 3 2 2 2 2 3 2" xfId="5147" xr:uid="{00000000-0005-0000-0000-0000F6090000}"/>
    <cellStyle name="Normal 3 2 3 2 2 2 2 3 2 2" xfId="11324" xr:uid="{E3C19343-5016-4F56-9E28-2ED12FB70508}"/>
    <cellStyle name="Normal 3 2 3 2 2 2 2 3 3" xfId="8815" xr:uid="{97C1C6D0-A932-4EE0-B53F-098259A9ACBD}"/>
    <cellStyle name="Normal 3 2 3 2 2 2 2 4" xfId="4402" xr:uid="{00000000-0005-0000-0000-0000F7090000}"/>
    <cellStyle name="Normal 3 2 3 2 2 2 2 4 2" xfId="10579" xr:uid="{342CF89F-B33C-495C-AA2C-17146FF7A7ED}"/>
    <cellStyle name="Normal 3 2 3 2 2 2 2 5" xfId="1755" xr:uid="{00000000-0005-0000-0000-0000F8090000}"/>
    <cellStyle name="Normal 3 2 3 2 2 2 2 5 2" xfId="7932" xr:uid="{39E79732-2A58-41FB-BAF9-0F394BEE17BE}"/>
    <cellStyle name="Normal 3 2 3 2 2 2 2 6" xfId="7049" xr:uid="{9B61F8F2-FC9D-4C64-91A1-EF9F8711CB88}"/>
    <cellStyle name="Normal 3 2 3 2 2 2 3" xfId="3079" xr:uid="{00000000-0005-0000-0000-0000F9090000}"/>
    <cellStyle name="Normal 3 2 3 2 2 2 3 2" xfId="5148" xr:uid="{00000000-0005-0000-0000-0000FA090000}"/>
    <cellStyle name="Normal 3 2 3 2 2 2 3 2 2" xfId="11325" xr:uid="{B9853195-A075-4959-824C-32CA04A14F31}"/>
    <cellStyle name="Normal 3 2 3 2 2 2 3 3" xfId="9256" xr:uid="{9D71BB76-44B3-491F-A214-F342BED78363}"/>
    <cellStyle name="Normal 3 2 3 2 2 2 4" xfId="2197" xr:uid="{00000000-0005-0000-0000-0000FB090000}"/>
    <cellStyle name="Normal 3 2 3 2 2 2 4 2" xfId="5149" xr:uid="{00000000-0005-0000-0000-0000FC090000}"/>
    <cellStyle name="Normal 3 2 3 2 2 2 4 2 2" xfId="11326" xr:uid="{B24B4D6B-58AC-4CBE-8F7F-DD50289BE6D4}"/>
    <cellStyle name="Normal 3 2 3 2 2 2 4 3" xfId="8374" xr:uid="{5876B1A1-7A86-4A7B-9FE8-FA6DBB0730C3}"/>
    <cellStyle name="Normal 3 2 3 2 2 2 5" xfId="3961" xr:uid="{00000000-0005-0000-0000-0000FD090000}"/>
    <cellStyle name="Normal 3 2 3 2 2 2 5 2" xfId="10138" xr:uid="{A08345BC-5C2A-448C-96B0-87A09DE95320}"/>
    <cellStyle name="Normal 3 2 3 2 2 2 6" xfId="1314" xr:uid="{00000000-0005-0000-0000-0000FE090000}"/>
    <cellStyle name="Normal 3 2 3 2 2 2 6 2" xfId="7491" xr:uid="{551B0DE6-E890-4AA0-8EC6-EFA98A586486}"/>
    <cellStyle name="Normal 3 2 3 2 2 2 7" xfId="6608" xr:uid="{755B1D47-80A0-4B55-A567-CD88FADCD29C}"/>
    <cellStyle name="Normal 3 2 3 2 2 3" xfId="652" xr:uid="{00000000-0005-0000-0000-0000FF090000}"/>
    <cellStyle name="Normal 3 2 3 2 2 3 2" xfId="3300" xr:uid="{00000000-0005-0000-0000-0000000A0000}"/>
    <cellStyle name="Normal 3 2 3 2 2 3 2 2" xfId="5150" xr:uid="{00000000-0005-0000-0000-0000010A0000}"/>
    <cellStyle name="Normal 3 2 3 2 2 3 2 2 2" xfId="11327" xr:uid="{2201E35C-F406-4FAF-9B62-B9ED0082708D}"/>
    <cellStyle name="Normal 3 2 3 2 2 3 2 3" xfId="9477" xr:uid="{15928150-D223-442C-B241-156F79C9F0AD}"/>
    <cellStyle name="Normal 3 2 3 2 2 3 3" xfId="2418" xr:uid="{00000000-0005-0000-0000-0000020A0000}"/>
    <cellStyle name="Normal 3 2 3 2 2 3 3 2" xfId="5151" xr:uid="{00000000-0005-0000-0000-0000030A0000}"/>
    <cellStyle name="Normal 3 2 3 2 2 3 3 2 2" xfId="11328" xr:uid="{5A6B7357-3A8C-40AD-A71C-7101CCD99D7D}"/>
    <cellStyle name="Normal 3 2 3 2 2 3 3 3" xfId="8595" xr:uid="{320D2AC5-66C4-466E-8C1F-A6A016EC376C}"/>
    <cellStyle name="Normal 3 2 3 2 2 3 4" xfId="4182" xr:uid="{00000000-0005-0000-0000-0000040A0000}"/>
    <cellStyle name="Normal 3 2 3 2 2 3 4 2" xfId="10359" xr:uid="{6AA317E4-951E-467F-A634-2E72A57249B2}"/>
    <cellStyle name="Normal 3 2 3 2 2 3 5" xfId="1535" xr:uid="{00000000-0005-0000-0000-0000050A0000}"/>
    <cellStyle name="Normal 3 2 3 2 2 3 5 2" xfId="7712" xr:uid="{51E7D54E-077C-4456-AF2D-2E468520C3D5}"/>
    <cellStyle name="Normal 3 2 3 2 2 3 6" xfId="6829" xr:uid="{C2BE984B-6198-49AE-8A64-61384742FC78}"/>
    <cellStyle name="Normal 3 2 3 2 2 4" xfId="2859" xr:uid="{00000000-0005-0000-0000-0000060A0000}"/>
    <cellStyle name="Normal 3 2 3 2 2 4 2" xfId="5152" xr:uid="{00000000-0005-0000-0000-0000070A0000}"/>
    <cellStyle name="Normal 3 2 3 2 2 4 2 2" xfId="11329" xr:uid="{BAFB39D3-2330-4DAE-90A6-8F9FB4D99460}"/>
    <cellStyle name="Normal 3 2 3 2 2 4 3" xfId="9036" xr:uid="{38CEDA1F-EFB6-41EC-9A04-66F4B46F8A31}"/>
    <cellStyle name="Normal 3 2 3 2 2 5" xfId="1977" xr:uid="{00000000-0005-0000-0000-0000080A0000}"/>
    <cellStyle name="Normal 3 2 3 2 2 5 2" xfId="5153" xr:uid="{00000000-0005-0000-0000-0000090A0000}"/>
    <cellStyle name="Normal 3 2 3 2 2 5 2 2" xfId="11330" xr:uid="{4956D6B7-3E46-46AF-9B1A-66F730D44C72}"/>
    <cellStyle name="Normal 3 2 3 2 2 5 3" xfId="8154" xr:uid="{B2434FE7-A9F9-4F7C-B314-8FE3AED65680}"/>
    <cellStyle name="Normal 3 2 3 2 2 6" xfId="3741" xr:uid="{00000000-0005-0000-0000-00000A0A0000}"/>
    <cellStyle name="Normal 3 2 3 2 2 6 2" xfId="9918" xr:uid="{CD3E6956-5FF4-40C8-BDF6-4222DDE77199}"/>
    <cellStyle name="Normal 3 2 3 2 2 7" xfId="1094" xr:uid="{00000000-0005-0000-0000-00000B0A0000}"/>
    <cellStyle name="Normal 3 2 3 2 2 7 2" xfId="7271" xr:uid="{B44963A2-D938-463F-B6BD-885D035E7253}"/>
    <cellStyle name="Normal 3 2 3 2 2 8" xfId="6388" xr:uid="{4A05673F-8A41-4085-A7E4-B653D9F8BA63}"/>
    <cellStyle name="Normal 3 2 3 2 3" xfId="321" xr:uid="{00000000-0005-0000-0000-00000C0A0000}"/>
    <cellStyle name="Normal 3 2 3 2 3 2" xfId="762" xr:uid="{00000000-0005-0000-0000-00000D0A0000}"/>
    <cellStyle name="Normal 3 2 3 2 3 2 2" xfId="3410" xr:uid="{00000000-0005-0000-0000-00000E0A0000}"/>
    <cellStyle name="Normal 3 2 3 2 3 2 2 2" xfId="5154" xr:uid="{00000000-0005-0000-0000-00000F0A0000}"/>
    <cellStyle name="Normal 3 2 3 2 3 2 2 2 2" xfId="11331" xr:uid="{621A0BE9-D54E-43C9-A14E-805EED441AA2}"/>
    <cellStyle name="Normal 3 2 3 2 3 2 2 3" xfId="9587" xr:uid="{A3F1A293-33DE-40CA-97C3-D4F8C237EE9E}"/>
    <cellStyle name="Normal 3 2 3 2 3 2 3" xfId="2528" xr:uid="{00000000-0005-0000-0000-0000100A0000}"/>
    <cellStyle name="Normal 3 2 3 2 3 2 3 2" xfId="5155" xr:uid="{00000000-0005-0000-0000-0000110A0000}"/>
    <cellStyle name="Normal 3 2 3 2 3 2 3 2 2" xfId="11332" xr:uid="{9481ADFA-935A-4686-9D52-8B4A61B709BE}"/>
    <cellStyle name="Normal 3 2 3 2 3 2 3 3" xfId="8705" xr:uid="{E0C00575-785A-4884-AC58-537BA9FB325E}"/>
    <cellStyle name="Normal 3 2 3 2 3 2 4" xfId="4292" xr:uid="{00000000-0005-0000-0000-0000120A0000}"/>
    <cellStyle name="Normal 3 2 3 2 3 2 4 2" xfId="10469" xr:uid="{6B6A9176-46F4-4147-AEBB-BAC84F78AFC4}"/>
    <cellStyle name="Normal 3 2 3 2 3 2 5" xfId="1645" xr:uid="{00000000-0005-0000-0000-0000130A0000}"/>
    <cellStyle name="Normal 3 2 3 2 3 2 5 2" xfId="7822" xr:uid="{692520D9-0055-4613-904D-28D655A460D2}"/>
    <cellStyle name="Normal 3 2 3 2 3 2 6" xfId="6939" xr:uid="{E1A0B8B7-BD8D-4902-B5E2-320F6B5B1A85}"/>
    <cellStyle name="Normal 3 2 3 2 3 3" xfId="2969" xr:uid="{00000000-0005-0000-0000-0000140A0000}"/>
    <cellStyle name="Normal 3 2 3 2 3 3 2" xfId="5156" xr:uid="{00000000-0005-0000-0000-0000150A0000}"/>
    <cellStyle name="Normal 3 2 3 2 3 3 2 2" xfId="11333" xr:uid="{8F48C1F5-943D-45E5-8944-F6AD5FAE10DF}"/>
    <cellStyle name="Normal 3 2 3 2 3 3 3" xfId="9146" xr:uid="{0F548E13-C854-4D1F-9F41-47A575C4C99D}"/>
    <cellStyle name="Normal 3 2 3 2 3 4" xfId="2087" xr:uid="{00000000-0005-0000-0000-0000160A0000}"/>
    <cellStyle name="Normal 3 2 3 2 3 4 2" xfId="5157" xr:uid="{00000000-0005-0000-0000-0000170A0000}"/>
    <cellStyle name="Normal 3 2 3 2 3 4 2 2" xfId="11334" xr:uid="{3168D0A1-81B8-4416-B6E2-15B997DA48CE}"/>
    <cellStyle name="Normal 3 2 3 2 3 4 3" xfId="8264" xr:uid="{620C1ACB-3628-4D59-B313-6742E027D737}"/>
    <cellStyle name="Normal 3 2 3 2 3 5" xfId="3851" xr:uid="{00000000-0005-0000-0000-0000180A0000}"/>
    <cellStyle name="Normal 3 2 3 2 3 5 2" xfId="10028" xr:uid="{647C7255-8BDE-49AE-81B6-32D3A20CD206}"/>
    <cellStyle name="Normal 3 2 3 2 3 6" xfId="1204" xr:uid="{00000000-0005-0000-0000-0000190A0000}"/>
    <cellStyle name="Normal 3 2 3 2 3 6 2" xfId="7381" xr:uid="{BB185957-F5ED-4688-9B0E-0EB4DF5846A0}"/>
    <cellStyle name="Normal 3 2 3 2 3 7" xfId="6498" xr:uid="{242A1838-41C2-4120-B225-E46F2CC8DB52}"/>
    <cellStyle name="Normal 3 2 3 2 4" xfId="542" xr:uid="{00000000-0005-0000-0000-00001A0A0000}"/>
    <cellStyle name="Normal 3 2 3 2 4 2" xfId="3190" xr:uid="{00000000-0005-0000-0000-00001B0A0000}"/>
    <cellStyle name="Normal 3 2 3 2 4 2 2" xfId="5158" xr:uid="{00000000-0005-0000-0000-00001C0A0000}"/>
    <cellStyle name="Normal 3 2 3 2 4 2 2 2" xfId="11335" xr:uid="{430D9D9C-65E5-4186-A30E-E16EEEE5612B}"/>
    <cellStyle name="Normal 3 2 3 2 4 2 3" xfId="9367" xr:uid="{20DE78D1-FA62-4B59-82E1-6F4DCBF8798E}"/>
    <cellStyle name="Normal 3 2 3 2 4 3" xfId="2308" xr:uid="{00000000-0005-0000-0000-00001D0A0000}"/>
    <cellStyle name="Normal 3 2 3 2 4 3 2" xfId="5159" xr:uid="{00000000-0005-0000-0000-00001E0A0000}"/>
    <cellStyle name="Normal 3 2 3 2 4 3 2 2" xfId="11336" xr:uid="{D1DB09EE-AD8E-4A22-8B6A-0C1D8D86D6BF}"/>
    <cellStyle name="Normal 3 2 3 2 4 3 3" xfId="8485" xr:uid="{B9349806-2103-46F6-9D71-77BDF23B266E}"/>
    <cellStyle name="Normal 3 2 3 2 4 4" xfId="4072" xr:uid="{00000000-0005-0000-0000-00001F0A0000}"/>
    <cellStyle name="Normal 3 2 3 2 4 4 2" xfId="10249" xr:uid="{1D830F8E-854E-4D0B-A384-2C4283383A27}"/>
    <cellStyle name="Normal 3 2 3 2 4 5" xfId="1425" xr:uid="{00000000-0005-0000-0000-0000200A0000}"/>
    <cellStyle name="Normal 3 2 3 2 4 5 2" xfId="7602" xr:uid="{284219CD-82F7-4DFC-AEE8-5A1882D53D24}"/>
    <cellStyle name="Normal 3 2 3 2 4 6" xfId="6719" xr:uid="{FB4F5C39-C14C-4C38-90D3-DB8FB9988000}"/>
    <cellStyle name="Normal 3 2 3 2 5" xfId="2749" xr:uid="{00000000-0005-0000-0000-0000210A0000}"/>
    <cellStyle name="Normal 3 2 3 2 5 2" xfId="5160" xr:uid="{00000000-0005-0000-0000-0000220A0000}"/>
    <cellStyle name="Normal 3 2 3 2 5 2 2" xfId="11337" xr:uid="{197438C9-D3B8-4120-837D-6DFBE070B5B6}"/>
    <cellStyle name="Normal 3 2 3 2 5 3" xfId="8926" xr:uid="{5301DCA7-38F4-43D2-92F2-A995D09B57F5}"/>
    <cellStyle name="Normal 3 2 3 2 6" xfId="1867" xr:uid="{00000000-0005-0000-0000-0000230A0000}"/>
    <cellStyle name="Normal 3 2 3 2 6 2" xfId="5161" xr:uid="{00000000-0005-0000-0000-0000240A0000}"/>
    <cellStyle name="Normal 3 2 3 2 6 2 2" xfId="11338" xr:uid="{5DCC0D25-70B9-4E69-8604-D17991A33D79}"/>
    <cellStyle name="Normal 3 2 3 2 6 3" xfId="8044" xr:uid="{D0EF3F25-D9BB-4C49-9870-217362CCF059}"/>
    <cellStyle name="Normal 3 2 3 2 7" xfId="3631" xr:uid="{00000000-0005-0000-0000-0000250A0000}"/>
    <cellStyle name="Normal 3 2 3 2 7 2" xfId="9808" xr:uid="{F6C8E41F-7100-4A34-9AA3-68FE78F80DF0}"/>
    <cellStyle name="Normal 3 2 3 2 8" xfId="984" xr:uid="{00000000-0005-0000-0000-0000260A0000}"/>
    <cellStyle name="Normal 3 2 3 2 8 2" xfId="7161" xr:uid="{16927EE3-EE1E-48D5-91D6-F9652AEACFDD}"/>
    <cellStyle name="Normal 3 2 3 2 9" xfId="6278" xr:uid="{BDB03667-0A05-4F1C-AC2D-22AC878D6BCD}"/>
    <cellStyle name="Normal 3 2 3 3" xfId="145" xr:uid="{00000000-0005-0000-0000-0000270A0000}"/>
    <cellStyle name="Normal 3 2 3 3 2" xfId="365" xr:uid="{00000000-0005-0000-0000-0000280A0000}"/>
    <cellStyle name="Normal 3 2 3 3 2 2" xfId="806" xr:uid="{00000000-0005-0000-0000-0000290A0000}"/>
    <cellStyle name="Normal 3 2 3 3 2 2 2" xfId="3454" xr:uid="{00000000-0005-0000-0000-00002A0A0000}"/>
    <cellStyle name="Normal 3 2 3 3 2 2 2 2" xfId="5162" xr:uid="{00000000-0005-0000-0000-00002B0A0000}"/>
    <cellStyle name="Normal 3 2 3 3 2 2 2 2 2" xfId="11339" xr:uid="{69F7E458-AF9E-4359-B430-933BBA07F6EB}"/>
    <cellStyle name="Normal 3 2 3 3 2 2 2 3" xfId="9631" xr:uid="{D4E50957-2056-44F7-976F-79EDAD676C7B}"/>
    <cellStyle name="Normal 3 2 3 3 2 2 3" xfId="2572" xr:uid="{00000000-0005-0000-0000-00002C0A0000}"/>
    <cellStyle name="Normal 3 2 3 3 2 2 3 2" xfId="5163" xr:uid="{00000000-0005-0000-0000-00002D0A0000}"/>
    <cellStyle name="Normal 3 2 3 3 2 2 3 2 2" xfId="11340" xr:uid="{EC18A961-BF60-48B0-961F-FEF81CA5C8BA}"/>
    <cellStyle name="Normal 3 2 3 3 2 2 3 3" xfId="8749" xr:uid="{FC4A3FB1-671C-415C-8EFC-76B5C998EB13}"/>
    <cellStyle name="Normal 3 2 3 3 2 2 4" xfId="4336" xr:uid="{00000000-0005-0000-0000-00002E0A0000}"/>
    <cellStyle name="Normal 3 2 3 3 2 2 4 2" xfId="10513" xr:uid="{C3DFCEFA-78B8-4D5D-90EC-0ABF27230043}"/>
    <cellStyle name="Normal 3 2 3 3 2 2 5" xfId="1689" xr:uid="{00000000-0005-0000-0000-00002F0A0000}"/>
    <cellStyle name="Normal 3 2 3 3 2 2 5 2" xfId="7866" xr:uid="{2D19CC98-F8E6-4BA6-A908-6774B3B83475}"/>
    <cellStyle name="Normal 3 2 3 3 2 2 6" xfId="6983" xr:uid="{AEBA4840-5E43-44D4-8FE7-099E0FD63CCD}"/>
    <cellStyle name="Normal 3 2 3 3 2 3" xfId="3013" xr:uid="{00000000-0005-0000-0000-0000300A0000}"/>
    <cellStyle name="Normal 3 2 3 3 2 3 2" xfId="5164" xr:uid="{00000000-0005-0000-0000-0000310A0000}"/>
    <cellStyle name="Normal 3 2 3 3 2 3 2 2" xfId="11341" xr:uid="{B182D646-54C9-4835-BCA5-30962DE658C9}"/>
    <cellStyle name="Normal 3 2 3 3 2 3 3" xfId="9190" xr:uid="{268EEDF7-2FBB-4F63-BA11-4AF3F8F94949}"/>
    <cellStyle name="Normal 3 2 3 3 2 4" xfId="2131" xr:uid="{00000000-0005-0000-0000-0000320A0000}"/>
    <cellStyle name="Normal 3 2 3 3 2 4 2" xfId="5165" xr:uid="{00000000-0005-0000-0000-0000330A0000}"/>
    <cellStyle name="Normal 3 2 3 3 2 4 2 2" xfId="11342" xr:uid="{8A0AA75C-A312-4C77-B6A7-F01A19993A17}"/>
    <cellStyle name="Normal 3 2 3 3 2 4 3" xfId="8308" xr:uid="{170FD3DC-7952-400D-8D85-C0AC76BC098B}"/>
    <cellStyle name="Normal 3 2 3 3 2 5" xfId="3895" xr:uid="{00000000-0005-0000-0000-0000340A0000}"/>
    <cellStyle name="Normal 3 2 3 3 2 5 2" xfId="10072" xr:uid="{46CF8F58-337C-4090-8F05-40F91CE3AE53}"/>
    <cellStyle name="Normal 3 2 3 3 2 6" xfId="1248" xr:uid="{00000000-0005-0000-0000-0000350A0000}"/>
    <cellStyle name="Normal 3 2 3 3 2 6 2" xfId="7425" xr:uid="{17F1FAAB-9FF7-483D-8287-0D6DCED0F298}"/>
    <cellStyle name="Normal 3 2 3 3 2 7" xfId="6542" xr:uid="{7A5A1AED-AAE3-431B-8FEC-84A51628F964}"/>
    <cellStyle name="Normal 3 2 3 3 3" xfId="586" xr:uid="{00000000-0005-0000-0000-0000360A0000}"/>
    <cellStyle name="Normal 3 2 3 3 3 2" xfId="3234" xr:uid="{00000000-0005-0000-0000-0000370A0000}"/>
    <cellStyle name="Normal 3 2 3 3 3 2 2" xfId="5166" xr:uid="{00000000-0005-0000-0000-0000380A0000}"/>
    <cellStyle name="Normal 3 2 3 3 3 2 2 2" xfId="11343" xr:uid="{0B9B415E-8E7E-42C4-B959-D7A30699F083}"/>
    <cellStyle name="Normal 3 2 3 3 3 2 3" xfId="9411" xr:uid="{213D6CDB-AF5A-450C-82F9-A92D23A1F647}"/>
    <cellStyle name="Normal 3 2 3 3 3 3" xfId="2352" xr:uid="{00000000-0005-0000-0000-0000390A0000}"/>
    <cellStyle name="Normal 3 2 3 3 3 3 2" xfId="5167" xr:uid="{00000000-0005-0000-0000-00003A0A0000}"/>
    <cellStyle name="Normal 3 2 3 3 3 3 2 2" xfId="11344" xr:uid="{6A49ADA8-DE2E-4993-AD46-5F228A33371D}"/>
    <cellStyle name="Normal 3 2 3 3 3 3 3" xfId="8529" xr:uid="{DF142456-62DF-4C25-A5C7-5003D22363C0}"/>
    <cellStyle name="Normal 3 2 3 3 3 4" xfId="4116" xr:uid="{00000000-0005-0000-0000-00003B0A0000}"/>
    <cellStyle name="Normal 3 2 3 3 3 4 2" xfId="10293" xr:uid="{63F39066-A9A7-4E0F-9D41-19530FEAC613}"/>
    <cellStyle name="Normal 3 2 3 3 3 5" xfId="1469" xr:uid="{00000000-0005-0000-0000-00003C0A0000}"/>
    <cellStyle name="Normal 3 2 3 3 3 5 2" xfId="7646" xr:uid="{CAD7E6E7-0E92-47BF-89EC-4BA3285CB1B0}"/>
    <cellStyle name="Normal 3 2 3 3 3 6" xfId="6763" xr:uid="{6033E51E-F395-4180-B23F-3D9FBDB0541C}"/>
    <cellStyle name="Normal 3 2 3 3 4" xfId="2793" xr:uid="{00000000-0005-0000-0000-00003D0A0000}"/>
    <cellStyle name="Normal 3 2 3 3 4 2" xfId="5168" xr:uid="{00000000-0005-0000-0000-00003E0A0000}"/>
    <cellStyle name="Normal 3 2 3 3 4 2 2" xfId="11345" xr:uid="{00BD27EE-3FBF-417D-86E4-59A7E768C1AF}"/>
    <cellStyle name="Normal 3 2 3 3 4 3" xfId="8970" xr:uid="{CC3BC45E-C49E-4A87-B308-16EC5A6F9256}"/>
    <cellStyle name="Normal 3 2 3 3 5" xfId="1911" xr:uid="{00000000-0005-0000-0000-00003F0A0000}"/>
    <cellStyle name="Normal 3 2 3 3 5 2" xfId="5169" xr:uid="{00000000-0005-0000-0000-0000400A0000}"/>
    <cellStyle name="Normal 3 2 3 3 5 2 2" xfId="11346" xr:uid="{B4B32137-BB2A-4909-9F93-01F2F28001DC}"/>
    <cellStyle name="Normal 3 2 3 3 5 3" xfId="8088" xr:uid="{DB30DCFB-F46B-4DFB-8BB9-B5DB84905D71}"/>
    <cellStyle name="Normal 3 2 3 3 6" xfId="3675" xr:uid="{00000000-0005-0000-0000-0000410A0000}"/>
    <cellStyle name="Normal 3 2 3 3 6 2" xfId="9852" xr:uid="{09625300-8B19-4275-AD91-C75231637501}"/>
    <cellStyle name="Normal 3 2 3 3 7" xfId="1028" xr:uid="{00000000-0005-0000-0000-0000420A0000}"/>
    <cellStyle name="Normal 3 2 3 3 7 2" xfId="7205" xr:uid="{165D2926-EAB4-4573-9A64-2B4769FE97FF}"/>
    <cellStyle name="Normal 3 2 3 3 8" xfId="6322" xr:uid="{D7AB54C2-CC87-409C-892F-1D02481BCF66}"/>
    <cellStyle name="Normal 3 2 3 4" xfId="255" xr:uid="{00000000-0005-0000-0000-0000430A0000}"/>
    <cellStyle name="Normal 3 2 3 4 2" xfId="696" xr:uid="{00000000-0005-0000-0000-0000440A0000}"/>
    <cellStyle name="Normal 3 2 3 4 2 2" xfId="3344" xr:uid="{00000000-0005-0000-0000-0000450A0000}"/>
    <cellStyle name="Normal 3 2 3 4 2 2 2" xfId="5170" xr:uid="{00000000-0005-0000-0000-0000460A0000}"/>
    <cellStyle name="Normal 3 2 3 4 2 2 2 2" xfId="11347" xr:uid="{4BAFFEC2-3D1E-4019-8DB1-D236CE76F29F}"/>
    <cellStyle name="Normal 3 2 3 4 2 2 3" xfId="9521" xr:uid="{0AC4422F-76E4-4FA3-97C0-879CDE7E7FFD}"/>
    <cellStyle name="Normal 3 2 3 4 2 3" xfId="2462" xr:uid="{00000000-0005-0000-0000-0000470A0000}"/>
    <cellStyle name="Normal 3 2 3 4 2 3 2" xfId="5171" xr:uid="{00000000-0005-0000-0000-0000480A0000}"/>
    <cellStyle name="Normal 3 2 3 4 2 3 2 2" xfId="11348" xr:uid="{514A83CC-DCAF-47DD-9C95-84893F11BA6A}"/>
    <cellStyle name="Normal 3 2 3 4 2 3 3" xfId="8639" xr:uid="{946F7A7B-3C8B-4DF4-BE39-DC030262CD0A}"/>
    <cellStyle name="Normal 3 2 3 4 2 4" xfId="4226" xr:uid="{00000000-0005-0000-0000-0000490A0000}"/>
    <cellStyle name="Normal 3 2 3 4 2 4 2" xfId="10403" xr:uid="{A5E08F53-2FF1-4990-B660-262765748DF1}"/>
    <cellStyle name="Normal 3 2 3 4 2 5" xfId="1579" xr:uid="{00000000-0005-0000-0000-00004A0A0000}"/>
    <cellStyle name="Normal 3 2 3 4 2 5 2" xfId="7756" xr:uid="{A0871AA3-B780-4D96-B865-F8179A4E3381}"/>
    <cellStyle name="Normal 3 2 3 4 2 6" xfId="6873" xr:uid="{FAFA7418-CBAD-46B6-A389-A04438502BB8}"/>
    <cellStyle name="Normal 3 2 3 4 3" xfId="2903" xr:uid="{00000000-0005-0000-0000-00004B0A0000}"/>
    <cellStyle name="Normal 3 2 3 4 3 2" xfId="5172" xr:uid="{00000000-0005-0000-0000-00004C0A0000}"/>
    <cellStyle name="Normal 3 2 3 4 3 2 2" xfId="11349" xr:uid="{47ABFFE2-B2AD-4865-AEA8-9092628FC7E3}"/>
    <cellStyle name="Normal 3 2 3 4 3 3" xfId="9080" xr:uid="{2DEAE79D-4A09-4E81-B5CE-20A2EF913F2A}"/>
    <cellStyle name="Normal 3 2 3 4 4" xfId="2021" xr:uid="{00000000-0005-0000-0000-00004D0A0000}"/>
    <cellStyle name="Normal 3 2 3 4 4 2" xfId="5173" xr:uid="{00000000-0005-0000-0000-00004E0A0000}"/>
    <cellStyle name="Normal 3 2 3 4 4 2 2" xfId="11350" xr:uid="{777A116D-2F41-4317-98CB-C783170918F2}"/>
    <cellStyle name="Normal 3 2 3 4 4 3" xfId="8198" xr:uid="{D67CD452-0497-446E-9CD9-150063E26D71}"/>
    <cellStyle name="Normal 3 2 3 4 5" xfId="3785" xr:uid="{00000000-0005-0000-0000-00004F0A0000}"/>
    <cellStyle name="Normal 3 2 3 4 5 2" xfId="9962" xr:uid="{67FB510B-8CE3-4A7F-917C-F5EEEEDC5752}"/>
    <cellStyle name="Normal 3 2 3 4 6" xfId="1138" xr:uid="{00000000-0005-0000-0000-0000500A0000}"/>
    <cellStyle name="Normal 3 2 3 4 6 2" xfId="7315" xr:uid="{1919AE92-8151-4F11-BED1-9E64695536CE}"/>
    <cellStyle name="Normal 3 2 3 4 7" xfId="6432" xr:uid="{7328A419-9BE1-4FB7-A3BE-8D4D48302778}"/>
    <cellStyle name="Normal 3 2 3 5" xfId="476" xr:uid="{00000000-0005-0000-0000-0000510A0000}"/>
    <cellStyle name="Normal 3 2 3 5 2" xfId="3124" xr:uid="{00000000-0005-0000-0000-0000520A0000}"/>
    <cellStyle name="Normal 3 2 3 5 2 2" xfId="5174" xr:uid="{00000000-0005-0000-0000-0000530A0000}"/>
    <cellStyle name="Normal 3 2 3 5 2 2 2" xfId="11351" xr:uid="{2FFCED63-9CE6-4F92-9088-7C58A1AF4D2B}"/>
    <cellStyle name="Normal 3 2 3 5 2 3" xfId="9301" xr:uid="{434CCAF9-DA3F-4632-BE55-E855852CC64A}"/>
    <cellStyle name="Normal 3 2 3 5 3" xfId="2242" xr:uid="{00000000-0005-0000-0000-0000540A0000}"/>
    <cellStyle name="Normal 3 2 3 5 3 2" xfId="5175" xr:uid="{00000000-0005-0000-0000-0000550A0000}"/>
    <cellStyle name="Normal 3 2 3 5 3 2 2" xfId="11352" xr:uid="{4A4887E5-B63E-44B7-BD29-7B425FBAFF26}"/>
    <cellStyle name="Normal 3 2 3 5 3 3" xfId="8419" xr:uid="{B90A5FA4-D2F3-4B69-BF75-507BB974CF83}"/>
    <cellStyle name="Normal 3 2 3 5 4" xfId="4006" xr:uid="{00000000-0005-0000-0000-0000560A0000}"/>
    <cellStyle name="Normal 3 2 3 5 4 2" xfId="10183" xr:uid="{C61CBEB1-F7A1-46DB-8B4D-8F3E7D9DE24A}"/>
    <cellStyle name="Normal 3 2 3 5 5" xfId="1359" xr:uid="{00000000-0005-0000-0000-0000570A0000}"/>
    <cellStyle name="Normal 3 2 3 5 5 2" xfId="7536" xr:uid="{F99DD171-6FA5-4AFB-B89F-A0DB61424D79}"/>
    <cellStyle name="Normal 3 2 3 5 6" xfId="6653" xr:uid="{0DAF8C05-0486-4924-93E3-AAF915417419}"/>
    <cellStyle name="Normal 3 2 3 6" xfId="2683" xr:uid="{00000000-0005-0000-0000-0000580A0000}"/>
    <cellStyle name="Normal 3 2 3 6 2" xfId="5176" xr:uid="{00000000-0005-0000-0000-0000590A0000}"/>
    <cellStyle name="Normal 3 2 3 6 2 2" xfId="11353" xr:uid="{710C5184-0F5A-4239-8B10-E6DBD82A0ED4}"/>
    <cellStyle name="Normal 3 2 3 6 3" xfId="8860" xr:uid="{30E95C5F-07BB-46A2-A703-205DC31C2A25}"/>
    <cellStyle name="Normal 3 2 3 7" xfId="1801" xr:uid="{00000000-0005-0000-0000-00005A0A0000}"/>
    <cellStyle name="Normal 3 2 3 7 2" xfId="5177" xr:uid="{00000000-0005-0000-0000-00005B0A0000}"/>
    <cellStyle name="Normal 3 2 3 7 2 2" xfId="11354" xr:uid="{22D4BF6A-73F2-401D-A606-7673336D4064}"/>
    <cellStyle name="Normal 3 2 3 7 3" xfId="7978" xr:uid="{3B18119C-9E47-43B9-84AB-08AAF9435977}"/>
    <cellStyle name="Normal 3 2 3 8" xfId="3565" xr:uid="{00000000-0005-0000-0000-00005C0A0000}"/>
    <cellStyle name="Normal 3 2 3 8 2" xfId="9742" xr:uid="{7440A0C7-5507-4423-8D50-91664A7145F4}"/>
    <cellStyle name="Normal 3 2 3 9" xfId="918" xr:uid="{00000000-0005-0000-0000-00005D0A0000}"/>
    <cellStyle name="Normal 3 2 3 9 2" xfId="7095" xr:uid="{52410AC3-226D-4DDA-BCD6-25BDDB855563}"/>
    <cellStyle name="Normal 3 2 4" xfId="41" xr:uid="{00000000-0005-0000-0000-00005E0A0000}"/>
    <cellStyle name="Normal 3 2 4 10" xfId="6218" xr:uid="{FC9CCF55-0D6B-4E90-B8F4-9FEBEDF2E8A4}"/>
    <cellStyle name="Normal 3 2 4 2" xfId="107" xr:uid="{00000000-0005-0000-0000-00005F0A0000}"/>
    <cellStyle name="Normal 3 2 4 2 2" xfId="217" xr:uid="{00000000-0005-0000-0000-0000600A0000}"/>
    <cellStyle name="Normal 3 2 4 2 2 2" xfId="437" xr:uid="{00000000-0005-0000-0000-0000610A0000}"/>
    <cellStyle name="Normal 3 2 4 2 2 2 2" xfId="878" xr:uid="{00000000-0005-0000-0000-0000620A0000}"/>
    <cellStyle name="Normal 3 2 4 2 2 2 2 2" xfId="3526" xr:uid="{00000000-0005-0000-0000-0000630A0000}"/>
    <cellStyle name="Normal 3 2 4 2 2 2 2 2 2" xfId="5178" xr:uid="{00000000-0005-0000-0000-0000640A0000}"/>
    <cellStyle name="Normal 3 2 4 2 2 2 2 2 2 2" xfId="11355" xr:uid="{D5F4DD75-B4F0-46E4-B33F-E54F06FB50CE}"/>
    <cellStyle name="Normal 3 2 4 2 2 2 2 2 3" xfId="9703" xr:uid="{4C15D900-2BD7-4BD8-B3F6-DEA23ACD60B2}"/>
    <cellStyle name="Normal 3 2 4 2 2 2 2 3" xfId="2644" xr:uid="{00000000-0005-0000-0000-0000650A0000}"/>
    <cellStyle name="Normal 3 2 4 2 2 2 2 3 2" xfId="5179" xr:uid="{00000000-0005-0000-0000-0000660A0000}"/>
    <cellStyle name="Normal 3 2 4 2 2 2 2 3 2 2" xfId="11356" xr:uid="{11837C41-7F1A-418F-AD2F-FAC114800D08}"/>
    <cellStyle name="Normal 3 2 4 2 2 2 2 3 3" xfId="8821" xr:uid="{49C6B581-AFC1-4115-B0DB-BD65791AD656}"/>
    <cellStyle name="Normal 3 2 4 2 2 2 2 4" xfId="4408" xr:uid="{00000000-0005-0000-0000-0000670A0000}"/>
    <cellStyle name="Normal 3 2 4 2 2 2 2 4 2" xfId="10585" xr:uid="{7D68DCAB-5F1C-4ADD-8164-8D97204C8BF1}"/>
    <cellStyle name="Normal 3 2 4 2 2 2 2 5" xfId="1761" xr:uid="{00000000-0005-0000-0000-0000680A0000}"/>
    <cellStyle name="Normal 3 2 4 2 2 2 2 5 2" xfId="7938" xr:uid="{9CEF41EC-07B1-499A-9B02-7105A825F45B}"/>
    <cellStyle name="Normal 3 2 4 2 2 2 2 6" xfId="7055" xr:uid="{E7A96F34-04E7-4DD6-A96C-9DA1F41B46FF}"/>
    <cellStyle name="Normal 3 2 4 2 2 2 3" xfId="3085" xr:uid="{00000000-0005-0000-0000-0000690A0000}"/>
    <cellStyle name="Normal 3 2 4 2 2 2 3 2" xfId="5180" xr:uid="{00000000-0005-0000-0000-00006A0A0000}"/>
    <cellStyle name="Normal 3 2 4 2 2 2 3 2 2" xfId="11357" xr:uid="{A0A29D1E-E2E4-4924-8B5A-6F4064E168BA}"/>
    <cellStyle name="Normal 3 2 4 2 2 2 3 3" xfId="9262" xr:uid="{E2A2C499-5909-4BDD-9238-E987255FD9BF}"/>
    <cellStyle name="Normal 3 2 4 2 2 2 4" xfId="2203" xr:uid="{00000000-0005-0000-0000-00006B0A0000}"/>
    <cellStyle name="Normal 3 2 4 2 2 2 4 2" xfId="5181" xr:uid="{00000000-0005-0000-0000-00006C0A0000}"/>
    <cellStyle name="Normal 3 2 4 2 2 2 4 2 2" xfId="11358" xr:uid="{D7F4D33F-F013-420D-807D-69A635DA93FC}"/>
    <cellStyle name="Normal 3 2 4 2 2 2 4 3" xfId="8380" xr:uid="{157EA215-AE78-440D-B739-EABE0CE4C090}"/>
    <cellStyle name="Normal 3 2 4 2 2 2 5" xfId="3967" xr:uid="{00000000-0005-0000-0000-00006D0A0000}"/>
    <cellStyle name="Normal 3 2 4 2 2 2 5 2" xfId="10144" xr:uid="{A45E60C3-F72E-4ADD-A355-B2C4BBBA0298}"/>
    <cellStyle name="Normal 3 2 4 2 2 2 6" xfId="1320" xr:uid="{00000000-0005-0000-0000-00006E0A0000}"/>
    <cellStyle name="Normal 3 2 4 2 2 2 6 2" xfId="7497" xr:uid="{0F77C0B9-2359-4959-8313-440E72DCEA28}"/>
    <cellStyle name="Normal 3 2 4 2 2 2 7" xfId="6614" xr:uid="{D5BF2F53-04E3-436F-B692-D3662CACDF8C}"/>
    <cellStyle name="Normal 3 2 4 2 2 3" xfId="658" xr:uid="{00000000-0005-0000-0000-00006F0A0000}"/>
    <cellStyle name="Normal 3 2 4 2 2 3 2" xfId="3306" xr:uid="{00000000-0005-0000-0000-0000700A0000}"/>
    <cellStyle name="Normal 3 2 4 2 2 3 2 2" xfId="5182" xr:uid="{00000000-0005-0000-0000-0000710A0000}"/>
    <cellStyle name="Normal 3 2 4 2 2 3 2 2 2" xfId="11359" xr:uid="{FCE06589-C6DC-48E3-83D5-86FEC2DD9800}"/>
    <cellStyle name="Normal 3 2 4 2 2 3 2 3" xfId="9483" xr:uid="{F1B48602-DBB8-4ED2-AF4E-5EDB14F8D24A}"/>
    <cellStyle name="Normal 3 2 4 2 2 3 3" xfId="2424" xr:uid="{00000000-0005-0000-0000-0000720A0000}"/>
    <cellStyle name="Normal 3 2 4 2 2 3 3 2" xfId="5183" xr:uid="{00000000-0005-0000-0000-0000730A0000}"/>
    <cellStyle name="Normal 3 2 4 2 2 3 3 2 2" xfId="11360" xr:uid="{279CDD1F-2D2E-459D-96A1-4FF579279BD2}"/>
    <cellStyle name="Normal 3 2 4 2 2 3 3 3" xfId="8601" xr:uid="{DAEC8B34-745F-44F8-8FEA-12ABC4066C12}"/>
    <cellStyle name="Normal 3 2 4 2 2 3 4" xfId="4188" xr:uid="{00000000-0005-0000-0000-0000740A0000}"/>
    <cellStyle name="Normal 3 2 4 2 2 3 4 2" xfId="10365" xr:uid="{2907999D-1E22-4998-BD41-46E7BFDF6D54}"/>
    <cellStyle name="Normal 3 2 4 2 2 3 5" xfId="1541" xr:uid="{00000000-0005-0000-0000-0000750A0000}"/>
    <cellStyle name="Normal 3 2 4 2 2 3 5 2" xfId="7718" xr:uid="{BEFE32B3-F400-4AC9-8684-6EBE87B66C92}"/>
    <cellStyle name="Normal 3 2 4 2 2 3 6" xfId="6835" xr:uid="{5BF8B081-695D-4101-9B89-241AFC6EC72D}"/>
    <cellStyle name="Normal 3 2 4 2 2 4" xfId="2865" xr:uid="{00000000-0005-0000-0000-0000760A0000}"/>
    <cellStyle name="Normal 3 2 4 2 2 4 2" xfId="5184" xr:uid="{00000000-0005-0000-0000-0000770A0000}"/>
    <cellStyle name="Normal 3 2 4 2 2 4 2 2" xfId="11361" xr:uid="{5A7C03E0-1F42-4F7B-AA4E-BE559C74FAA5}"/>
    <cellStyle name="Normal 3 2 4 2 2 4 3" xfId="9042" xr:uid="{12B5077A-E9D4-49EF-958A-F7AB6A263388}"/>
    <cellStyle name="Normal 3 2 4 2 2 5" xfId="1983" xr:uid="{00000000-0005-0000-0000-0000780A0000}"/>
    <cellStyle name="Normal 3 2 4 2 2 5 2" xfId="5185" xr:uid="{00000000-0005-0000-0000-0000790A0000}"/>
    <cellStyle name="Normal 3 2 4 2 2 5 2 2" xfId="11362" xr:uid="{B977C9FE-F366-40C1-8DF2-8B59D1824A97}"/>
    <cellStyle name="Normal 3 2 4 2 2 5 3" xfId="8160" xr:uid="{39C8BBC2-F13C-4B0F-ACE7-9A09546E794D}"/>
    <cellStyle name="Normal 3 2 4 2 2 6" xfId="3747" xr:uid="{00000000-0005-0000-0000-00007A0A0000}"/>
    <cellStyle name="Normal 3 2 4 2 2 6 2" xfId="9924" xr:uid="{E833E8B1-5B75-4407-A2CA-7B68E321C07C}"/>
    <cellStyle name="Normal 3 2 4 2 2 7" xfId="1100" xr:uid="{00000000-0005-0000-0000-00007B0A0000}"/>
    <cellStyle name="Normal 3 2 4 2 2 7 2" xfId="7277" xr:uid="{AE722BAB-BF11-403B-BB29-08B74637FD6D}"/>
    <cellStyle name="Normal 3 2 4 2 2 8" xfId="6394" xr:uid="{14EE30E5-A3E7-4AC6-99D5-51411EC55172}"/>
    <cellStyle name="Normal 3 2 4 2 3" xfId="327" xr:uid="{00000000-0005-0000-0000-00007C0A0000}"/>
    <cellStyle name="Normal 3 2 4 2 3 2" xfId="768" xr:uid="{00000000-0005-0000-0000-00007D0A0000}"/>
    <cellStyle name="Normal 3 2 4 2 3 2 2" xfId="3416" xr:uid="{00000000-0005-0000-0000-00007E0A0000}"/>
    <cellStyle name="Normal 3 2 4 2 3 2 2 2" xfId="5186" xr:uid="{00000000-0005-0000-0000-00007F0A0000}"/>
    <cellStyle name="Normal 3 2 4 2 3 2 2 2 2" xfId="11363" xr:uid="{2A179BF6-465B-486E-B7EC-FA7B98422609}"/>
    <cellStyle name="Normal 3 2 4 2 3 2 2 3" xfId="9593" xr:uid="{B83F9CD4-F199-456A-A29C-9AB228C5842A}"/>
    <cellStyle name="Normal 3 2 4 2 3 2 3" xfId="2534" xr:uid="{00000000-0005-0000-0000-0000800A0000}"/>
    <cellStyle name="Normal 3 2 4 2 3 2 3 2" xfId="5187" xr:uid="{00000000-0005-0000-0000-0000810A0000}"/>
    <cellStyle name="Normal 3 2 4 2 3 2 3 2 2" xfId="11364" xr:uid="{ABA23EBB-FB77-4256-92EC-1B5C53DDAAA8}"/>
    <cellStyle name="Normal 3 2 4 2 3 2 3 3" xfId="8711" xr:uid="{CD7FEE19-E25D-47CA-8080-CA5C0B3EC801}"/>
    <cellStyle name="Normal 3 2 4 2 3 2 4" xfId="4298" xr:uid="{00000000-0005-0000-0000-0000820A0000}"/>
    <cellStyle name="Normal 3 2 4 2 3 2 4 2" xfId="10475" xr:uid="{41AF0E99-3B6D-41A9-8177-B37C66BEDC0A}"/>
    <cellStyle name="Normal 3 2 4 2 3 2 5" xfId="1651" xr:uid="{00000000-0005-0000-0000-0000830A0000}"/>
    <cellStyle name="Normal 3 2 4 2 3 2 5 2" xfId="7828" xr:uid="{B1039434-BF6D-44CF-B194-87AA06987E3E}"/>
    <cellStyle name="Normal 3 2 4 2 3 2 6" xfId="6945" xr:uid="{B4C2C180-5A50-4EB8-91E0-1CB288378CF5}"/>
    <cellStyle name="Normal 3 2 4 2 3 3" xfId="2975" xr:uid="{00000000-0005-0000-0000-0000840A0000}"/>
    <cellStyle name="Normal 3 2 4 2 3 3 2" xfId="5188" xr:uid="{00000000-0005-0000-0000-0000850A0000}"/>
    <cellStyle name="Normal 3 2 4 2 3 3 2 2" xfId="11365" xr:uid="{AB7E0858-5A73-40CA-9639-DDDDED169151}"/>
    <cellStyle name="Normal 3 2 4 2 3 3 3" xfId="9152" xr:uid="{40CC7C04-C37F-42EE-B2F9-DC5668B115BA}"/>
    <cellStyle name="Normal 3 2 4 2 3 4" xfId="2093" xr:uid="{00000000-0005-0000-0000-0000860A0000}"/>
    <cellStyle name="Normal 3 2 4 2 3 4 2" xfId="5189" xr:uid="{00000000-0005-0000-0000-0000870A0000}"/>
    <cellStyle name="Normal 3 2 4 2 3 4 2 2" xfId="11366" xr:uid="{C6FD15BB-FDFF-4A36-8244-4707AAB07801}"/>
    <cellStyle name="Normal 3 2 4 2 3 4 3" xfId="8270" xr:uid="{72D14D4C-074B-4C94-97EF-DCAA70706057}"/>
    <cellStyle name="Normal 3 2 4 2 3 5" xfId="3857" xr:uid="{00000000-0005-0000-0000-0000880A0000}"/>
    <cellStyle name="Normal 3 2 4 2 3 5 2" xfId="10034" xr:uid="{3DDD1F4C-7C2A-4739-AC52-659382250ADE}"/>
    <cellStyle name="Normal 3 2 4 2 3 6" xfId="1210" xr:uid="{00000000-0005-0000-0000-0000890A0000}"/>
    <cellStyle name="Normal 3 2 4 2 3 6 2" xfId="7387" xr:uid="{B1133347-30D1-434E-829E-29B0D03CFF7C}"/>
    <cellStyle name="Normal 3 2 4 2 3 7" xfId="6504" xr:uid="{AF7A8598-B420-4F63-BD48-F05AEF468210}"/>
    <cellStyle name="Normal 3 2 4 2 4" xfId="548" xr:uid="{00000000-0005-0000-0000-00008A0A0000}"/>
    <cellStyle name="Normal 3 2 4 2 4 2" xfId="3196" xr:uid="{00000000-0005-0000-0000-00008B0A0000}"/>
    <cellStyle name="Normal 3 2 4 2 4 2 2" xfId="5190" xr:uid="{00000000-0005-0000-0000-00008C0A0000}"/>
    <cellStyle name="Normal 3 2 4 2 4 2 2 2" xfId="11367" xr:uid="{518EE81C-4B81-4013-8000-C30BC7DEC4DB}"/>
    <cellStyle name="Normal 3 2 4 2 4 2 3" xfId="9373" xr:uid="{50D6EBDE-BF60-496B-86E4-D9BAC5AAC011}"/>
    <cellStyle name="Normal 3 2 4 2 4 3" xfId="2314" xr:uid="{00000000-0005-0000-0000-00008D0A0000}"/>
    <cellStyle name="Normal 3 2 4 2 4 3 2" xfId="5191" xr:uid="{00000000-0005-0000-0000-00008E0A0000}"/>
    <cellStyle name="Normal 3 2 4 2 4 3 2 2" xfId="11368" xr:uid="{DB9E0F62-2F26-49E1-AF0E-A61CC81A0B34}"/>
    <cellStyle name="Normal 3 2 4 2 4 3 3" xfId="8491" xr:uid="{8E514917-DECF-4243-A150-11220F7482FC}"/>
    <cellStyle name="Normal 3 2 4 2 4 4" xfId="4078" xr:uid="{00000000-0005-0000-0000-00008F0A0000}"/>
    <cellStyle name="Normal 3 2 4 2 4 4 2" xfId="10255" xr:uid="{F85A102B-948B-4782-8581-C9ABB5CB175F}"/>
    <cellStyle name="Normal 3 2 4 2 4 5" xfId="1431" xr:uid="{00000000-0005-0000-0000-0000900A0000}"/>
    <cellStyle name="Normal 3 2 4 2 4 5 2" xfId="7608" xr:uid="{A9EA34A9-C209-4AF4-BE72-9286D82DB41B}"/>
    <cellStyle name="Normal 3 2 4 2 4 6" xfId="6725" xr:uid="{359D7E99-F91E-4DDA-9CB3-48FB13CB98BA}"/>
    <cellStyle name="Normal 3 2 4 2 5" xfId="2755" xr:uid="{00000000-0005-0000-0000-0000910A0000}"/>
    <cellStyle name="Normal 3 2 4 2 5 2" xfId="5192" xr:uid="{00000000-0005-0000-0000-0000920A0000}"/>
    <cellStyle name="Normal 3 2 4 2 5 2 2" xfId="11369" xr:uid="{12A40E7F-F7E1-426B-BD5A-F1E5FFE69B69}"/>
    <cellStyle name="Normal 3 2 4 2 5 3" xfId="8932" xr:uid="{70D324BB-60D4-4E1B-A160-F937351FCCE7}"/>
    <cellStyle name="Normal 3 2 4 2 6" xfId="1873" xr:uid="{00000000-0005-0000-0000-0000930A0000}"/>
    <cellStyle name="Normal 3 2 4 2 6 2" xfId="5193" xr:uid="{00000000-0005-0000-0000-0000940A0000}"/>
    <cellStyle name="Normal 3 2 4 2 6 2 2" xfId="11370" xr:uid="{7B5F462A-5578-4939-9BD6-6C9A0E01A37D}"/>
    <cellStyle name="Normal 3 2 4 2 6 3" xfId="8050" xr:uid="{81550813-3BFD-4CFA-BB98-EA92957CE96F}"/>
    <cellStyle name="Normal 3 2 4 2 7" xfId="3637" xr:uid="{00000000-0005-0000-0000-0000950A0000}"/>
    <cellStyle name="Normal 3 2 4 2 7 2" xfId="9814" xr:uid="{22183A90-26B0-44D5-BEB4-21CF17F50B03}"/>
    <cellStyle name="Normal 3 2 4 2 8" xfId="990" xr:uid="{00000000-0005-0000-0000-0000960A0000}"/>
    <cellStyle name="Normal 3 2 4 2 8 2" xfId="7167" xr:uid="{86225D95-EB1C-4B82-8A3B-F300BBCE8065}"/>
    <cellStyle name="Normal 3 2 4 2 9" xfId="6284" xr:uid="{D373F1DB-B7B1-4CB0-B0B1-8C8B9D7E59F9}"/>
    <cellStyle name="Normal 3 2 4 3" xfId="151" xr:uid="{00000000-0005-0000-0000-0000970A0000}"/>
    <cellStyle name="Normal 3 2 4 3 2" xfId="371" xr:uid="{00000000-0005-0000-0000-0000980A0000}"/>
    <cellStyle name="Normal 3 2 4 3 2 2" xfId="812" xr:uid="{00000000-0005-0000-0000-0000990A0000}"/>
    <cellStyle name="Normal 3 2 4 3 2 2 2" xfId="3460" xr:uid="{00000000-0005-0000-0000-00009A0A0000}"/>
    <cellStyle name="Normal 3 2 4 3 2 2 2 2" xfId="5194" xr:uid="{00000000-0005-0000-0000-00009B0A0000}"/>
    <cellStyle name="Normal 3 2 4 3 2 2 2 2 2" xfId="11371" xr:uid="{4656BD4B-3D3C-499A-ABD0-D0DB81B57C39}"/>
    <cellStyle name="Normal 3 2 4 3 2 2 2 3" xfId="9637" xr:uid="{D23BD3E2-65D8-4A9E-8A74-DFDC734FB390}"/>
    <cellStyle name="Normal 3 2 4 3 2 2 3" xfId="2578" xr:uid="{00000000-0005-0000-0000-00009C0A0000}"/>
    <cellStyle name="Normal 3 2 4 3 2 2 3 2" xfId="5195" xr:uid="{00000000-0005-0000-0000-00009D0A0000}"/>
    <cellStyle name="Normal 3 2 4 3 2 2 3 2 2" xfId="11372" xr:uid="{B29FA240-0591-4ED1-BB7C-15771A2F2F5C}"/>
    <cellStyle name="Normal 3 2 4 3 2 2 3 3" xfId="8755" xr:uid="{F44A98FD-0098-4CA1-9281-0807D72D2AAC}"/>
    <cellStyle name="Normal 3 2 4 3 2 2 4" xfId="4342" xr:uid="{00000000-0005-0000-0000-00009E0A0000}"/>
    <cellStyle name="Normal 3 2 4 3 2 2 4 2" xfId="10519" xr:uid="{1306F93D-9C70-4162-AD3A-79E38D09D88E}"/>
    <cellStyle name="Normal 3 2 4 3 2 2 5" xfId="1695" xr:uid="{00000000-0005-0000-0000-00009F0A0000}"/>
    <cellStyle name="Normal 3 2 4 3 2 2 5 2" xfId="7872" xr:uid="{3016A05C-CC12-4B65-BAB2-9ACBDBDB3EE5}"/>
    <cellStyle name="Normal 3 2 4 3 2 2 6" xfId="6989" xr:uid="{FCF63F7E-6B28-40A3-A06F-9571B36018A0}"/>
    <cellStyle name="Normal 3 2 4 3 2 3" xfId="3019" xr:uid="{00000000-0005-0000-0000-0000A00A0000}"/>
    <cellStyle name="Normal 3 2 4 3 2 3 2" xfId="5196" xr:uid="{00000000-0005-0000-0000-0000A10A0000}"/>
    <cellStyle name="Normal 3 2 4 3 2 3 2 2" xfId="11373" xr:uid="{DD87840E-CD22-4BDD-AF7B-834D863E896B}"/>
    <cellStyle name="Normal 3 2 4 3 2 3 3" xfId="9196" xr:uid="{8F3B8FC4-7A4C-405D-B304-32FDCDDEC606}"/>
    <cellStyle name="Normal 3 2 4 3 2 4" xfId="2137" xr:uid="{00000000-0005-0000-0000-0000A20A0000}"/>
    <cellStyle name="Normal 3 2 4 3 2 4 2" xfId="5197" xr:uid="{00000000-0005-0000-0000-0000A30A0000}"/>
    <cellStyle name="Normal 3 2 4 3 2 4 2 2" xfId="11374" xr:uid="{59FF2D7E-519C-4354-A5CB-9A66FBDF0FBD}"/>
    <cellStyle name="Normal 3 2 4 3 2 4 3" xfId="8314" xr:uid="{8F69C53B-A360-405B-B6E1-8A3AF80DA191}"/>
    <cellStyle name="Normal 3 2 4 3 2 5" xfId="3901" xr:uid="{00000000-0005-0000-0000-0000A40A0000}"/>
    <cellStyle name="Normal 3 2 4 3 2 5 2" xfId="10078" xr:uid="{070D1E0D-239D-4151-BAA5-E1FC35017CEE}"/>
    <cellStyle name="Normal 3 2 4 3 2 6" xfId="1254" xr:uid="{00000000-0005-0000-0000-0000A50A0000}"/>
    <cellStyle name="Normal 3 2 4 3 2 6 2" xfId="7431" xr:uid="{93DA511F-943E-4B84-925C-E22B6FD39BFB}"/>
    <cellStyle name="Normal 3 2 4 3 2 7" xfId="6548" xr:uid="{07B75EED-B9C5-43D2-9B96-B26535313F4D}"/>
    <cellStyle name="Normal 3 2 4 3 3" xfId="592" xr:uid="{00000000-0005-0000-0000-0000A60A0000}"/>
    <cellStyle name="Normal 3 2 4 3 3 2" xfId="3240" xr:uid="{00000000-0005-0000-0000-0000A70A0000}"/>
    <cellStyle name="Normal 3 2 4 3 3 2 2" xfId="5198" xr:uid="{00000000-0005-0000-0000-0000A80A0000}"/>
    <cellStyle name="Normal 3 2 4 3 3 2 2 2" xfId="11375" xr:uid="{91023792-8B50-4E69-B73E-994F4526A273}"/>
    <cellStyle name="Normal 3 2 4 3 3 2 3" xfId="9417" xr:uid="{999927A1-AB0E-4085-9978-789370D74814}"/>
    <cellStyle name="Normal 3 2 4 3 3 3" xfId="2358" xr:uid="{00000000-0005-0000-0000-0000A90A0000}"/>
    <cellStyle name="Normal 3 2 4 3 3 3 2" xfId="5199" xr:uid="{00000000-0005-0000-0000-0000AA0A0000}"/>
    <cellStyle name="Normal 3 2 4 3 3 3 2 2" xfId="11376" xr:uid="{E681CF92-01F1-4ABF-94D5-6A01BB00B694}"/>
    <cellStyle name="Normal 3 2 4 3 3 3 3" xfId="8535" xr:uid="{2E77B69D-BDA8-4DF1-B663-80878CEEBADF}"/>
    <cellStyle name="Normal 3 2 4 3 3 4" xfId="4122" xr:uid="{00000000-0005-0000-0000-0000AB0A0000}"/>
    <cellStyle name="Normal 3 2 4 3 3 4 2" xfId="10299" xr:uid="{79C788A0-06F2-4063-8E57-628399E4C46C}"/>
    <cellStyle name="Normal 3 2 4 3 3 5" xfId="1475" xr:uid="{00000000-0005-0000-0000-0000AC0A0000}"/>
    <cellStyle name="Normal 3 2 4 3 3 5 2" xfId="7652" xr:uid="{D5221A9A-2241-4090-B4FF-B9E3404409EE}"/>
    <cellStyle name="Normal 3 2 4 3 3 6" xfId="6769" xr:uid="{7BAAA372-0AB8-4DDA-BE1E-D3729D5C985A}"/>
    <cellStyle name="Normal 3 2 4 3 4" xfId="2799" xr:uid="{00000000-0005-0000-0000-0000AD0A0000}"/>
    <cellStyle name="Normal 3 2 4 3 4 2" xfId="5200" xr:uid="{00000000-0005-0000-0000-0000AE0A0000}"/>
    <cellStyle name="Normal 3 2 4 3 4 2 2" xfId="11377" xr:uid="{ACC0B08A-B79F-4489-A7A5-0856B3E7EB2C}"/>
    <cellStyle name="Normal 3 2 4 3 4 3" xfId="8976" xr:uid="{693353C9-262B-47D8-B137-710B33D6B22E}"/>
    <cellStyle name="Normal 3 2 4 3 5" xfId="1917" xr:uid="{00000000-0005-0000-0000-0000AF0A0000}"/>
    <cellStyle name="Normal 3 2 4 3 5 2" xfId="5201" xr:uid="{00000000-0005-0000-0000-0000B00A0000}"/>
    <cellStyle name="Normal 3 2 4 3 5 2 2" xfId="11378" xr:uid="{FB438AF1-8C0B-4FA8-AF8C-FF1395F2B5AE}"/>
    <cellStyle name="Normal 3 2 4 3 5 3" xfId="8094" xr:uid="{9DF91B14-E601-463F-A66F-7FB68F45F137}"/>
    <cellStyle name="Normal 3 2 4 3 6" xfId="3681" xr:uid="{00000000-0005-0000-0000-0000B10A0000}"/>
    <cellStyle name="Normal 3 2 4 3 6 2" xfId="9858" xr:uid="{BBF3CB92-E083-4704-8960-9D679BA08880}"/>
    <cellStyle name="Normal 3 2 4 3 7" xfId="1034" xr:uid="{00000000-0005-0000-0000-0000B20A0000}"/>
    <cellStyle name="Normal 3 2 4 3 7 2" xfId="7211" xr:uid="{747D859D-9218-47DE-9708-559E84CF026F}"/>
    <cellStyle name="Normal 3 2 4 3 8" xfId="6328" xr:uid="{67CFE599-4793-4D76-A5BD-B4419BB390A4}"/>
    <cellStyle name="Normal 3 2 4 4" xfId="261" xr:uid="{00000000-0005-0000-0000-0000B30A0000}"/>
    <cellStyle name="Normal 3 2 4 4 2" xfId="702" xr:uid="{00000000-0005-0000-0000-0000B40A0000}"/>
    <cellStyle name="Normal 3 2 4 4 2 2" xfId="3350" xr:uid="{00000000-0005-0000-0000-0000B50A0000}"/>
    <cellStyle name="Normal 3 2 4 4 2 2 2" xfId="5202" xr:uid="{00000000-0005-0000-0000-0000B60A0000}"/>
    <cellStyle name="Normal 3 2 4 4 2 2 2 2" xfId="11379" xr:uid="{7015C3D7-4100-4D8D-B2CE-9BF77AB17262}"/>
    <cellStyle name="Normal 3 2 4 4 2 2 3" xfId="9527" xr:uid="{D53916D0-F027-464C-A220-72BE3182F8CF}"/>
    <cellStyle name="Normal 3 2 4 4 2 3" xfId="2468" xr:uid="{00000000-0005-0000-0000-0000B70A0000}"/>
    <cellStyle name="Normal 3 2 4 4 2 3 2" xfId="5203" xr:uid="{00000000-0005-0000-0000-0000B80A0000}"/>
    <cellStyle name="Normal 3 2 4 4 2 3 2 2" xfId="11380" xr:uid="{586E2444-9182-41BE-8267-82C3BB9B4ACE}"/>
    <cellStyle name="Normal 3 2 4 4 2 3 3" xfId="8645" xr:uid="{F9973416-76FB-45B6-81E0-38CC2AE6D97B}"/>
    <cellStyle name="Normal 3 2 4 4 2 4" xfId="4232" xr:uid="{00000000-0005-0000-0000-0000B90A0000}"/>
    <cellStyle name="Normal 3 2 4 4 2 4 2" xfId="10409" xr:uid="{26DF0750-78FA-4DC3-937F-8997E3701909}"/>
    <cellStyle name="Normal 3 2 4 4 2 5" xfId="1585" xr:uid="{00000000-0005-0000-0000-0000BA0A0000}"/>
    <cellStyle name="Normal 3 2 4 4 2 5 2" xfId="7762" xr:uid="{C10B0A71-F394-40D8-87D3-E3E744C70ECF}"/>
    <cellStyle name="Normal 3 2 4 4 2 6" xfId="6879" xr:uid="{6A1EB023-469B-4442-9F39-7800D8CEF943}"/>
    <cellStyle name="Normal 3 2 4 4 3" xfId="2909" xr:uid="{00000000-0005-0000-0000-0000BB0A0000}"/>
    <cellStyle name="Normal 3 2 4 4 3 2" xfId="5204" xr:uid="{00000000-0005-0000-0000-0000BC0A0000}"/>
    <cellStyle name="Normal 3 2 4 4 3 2 2" xfId="11381" xr:uid="{95B38AFF-0AB1-4297-81A9-5C32C2B192A7}"/>
    <cellStyle name="Normal 3 2 4 4 3 3" xfId="9086" xr:uid="{1C4F8EEC-2F12-4914-BF31-CCB2388AC86A}"/>
    <cellStyle name="Normal 3 2 4 4 4" xfId="2027" xr:uid="{00000000-0005-0000-0000-0000BD0A0000}"/>
    <cellStyle name="Normal 3 2 4 4 4 2" xfId="5205" xr:uid="{00000000-0005-0000-0000-0000BE0A0000}"/>
    <cellStyle name="Normal 3 2 4 4 4 2 2" xfId="11382" xr:uid="{FEA8C7A0-2483-446E-9DB4-3D055A042E57}"/>
    <cellStyle name="Normal 3 2 4 4 4 3" xfId="8204" xr:uid="{1D045870-0323-481E-873D-42898015F346}"/>
    <cellStyle name="Normal 3 2 4 4 5" xfId="3791" xr:uid="{00000000-0005-0000-0000-0000BF0A0000}"/>
    <cellStyle name="Normal 3 2 4 4 5 2" xfId="9968" xr:uid="{01BD2300-7E69-438A-AD88-F8C7F6409D2A}"/>
    <cellStyle name="Normal 3 2 4 4 6" xfId="1144" xr:uid="{00000000-0005-0000-0000-0000C00A0000}"/>
    <cellStyle name="Normal 3 2 4 4 6 2" xfId="7321" xr:uid="{ED22F338-0250-4822-A0C8-12A5EF347A38}"/>
    <cellStyle name="Normal 3 2 4 4 7" xfId="6438" xr:uid="{B75CF2FB-287C-4354-A7DD-ADDE725059FA}"/>
    <cellStyle name="Normal 3 2 4 5" xfId="482" xr:uid="{00000000-0005-0000-0000-0000C10A0000}"/>
    <cellStyle name="Normal 3 2 4 5 2" xfId="3130" xr:uid="{00000000-0005-0000-0000-0000C20A0000}"/>
    <cellStyle name="Normal 3 2 4 5 2 2" xfId="5206" xr:uid="{00000000-0005-0000-0000-0000C30A0000}"/>
    <cellStyle name="Normal 3 2 4 5 2 2 2" xfId="11383" xr:uid="{B9189AE6-3ED6-4388-B573-7440369672B3}"/>
    <cellStyle name="Normal 3 2 4 5 2 3" xfId="9307" xr:uid="{F2DE30B1-BF68-40E2-9953-50F193ACC0C1}"/>
    <cellStyle name="Normal 3 2 4 5 3" xfId="2248" xr:uid="{00000000-0005-0000-0000-0000C40A0000}"/>
    <cellStyle name="Normal 3 2 4 5 3 2" xfId="5207" xr:uid="{00000000-0005-0000-0000-0000C50A0000}"/>
    <cellStyle name="Normal 3 2 4 5 3 2 2" xfId="11384" xr:uid="{EFBA1E87-5B09-4F5C-A198-A3F573763F94}"/>
    <cellStyle name="Normal 3 2 4 5 3 3" xfId="8425" xr:uid="{3A45D5F9-E548-46A0-93C6-7255AAE0ACDD}"/>
    <cellStyle name="Normal 3 2 4 5 4" xfId="4012" xr:uid="{00000000-0005-0000-0000-0000C60A0000}"/>
    <cellStyle name="Normal 3 2 4 5 4 2" xfId="10189" xr:uid="{08577402-2F7A-4597-ADB5-D836A4F3AF7B}"/>
    <cellStyle name="Normal 3 2 4 5 5" xfId="1365" xr:uid="{00000000-0005-0000-0000-0000C70A0000}"/>
    <cellStyle name="Normal 3 2 4 5 5 2" xfId="7542" xr:uid="{A83CF5F2-DE93-4DBF-9A56-1B5A9BFCD323}"/>
    <cellStyle name="Normal 3 2 4 5 6" xfId="6659" xr:uid="{59B70ABE-01BD-4C4B-971A-44A6E96FCBAC}"/>
    <cellStyle name="Normal 3 2 4 6" xfId="2689" xr:uid="{00000000-0005-0000-0000-0000C80A0000}"/>
    <cellStyle name="Normal 3 2 4 6 2" xfId="5208" xr:uid="{00000000-0005-0000-0000-0000C90A0000}"/>
    <cellStyle name="Normal 3 2 4 6 2 2" xfId="11385" xr:uid="{06BC1393-013F-4C8C-8A9A-208C9C194F75}"/>
    <cellStyle name="Normal 3 2 4 6 3" xfId="8866" xr:uid="{DD908CD4-0703-4EAB-87C8-8406F8E4365B}"/>
    <cellStyle name="Normal 3 2 4 7" xfId="1807" xr:uid="{00000000-0005-0000-0000-0000CA0A0000}"/>
    <cellStyle name="Normal 3 2 4 7 2" xfId="5209" xr:uid="{00000000-0005-0000-0000-0000CB0A0000}"/>
    <cellStyle name="Normal 3 2 4 7 2 2" xfId="11386" xr:uid="{0DDD9720-E19D-4253-9524-751E413940A0}"/>
    <cellStyle name="Normal 3 2 4 7 3" xfId="7984" xr:uid="{33669965-F453-4AA9-A51B-1CE505FE0901}"/>
    <cellStyle name="Normal 3 2 4 8" xfId="3571" xr:uid="{00000000-0005-0000-0000-0000CC0A0000}"/>
    <cellStyle name="Normal 3 2 4 8 2" xfId="9748" xr:uid="{BF4D9944-A2FA-4105-AC8A-576D42ECAB04}"/>
    <cellStyle name="Normal 3 2 4 9" xfId="924" xr:uid="{00000000-0005-0000-0000-0000CD0A0000}"/>
    <cellStyle name="Normal 3 2 4 9 2" xfId="7101" xr:uid="{F8862CF0-C51F-436F-9CEF-7DC7FB953F9C}"/>
    <cellStyle name="Normal 3 2 5" xfId="47" xr:uid="{00000000-0005-0000-0000-0000CE0A0000}"/>
    <cellStyle name="Normal 3 2 5 2" xfId="157" xr:uid="{00000000-0005-0000-0000-0000CF0A0000}"/>
    <cellStyle name="Normal 3 2 5 2 2" xfId="377" xr:uid="{00000000-0005-0000-0000-0000D00A0000}"/>
    <cellStyle name="Normal 3 2 5 2 2 2" xfId="818" xr:uid="{00000000-0005-0000-0000-0000D10A0000}"/>
    <cellStyle name="Normal 3 2 5 2 2 2 2" xfId="3466" xr:uid="{00000000-0005-0000-0000-0000D20A0000}"/>
    <cellStyle name="Normal 3 2 5 2 2 2 2 2" xfId="5210" xr:uid="{00000000-0005-0000-0000-0000D30A0000}"/>
    <cellStyle name="Normal 3 2 5 2 2 2 2 2 2" xfId="11387" xr:uid="{BC1B7D77-F14B-479D-BA29-B6709B92DB85}"/>
    <cellStyle name="Normal 3 2 5 2 2 2 2 3" xfId="9643" xr:uid="{03259E72-0BA9-4FCD-83E4-FF74133B58C1}"/>
    <cellStyle name="Normal 3 2 5 2 2 2 3" xfId="2584" xr:uid="{00000000-0005-0000-0000-0000D40A0000}"/>
    <cellStyle name="Normal 3 2 5 2 2 2 3 2" xfId="5211" xr:uid="{00000000-0005-0000-0000-0000D50A0000}"/>
    <cellStyle name="Normal 3 2 5 2 2 2 3 2 2" xfId="11388" xr:uid="{7D72612A-A606-4F19-AE6E-BBD17DD6EEC1}"/>
    <cellStyle name="Normal 3 2 5 2 2 2 3 3" xfId="8761" xr:uid="{98D101BE-40AB-43B8-93A0-0ACDFBE18DBD}"/>
    <cellStyle name="Normal 3 2 5 2 2 2 4" xfId="4348" xr:uid="{00000000-0005-0000-0000-0000D60A0000}"/>
    <cellStyle name="Normal 3 2 5 2 2 2 4 2" xfId="10525" xr:uid="{C3306330-396E-45ED-B6FD-08D72A69817E}"/>
    <cellStyle name="Normal 3 2 5 2 2 2 5" xfId="1701" xr:uid="{00000000-0005-0000-0000-0000D70A0000}"/>
    <cellStyle name="Normal 3 2 5 2 2 2 5 2" xfId="7878" xr:uid="{0A5044FF-960C-408A-AB19-0894A577886E}"/>
    <cellStyle name="Normal 3 2 5 2 2 2 6" xfId="6995" xr:uid="{38F0A4C7-D468-4852-87BC-85C3412751D6}"/>
    <cellStyle name="Normal 3 2 5 2 2 3" xfId="3025" xr:uid="{00000000-0005-0000-0000-0000D80A0000}"/>
    <cellStyle name="Normal 3 2 5 2 2 3 2" xfId="5212" xr:uid="{00000000-0005-0000-0000-0000D90A0000}"/>
    <cellStyle name="Normal 3 2 5 2 2 3 2 2" xfId="11389" xr:uid="{AF029E13-F499-4C09-B134-2F7BC46B6C96}"/>
    <cellStyle name="Normal 3 2 5 2 2 3 3" xfId="9202" xr:uid="{95398DCF-D4C0-4477-ADE9-4A5F3B912B6B}"/>
    <cellStyle name="Normal 3 2 5 2 2 4" xfId="2143" xr:uid="{00000000-0005-0000-0000-0000DA0A0000}"/>
    <cellStyle name="Normal 3 2 5 2 2 4 2" xfId="5213" xr:uid="{00000000-0005-0000-0000-0000DB0A0000}"/>
    <cellStyle name="Normal 3 2 5 2 2 4 2 2" xfId="11390" xr:uid="{EB81037B-492F-43A3-BEFC-C11E3125F6BB}"/>
    <cellStyle name="Normal 3 2 5 2 2 4 3" xfId="8320" xr:uid="{9459CBB3-1C99-4ABA-892A-EDA135470F2F}"/>
    <cellStyle name="Normal 3 2 5 2 2 5" xfId="3907" xr:uid="{00000000-0005-0000-0000-0000DC0A0000}"/>
    <cellStyle name="Normal 3 2 5 2 2 5 2" xfId="10084" xr:uid="{1E375CD2-90AD-4235-A85E-F21C3364AEEE}"/>
    <cellStyle name="Normal 3 2 5 2 2 6" xfId="1260" xr:uid="{00000000-0005-0000-0000-0000DD0A0000}"/>
    <cellStyle name="Normal 3 2 5 2 2 6 2" xfId="7437" xr:uid="{9709F8C5-67E5-41C8-BC1B-0661567E3E54}"/>
    <cellStyle name="Normal 3 2 5 2 2 7" xfId="6554" xr:uid="{05E3A3AE-700F-4C01-ACD3-B91AEE45E63E}"/>
    <cellStyle name="Normal 3 2 5 2 3" xfId="598" xr:uid="{00000000-0005-0000-0000-0000DE0A0000}"/>
    <cellStyle name="Normal 3 2 5 2 3 2" xfId="3246" xr:uid="{00000000-0005-0000-0000-0000DF0A0000}"/>
    <cellStyle name="Normal 3 2 5 2 3 2 2" xfId="5214" xr:uid="{00000000-0005-0000-0000-0000E00A0000}"/>
    <cellStyle name="Normal 3 2 5 2 3 2 2 2" xfId="11391" xr:uid="{9C3C7D1A-181E-48F4-B8A4-7A3D792EB880}"/>
    <cellStyle name="Normal 3 2 5 2 3 2 3" xfId="9423" xr:uid="{C0202E43-DE06-4913-9D05-387C8C26718A}"/>
    <cellStyle name="Normal 3 2 5 2 3 3" xfId="2364" xr:uid="{00000000-0005-0000-0000-0000E10A0000}"/>
    <cellStyle name="Normal 3 2 5 2 3 3 2" xfId="5215" xr:uid="{00000000-0005-0000-0000-0000E20A0000}"/>
    <cellStyle name="Normal 3 2 5 2 3 3 2 2" xfId="11392" xr:uid="{78280D9B-02EA-47EB-A2D8-C07D32BFEFF7}"/>
    <cellStyle name="Normal 3 2 5 2 3 3 3" xfId="8541" xr:uid="{51EA2420-508E-4091-84F0-DAAB7EDF8147}"/>
    <cellStyle name="Normal 3 2 5 2 3 4" xfId="4128" xr:uid="{00000000-0005-0000-0000-0000E30A0000}"/>
    <cellStyle name="Normal 3 2 5 2 3 4 2" xfId="10305" xr:uid="{FB94923C-C9C6-440B-86F0-0C5051D33181}"/>
    <cellStyle name="Normal 3 2 5 2 3 5" xfId="1481" xr:uid="{00000000-0005-0000-0000-0000E40A0000}"/>
    <cellStyle name="Normal 3 2 5 2 3 5 2" xfId="7658" xr:uid="{D834075E-8DFC-4289-A90F-C059B1D15D4D}"/>
    <cellStyle name="Normal 3 2 5 2 3 6" xfId="6775" xr:uid="{0F39EF74-D4B4-4044-BC3A-85CFE6F4C1FA}"/>
    <cellStyle name="Normal 3 2 5 2 4" xfId="2805" xr:uid="{00000000-0005-0000-0000-0000E50A0000}"/>
    <cellStyle name="Normal 3 2 5 2 4 2" xfId="5216" xr:uid="{00000000-0005-0000-0000-0000E60A0000}"/>
    <cellStyle name="Normal 3 2 5 2 4 2 2" xfId="11393" xr:uid="{4507CBE9-A3D5-4EED-A497-DF4FBDB7834C}"/>
    <cellStyle name="Normal 3 2 5 2 4 3" xfId="8982" xr:uid="{36886E9F-040D-4770-B9B5-6361E3D2E246}"/>
    <cellStyle name="Normal 3 2 5 2 5" xfId="1923" xr:uid="{00000000-0005-0000-0000-0000E70A0000}"/>
    <cellStyle name="Normal 3 2 5 2 5 2" xfId="5217" xr:uid="{00000000-0005-0000-0000-0000E80A0000}"/>
    <cellStyle name="Normal 3 2 5 2 5 2 2" xfId="11394" xr:uid="{06698087-1F78-4D99-A0F7-98BFF8550DE2}"/>
    <cellStyle name="Normal 3 2 5 2 5 3" xfId="8100" xr:uid="{AE5C13FE-FD6A-4214-91A5-9A787E129753}"/>
    <cellStyle name="Normal 3 2 5 2 6" xfId="3687" xr:uid="{00000000-0005-0000-0000-0000E90A0000}"/>
    <cellStyle name="Normal 3 2 5 2 6 2" xfId="9864" xr:uid="{ADCFF2FA-875D-4EAC-A9B0-7C55025198FA}"/>
    <cellStyle name="Normal 3 2 5 2 7" xfId="1040" xr:uid="{00000000-0005-0000-0000-0000EA0A0000}"/>
    <cellStyle name="Normal 3 2 5 2 7 2" xfId="7217" xr:uid="{3D1BDA2C-6770-4B78-BE0B-E20E98004665}"/>
    <cellStyle name="Normal 3 2 5 2 8" xfId="6334" xr:uid="{177FD0BB-4F53-435F-AD71-A5E65D26B03A}"/>
    <cellStyle name="Normal 3 2 5 3" xfId="267" xr:uid="{00000000-0005-0000-0000-0000EB0A0000}"/>
    <cellStyle name="Normal 3 2 5 3 2" xfId="708" xr:uid="{00000000-0005-0000-0000-0000EC0A0000}"/>
    <cellStyle name="Normal 3 2 5 3 2 2" xfId="3356" xr:uid="{00000000-0005-0000-0000-0000ED0A0000}"/>
    <cellStyle name="Normal 3 2 5 3 2 2 2" xfId="5218" xr:uid="{00000000-0005-0000-0000-0000EE0A0000}"/>
    <cellStyle name="Normal 3 2 5 3 2 2 2 2" xfId="11395" xr:uid="{ECE4DE13-E260-4784-A30A-E834CF1D4178}"/>
    <cellStyle name="Normal 3 2 5 3 2 2 3" xfId="9533" xr:uid="{39744DD2-4EEE-4899-9CB2-B059346E20CA}"/>
    <cellStyle name="Normal 3 2 5 3 2 3" xfId="2474" xr:uid="{00000000-0005-0000-0000-0000EF0A0000}"/>
    <cellStyle name="Normal 3 2 5 3 2 3 2" xfId="5219" xr:uid="{00000000-0005-0000-0000-0000F00A0000}"/>
    <cellStyle name="Normal 3 2 5 3 2 3 2 2" xfId="11396" xr:uid="{F89024C1-3C9D-4BEE-9C97-B5FCA4025E47}"/>
    <cellStyle name="Normal 3 2 5 3 2 3 3" xfId="8651" xr:uid="{99C11C9C-B9AC-4B90-A600-40559C37628C}"/>
    <cellStyle name="Normal 3 2 5 3 2 4" xfId="4238" xr:uid="{00000000-0005-0000-0000-0000F10A0000}"/>
    <cellStyle name="Normal 3 2 5 3 2 4 2" xfId="10415" xr:uid="{50D309A0-86CB-4CBE-BE62-656D9BFB74BB}"/>
    <cellStyle name="Normal 3 2 5 3 2 5" xfId="1591" xr:uid="{00000000-0005-0000-0000-0000F20A0000}"/>
    <cellStyle name="Normal 3 2 5 3 2 5 2" xfId="7768" xr:uid="{3D0BF8E9-A4BE-437C-B7EE-68DAD89DA1C8}"/>
    <cellStyle name="Normal 3 2 5 3 2 6" xfId="6885" xr:uid="{6C557AEF-3B3E-4162-9F7A-3B8ED2AC71C0}"/>
    <cellStyle name="Normal 3 2 5 3 3" xfId="2915" xr:uid="{00000000-0005-0000-0000-0000F30A0000}"/>
    <cellStyle name="Normal 3 2 5 3 3 2" xfId="5220" xr:uid="{00000000-0005-0000-0000-0000F40A0000}"/>
    <cellStyle name="Normal 3 2 5 3 3 2 2" xfId="11397" xr:uid="{B70AFCE6-CD6D-4AA7-A1D6-F5ECEA1A787A}"/>
    <cellStyle name="Normal 3 2 5 3 3 3" xfId="9092" xr:uid="{26E20781-A505-42B2-A909-825DE9A3416D}"/>
    <cellStyle name="Normal 3 2 5 3 4" xfId="2033" xr:uid="{00000000-0005-0000-0000-0000F50A0000}"/>
    <cellStyle name="Normal 3 2 5 3 4 2" xfId="5221" xr:uid="{00000000-0005-0000-0000-0000F60A0000}"/>
    <cellStyle name="Normal 3 2 5 3 4 2 2" xfId="11398" xr:uid="{DCD59C54-E732-4F41-B6D2-D5AB60E9C472}"/>
    <cellStyle name="Normal 3 2 5 3 4 3" xfId="8210" xr:uid="{FF9001A4-55BF-4CAF-9372-7FC646D70FD2}"/>
    <cellStyle name="Normal 3 2 5 3 5" xfId="3797" xr:uid="{00000000-0005-0000-0000-0000F70A0000}"/>
    <cellStyle name="Normal 3 2 5 3 5 2" xfId="9974" xr:uid="{0B0E3A61-BB85-4C5F-B061-9C1444C36781}"/>
    <cellStyle name="Normal 3 2 5 3 6" xfId="1150" xr:uid="{00000000-0005-0000-0000-0000F80A0000}"/>
    <cellStyle name="Normal 3 2 5 3 6 2" xfId="7327" xr:uid="{D9ED8B83-B092-4460-9B34-D5B0C1EE6250}"/>
    <cellStyle name="Normal 3 2 5 3 7" xfId="6444" xr:uid="{3993BBCC-BF50-4892-BC2A-AFCAD25994CF}"/>
    <cellStyle name="Normal 3 2 5 4" xfId="488" xr:uid="{00000000-0005-0000-0000-0000F90A0000}"/>
    <cellStyle name="Normal 3 2 5 4 2" xfId="3136" xr:uid="{00000000-0005-0000-0000-0000FA0A0000}"/>
    <cellStyle name="Normal 3 2 5 4 2 2" xfId="5222" xr:uid="{00000000-0005-0000-0000-0000FB0A0000}"/>
    <cellStyle name="Normal 3 2 5 4 2 2 2" xfId="11399" xr:uid="{A5E74635-94FD-4DA2-862D-B6D5A405B085}"/>
    <cellStyle name="Normal 3 2 5 4 2 3" xfId="9313" xr:uid="{6B3EBB8B-06B5-4583-B62A-1109A0DAD043}"/>
    <cellStyle name="Normal 3 2 5 4 3" xfId="2254" xr:uid="{00000000-0005-0000-0000-0000FC0A0000}"/>
    <cellStyle name="Normal 3 2 5 4 3 2" xfId="5223" xr:uid="{00000000-0005-0000-0000-0000FD0A0000}"/>
    <cellStyle name="Normal 3 2 5 4 3 2 2" xfId="11400" xr:uid="{A3EC1BE8-F432-49E2-B589-2512BB843857}"/>
    <cellStyle name="Normal 3 2 5 4 3 3" xfId="8431" xr:uid="{F44A5EDF-2432-46DB-B0FB-0A26BE036358}"/>
    <cellStyle name="Normal 3 2 5 4 4" xfId="4018" xr:uid="{00000000-0005-0000-0000-0000FE0A0000}"/>
    <cellStyle name="Normal 3 2 5 4 4 2" xfId="10195" xr:uid="{8542AED1-55E2-4443-AA48-4B2F69564BEC}"/>
    <cellStyle name="Normal 3 2 5 4 5" xfId="1371" xr:uid="{00000000-0005-0000-0000-0000FF0A0000}"/>
    <cellStyle name="Normal 3 2 5 4 5 2" xfId="7548" xr:uid="{516FAFC2-7A0C-4ADB-B318-31EB0C289413}"/>
    <cellStyle name="Normal 3 2 5 4 6" xfId="6665" xr:uid="{BF48226A-4625-4A6C-B328-84BD759CC8B5}"/>
    <cellStyle name="Normal 3 2 5 5" xfId="2695" xr:uid="{00000000-0005-0000-0000-0000000B0000}"/>
    <cellStyle name="Normal 3 2 5 5 2" xfId="5224" xr:uid="{00000000-0005-0000-0000-0000010B0000}"/>
    <cellStyle name="Normal 3 2 5 5 2 2" xfId="11401" xr:uid="{AEE31B87-D347-4042-8E88-28BFBC1B0B4E}"/>
    <cellStyle name="Normal 3 2 5 5 3" xfId="8872" xr:uid="{9A933A73-756F-48F7-8565-7530182AA1A2}"/>
    <cellStyle name="Normal 3 2 5 6" xfId="1813" xr:uid="{00000000-0005-0000-0000-0000020B0000}"/>
    <cellStyle name="Normal 3 2 5 6 2" xfId="5225" xr:uid="{00000000-0005-0000-0000-0000030B0000}"/>
    <cellStyle name="Normal 3 2 5 6 2 2" xfId="11402" xr:uid="{3C5AA95F-5903-4B73-A181-5BF3167EA8DF}"/>
    <cellStyle name="Normal 3 2 5 6 3" xfId="7990" xr:uid="{62B3AF5B-9A80-40B8-B78B-CE9C6D5981FD}"/>
    <cellStyle name="Normal 3 2 5 7" xfId="3577" xr:uid="{00000000-0005-0000-0000-0000040B0000}"/>
    <cellStyle name="Normal 3 2 5 7 2" xfId="9754" xr:uid="{1913CF5B-617D-4C29-8969-8BE198B5751F}"/>
    <cellStyle name="Normal 3 2 5 8" xfId="930" xr:uid="{00000000-0005-0000-0000-0000050B0000}"/>
    <cellStyle name="Normal 3 2 5 8 2" xfId="7107" xr:uid="{9C5E3B08-2633-4CCB-A548-E945481BC314}"/>
    <cellStyle name="Normal 3 2 5 9" xfId="6224" xr:uid="{AE92A179-3A2C-4C23-AC2C-3D5E34F2666D}"/>
    <cellStyle name="Normal 3 2 6" xfId="63" xr:uid="{00000000-0005-0000-0000-0000060B0000}"/>
    <cellStyle name="Normal 3 2 6 2" xfId="173" xr:uid="{00000000-0005-0000-0000-0000070B0000}"/>
    <cellStyle name="Normal 3 2 6 2 2" xfId="393" xr:uid="{00000000-0005-0000-0000-0000080B0000}"/>
    <cellStyle name="Normal 3 2 6 2 2 2" xfId="834" xr:uid="{00000000-0005-0000-0000-0000090B0000}"/>
    <cellStyle name="Normal 3 2 6 2 2 2 2" xfId="3482" xr:uid="{00000000-0005-0000-0000-00000A0B0000}"/>
    <cellStyle name="Normal 3 2 6 2 2 2 2 2" xfId="5226" xr:uid="{00000000-0005-0000-0000-00000B0B0000}"/>
    <cellStyle name="Normal 3 2 6 2 2 2 2 2 2" xfId="11403" xr:uid="{1B0D9DE5-9B36-45A4-B3DA-BDE669ED0224}"/>
    <cellStyle name="Normal 3 2 6 2 2 2 2 3" xfId="9659" xr:uid="{8302B4CB-309E-4493-BC7C-FE0DC1347B96}"/>
    <cellStyle name="Normal 3 2 6 2 2 2 3" xfId="2600" xr:uid="{00000000-0005-0000-0000-00000C0B0000}"/>
    <cellStyle name="Normal 3 2 6 2 2 2 3 2" xfId="5227" xr:uid="{00000000-0005-0000-0000-00000D0B0000}"/>
    <cellStyle name="Normal 3 2 6 2 2 2 3 2 2" xfId="11404" xr:uid="{2549E00A-9F8F-4287-B2A2-61A2C53CA058}"/>
    <cellStyle name="Normal 3 2 6 2 2 2 3 3" xfId="8777" xr:uid="{72E57347-8D6D-4CF2-910A-D15FFDBA5B33}"/>
    <cellStyle name="Normal 3 2 6 2 2 2 4" xfId="4364" xr:uid="{00000000-0005-0000-0000-00000E0B0000}"/>
    <cellStyle name="Normal 3 2 6 2 2 2 4 2" xfId="10541" xr:uid="{D5F4E42C-20A0-4636-869D-DB06DB52F5B1}"/>
    <cellStyle name="Normal 3 2 6 2 2 2 5" xfId="1717" xr:uid="{00000000-0005-0000-0000-00000F0B0000}"/>
    <cellStyle name="Normal 3 2 6 2 2 2 5 2" xfId="7894" xr:uid="{B4D6F56E-1ECA-49EF-86B6-6670808D19FC}"/>
    <cellStyle name="Normal 3 2 6 2 2 2 6" xfId="7011" xr:uid="{BF0968D6-3BE9-4632-9344-66A3CB2854B8}"/>
    <cellStyle name="Normal 3 2 6 2 2 3" xfId="3041" xr:uid="{00000000-0005-0000-0000-0000100B0000}"/>
    <cellStyle name="Normal 3 2 6 2 2 3 2" xfId="5228" xr:uid="{00000000-0005-0000-0000-0000110B0000}"/>
    <cellStyle name="Normal 3 2 6 2 2 3 2 2" xfId="11405" xr:uid="{1CA8CA9F-FBE8-4FED-97C5-906408C2B69D}"/>
    <cellStyle name="Normal 3 2 6 2 2 3 3" xfId="9218" xr:uid="{B6427C92-A7C8-417A-A2F3-0172806BB7C3}"/>
    <cellStyle name="Normal 3 2 6 2 2 4" xfId="2159" xr:uid="{00000000-0005-0000-0000-0000120B0000}"/>
    <cellStyle name="Normal 3 2 6 2 2 4 2" xfId="5229" xr:uid="{00000000-0005-0000-0000-0000130B0000}"/>
    <cellStyle name="Normal 3 2 6 2 2 4 2 2" xfId="11406" xr:uid="{4924D602-A9E0-4489-A47C-DF88B6475670}"/>
    <cellStyle name="Normal 3 2 6 2 2 4 3" xfId="8336" xr:uid="{6C5CEA29-436D-4878-BB7A-1B8947207B34}"/>
    <cellStyle name="Normal 3 2 6 2 2 5" xfId="3923" xr:uid="{00000000-0005-0000-0000-0000140B0000}"/>
    <cellStyle name="Normal 3 2 6 2 2 5 2" xfId="10100" xr:uid="{80FE63A6-E430-484F-BA3B-0CB32957CA8B}"/>
    <cellStyle name="Normal 3 2 6 2 2 6" xfId="1276" xr:uid="{00000000-0005-0000-0000-0000150B0000}"/>
    <cellStyle name="Normal 3 2 6 2 2 6 2" xfId="7453" xr:uid="{6857ACF6-05FC-4AF7-8541-4948D0E7D779}"/>
    <cellStyle name="Normal 3 2 6 2 2 7" xfId="6570" xr:uid="{45C8BFDA-33C8-4036-8B48-79127FD28BBA}"/>
    <cellStyle name="Normal 3 2 6 2 3" xfId="614" xr:uid="{00000000-0005-0000-0000-0000160B0000}"/>
    <cellStyle name="Normal 3 2 6 2 3 2" xfId="3262" xr:uid="{00000000-0005-0000-0000-0000170B0000}"/>
    <cellStyle name="Normal 3 2 6 2 3 2 2" xfId="5230" xr:uid="{00000000-0005-0000-0000-0000180B0000}"/>
    <cellStyle name="Normal 3 2 6 2 3 2 2 2" xfId="11407" xr:uid="{8AD726C4-7DD3-479E-8A9D-FCC9ECB2025B}"/>
    <cellStyle name="Normal 3 2 6 2 3 2 3" xfId="9439" xr:uid="{C671EDDC-91FD-401E-92C5-2E3510380F0C}"/>
    <cellStyle name="Normal 3 2 6 2 3 3" xfId="2380" xr:uid="{00000000-0005-0000-0000-0000190B0000}"/>
    <cellStyle name="Normal 3 2 6 2 3 3 2" xfId="5231" xr:uid="{00000000-0005-0000-0000-00001A0B0000}"/>
    <cellStyle name="Normal 3 2 6 2 3 3 2 2" xfId="11408" xr:uid="{FE46A002-C7D0-4BEA-BEFD-3AD79F7B49E2}"/>
    <cellStyle name="Normal 3 2 6 2 3 3 3" xfId="8557" xr:uid="{7F064017-5711-4D7B-B051-37BE560A5449}"/>
    <cellStyle name="Normal 3 2 6 2 3 4" xfId="4144" xr:uid="{00000000-0005-0000-0000-00001B0B0000}"/>
    <cellStyle name="Normal 3 2 6 2 3 4 2" xfId="10321" xr:uid="{30196146-F070-4BB3-99F6-5771C05F3A25}"/>
    <cellStyle name="Normal 3 2 6 2 3 5" xfId="1497" xr:uid="{00000000-0005-0000-0000-00001C0B0000}"/>
    <cellStyle name="Normal 3 2 6 2 3 5 2" xfId="7674" xr:uid="{3DF84CA9-62F9-4D26-A6DD-EC0AC885822D}"/>
    <cellStyle name="Normal 3 2 6 2 3 6" xfId="6791" xr:uid="{6786896F-631D-49F1-867E-CFB264A975AF}"/>
    <cellStyle name="Normal 3 2 6 2 4" xfId="2821" xr:uid="{00000000-0005-0000-0000-00001D0B0000}"/>
    <cellStyle name="Normal 3 2 6 2 4 2" xfId="5232" xr:uid="{00000000-0005-0000-0000-00001E0B0000}"/>
    <cellStyle name="Normal 3 2 6 2 4 2 2" xfId="11409" xr:uid="{0E294F18-831C-4CEF-B4F6-184D669C6FF8}"/>
    <cellStyle name="Normal 3 2 6 2 4 3" xfId="8998" xr:uid="{5BA797FC-6F9D-492D-AB4F-F7723C19DF80}"/>
    <cellStyle name="Normal 3 2 6 2 5" xfId="1939" xr:uid="{00000000-0005-0000-0000-00001F0B0000}"/>
    <cellStyle name="Normal 3 2 6 2 5 2" xfId="5233" xr:uid="{00000000-0005-0000-0000-0000200B0000}"/>
    <cellStyle name="Normal 3 2 6 2 5 2 2" xfId="11410" xr:uid="{A0875931-BB44-4525-938B-1590534B9668}"/>
    <cellStyle name="Normal 3 2 6 2 5 3" xfId="8116" xr:uid="{61A25A7E-98A0-4ACE-8B4A-22E527464FDE}"/>
    <cellStyle name="Normal 3 2 6 2 6" xfId="3703" xr:uid="{00000000-0005-0000-0000-0000210B0000}"/>
    <cellStyle name="Normal 3 2 6 2 6 2" xfId="9880" xr:uid="{EEF4D6C2-A3B1-430E-9EE1-D9B51350D26B}"/>
    <cellStyle name="Normal 3 2 6 2 7" xfId="1056" xr:uid="{00000000-0005-0000-0000-0000220B0000}"/>
    <cellStyle name="Normal 3 2 6 2 7 2" xfId="7233" xr:uid="{C2A6D8F4-0365-4073-A764-9C85726E5663}"/>
    <cellStyle name="Normal 3 2 6 2 8" xfId="6350" xr:uid="{D94CB5CD-E4CF-4445-9C0E-1F386596329A}"/>
    <cellStyle name="Normal 3 2 6 3" xfId="283" xr:uid="{00000000-0005-0000-0000-0000230B0000}"/>
    <cellStyle name="Normal 3 2 6 3 2" xfId="724" xr:uid="{00000000-0005-0000-0000-0000240B0000}"/>
    <cellStyle name="Normal 3 2 6 3 2 2" xfId="3372" xr:uid="{00000000-0005-0000-0000-0000250B0000}"/>
    <cellStyle name="Normal 3 2 6 3 2 2 2" xfId="5234" xr:uid="{00000000-0005-0000-0000-0000260B0000}"/>
    <cellStyle name="Normal 3 2 6 3 2 2 2 2" xfId="11411" xr:uid="{B9960F42-713F-43EC-AAC7-DF4C3EDCA9DF}"/>
    <cellStyle name="Normal 3 2 6 3 2 2 3" xfId="9549" xr:uid="{AAE914F2-A04C-4727-B69A-A3C08D1972E5}"/>
    <cellStyle name="Normal 3 2 6 3 2 3" xfId="2490" xr:uid="{00000000-0005-0000-0000-0000270B0000}"/>
    <cellStyle name="Normal 3 2 6 3 2 3 2" xfId="5235" xr:uid="{00000000-0005-0000-0000-0000280B0000}"/>
    <cellStyle name="Normal 3 2 6 3 2 3 2 2" xfId="11412" xr:uid="{FDB4D399-264A-4265-BB84-4CD58743D63B}"/>
    <cellStyle name="Normal 3 2 6 3 2 3 3" xfId="8667" xr:uid="{417F3C6C-AF9C-4A4E-820B-EE18E5A5D849}"/>
    <cellStyle name="Normal 3 2 6 3 2 4" xfId="4254" xr:uid="{00000000-0005-0000-0000-0000290B0000}"/>
    <cellStyle name="Normal 3 2 6 3 2 4 2" xfId="10431" xr:uid="{8984B622-1CFC-4349-B81B-5B2B7AB05208}"/>
    <cellStyle name="Normal 3 2 6 3 2 5" xfId="1607" xr:uid="{00000000-0005-0000-0000-00002A0B0000}"/>
    <cellStyle name="Normal 3 2 6 3 2 5 2" xfId="7784" xr:uid="{6743BC44-41CF-418E-B98A-D7A9A63C6690}"/>
    <cellStyle name="Normal 3 2 6 3 2 6" xfId="6901" xr:uid="{0E17D3D4-040B-48CA-A330-0A210B962803}"/>
    <cellStyle name="Normal 3 2 6 3 3" xfId="2931" xr:uid="{00000000-0005-0000-0000-00002B0B0000}"/>
    <cellStyle name="Normal 3 2 6 3 3 2" xfId="5236" xr:uid="{00000000-0005-0000-0000-00002C0B0000}"/>
    <cellStyle name="Normal 3 2 6 3 3 2 2" xfId="11413" xr:uid="{DFB524AD-4B5E-4CCC-8622-DC2D44E7F3A1}"/>
    <cellStyle name="Normal 3 2 6 3 3 3" xfId="9108" xr:uid="{47BBF7DA-40FF-4ECB-9BB0-BBCBCC04E86B}"/>
    <cellStyle name="Normal 3 2 6 3 4" xfId="2049" xr:uid="{00000000-0005-0000-0000-00002D0B0000}"/>
    <cellStyle name="Normal 3 2 6 3 4 2" xfId="5237" xr:uid="{00000000-0005-0000-0000-00002E0B0000}"/>
    <cellStyle name="Normal 3 2 6 3 4 2 2" xfId="11414" xr:uid="{15BA9239-EEAF-48DD-8740-38500D9DD23D}"/>
    <cellStyle name="Normal 3 2 6 3 4 3" xfId="8226" xr:uid="{47CC236A-C727-4DEA-897D-325195BBDA8C}"/>
    <cellStyle name="Normal 3 2 6 3 5" xfId="3813" xr:uid="{00000000-0005-0000-0000-00002F0B0000}"/>
    <cellStyle name="Normal 3 2 6 3 5 2" xfId="9990" xr:uid="{42F357E4-0AE2-4184-9886-CB62FF0056AC}"/>
    <cellStyle name="Normal 3 2 6 3 6" xfId="1166" xr:uid="{00000000-0005-0000-0000-0000300B0000}"/>
    <cellStyle name="Normal 3 2 6 3 6 2" xfId="7343" xr:uid="{C6D61C69-B631-4ED1-B0DD-F36195EE8E81}"/>
    <cellStyle name="Normal 3 2 6 3 7" xfId="6460" xr:uid="{1CCD3459-0ABF-4870-A808-FCF6B00FFC88}"/>
    <cellStyle name="Normal 3 2 6 4" xfId="504" xr:uid="{00000000-0005-0000-0000-0000310B0000}"/>
    <cellStyle name="Normal 3 2 6 4 2" xfId="3152" xr:uid="{00000000-0005-0000-0000-0000320B0000}"/>
    <cellStyle name="Normal 3 2 6 4 2 2" xfId="5238" xr:uid="{00000000-0005-0000-0000-0000330B0000}"/>
    <cellStyle name="Normal 3 2 6 4 2 2 2" xfId="11415" xr:uid="{7690233C-DB92-47E4-92BE-5C3808D8A734}"/>
    <cellStyle name="Normal 3 2 6 4 2 3" xfId="9329" xr:uid="{6316BFFB-30D7-484F-AFA2-A255183CCE71}"/>
    <cellStyle name="Normal 3 2 6 4 3" xfId="2270" xr:uid="{00000000-0005-0000-0000-0000340B0000}"/>
    <cellStyle name="Normal 3 2 6 4 3 2" xfId="5239" xr:uid="{00000000-0005-0000-0000-0000350B0000}"/>
    <cellStyle name="Normal 3 2 6 4 3 2 2" xfId="11416" xr:uid="{E318AACC-781B-475D-8147-690E7D21855A}"/>
    <cellStyle name="Normal 3 2 6 4 3 3" xfId="8447" xr:uid="{9CBAA4B2-F240-4546-8077-2F54F0DB838A}"/>
    <cellStyle name="Normal 3 2 6 4 4" xfId="4034" xr:uid="{00000000-0005-0000-0000-0000360B0000}"/>
    <cellStyle name="Normal 3 2 6 4 4 2" xfId="10211" xr:uid="{255454F6-304C-48B0-AA75-E139DF31748D}"/>
    <cellStyle name="Normal 3 2 6 4 5" xfId="1387" xr:uid="{00000000-0005-0000-0000-0000370B0000}"/>
    <cellStyle name="Normal 3 2 6 4 5 2" xfId="7564" xr:uid="{31D345F6-D704-47EB-BE5D-2C020CA190AA}"/>
    <cellStyle name="Normal 3 2 6 4 6" xfId="6681" xr:uid="{FF5595D2-6DD4-4DA8-9EB5-6F9F848B5180}"/>
    <cellStyle name="Normal 3 2 6 5" xfId="2711" xr:uid="{00000000-0005-0000-0000-0000380B0000}"/>
    <cellStyle name="Normal 3 2 6 5 2" xfId="5240" xr:uid="{00000000-0005-0000-0000-0000390B0000}"/>
    <cellStyle name="Normal 3 2 6 5 2 2" xfId="11417" xr:uid="{6CCF91B7-6AE5-42E3-A836-1B365C20557A}"/>
    <cellStyle name="Normal 3 2 6 5 3" xfId="8888" xr:uid="{97FD4D1F-F858-4E62-B36F-7F7545A6F2A9}"/>
    <cellStyle name="Normal 3 2 6 6" xfId="1829" xr:uid="{00000000-0005-0000-0000-00003A0B0000}"/>
    <cellStyle name="Normal 3 2 6 6 2" xfId="5241" xr:uid="{00000000-0005-0000-0000-00003B0B0000}"/>
    <cellStyle name="Normal 3 2 6 6 2 2" xfId="11418" xr:uid="{313A75C0-9BB6-4A10-84A8-1E94A452DD77}"/>
    <cellStyle name="Normal 3 2 6 6 3" xfId="8006" xr:uid="{6139AAE0-FAB1-46D9-9CB3-40EDCC1F16A9}"/>
    <cellStyle name="Normal 3 2 6 7" xfId="3593" xr:uid="{00000000-0005-0000-0000-00003C0B0000}"/>
    <cellStyle name="Normal 3 2 6 7 2" xfId="9770" xr:uid="{61BAF333-2E9B-42F7-9AD6-5B167B795891}"/>
    <cellStyle name="Normal 3 2 6 8" xfId="946" xr:uid="{00000000-0005-0000-0000-00003D0B0000}"/>
    <cellStyle name="Normal 3 2 6 8 2" xfId="7123" xr:uid="{04AEAA5D-3ADF-46F5-8DB7-15BBDEC9AB72}"/>
    <cellStyle name="Normal 3 2 6 9" xfId="6240" xr:uid="{60EF12A7-2653-4C4E-B0DF-DE8AD19C7128}"/>
    <cellStyle name="Normal 3 2 7" xfId="79" xr:uid="{00000000-0005-0000-0000-00003E0B0000}"/>
    <cellStyle name="Normal 3 2 7 2" xfId="189" xr:uid="{00000000-0005-0000-0000-00003F0B0000}"/>
    <cellStyle name="Normal 3 2 7 2 2" xfId="409" xr:uid="{00000000-0005-0000-0000-0000400B0000}"/>
    <cellStyle name="Normal 3 2 7 2 2 2" xfId="850" xr:uid="{00000000-0005-0000-0000-0000410B0000}"/>
    <cellStyle name="Normal 3 2 7 2 2 2 2" xfId="3498" xr:uid="{00000000-0005-0000-0000-0000420B0000}"/>
    <cellStyle name="Normal 3 2 7 2 2 2 2 2" xfId="5242" xr:uid="{00000000-0005-0000-0000-0000430B0000}"/>
    <cellStyle name="Normal 3 2 7 2 2 2 2 2 2" xfId="11419" xr:uid="{57EEF535-4FE7-4DA4-A32B-0F31B299360C}"/>
    <cellStyle name="Normal 3 2 7 2 2 2 2 3" xfId="9675" xr:uid="{1A37FD62-6C46-498B-ACCF-BCF9AEAD9A17}"/>
    <cellStyle name="Normal 3 2 7 2 2 2 3" xfId="2616" xr:uid="{00000000-0005-0000-0000-0000440B0000}"/>
    <cellStyle name="Normal 3 2 7 2 2 2 3 2" xfId="5243" xr:uid="{00000000-0005-0000-0000-0000450B0000}"/>
    <cellStyle name="Normal 3 2 7 2 2 2 3 2 2" xfId="11420" xr:uid="{48F2F0CC-3483-4011-9779-01D7AD593802}"/>
    <cellStyle name="Normal 3 2 7 2 2 2 3 3" xfId="8793" xr:uid="{BEE53C37-F55F-488E-B680-7D5F73622387}"/>
    <cellStyle name="Normal 3 2 7 2 2 2 4" xfId="4380" xr:uid="{00000000-0005-0000-0000-0000460B0000}"/>
    <cellStyle name="Normal 3 2 7 2 2 2 4 2" xfId="10557" xr:uid="{204DC75D-DCEC-43C7-B282-6E49747F5920}"/>
    <cellStyle name="Normal 3 2 7 2 2 2 5" xfId="1733" xr:uid="{00000000-0005-0000-0000-0000470B0000}"/>
    <cellStyle name="Normal 3 2 7 2 2 2 5 2" xfId="7910" xr:uid="{CB0979CA-7C7F-4CF5-93A7-331442E87D9C}"/>
    <cellStyle name="Normal 3 2 7 2 2 2 6" xfId="7027" xr:uid="{9C76BDD8-FED9-4DEE-AF12-EEE8C2DF39C5}"/>
    <cellStyle name="Normal 3 2 7 2 2 3" xfId="3057" xr:uid="{00000000-0005-0000-0000-0000480B0000}"/>
    <cellStyle name="Normal 3 2 7 2 2 3 2" xfId="5244" xr:uid="{00000000-0005-0000-0000-0000490B0000}"/>
    <cellStyle name="Normal 3 2 7 2 2 3 2 2" xfId="11421" xr:uid="{5D805167-60B6-4BE9-9601-0FFD8BF52746}"/>
    <cellStyle name="Normal 3 2 7 2 2 3 3" xfId="9234" xr:uid="{716F3503-7EDF-4E33-B335-21A2835C391B}"/>
    <cellStyle name="Normal 3 2 7 2 2 4" xfId="2175" xr:uid="{00000000-0005-0000-0000-00004A0B0000}"/>
    <cellStyle name="Normal 3 2 7 2 2 4 2" xfId="5245" xr:uid="{00000000-0005-0000-0000-00004B0B0000}"/>
    <cellStyle name="Normal 3 2 7 2 2 4 2 2" xfId="11422" xr:uid="{63444AF8-15A0-415A-A805-9A632084B936}"/>
    <cellStyle name="Normal 3 2 7 2 2 4 3" xfId="8352" xr:uid="{15102C2C-E1B3-4F71-854E-A83386D933B7}"/>
    <cellStyle name="Normal 3 2 7 2 2 5" xfId="3939" xr:uid="{00000000-0005-0000-0000-00004C0B0000}"/>
    <cellStyle name="Normal 3 2 7 2 2 5 2" xfId="10116" xr:uid="{1D9D7009-B7DE-40E1-BFB5-58FBF2A5F8A6}"/>
    <cellStyle name="Normal 3 2 7 2 2 6" xfId="1292" xr:uid="{00000000-0005-0000-0000-00004D0B0000}"/>
    <cellStyle name="Normal 3 2 7 2 2 6 2" xfId="7469" xr:uid="{B6D4EB71-A0F9-4CE1-B167-5F06882D6E45}"/>
    <cellStyle name="Normal 3 2 7 2 2 7" xfId="6586" xr:uid="{A4EB40DA-F69F-4F7F-8B50-17FBD184B5E9}"/>
    <cellStyle name="Normal 3 2 7 2 3" xfId="630" xr:uid="{00000000-0005-0000-0000-00004E0B0000}"/>
    <cellStyle name="Normal 3 2 7 2 3 2" xfId="3278" xr:uid="{00000000-0005-0000-0000-00004F0B0000}"/>
    <cellStyle name="Normal 3 2 7 2 3 2 2" xfId="5246" xr:uid="{00000000-0005-0000-0000-0000500B0000}"/>
    <cellStyle name="Normal 3 2 7 2 3 2 2 2" xfId="11423" xr:uid="{AC1E6664-E2BB-416E-8C52-7B227A28C79C}"/>
    <cellStyle name="Normal 3 2 7 2 3 2 3" xfId="9455" xr:uid="{6C4848ED-5EC7-4168-93B8-36166678E976}"/>
    <cellStyle name="Normal 3 2 7 2 3 3" xfId="2396" xr:uid="{00000000-0005-0000-0000-0000510B0000}"/>
    <cellStyle name="Normal 3 2 7 2 3 3 2" xfId="5247" xr:uid="{00000000-0005-0000-0000-0000520B0000}"/>
    <cellStyle name="Normal 3 2 7 2 3 3 2 2" xfId="11424" xr:uid="{618430BA-F530-4294-9043-4CDBC4F545E0}"/>
    <cellStyle name="Normal 3 2 7 2 3 3 3" xfId="8573" xr:uid="{B7EFB6BF-635D-4B7F-9A39-1D41A6715AA9}"/>
    <cellStyle name="Normal 3 2 7 2 3 4" xfId="4160" xr:uid="{00000000-0005-0000-0000-0000530B0000}"/>
    <cellStyle name="Normal 3 2 7 2 3 4 2" xfId="10337" xr:uid="{20E7CD49-1CB3-4F17-A046-07F9B4B63D43}"/>
    <cellStyle name="Normal 3 2 7 2 3 5" xfId="1513" xr:uid="{00000000-0005-0000-0000-0000540B0000}"/>
    <cellStyle name="Normal 3 2 7 2 3 5 2" xfId="7690" xr:uid="{8DFA7C3D-D420-4378-921C-570229DA8F83}"/>
    <cellStyle name="Normal 3 2 7 2 3 6" xfId="6807" xr:uid="{46CC9578-EA05-43CB-975D-F1FEAC640A40}"/>
    <cellStyle name="Normal 3 2 7 2 4" xfId="2837" xr:uid="{00000000-0005-0000-0000-0000550B0000}"/>
    <cellStyle name="Normal 3 2 7 2 4 2" xfId="5248" xr:uid="{00000000-0005-0000-0000-0000560B0000}"/>
    <cellStyle name="Normal 3 2 7 2 4 2 2" xfId="11425" xr:uid="{2FF29A43-36E4-4340-BAA2-DBF58D29D233}"/>
    <cellStyle name="Normal 3 2 7 2 4 3" xfId="9014" xr:uid="{2312EA3D-879E-4CFB-BCDF-ABA50576E410}"/>
    <cellStyle name="Normal 3 2 7 2 5" xfId="1955" xr:uid="{00000000-0005-0000-0000-0000570B0000}"/>
    <cellStyle name="Normal 3 2 7 2 5 2" xfId="5249" xr:uid="{00000000-0005-0000-0000-0000580B0000}"/>
    <cellStyle name="Normal 3 2 7 2 5 2 2" xfId="11426" xr:uid="{A0D7E042-364F-4C3A-972A-4D51F1281F57}"/>
    <cellStyle name="Normal 3 2 7 2 5 3" xfId="8132" xr:uid="{4796B161-2BB3-4BF4-B454-5451658278F4}"/>
    <cellStyle name="Normal 3 2 7 2 6" xfId="3719" xr:uid="{00000000-0005-0000-0000-0000590B0000}"/>
    <cellStyle name="Normal 3 2 7 2 6 2" xfId="9896" xr:uid="{D89798BE-26B0-4211-AC97-36809CE43115}"/>
    <cellStyle name="Normal 3 2 7 2 7" xfId="1072" xr:uid="{00000000-0005-0000-0000-00005A0B0000}"/>
    <cellStyle name="Normal 3 2 7 2 7 2" xfId="7249" xr:uid="{FD8907C3-A0CA-42DC-A761-B3AF572C407C}"/>
    <cellStyle name="Normal 3 2 7 2 8" xfId="6366" xr:uid="{AADB15F6-92FF-40DE-93AB-D189D08158CF}"/>
    <cellStyle name="Normal 3 2 7 3" xfId="299" xr:uid="{00000000-0005-0000-0000-00005B0B0000}"/>
    <cellStyle name="Normal 3 2 7 3 2" xfId="740" xr:uid="{00000000-0005-0000-0000-00005C0B0000}"/>
    <cellStyle name="Normal 3 2 7 3 2 2" xfId="3388" xr:uid="{00000000-0005-0000-0000-00005D0B0000}"/>
    <cellStyle name="Normal 3 2 7 3 2 2 2" xfId="5250" xr:uid="{00000000-0005-0000-0000-00005E0B0000}"/>
    <cellStyle name="Normal 3 2 7 3 2 2 2 2" xfId="11427" xr:uid="{6DC07BB1-3686-47FE-B2C0-024A6A831EDB}"/>
    <cellStyle name="Normal 3 2 7 3 2 2 3" xfId="9565" xr:uid="{FCC8D458-FE4E-444D-B598-8B686BF8CF7D}"/>
    <cellStyle name="Normal 3 2 7 3 2 3" xfId="2506" xr:uid="{00000000-0005-0000-0000-00005F0B0000}"/>
    <cellStyle name="Normal 3 2 7 3 2 3 2" xfId="5251" xr:uid="{00000000-0005-0000-0000-0000600B0000}"/>
    <cellStyle name="Normal 3 2 7 3 2 3 2 2" xfId="11428" xr:uid="{D116E4DC-57A5-4AE5-BA2E-7F91191F9DE6}"/>
    <cellStyle name="Normal 3 2 7 3 2 3 3" xfId="8683" xr:uid="{FBDD3670-B92A-43CB-AE16-8E75E3FF6408}"/>
    <cellStyle name="Normal 3 2 7 3 2 4" xfId="4270" xr:uid="{00000000-0005-0000-0000-0000610B0000}"/>
    <cellStyle name="Normal 3 2 7 3 2 4 2" xfId="10447" xr:uid="{33599733-A177-4CF0-9624-C2D289E5CD85}"/>
    <cellStyle name="Normal 3 2 7 3 2 5" xfId="1623" xr:uid="{00000000-0005-0000-0000-0000620B0000}"/>
    <cellStyle name="Normal 3 2 7 3 2 5 2" xfId="7800" xr:uid="{BE8C0438-579D-4F12-964D-DB1D9B28A377}"/>
    <cellStyle name="Normal 3 2 7 3 2 6" xfId="6917" xr:uid="{9E3BEFDC-4A08-4C44-B7CE-B73936A5D04C}"/>
    <cellStyle name="Normal 3 2 7 3 3" xfId="2947" xr:uid="{00000000-0005-0000-0000-0000630B0000}"/>
    <cellStyle name="Normal 3 2 7 3 3 2" xfId="5252" xr:uid="{00000000-0005-0000-0000-0000640B0000}"/>
    <cellStyle name="Normal 3 2 7 3 3 2 2" xfId="11429" xr:uid="{0AB82988-F386-4BB3-9799-5962FED655B4}"/>
    <cellStyle name="Normal 3 2 7 3 3 3" xfId="9124" xr:uid="{15A4284E-69B4-4F6A-96D4-463739F789DC}"/>
    <cellStyle name="Normal 3 2 7 3 4" xfId="2065" xr:uid="{00000000-0005-0000-0000-0000650B0000}"/>
    <cellStyle name="Normal 3 2 7 3 4 2" xfId="5253" xr:uid="{00000000-0005-0000-0000-0000660B0000}"/>
    <cellStyle name="Normal 3 2 7 3 4 2 2" xfId="11430" xr:uid="{0A1B373B-9704-4021-8FF6-CD645B255751}"/>
    <cellStyle name="Normal 3 2 7 3 4 3" xfId="8242" xr:uid="{1CCFE5AE-BECF-48A1-957F-88EC90D1C41D}"/>
    <cellStyle name="Normal 3 2 7 3 5" xfId="3829" xr:uid="{00000000-0005-0000-0000-0000670B0000}"/>
    <cellStyle name="Normal 3 2 7 3 5 2" xfId="10006" xr:uid="{0A7554C0-C493-4C58-AC33-B7AA56BE3084}"/>
    <cellStyle name="Normal 3 2 7 3 6" xfId="1182" xr:uid="{00000000-0005-0000-0000-0000680B0000}"/>
    <cellStyle name="Normal 3 2 7 3 6 2" xfId="7359" xr:uid="{5BC528F3-7A39-4B94-919B-D0B733E4324F}"/>
    <cellStyle name="Normal 3 2 7 3 7" xfId="6476" xr:uid="{74DE2CEB-71E7-4DE6-AF4A-B35B75D45E34}"/>
    <cellStyle name="Normal 3 2 7 4" xfId="520" xr:uid="{00000000-0005-0000-0000-0000690B0000}"/>
    <cellStyle name="Normal 3 2 7 4 2" xfId="3168" xr:uid="{00000000-0005-0000-0000-00006A0B0000}"/>
    <cellStyle name="Normal 3 2 7 4 2 2" xfId="5254" xr:uid="{00000000-0005-0000-0000-00006B0B0000}"/>
    <cellStyle name="Normal 3 2 7 4 2 2 2" xfId="11431" xr:uid="{7C72BA8C-269D-4D91-80E4-ED3F0C656AEC}"/>
    <cellStyle name="Normal 3 2 7 4 2 3" xfId="9345" xr:uid="{B0F6244A-0914-4811-B817-B021515FFE24}"/>
    <cellStyle name="Normal 3 2 7 4 3" xfId="2286" xr:uid="{00000000-0005-0000-0000-00006C0B0000}"/>
    <cellStyle name="Normal 3 2 7 4 3 2" xfId="5255" xr:uid="{00000000-0005-0000-0000-00006D0B0000}"/>
    <cellStyle name="Normal 3 2 7 4 3 2 2" xfId="11432" xr:uid="{BD3AD551-817C-4ADE-B5C0-130DBCC5E4FC}"/>
    <cellStyle name="Normal 3 2 7 4 3 3" xfId="8463" xr:uid="{63D0471F-6D68-413F-9D02-6B1197F5A8F0}"/>
    <cellStyle name="Normal 3 2 7 4 4" xfId="4050" xr:uid="{00000000-0005-0000-0000-00006E0B0000}"/>
    <cellStyle name="Normal 3 2 7 4 4 2" xfId="10227" xr:uid="{714E1DCC-9E8A-4040-B82B-8E8047C7A8DC}"/>
    <cellStyle name="Normal 3 2 7 4 5" xfId="1403" xr:uid="{00000000-0005-0000-0000-00006F0B0000}"/>
    <cellStyle name="Normal 3 2 7 4 5 2" xfId="7580" xr:uid="{64BB307A-6259-404D-88C0-1698FCA06DA3}"/>
    <cellStyle name="Normal 3 2 7 4 6" xfId="6697" xr:uid="{B1329B6F-8616-4ADE-AF59-4C31ECEF0D3C}"/>
    <cellStyle name="Normal 3 2 7 5" xfId="2727" xr:uid="{00000000-0005-0000-0000-0000700B0000}"/>
    <cellStyle name="Normal 3 2 7 5 2" xfId="5256" xr:uid="{00000000-0005-0000-0000-0000710B0000}"/>
    <cellStyle name="Normal 3 2 7 5 2 2" xfId="11433" xr:uid="{12AA0261-4D8D-47B8-B8C7-46C24C271855}"/>
    <cellStyle name="Normal 3 2 7 5 3" xfId="8904" xr:uid="{F1F4F4DF-8B85-416C-BB2B-F84A67E9CEA3}"/>
    <cellStyle name="Normal 3 2 7 6" xfId="1845" xr:uid="{00000000-0005-0000-0000-0000720B0000}"/>
    <cellStyle name="Normal 3 2 7 6 2" xfId="5257" xr:uid="{00000000-0005-0000-0000-0000730B0000}"/>
    <cellStyle name="Normal 3 2 7 6 2 2" xfId="11434" xr:uid="{D5FE3A03-A40E-4CF4-BF5B-58EBC66FE5C4}"/>
    <cellStyle name="Normal 3 2 7 6 3" xfId="8022" xr:uid="{CCE7C53A-9D0D-4533-A658-99374915FA96}"/>
    <cellStyle name="Normal 3 2 7 7" xfId="3609" xr:uid="{00000000-0005-0000-0000-0000740B0000}"/>
    <cellStyle name="Normal 3 2 7 7 2" xfId="9786" xr:uid="{8BA43089-1393-4268-A427-AAD89ADC3C3D}"/>
    <cellStyle name="Normal 3 2 7 8" xfId="962" xr:uid="{00000000-0005-0000-0000-0000750B0000}"/>
    <cellStyle name="Normal 3 2 7 8 2" xfId="7139" xr:uid="{AA9D9978-F45E-4EF8-B50F-436D957A4A64}"/>
    <cellStyle name="Normal 3 2 7 9" xfId="6256" xr:uid="{04C07A4D-F80F-4194-8F74-7DC26FE383C5}"/>
    <cellStyle name="Normal 3 2 8" xfId="123" xr:uid="{00000000-0005-0000-0000-0000760B0000}"/>
    <cellStyle name="Normal 3 2 8 2" xfId="343" xr:uid="{00000000-0005-0000-0000-0000770B0000}"/>
    <cellStyle name="Normal 3 2 8 2 2" xfId="784" xr:uid="{00000000-0005-0000-0000-0000780B0000}"/>
    <cellStyle name="Normal 3 2 8 2 2 2" xfId="3432" xr:uid="{00000000-0005-0000-0000-0000790B0000}"/>
    <cellStyle name="Normal 3 2 8 2 2 2 2" xfId="5258" xr:uid="{00000000-0005-0000-0000-00007A0B0000}"/>
    <cellStyle name="Normal 3 2 8 2 2 2 2 2" xfId="11435" xr:uid="{6DA803B9-8BCF-4716-9819-BFE590E9C947}"/>
    <cellStyle name="Normal 3 2 8 2 2 2 3" xfId="9609" xr:uid="{DB03DDFF-9FB9-49F1-B521-3C8CF7A4AA2F}"/>
    <cellStyle name="Normal 3 2 8 2 2 3" xfId="2550" xr:uid="{00000000-0005-0000-0000-00007B0B0000}"/>
    <cellStyle name="Normal 3 2 8 2 2 3 2" xfId="5259" xr:uid="{00000000-0005-0000-0000-00007C0B0000}"/>
    <cellStyle name="Normal 3 2 8 2 2 3 2 2" xfId="11436" xr:uid="{69EA5853-EEA2-4EFA-98BC-14F01F4459AF}"/>
    <cellStyle name="Normal 3 2 8 2 2 3 3" xfId="8727" xr:uid="{CD87FB18-023E-4A4A-A2C5-727F92A61557}"/>
    <cellStyle name="Normal 3 2 8 2 2 4" xfId="4314" xr:uid="{00000000-0005-0000-0000-00007D0B0000}"/>
    <cellStyle name="Normal 3 2 8 2 2 4 2" xfId="10491" xr:uid="{AF00FF08-CAF3-475D-AE3C-E4D4EB685734}"/>
    <cellStyle name="Normal 3 2 8 2 2 5" xfId="1667" xr:uid="{00000000-0005-0000-0000-00007E0B0000}"/>
    <cellStyle name="Normal 3 2 8 2 2 5 2" xfId="7844" xr:uid="{B7E14E11-D495-49A0-9BD6-D7E46AF5D127}"/>
    <cellStyle name="Normal 3 2 8 2 2 6" xfId="6961" xr:uid="{B9D533B6-2E4F-4B68-9F34-3B38FFD315F2}"/>
    <cellStyle name="Normal 3 2 8 2 3" xfId="2991" xr:uid="{00000000-0005-0000-0000-00007F0B0000}"/>
    <cellStyle name="Normal 3 2 8 2 3 2" xfId="5260" xr:uid="{00000000-0005-0000-0000-0000800B0000}"/>
    <cellStyle name="Normal 3 2 8 2 3 2 2" xfId="11437" xr:uid="{F6405E65-F0B5-4DF8-A556-71C8B5127F42}"/>
    <cellStyle name="Normal 3 2 8 2 3 3" xfId="9168" xr:uid="{C0E69F80-2DF3-47B1-8E32-A4D56927D338}"/>
    <cellStyle name="Normal 3 2 8 2 4" xfId="2109" xr:uid="{00000000-0005-0000-0000-0000810B0000}"/>
    <cellStyle name="Normal 3 2 8 2 4 2" xfId="5261" xr:uid="{00000000-0005-0000-0000-0000820B0000}"/>
    <cellStyle name="Normal 3 2 8 2 4 2 2" xfId="11438" xr:uid="{9F080AA3-577F-4951-A71B-BDCD69DCFDBA}"/>
    <cellStyle name="Normal 3 2 8 2 4 3" xfId="8286" xr:uid="{FE254F94-EC02-4445-BA12-ADC674EBB82C}"/>
    <cellStyle name="Normal 3 2 8 2 5" xfId="3873" xr:uid="{00000000-0005-0000-0000-0000830B0000}"/>
    <cellStyle name="Normal 3 2 8 2 5 2" xfId="10050" xr:uid="{AD541FD3-3B80-45AC-AD02-7995907A25C3}"/>
    <cellStyle name="Normal 3 2 8 2 6" xfId="1226" xr:uid="{00000000-0005-0000-0000-0000840B0000}"/>
    <cellStyle name="Normal 3 2 8 2 6 2" xfId="7403" xr:uid="{147A86F6-4587-455F-B172-44F853F08891}"/>
    <cellStyle name="Normal 3 2 8 2 7" xfId="6520" xr:uid="{30F13803-59D1-42EC-A0E9-1B9C74232F33}"/>
    <cellStyle name="Normal 3 2 8 3" xfId="564" xr:uid="{00000000-0005-0000-0000-0000850B0000}"/>
    <cellStyle name="Normal 3 2 8 3 2" xfId="3212" xr:uid="{00000000-0005-0000-0000-0000860B0000}"/>
    <cellStyle name="Normal 3 2 8 3 2 2" xfId="5262" xr:uid="{00000000-0005-0000-0000-0000870B0000}"/>
    <cellStyle name="Normal 3 2 8 3 2 2 2" xfId="11439" xr:uid="{961F8DD3-BF26-4899-A6A6-BC4095629934}"/>
    <cellStyle name="Normal 3 2 8 3 2 3" xfId="9389" xr:uid="{CE6D1821-A2B8-4B44-8E4F-96136FEDC830}"/>
    <cellStyle name="Normal 3 2 8 3 3" xfId="2330" xr:uid="{00000000-0005-0000-0000-0000880B0000}"/>
    <cellStyle name="Normal 3 2 8 3 3 2" xfId="5263" xr:uid="{00000000-0005-0000-0000-0000890B0000}"/>
    <cellStyle name="Normal 3 2 8 3 3 2 2" xfId="11440" xr:uid="{B66CC859-C8DD-4038-92A8-B42CD6ABE208}"/>
    <cellStyle name="Normal 3 2 8 3 3 3" xfId="8507" xr:uid="{ABE0B7BD-4CF4-42C7-9A94-B8AB8B9D0EAC}"/>
    <cellStyle name="Normal 3 2 8 3 4" xfId="4094" xr:uid="{00000000-0005-0000-0000-00008A0B0000}"/>
    <cellStyle name="Normal 3 2 8 3 4 2" xfId="10271" xr:uid="{95192322-AAAD-4C43-8EC1-84DED18797E2}"/>
    <cellStyle name="Normal 3 2 8 3 5" xfId="1447" xr:uid="{00000000-0005-0000-0000-00008B0B0000}"/>
    <cellStyle name="Normal 3 2 8 3 5 2" xfId="7624" xr:uid="{54B6949A-D506-4BC3-BE37-F2DA08F81CC2}"/>
    <cellStyle name="Normal 3 2 8 3 6" xfId="6741" xr:uid="{31F4E294-6817-4031-80C9-65234E5F379E}"/>
    <cellStyle name="Normal 3 2 8 4" xfId="2771" xr:uid="{00000000-0005-0000-0000-00008C0B0000}"/>
    <cellStyle name="Normal 3 2 8 4 2" xfId="5264" xr:uid="{00000000-0005-0000-0000-00008D0B0000}"/>
    <cellStyle name="Normal 3 2 8 4 2 2" xfId="11441" xr:uid="{E23CD34B-2406-41D5-98EE-160F96C04A9D}"/>
    <cellStyle name="Normal 3 2 8 4 3" xfId="8948" xr:uid="{5730A194-0090-45AC-BC12-FA6EAC4D1167}"/>
    <cellStyle name="Normal 3 2 8 5" xfId="1889" xr:uid="{00000000-0005-0000-0000-00008E0B0000}"/>
    <cellStyle name="Normal 3 2 8 5 2" xfId="5265" xr:uid="{00000000-0005-0000-0000-00008F0B0000}"/>
    <cellStyle name="Normal 3 2 8 5 2 2" xfId="11442" xr:uid="{AFA96F3A-10EF-472B-9253-EF2146111F9D}"/>
    <cellStyle name="Normal 3 2 8 5 3" xfId="8066" xr:uid="{A564D19B-C77F-4AAF-8A00-D8CBBAED3F85}"/>
    <cellStyle name="Normal 3 2 8 6" xfId="3653" xr:uid="{00000000-0005-0000-0000-0000900B0000}"/>
    <cellStyle name="Normal 3 2 8 6 2" xfId="9830" xr:uid="{63DD1DF6-F4D6-4541-AA48-FB702E37436A}"/>
    <cellStyle name="Normal 3 2 8 7" xfId="1006" xr:uid="{00000000-0005-0000-0000-0000910B0000}"/>
    <cellStyle name="Normal 3 2 8 7 2" xfId="7183" xr:uid="{AD01E26A-3F6A-4DB7-90A0-A89A2458EC90}"/>
    <cellStyle name="Normal 3 2 8 8" xfId="6300" xr:uid="{0C805264-7631-4FBD-89B6-F3B39D31AD71}"/>
    <cellStyle name="Normal 3 2 9" xfId="233" xr:uid="{00000000-0005-0000-0000-0000920B0000}"/>
    <cellStyle name="Normal 3 2 9 2" xfId="674" xr:uid="{00000000-0005-0000-0000-0000930B0000}"/>
    <cellStyle name="Normal 3 2 9 2 2" xfId="3322" xr:uid="{00000000-0005-0000-0000-0000940B0000}"/>
    <cellStyle name="Normal 3 2 9 2 2 2" xfId="5266" xr:uid="{00000000-0005-0000-0000-0000950B0000}"/>
    <cellStyle name="Normal 3 2 9 2 2 2 2" xfId="11443" xr:uid="{C9E5D6EC-F225-4C8A-9BEE-C545A8E745AC}"/>
    <cellStyle name="Normal 3 2 9 2 2 3" xfId="9499" xr:uid="{03BEBD9E-61A1-4830-ABC0-D6AEAAE32A1C}"/>
    <cellStyle name="Normal 3 2 9 2 3" xfId="2440" xr:uid="{00000000-0005-0000-0000-0000960B0000}"/>
    <cellStyle name="Normal 3 2 9 2 3 2" xfId="5267" xr:uid="{00000000-0005-0000-0000-0000970B0000}"/>
    <cellStyle name="Normal 3 2 9 2 3 2 2" xfId="11444" xr:uid="{6CC786F4-E24C-46B4-ACD2-44E206CBCC42}"/>
    <cellStyle name="Normal 3 2 9 2 3 3" xfId="8617" xr:uid="{4326E77D-7EA9-4B79-B660-272C8FF23369}"/>
    <cellStyle name="Normal 3 2 9 2 4" xfId="4204" xr:uid="{00000000-0005-0000-0000-0000980B0000}"/>
    <cellStyle name="Normal 3 2 9 2 4 2" xfId="10381" xr:uid="{6D4ACBE6-23E6-442A-A694-16052688091B}"/>
    <cellStyle name="Normal 3 2 9 2 5" xfId="1557" xr:uid="{00000000-0005-0000-0000-0000990B0000}"/>
    <cellStyle name="Normal 3 2 9 2 5 2" xfId="7734" xr:uid="{0E348F61-94D2-4480-951F-01A4C3A140A2}"/>
    <cellStyle name="Normal 3 2 9 2 6" xfId="6851" xr:uid="{E20C6D9D-43D2-4821-A87C-728343ED701C}"/>
    <cellStyle name="Normal 3 2 9 3" xfId="2881" xr:uid="{00000000-0005-0000-0000-00009A0B0000}"/>
    <cellStyle name="Normal 3 2 9 3 2" xfId="5268" xr:uid="{00000000-0005-0000-0000-00009B0B0000}"/>
    <cellStyle name="Normal 3 2 9 3 2 2" xfId="11445" xr:uid="{74E1981B-A697-40BA-96C0-C8C4F3930D44}"/>
    <cellStyle name="Normal 3 2 9 3 3" xfId="9058" xr:uid="{E2418C87-88E3-4564-B6A1-654DB15AC8CF}"/>
    <cellStyle name="Normal 3 2 9 4" xfId="1999" xr:uid="{00000000-0005-0000-0000-00009C0B0000}"/>
    <cellStyle name="Normal 3 2 9 4 2" xfId="5269" xr:uid="{00000000-0005-0000-0000-00009D0B0000}"/>
    <cellStyle name="Normal 3 2 9 4 2 2" xfId="11446" xr:uid="{06C6A2AB-988D-40E1-9170-FEC5AEBFC2D8}"/>
    <cellStyle name="Normal 3 2 9 4 3" xfId="8176" xr:uid="{FAB3A840-1F80-4254-AAD6-8D06AD8DDFCB}"/>
    <cellStyle name="Normal 3 2 9 5" xfId="3763" xr:uid="{00000000-0005-0000-0000-00009E0B0000}"/>
    <cellStyle name="Normal 3 2 9 5 2" xfId="9940" xr:uid="{9111059F-CBC1-41F5-BAA1-092D7B2F3993}"/>
    <cellStyle name="Normal 3 2 9 6" xfId="1116" xr:uid="{00000000-0005-0000-0000-00009F0B0000}"/>
    <cellStyle name="Normal 3 2 9 6 2" xfId="7293" xr:uid="{B3DF7A60-EB73-44D3-B00F-85C0E02AA3A6}"/>
    <cellStyle name="Normal 3 2 9 7" xfId="6410" xr:uid="{967805A7-440E-403A-829E-C1D5F3FFC509}"/>
    <cellStyle name="Normal 3 20" xfId="893" xr:uid="{00000000-0005-0000-0000-0000A00B0000}"/>
    <cellStyle name="Normal 3 20 2" xfId="7070" xr:uid="{637198D9-CA90-466B-8E5A-D6910FB64361}"/>
    <cellStyle name="Normal 3 21" xfId="6187" xr:uid="{42CAFD73-B953-43A9-83D7-80817C5EB542}"/>
    <cellStyle name="Normal 3 3" xfId="15" xr:uid="{00000000-0005-0000-0000-0000A10B0000}"/>
    <cellStyle name="Normal 3 3 10" xfId="3545" xr:uid="{00000000-0005-0000-0000-0000A20B0000}"/>
    <cellStyle name="Normal 3 3 10 2" xfId="9722" xr:uid="{9B3D525A-18F8-4F81-BE34-CA7411B85B45}"/>
    <cellStyle name="Normal 3 3 11" xfId="898" xr:uid="{00000000-0005-0000-0000-0000A30B0000}"/>
    <cellStyle name="Normal 3 3 11 2" xfId="7075" xr:uid="{1F975366-B06E-417D-9F15-1AFD26519A89}"/>
    <cellStyle name="Normal 3 3 12" xfId="6192" xr:uid="{82B4CDF6-E532-4738-A59F-6DA0DE27CDAB}"/>
    <cellStyle name="Normal 3 3 2" xfId="49" xr:uid="{00000000-0005-0000-0000-0000A40B0000}"/>
    <cellStyle name="Normal 3 3 2 2" xfId="159" xr:uid="{00000000-0005-0000-0000-0000A50B0000}"/>
    <cellStyle name="Normal 3 3 2 2 2" xfId="379" xr:uid="{00000000-0005-0000-0000-0000A60B0000}"/>
    <cellStyle name="Normal 3 3 2 2 2 2" xfId="820" xr:uid="{00000000-0005-0000-0000-0000A70B0000}"/>
    <cellStyle name="Normal 3 3 2 2 2 2 2" xfId="3468" xr:uid="{00000000-0005-0000-0000-0000A80B0000}"/>
    <cellStyle name="Normal 3 3 2 2 2 2 2 2" xfId="5270" xr:uid="{00000000-0005-0000-0000-0000A90B0000}"/>
    <cellStyle name="Normal 3 3 2 2 2 2 2 2 2" xfId="11447" xr:uid="{E681A471-FAE9-417A-B91E-7895C0CB5A74}"/>
    <cellStyle name="Normal 3 3 2 2 2 2 2 3" xfId="9645" xr:uid="{EFCE7417-BC02-4922-9DA6-E617DE1F3204}"/>
    <cellStyle name="Normal 3 3 2 2 2 2 3" xfId="2586" xr:uid="{00000000-0005-0000-0000-0000AA0B0000}"/>
    <cellStyle name="Normal 3 3 2 2 2 2 3 2" xfId="5271" xr:uid="{00000000-0005-0000-0000-0000AB0B0000}"/>
    <cellStyle name="Normal 3 3 2 2 2 2 3 2 2" xfId="11448" xr:uid="{B01082A7-CA61-43AE-9595-A772929B198A}"/>
    <cellStyle name="Normal 3 3 2 2 2 2 3 3" xfId="8763" xr:uid="{0384CD7A-6DBF-4D56-901E-89D134BF1263}"/>
    <cellStyle name="Normal 3 3 2 2 2 2 4" xfId="4350" xr:uid="{00000000-0005-0000-0000-0000AC0B0000}"/>
    <cellStyle name="Normal 3 3 2 2 2 2 4 2" xfId="10527" xr:uid="{47125A15-2088-440F-A0BD-C014E1A7B13D}"/>
    <cellStyle name="Normal 3 3 2 2 2 2 5" xfId="1703" xr:uid="{00000000-0005-0000-0000-0000AD0B0000}"/>
    <cellStyle name="Normal 3 3 2 2 2 2 5 2" xfId="7880" xr:uid="{AEA8DD9E-110B-42FC-8B9A-4EC4FF718992}"/>
    <cellStyle name="Normal 3 3 2 2 2 2 6" xfId="6997" xr:uid="{EB36BC52-1E5E-420D-9CC9-AA0633A62B14}"/>
    <cellStyle name="Normal 3 3 2 2 2 3" xfId="3027" xr:uid="{00000000-0005-0000-0000-0000AE0B0000}"/>
    <cellStyle name="Normal 3 3 2 2 2 3 2" xfId="5272" xr:uid="{00000000-0005-0000-0000-0000AF0B0000}"/>
    <cellStyle name="Normal 3 3 2 2 2 3 2 2" xfId="11449" xr:uid="{48FA0980-2B05-474A-A2E4-8125E2FEB19E}"/>
    <cellStyle name="Normal 3 3 2 2 2 3 3" xfId="9204" xr:uid="{F0895B9D-939A-4834-97A2-ABAD893F0F0F}"/>
    <cellStyle name="Normal 3 3 2 2 2 4" xfId="2145" xr:uid="{00000000-0005-0000-0000-0000B00B0000}"/>
    <cellStyle name="Normal 3 3 2 2 2 4 2" xfId="5273" xr:uid="{00000000-0005-0000-0000-0000B10B0000}"/>
    <cellStyle name="Normal 3 3 2 2 2 4 2 2" xfId="11450" xr:uid="{591D48E1-A27B-41A4-AD56-4F3F063076AA}"/>
    <cellStyle name="Normal 3 3 2 2 2 4 3" xfId="8322" xr:uid="{FD36188A-0E59-46E0-9A00-88392EBAB045}"/>
    <cellStyle name="Normal 3 3 2 2 2 5" xfId="3909" xr:uid="{00000000-0005-0000-0000-0000B20B0000}"/>
    <cellStyle name="Normal 3 3 2 2 2 5 2" xfId="10086" xr:uid="{9A04FA78-4A26-40AF-8AC5-732021417E98}"/>
    <cellStyle name="Normal 3 3 2 2 2 6" xfId="1262" xr:uid="{00000000-0005-0000-0000-0000B30B0000}"/>
    <cellStyle name="Normal 3 3 2 2 2 6 2" xfId="7439" xr:uid="{3BD551FB-1092-45AB-AC44-1131473361D2}"/>
    <cellStyle name="Normal 3 3 2 2 2 7" xfId="6556" xr:uid="{5BA1EBFD-633A-4C7D-A5E0-714CE0A68C45}"/>
    <cellStyle name="Normal 3 3 2 2 3" xfId="600" xr:uid="{00000000-0005-0000-0000-0000B40B0000}"/>
    <cellStyle name="Normal 3 3 2 2 3 2" xfId="3248" xr:uid="{00000000-0005-0000-0000-0000B50B0000}"/>
    <cellStyle name="Normal 3 3 2 2 3 2 2" xfId="5274" xr:uid="{00000000-0005-0000-0000-0000B60B0000}"/>
    <cellStyle name="Normal 3 3 2 2 3 2 2 2" xfId="11451" xr:uid="{F8BC976A-3746-478E-98EB-E4CAF1C6C58E}"/>
    <cellStyle name="Normal 3 3 2 2 3 2 3" xfId="9425" xr:uid="{69EFB6E5-9C99-4AC7-91B1-D7D220E51A7F}"/>
    <cellStyle name="Normal 3 3 2 2 3 3" xfId="2366" xr:uid="{00000000-0005-0000-0000-0000B70B0000}"/>
    <cellStyle name="Normal 3 3 2 2 3 3 2" xfId="5275" xr:uid="{00000000-0005-0000-0000-0000B80B0000}"/>
    <cellStyle name="Normal 3 3 2 2 3 3 2 2" xfId="11452" xr:uid="{B02FD5B2-06D4-436F-B30E-E180399A228F}"/>
    <cellStyle name="Normal 3 3 2 2 3 3 3" xfId="8543" xr:uid="{983E0BA1-F563-448E-94C4-41A285948802}"/>
    <cellStyle name="Normal 3 3 2 2 3 4" xfId="4130" xr:uid="{00000000-0005-0000-0000-0000B90B0000}"/>
    <cellStyle name="Normal 3 3 2 2 3 4 2" xfId="10307" xr:uid="{DCF6B2A0-A39C-4D26-BD52-F85C72B5DFFC}"/>
    <cellStyle name="Normal 3 3 2 2 3 5" xfId="1483" xr:uid="{00000000-0005-0000-0000-0000BA0B0000}"/>
    <cellStyle name="Normal 3 3 2 2 3 5 2" xfId="7660" xr:uid="{CEA39132-A070-448B-AF0A-4B90F9CB0C63}"/>
    <cellStyle name="Normal 3 3 2 2 3 6" xfId="6777" xr:uid="{8D70FB77-667E-41D5-8BBC-7C13EC6581F9}"/>
    <cellStyle name="Normal 3 3 2 2 4" xfId="2807" xr:uid="{00000000-0005-0000-0000-0000BB0B0000}"/>
    <cellStyle name="Normal 3 3 2 2 4 2" xfId="5276" xr:uid="{00000000-0005-0000-0000-0000BC0B0000}"/>
    <cellStyle name="Normal 3 3 2 2 4 2 2" xfId="11453" xr:uid="{0CAA8066-49F1-47B4-AAB3-3FC57FD3FBE9}"/>
    <cellStyle name="Normal 3 3 2 2 4 3" xfId="8984" xr:uid="{A9663993-7265-4B02-90F4-52BF868E4328}"/>
    <cellStyle name="Normal 3 3 2 2 5" xfId="1925" xr:uid="{00000000-0005-0000-0000-0000BD0B0000}"/>
    <cellStyle name="Normal 3 3 2 2 5 2" xfId="5277" xr:uid="{00000000-0005-0000-0000-0000BE0B0000}"/>
    <cellStyle name="Normal 3 3 2 2 5 2 2" xfId="11454" xr:uid="{BB7BAE04-2350-4F03-910E-4CFE72EAC1BE}"/>
    <cellStyle name="Normal 3 3 2 2 5 3" xfId="8102" xr:uid="{ABFDE1F7-9397-4346-AB04-6DBBC2B8F309}"/>
    <cellStyle name="Normal 3 3 2 2 6" xfId="3689" xr:uid="{00000000-0005-0000-0000-0000BF0B0000}"/>
    <cellStyle name="Normal 3 3 2 2 6 2" xfId="9866" xr:uid="{7E050782-22E7-4A06-8B52-0F8FEFB9A6F2}"/>
    <cellStyle name="Normal 3 3 2 2 7" xfId="1042" xr:uid="{00000000-0005-0000-0000-0000C00B0000}"/>
    <cellStyle name="Normal 3 3 2 2 7 2" xfId="7219" xr:uid="{2A303A7E-E765-4F7F-8A0F-DB1AF3A4BC62}"/>
    <cellStyle name="Normal 3 3 2 2 8" xfId="6336" xr:uid="{C2D7ECFE-924D-4695-993D-59298B3D3D10}"/>
    <cellStyle name="Normal 3 3 2 3" xfId="269" xr:uid="{00000000-0005-0000-0000-0000C10B0000}"/>
    <cellStyle name="Normal 3 3 2 3 2" xfId="710" xr:uid="{00000000-0005-0000-0000-0000C20B0000}"/>
    <cellStyle name="Normal 3 3 2 3 2 2" xfId="3358" xr:uid="{00000000-0005-0000-0000-0000C30B0000}"/>
    <cellStyle name="Normal 3 3 2 3 2 2 2" xfId="5278" xr:uid="{00000000-0005-0000-0000-0000C40B0000}"/>
    <cellStyle name="Normal 3 3 2 3 2 2 2 2" xfId="11455" xr:uid="{E04034E4-40B9-4590-A5BA-7F03EDFFF0E5}"/>
    <cellStyle name="Normal 3 3 2 3 2 2 3" xfId="9535" xr:uid="{A042B51C-1EDC-4E2C-8580-891351C2DC1F}"/>
    <cellStyle name="Normal 3 3 2 3 2 3" xfId="2476" xr:uid="{00000000-0005-0000-0000-0000C50B0000}"/>
    <cellStyle name="Normal 3 3 2 3 2 3 2" xfId="5279" xr:uid="{00000000-0005-0000-0000-0000C60B0000}"/>
    <cellStyle name="Normal 3 3 2 3 2 3 2 2" xfId="11456" xr:uid="{B21E8568-A2DB-46AB-8790-4431D8BA4BA3}"/>
    <cellStyle name="Normal 3 3 2 3 2 3 3" xfId="8653" xr:uid="{30BEAD9E-4AD0-4008-B020-882F6108002A}"/>
    <cellStyle name="Normal 3 3 2 3 2 4" xfId="4240" xr:uid="{00000000-0005-0000-0000-0000C70B0000}"/>
    <cellStyle name="Normal 3 3 2 3 2 4 2" xfId="10417" xr:uid="{63F97272-4DAF-4256-A08C-A43CDBA4D8FE}"/>
    <cellStyle name="Normal 3 3 2 3 2 5" xfId="1593" xr:uid="{00000000-0005-0000-0000-0000C80B0000}"/>
    <cellStyle name="Normal 3 3 2 3 2 5 2" xfId="7770" xr:uid="{B1530719-D840-4E35-AB90-BB0CC5A0D46B}"/>
    <cellStyle name="Normal 3 3 2 3 2 6" xfId="6887" xr:uid="{EA3C4868-D4EF-4ADC-840B-ABB42980B2C2}"/>
    <cellStyle name="Normal 3 3 2 3 3" xfId="2917" xr:uid="{00000000-0005-0000-0000-0000C90B0000}"/>
    <cellStyle name="Normal 3 3 2 3 3 2" xfId="5280" xr:uid="{00000000-0005-0000-0000-0000CA0B0000}"/>
    <cellStyle name="Normal 3 3 2 3 3 2 2" xfId="11457" xr:uid="{0703CE2D-6692-47D8-A87B-182642B163F6}"/>
    <cellStyle name="Normal 3 3 2 3 3 3" xfId="9094" xr:uid="{600315DB-B45C-459D-B640-6B746CA02226}"/>
    <cellStyle name="Normal 3 3 2 3 4" xfId="2035" xr:uid="{00000000-0005-0000-0000-0000CB0B0000}"/>
    <cellStyle name="Normal 3 3 2 3 4 2" xfId="5281" xr:uid="{00000000-0005-0000-0000-0000CC0B0000}"/>
    <cellStyle name="Normal 3 3 2 3 4 2 2" xfId="11458" xr:uid="{8141D9CE-F9C8-4CA4-9209-47615F141B52}"/>
    <cellStyle name="Normal 3 3 2 3 4 3" xfId="8212" xr:uid="{63ACA46F-5F8D-4910-BCCB-7F71AB36DA60}"/>
    <cellStyle name="Normal 3 3 2 3 5" xfId="3799" xr:uid="{00000000-0005-0000-0000-0000CD0B0000}"/>
    <cellStyle name="Normal 3 3 2 3 5 2" xfId="9976" xr:uid="{1D631A9E-0680-41D8-80A4-36E4FDCA2B34}"/>
    <cellStyle name="Normal 3 3 2 3 6" xfId="1152" xr:uid="{00000000-0005-0000-0000-0000CE0B0000}"/>
    <cellStyle name="Normal 3 3 2 3 6 2" xfId="7329" xr:uid="{99EAF78D-2C47-458A-9F51-DF68ADBA1822}"/>
    <cellStyle name="Normal 3 3 2 3 7" xfId="6446" xr:uid="{D61525A0-6E0A-4B54-9C18-7430BCA72A3E}"/>
    <cellStyle name="Normal 3 3 2 4" xfId="490" xr:uid="{00000000-0005-0000-0000-0000CF0B0000}"/>
    <cellStyle name="Normal 3 3 2 4 2" xfId="3138" xr:uid="{00000000-0005-0000-0000-0000D00B0000}"/>
    <cellStyle name="Normal 3 3 2 4 2 2" xfId="5282" xr:uid="{00000000-0005-0000-0000-0000D10B0000}"/>
    <cellStyle name="Normal 3 3 2 4 2 2 2" xfId="11459" xr:uid="{153B302C-A9D7-4648-805C-D280CA92EF82}"/>
    <cellStyle name="Normal 3 3 2 4 2 3" xfId="9315" xr:uid="{569A0BA9-3786-4CD9-86D1-A288FFEF81DC}"/>
    <cellStyle name="Normal 3 3 2 4 3" xfId="2256" xr:uid="{00000000-0005-0000-0000-0000D20B0000}"/>
    <cellStyle name="Normal 3 3 2 4 3 2" xfId="5283" xr:uid="{00000000-0005-0000-0000-0000D30B0000}"/>
    <cellStyle name="Normal 3 3 2 4 3 2 2" xfId="11460" xr:uid="{CEF5B98B-101C-4FEA-AC9B-241CB8DD39FA}"/>
    <cellStyle name="Normal 3 3 2 4 3 3" xfId="8433" xr:uid="{64C355E8-6BCC-4C9F-B032-4653EECEDF25}"/>
    <cellStyle name="Normal 3 3 2 4 4" xfId="4020" xr:uid="{00000000-0005-0000-0000-0000D40B0000}"/>
    <cellStyle name="Normal 3 3 2 4 4 2" xfId="10197" xr:uid="{5432FB57-FABC-468C-B43F-ADAEF8E4FD98}"/>
    <cellStyle name="Normal 3 3 2 4 5" xfId="1373" xr:uid="{00000000-0005-0000-0000-0000D50B0000}"/>
    <cellStyle name="Normal 3 3 2 4 5 2" xfId="7550" xr:uid="{3F4EF70F-E9BF-4F47-A557-796DE0C5F750}"/>
    <cellStyle name="Normal 3 3 2 4 6" xfId="6667" xr:uid="{17BE2269-7B11-4E34-A8D7-68530518B54F}"/>
    <cellStyle name="Normal 3 3 2 5" xfId="2697" xr:uid="{00000000-0005-0000-0000-0000D60B0000}"/>
    <cellStyle name="Normal 3 3 2 5 2" xfId="5284" xr:uid="{00000000-0005-0000-0000-0000D70B0000}"/>
    <cellStyle name="Normal 3 3 2 5 2 2" xfId="11461" xr:uid="{6DCE39C3-4784-40D4-81C4-464330000C1C}"/>
    <cellStyle name="Normal 3 3 2 5 3" xfId="8874" xr:uid="{C5FA68EF-3BBB-4DAA-ADBC-ED1BF3449623}"/>
    <cellStyle name="Normal 3 3 2 6" xfId="1815" xr:uid="{00000000-0005-0000-0000-0000D80B0000}"/>
    <cellStyle name="Normal 3 3 2 6 2" xfId="5285" xr:uid="{00000000-0005-0000-0000-0000D90B0000}"/>
    <cellStyle name="Normal 3 3 2 6 2 2" xfId="11462" xr:uid="{43ACB556-BBEA-4EA1-B614-2D0C7445B32C}"/>
    <cellStyle name="Normal 3 3 2 6 3" xfId="7992" xr:uid="{C94DB615-93B3-4B5C-807D-622B8D91FFD5}"/>
    <cellStyle name="Normal 3 3 2 7" xfId="3579" xr:uid="{00000000-0005-0000-0000-0000DA0B0000}"/>
    <cellStyle name="Normal 3 3 2 7 2" xfId="9756" xr:uid="{C0A6B446-910A-48B9-81F7-0AF3D083326D}"/>
    <cellStyle name="Normal 3 3 2 8" xfId="932" xr:uid="{00000000-0005-0000-0000-0000DB0B0000}"/>
    <cellStyle name="Normal 3 3 2 8 2" xfId="7109" xr:uid="{FFE3FC40-5393-41C5-AB94-FB67029C124D}"/>
    <cellStyle name="Normal 3 3 2 9" xfId="6226" xr:uid="{883C69C5-53FF-42FB-BE88-C577972EDC97}"/>
    <cellStyle name="Normal 3 3 3" xfId="65" xr:uid="{00000000-0005-0000-0000-0000DC0B0000}"/>
    <cellStyle name="Normal 3 3 3 2" xfId="175" xr:uid="{00000000-0005-0000-0000-0000DD0B0000}"/>
    <cellStyle name="Normal 3 3 3 2 2" xfId="395" xr:uid="{00000000-0005-0000-0000-0000DE0B0000}"/>
    <cellStyle name="Normal 3 3 3 2 2 2" xfId="836" xr:uid="{00000000-0005-0000-0000-0000DF0B0000}"/>
    <cellStyle name="Normal 3 3 3 2 2 2 2" xfId="3484" xr:uid="{00000000-0005-0000-0000-0000E00B0000}"/>
    <cellStyle name="Normal 3 3 3 2 2 2 2 2" xfId="5286" xr:uid="{00000000-0005-0000-0000-0000E10B0000}"/>
    <cellStyle name="Normal 3 3 3 2 2 2 2 2 2" xfId="11463" xr:uid="{C049794C-CB2E-4057-B9AC-C0920F42B067}"/>
    <cellStyle name="Normal 3 3 3 2 2 2 2 3" xfId="9661" xr:uid="{E3BFE073-D615-4380-9CD0-C48102ACBCBC}"/>
    <cellStyle name="Normal 3 3 3 2 2 2 3" xfId="2602" xr:uid="{00000000-0005-0000-0000-0000E20B0000}"/>
    <cellStyle name="Normal 3 3 3 2 2 2 3 2" xfId="5287" xr:uid="{00000000-0005-0000-0000-0000E30B0000}"/>
    <cellStyle name="Normal 3 3 3 2 2 2 3 2 2" xfId="11464" xr:uid="{E84B5C0E-C983-494E-8474-C25DCDC3EB2B}"/>
    <cellStyle name="Normal 3 3 3 2 2 2 3 3" xfId="8779" xr:uid="{8AC53C29-3A66-4642-BE38-0A003F11C759}"/>
    <cellStyle name="Normal 3 3 3 2 2 2 4" xfId="4366" xr:uid="{00000000-0005-0000-0000-0000E40B0000}"/>
    <cellStyle name="Normal 3 3 3 2 2 2 4 2" xfId="10543" xr:uid="{0F59339E-71CB-49E3-AD0A-0CD325E041F2}"/>
    <cellStyle name="Normal 3 3 3 2 2 2 5" xfId="1719" xr:uid="{00000000-0005-0000-0000-0000E50B0000}"/>
    <cellStyle name="Normal 3 3 3 2 2 2 5 2" xfId="7896" xr:uid="{E5C16470-78BC-402F-9C6E-B1386BC00A1A}"/>
    <cellStyle name="Normal 3 3 3 2 2 2 6" xfId="7013" xr:uid="{53265B3E-8CA6-4388-9202-8D7FF8EAE3B7}"/>
    <cellStyle name="Normal 3 3 3 2 2 3" xfId="3043" xr:uid="{00000000-0005-0000-0000-0000E60B0000}"/>
    <cellStyle name="Normal 3 3 3 2 2 3 2" xfId="5288" xr:uid="{00000000-0005-0000-0000-0000E70B0000}"/>
    <cellStyle name="Normal 3 3 3 2 2 3 2 2" xfId="11465" xr:uid="{9488EF1A-1DCE-44F3-A0AA-AF4A4B3F171B}"/>
    <cellStyle name="Normal 3 3 3 2 2 3 3" xfId="9220" xr:uid="{804EB9C5-E006-44E7-8A31-E39FA7AF2579}"/>
    <cellStyle name="Normal 3 3 3 2 2 4" xfId="2161" xr:uid="{00000000-0005-0000-0000-0000E80B0000}"/>
    <cellStyle name="Normal 3 3 3 2 2 4 2" xfId="5289" xr:uid="{00000000-0005-0000-0000-0000E90B0000}"/>
    <cellStyle name="Normal 3 3 3 2 2 4 2 2" xfId="11466" xr:uid="{A54D700D-9420-4F46-9BFD-2D6E3A0EEAB3}"/>
    <cellStyle name="Normal 3 3 3 2 2 4 3" xfId="8338" xr:uid="{4B32CB69-B5D7-4DFD-B36F-08252D53A393}"/>
    <cellStyle name="Normal 3 3 3 2 2 5" xfId="3925" xr:uid="{00000000-0005-0000-0000-0000EA0B0000}"/>
    <cellStyle name="Normal 3 3 3 2 2 5 2" xfId="10102" xr:uid="{5CBFAFDA-02B3-4EB4-B806-A8685CC00FFE}"/>
    <cellStyle name="Normal 3 3 3 2 2 6" xfId="1278" xr:uid="{00000000-0005-0000-0000-0000EB0B0000}"/>
    <cellStyle name="Normal 3 3 3 2 2 6 2" xfId="7455" xr:uid="{E67901AA-1CE9-4D44-8609-051703626E32}"/>
    <cellStyle name="Normal 3 3 3 2 2 7" xfId="6572" xr:uid="{B501DC1A-C7AD-4F14-8D86-36E69B04E498}"/>
    <cellStyle name="Normal 3 3 3 2 3" xfId="616" xr:uid="{00000000-0005-0000-0000-0000EC0B0000}"/>
    <cellStyle name="Normal 3 3 3 2 3 2" xfId="3264" xr:uid="{00000000-0005-0000-0000-0000ED0B0000}"/>
    <cellStyle name="Normal 3 3 3 2 3 2 2" xfId="5290" xr:uid="{00000000-0005-0000-0000-0000EE0B0000}"/>
    <cellStyle name="Normal 3 3 3 2 3 2 2 2" xfId="11467" xr:uid="{31EBEAB3-026C-413C-AFA7-4958EC93D88E}"/>
    <cellStyle name="Normal 3 3 3 2 3 2 3" xfId="9441" xr:uid="{E3A81895-0BC9-495D-AC84-94DD3BE9A493}"/>
    <cellStyle name="Normal 3 3 3 2 3 3" xfId="2382" xr:uid="{00000000-0005-0000-0000-0000EF0B0000}"/>
    <cellStyle name="Normal 3 3 3 2 3 3 2" xfId="5291" xr:uid="{00000000-0005-0000-0000-0000F00B0000}"/>
    <cellStyle name="Normal 3 3 3 2 3 3 2 2" xfId="11468" xr:uid="{ED649CA0-F180-432C-8D34-8C7E78D4938F}"/>
    <cellStyle name="Normal 3 3 3 2 3 3 3" xfId="8559" xr:uid="{AB89B95E-4443-462E-9F15-CF5001583BF6}"/>
    <cellStyle name="Normal 3 3 3 2 3 4" xfId="4146" xr:uid="{00000000-0005-0000-0000-0000F10B0000}"/>
    <cellStyle name="Normal 3 3 3 2 3 4 2" xfId="10323" xr:uid="{5FBEEC21-EAA7-424C-81B6-B3393793BFD7}"/>
    <cellStyle name="Normal 3 3 3 2 3 5" xfId="1499" xr:uid="{00000000-0005-0000-0000-0000F20B0000}"/>
    <cellStyle name="Normal 3 3 3 2 3 5 2" xfId="7676" xr:uid="{302A7192-F67D-4A19-9CF4-3CCAC2FDF70C}"/>
    <cellStyle name="Normal 3 3 3 2 3 6" xfId="6793" xr:uid="{41855217-D08B-473B-AA18-F0F0711AA7DF}"/>
    <cellStyle name="Normal 3 3 3 2 4" xfId="2823" xr:uid="{00000000-0005-0000-0000-0000F30B0000}"/>
    <cellStyle name="Normal 3 3 3 2 4 2" xfId="5292" xr:uid="{00000000-0005-0000-0000-0000F40B0000}"/>
    <cellStyle name="Normal 3 3 3 2 4 2 2" xfId="11469" xr:uid="{F5F7F663-9DBF-4C50-AE16-1E0E7106A8E3}"/>
    <cellStyle name="Normal 3 3 3 2 4 3" xfId="9000" xr:uid="{18B33425-B957-46A1-8BEA-D625E4C40D3E}"/>
    <cellStyle name="Normal 3 3 3 2 5" xfId="1941" xr:uid="{00000000-0005-0000-0000-0000F50B0000}"/>
    <cellStyle name="Normal 3 3 3 2 5 2" xfId="5293" xr:uid="{00000000-0005-0000-0000-0000F60B0000}"/>
    <cellStyle name="Normal 3 3 3 2 5 2 2" xfId="11470" xr:uid="{6642979F-F295-4612-9D21-C9C31F4540A1}"/>
    <cellStyle name="Normal 3 3 3 2 5 3" xfId="8118" xr:uid="{94E13EDD-9130-4510-ABD8-D7159339A247}"/>
    <cellStyle name="Normal 3 3 3 2 6" xfId="3705" xr:uid="{00000000-0005-0000-0000-0000F70B0000}"/>
    <cellStyle name="Normal 3 3 3 2 6 2" xfId="9882" xr:uid="{4C5558BA-5444-4B35-8569-5B7A885603D4}"/>
    <cellStyle name="Normal 3 3 3 2 7" xfId="1058" xr:uid="{00000000-0005-0000-0000-0000F80B0000}"/>
    <cellStyle name="Normal 3 3 3 2 7 2" xfId="7235" xr:uid="{AC0FA5EA-B9A6-4098-9312-68A5A931BB40}"/>
    <cellStyle name="Normal 3 3 3 2 8" xfId="6352" xr:uid="{07B4FEEC-D9C2-4D9C-83B0-0BB58FC993C1}"/>
    <cellStyle name="Normal 3 3 3 3" xfId="285" xr:uid="{00000000-0005-0000-0000-0000F90B0000}"/>
    <cellStyle name="Normal 3 3 3 3 2" xfId="726" xr:uid="{00000000-0005-0000-0000-0000FA0B0000}"/>
    <cellStyle name="Normal 3 3 3 3 2 2" xfId="3374" xr:uid="{00000000-0005-0000-0000-0000FB0B0000}"/>
    <cellStyle name="Normal 3 3 3 3 2 2 2" xfId="5294" xr:uid="{00000000-0005-0000-0000-0000FC0B0000}"/>
    <cellStyle name="Normal 3 3 3 3 2 2 2 2" xfId="11471" xr:uid="{A9357F1F-0A86-4AE9-A9E8-4621903094A9}"/>
    <cellStyle name="Normal 3 3 3 3 2 2 3" xfId="9551" xr:uid="{C2BAF007-C2D5-42EE-8996-7DF3B4C3625B}"/>
    <cellStyle name="Normal 3 3 3 3 2 3" xfId="2492" xr:uid="{00000000-0005-0000-0000-0000FD0B0000}"/>
    <cellStyle name="Normal 3 3 3 3 2 3 2" xfId="5295" xr:uid="{00000000-0005-0000-0000-0000FE0B0000}"/>
    <cellStyle name="Normal 3 3 3 3 2 3 2 2" xfId="11472" xr:uid="{EEB1425B-B4AF-4355-8C0E-08E7FAD685B2}"/>
    <cellStyle name="Normal 3 3 3 3 2 3 3" xfId="8669" xr:uid="{35A2B929-6593-4C1A-8709-0F8B0F962FE6}"/>
    <cellStyle name="Normal 3 3 3 3 2 4" xfId="4256" xr:uid="{00000000-0005-0000-0000-0000FF0B0000}"/>
    <cellStyle name="Normal 3 3 3 3 2 4 2" xfId="10433" xr:uid="{644AAB6E-3F20-4956-869D-28AB56F9C403}"/>
    <cellStyle name="Normal 3 3 3 3 2 5" xfId="1609" xr:uid="{00000000-0005-0000-0000-0000000C0000}"/>
    <cellStyle name="Normal 3 3 3 3 2 5 2" xfId="7786" xr:uid="{4758852F-B6D3-4AB3-A9E9-661F243F6F6E}"/>
    <cellStyle name="Normal 3 3 3 3 2 6" xfId="6903" xr:uid="{DC7F6F77-AA9A-45E3-A5EB-6DB408E9B5FB}"/>
    <cellStyle name="Normal 3 3 3 3 3" xfId="2933" xr:uid="{00000000-0005-0000-0000-0000010C0000}"/>
    <cellStyle name="Normal 3 3 3 3 3 2" xfId="5296" xr:uid="{00000000-0005-0000-0000-0000020C0000}"/>
    <cellStyle name="Normal 3 3 3 3 3 2 2" xfId="11473" xr:uid="{F9DA9347-AF9F-488D-A3EB-D88D53A49A78}"/>
    <cellStyle name="Normal 3 3 3 3 3 3" xfId="9110" xr:uid="{E7932747-54D9-481A-A9C4-388B262438FD}"/>
    <cellStyle name="Normal 3 3 3 3 4" xfId="2051" xr:uid="{00000000-0005-0000-0000-0000030C0000}"/>
    <cellStyle name="Normal 3 3 3 3 4 2" xfId="5297" xr:uid="{00000000-0005-0000-0000-0000040C0000}"/>
    <cellStyle name="Normal 3 3 3 3 4 2 2" xfId="11474" xr:uid="{6C4C720E-21BE-4989-9864-16D4BFBFBED2}"/>
    <cellStyle name="Normal 3 3 3 3 4 3" xfId="8228" xr:uid="{F4F21060-A367-4520-AFFD-CD628CCAC140}"/>
    <cellStyle name="Normal 3 3 3 3 5" xfId="3815" xr:uid="{00000000-0005-0000-0000-0000050C0000}"/>
    <cellStyle name="Normal 3 3 3 3 5 2" xfId="9992" xr:uid="{86EBD7D4-8A75-4FF1-BFDD-93B8D43BEDE9}"/>
    <cellStyle name="Normal 3 3 3 3 6" xfId="1168" xr:uid="{00000000-0005-0000-0000-0000060C0000}"/>
    <cellStyle name="Normal 3 3 3 3 6 2" xfId="7345" xr:uid="{BBA0DDC1-FBEB-4226-A48A-3C75FD22B2F4}"/>
    <cellStyle name="Normal 3 3 3 3 7" xfId="6462" xr:uid="{2B93C9C9-9E38-4F32-83E8-CFB328F4F2BB}"/>
    <cellStyle name="Normal 3 3 3 4" xfId="506" xr:uid="{00000000-0005-0000-0000-0000070C0000}"/>
    <cellStyle name="Normal 3 3 3 4 2" xfId="3154" xr:uid="{00000000-0005-0000-0000-0000080C0000}"/>
    <cellStyle name="Normal 3 3 3 4 2 2" xfId="5298" xr:uid="{00000000-0005-0000-0000-0000090C0000}"/>
    <cellStyle name="Normal 3 3 3 4 2 2 2" xfId="11475" xr:uid="{0AB5E908-F160-4FDD-A97C-4ED3373F8BD6}"/>
    <cellStyle name="Normal 3 3 3 4 2 3" xfId="9331" xr:uid="{F7F233DD-6AAA-49E0-8636-6C5608C8D8CE}"/>
    <cellStyle name="Normal 3 3 3 4 3" xfId="2272" xr:uid="{00000000-0005-0000-0000-00000A0C0000}"/>
    <cellStyle name="Normal 3 3 3 4 3 2" xfId="5299" xr:uid="{00000000-0005-0000-0000-00000B0C0000}"/>
    <cellStyle name="Normal 3 3 3 4 3 2 2" xfId="11476" xr:uid="{432EA85E-D15F-4229-8441-00945AE01CCB}"/>
    <cellStyle name="Normal 3 3 3 4 3 3" xfId="8449" xr:uid="{8053AA8C-1E32-4201-896F-93020E98D2F1}"/>
    <cellStyle name="Normal 3 3 3 4 4" xfId="4036" xr:uid="{00000000-0005-0000-0000-00000C0C0000}"/>
    <cellStyle name="Normal 3 3 3 4 4 2" xfId="10213" xr:uid="{94005241-035D-492A-8BEA-63F085A21F39}"/>
    <cellStyle name="Normal 3 3 3 4 5" xfId="1389" xr:uid="{00000000-0005-0000-0000-00000D0C0000}"/>
    <cellStyle name="Normal 3 3 3 4 5 2" xfId="7566" xr:uid="{C0C32D5D-EA25-48F5-8039-B76E39750D36}"/>
    <cellStyle name="Normal 3 3 3 4 6" xfId="6683" xr:uid="{63BA6C9E-40B5-436E-9F9A-1D549C3FFA7A}"/>
    <cellStyle name="Normal 3 3 3 5" xfId="2713" xr:uid="{00000000-0005-0000-0000-00000E0C0000}"/>
    <cellStyle name="Normal 3 3 3 5 2" xfId="5300" xr:uid="{00000000-0005-0000-0000-00000F0C0000}"/>
    <cellStyle name="Normal 3 3 3 5 2 2" xfId="11477" xr:uid="{15948F45-4710-4D4D-A6E9-AE4A147E0CCC}"/>
    <cellStyle name="Normal 3 3 3 5 3" xfId="8890" xr:uid="{581AFF88-3E84-45FD-9AE6-9BE2EACD5807}"/>
    <cellStyle name="Normal 3 3 3 6" xfId="1831" xr:uid="{00000000-0005-0000-0000-0000100C0000}"/>
    <cellStyle name="Normal 3 3 3 6 2" xfId="5301" xr:uid="{00000000-0005-0000-0000-0000110C0000}"/>
    <cellStyle name="Normal 3 3 3 6 2 2" xfId="11478" xr:uid="{509BD7C2-0B65-41EE-90A1-5F432BE5642F}"/>
    <cellStyle name="Normal 3 3 3 6 3" xfId="8008" xr:uid="{D042EC7B-C721-4453-8A45-74E3B87CEFEB}"/>
    <cellStyle name="Normal 3 3 3 7" xfId="3595" xr:uid="{00000000-0005-0000-0000-0000120C0000}"/>
    <cellStyle name="Normal 3 3 3 7 2" xfId="9772" xr:uid="{ACA6E65D-08A7-4111-B308-229226867595}"/>
    <cellStyle name="Normal 3 3 3 8" xfId="948" xr:uid="{00000000-0005-0000-0000-0000130C0000}"/>
    <cellStyle name="Normal 3 3 3 8 2" xfId="7125" xr:uid="{A6166CD8-9AC2-44A8-BB74-9C77D1C50B29}"/>
    <cellStyle name="Normal 3 3 3 9" xfId="6242" xr:uid="{9F9F7060-6D22-48EE-80BF-1A700FF81EF1}"/>
    <cellStyle name="Normal 3 3 4" xfId="81" xr:uid="{00000000-0005-0000-0000-0000140C0000}"/>
    <cellStyle name="Normal 3 3 4 2" xfId="191" xr:uid="{00000000-0005-0000-0000-0000150C0000}"/>
    <cellStyle name="Normal 3 3 4 2 2" xfId="411" xr:uid="{00000000-0005-0000-0000-0000160C0000}"/>
    <cellStyle name="Normal 3 3 4 2 2 2" xfId="852" xr:uid="{00000000-0005-0000-0000-0000170C0000}"/>
    <cellStyle name="Normal 3 3 4 2 2 2 2" xfId="3500" xr:uid="{00000000-0005-0000-0000-0000180C0000}"/>
    <cellStyle name="Normal 3 3 4 2 2 2 2 2" xfId="5302" xr:uid="{00000000-0005-0000-0000-0000190C0000}"/>
    <cellStyle name="Normal 3 3 4 2 2 2 2 2 2" xfId="11479" xr:uid="{1B4797A6-2912-44CD-80A2-29180F06565E}"/>
    <cellStyle name="Normal 3 3 4 2 2 2 2 3" xfId="9677" xr:uid="{ADFDAFA1-EB3D-48EB-93C0-8CDBBDC491CA}"/>
    <cellStyle name="Normal 3 3 4 2 2 2 3" xfId="2618" xr:uid="{00000000-0005-0000-0000-00001A0C0000}"/>
    <cellStyle name="Normal 3 3 4 2 2 2 3 2" xfId="5303" xr:uid="{00000000-0005-0000-0000-00001B0C0000}"/>
    <cellStyle name="Normal 3 3 4 2 2 2 3 2 2" xfId="11480" xr:uid="{4302F70C-EAE1-4DE7-B49E-2C769C2BE4AB}"/>
    <cellStyle name="Normal 3 3 4 2 2 2 3 3" xfId="8795" xr:uid="{10DEC5E0-8371-49EF-80D8-698433397DC1}"/>
    <cellStyle name="Normal 3 3 4 2 2 2 4" xfId="4382" xr:uid="{00000000-0005-0000-0000-00001C0C0000}"/>
    <cellStyle name="Normal 3 3 4 2 2 2 4 2" xfId="10559" xr:uid="{CD9C5F53-2691-4B3C-96A1-55D1893CA732}"/>
    <cellStyle name="Normal 3 3 4 2 2 2 5" xfId="1735" xr:uid="{00000000-0005-0000-0000-00001D0C0000}"/>
    <cellStyle name="Normal 3 3 4 2 2 2 5 2" xfId="7912" xr:uid="{836D3C24-0A06-415D-873D-9971C01A4A89}"/>
    <cellStyle name="Normal 3 3 4 2 2 2 6" xfId="7029" xr:uid="{A361ED3E-EA1C-4F36-BAAC-9B0DE48AA1D1}"/>
    <cellStyle name="Normal 3 3 4 2 2 3" xfId="3059" xr:uid="{00000000-0005-0000-0000-00001E0C0000}"/>
    <cellStyle name="Normal 3 3 4 2 2 3 2" xfId="5304" xr:uid="{00000000-0005-0000-0000-00001F0C0000}"/>
    <cellStyle name="Normal 3 3 4 2 2 3 2 2" xfId="11481" xr:uid="{01FCF95A-31A1-403C-8385-A3BA15694D63}"/>
    <cellStyle name="Normal 3 3 4 2 2 3 3" xfId="9236" xr:uid="{FDE8E5C4-ECD9-4A0E-BD39-23B7CCC7F758}"/>
    <cellStyle name="Normal 3 3 4 2 2 4" xfId="2177" xr:uid="{00000000-0005-0000-0000-0000200C0000}"/>
    <cellStyle name="Normal 3 3 4 2 2 4 2" xfId="5305" xr:uid="{00000000-0005-0000-0000-0000210C0000}"/>
    <cellStyle name="Normal 3 3 4 2 2 4 2 2" xfId="11482" xr:uid="{4EF2FF9A-BF20-4427-B7C9-CE2F8A6FFB93}"/>
    <cellStyle name="Normal 3 3 4 2 2 4 3" xfId="8354" xr:uid="{D81AEF8C-48FA-4C6E-9873-05F13B0C5B01}"/>
    <cellStyle name="Normal 3 3 4 2 2 5" xfId="3941" xr:uid="{00000000-0005-0000-0000-0000220C0000}"/>
    <cellStyle name="Normal 3 3 4 2 2 5 2" xfId="10118" xr:uid="{53577765-A0D4-4032-8C7F-A1E915AA5B42}"/>
    <cellStyle name="Normal 3 3 4 2 2 6" xfId="1294" xr:uid="{00000000-0005-0000-0000-0000230C0000}"/>
    <cellStyle name="Normal 3 3 4 2 2 6 2" xfId="7471" xr:uid="{62F4BF4D-43D9-4F51-BDCF-A64FFD47FAC3}"/>
    <cellStyle name="Normal 3 3 4 2 2 7" xfId="6588" xr:uid="{FD8B4D04-71AA-4776-B483-D4ECB3C64035}"/>
    <cellStyle name="Normal 3 3 4 2 3" xfId="632" xr:uid="{00000000-0005-0000-0000-0000240C0000}"/>
    <cellStyle name="Normal 3 3 4 2 3 2" xfId="3280" xr:uid="{00000000-0005-0000-0000-0000250C0000}"/>
    <cellStyle name="Normal 3 3 4 2 3 2 2" xfId="5306" xr:uid="{00000000-0005-0000-0000-0000260C0000}"/>
    <cellStyle name="Normal 3 3 4 2 3 2 2 2" xfId="11483" xr:uid="{E45EEEA2-6A89-437D-842C-7775A5BC66B3}"/>
    <cellStyle name="Normal 3 3 4 2 3 2 3" xfId="9457" xr:uid="{DD6AE3E9-C78A-439E-B69D-455EA8BAE6E2}"/>
    <cellStyle name="Normal 3 3 4 2 3 3" xfId="2398" xr:uid="{00000000-0005-0000-0000-0000270C0000}"/>
    <cellStyle name="Normal 3 3 4 2 3 3 2" xfId="5307" xr:uid="{00000000-0005-0000-0000-0000280C0000}"/>
    <cellStyle name="Normal 3 3 4 2 3 3 2 2" xfId="11484" xr:uid="{7A0FA829-9C1D-4B0D-A056-03FA5621AEA2}"/>
    <cellStyle name="Normal 3 3 4 2 3 3 3" xfId="8575" xr:uid="{6BD2FE7D-12FB-4ACD-BD2B-89D2DB5DC1FF}"/>
    <cellStyle name="Normal 3 3 4 2 3 4" xfId="4162" xr:uid="{00000000-0005-0000-0000-0000290C0000}"/>
    <cellStyle name="Normal 3 3 4 2 3 4 2" xfId="10339" xr:uid="{31E2F7AB-B4B2-4ADF-9DDE-908BC7EE7D05}"/>
    <cellStyle name="Normal 3 3 4 2 3 5" xfId="1515" xr:uid="{00000000-0005-0000-0000-00002A0C0000}"/>
    <cellStyle name="Normal 3 3 4 2 3 5 2" xfId="7692" xr:uid="{786523DD-2750-44B1-8408-BFFFECE1485D}"/>
    <cellStyle name="Normal 3 3 4 2 3 6" xfId="6809" xr:uid="{64616D3F-7010-4E89-94FF-1D6A56536DA6}"/>
    <cellStyle name="Normal 3 3 4 2 4" xfId="2839" xr:uid="{00000000-0005-0000-0000-00002B0C0000}"/>
    <cellStyle name="Normal 3 3 4 2 4 2" xfId="5308" xr:uid="{00000000-0005-0000-0000-00002C0C0000}"/>
    <cellStyle name="Normal 3 3 4 2 4 2 2" xfId="11485" xr:uid="{9DF2A402-FF68-4F81-82BC-BDF61D8400FC}"/>
    <cellStyle name="Normal 3 3 4 2 4 3" xfId="9016" xr:uid="{1F1CCF44-C947-4D9B-88C9-245AA0638C1C}"/>
    <cellStyle name="Normal 3 3 4 2 5" xfId="1957" xr:uid="{00000000-0005-0000-0000-00002D0C0000}"/>
    <cellStyle name="Normal 3 3 4 2 5 2" xfId="5309" xr:uid="{00000000-0005-0000-0000-00002E0C0000}"/>
    <cellStyle name="Normal 3 3 4 2 5 2 2" xfId="11486" xr:uid="{61726C8A-3DD5-4A65-B5F2-8F1E13E5F931}"/>
    <cellStyle name="Normal 3 3 4 2 5 3" xfId="8134" xr:uid="{D4650B5C-9E8B-4BB7-B14C-7F6E3C816ABE}"/>
    <cellStyle name="Normal 3 3 4 2 6" xfId="3721" xr:uid="{00000000-0005-0000-0000-00002F0C0000}"/>
    <cellStyle name="Normal 3 3 4 2 6 2" xfId="9898" xr:uid="{A8CB363E-E2B6-4B4E-84EF-B6196D54EA76}"/>
    <cellStyle name="Normal 3 3 4 2 7" xfId="1074" xr:uid="{00000000-0005-0000-0000-0000300C0000}"/>
    <cellStyle name="Normal 3 3 4 2 7 2" xfId="7251" xr:uid="{1B2E5BA0-19D1-4311-AE56-3EBD3D9A0040}"/>
    <cellStyle name="Normal 3 3 4 2 8" xfId="6368" xr:uid="{C8E9F29B-2090-454F-B09D-787699091289}"/>
    <cellStyle name="Normal 3 3 4 3" xfId="301" xr:uid="{00000000-0005-0000-0000-0000310C0000}"/>
    <cellStyle name="Normal 3 3 4 3 2" xfId="742" xr:uid="{00000000-0005-0000-0000-0000320C0000}"/>
    <cellStyle name="Normal 3 3 4 3 2 2" xfId="3390" xr:uid="{00000000-0005-0000-0000-0000330C0000}"/>
    <cellStyle name="Normal 3 3 4 3 2 2 2" xfId="5310" xr:uid="{00000000-0005-0000-0000-0000340C0000}"/>
    <cellStyle name="Normal 3 3 4 3 2 2 2 2" xfId="11487" xr:uid="{98B0620A-B47C-4F28-B642-FCC6F3705020}"/>
    <cellStyle name="Normal 3 3 4 3 2 2 3" xfId="9567" xr:uid="{F3E4AF30-E3B8-407D-9B82-5BEEFACBD083}"/>
    <cellStyle name="Normal 3 3 4 3 2 3" xfId="2508" xr:uid="{00000000-0005-0000-0000-0000350C0000}"/>
    <cellStyle name="Normal 3 3 4 3 2 3 2" xfId="5311" xr:uid="{00000000-0005-0000-0000-0000360C0000}"/>
    <cellStyle name="Normal 3 3 4 3 2 3 2 2" xfId="11488" xr:uid="{A8BEC771-F554-4E5A-AE54-455BBDB41C88}"/>
    <cellStyle name="Normal 3 3 4 3 2 3 3" xfId="8685" xr:uid="{A1CAC862-1962-45B8-9E05-42894D950496}"/>
    <cellStyle name="Normal 3 3 4 3 2 4" xfId="4272" xr:uid="{00000000-0005-0000-0000-0000370C0000}"/>
    <cellStyle name="Normal 3 3 4 3 2 4 2" xfId="10449" xr:uid="{584D626C-EE51-49C7-B1A6-00333679044D}"/>
    <cellStyle name="Normal 3 3 4 3 2 5" xfId="1625" xr:uid="{00000000-0005-0000-0000-0000380C0000}"/>
    <cellStyle name="Normal 3 3 4 3 2 5 2" xfId="7802" xr:uid="{C5D92BA3-1B31-4B58-97F4-F991FECAD3DF}"/>
    <cellStyle name="Normal 3 3 4 3 2 6" xfId="6919" xr:uid="{3EA8AAEC-FAC9-4615-B655-9F8688E302A7}"/>
    <cellStyle name="Normal 3 3 4 3 3" xfId="2949" xr:uid="{00000000-0005-0000-0000-0000390C0000}"/>
    <cellStyle name="Normal 3 3 4 3 3 2" xfId="5312" xr:uid="{00000000-0005-0000-0000-00003A0C0000}"/>
    <cellStyle name="Normal 3 3 4 3 3 2 2" xfId="11489" xr:uid="{EE8F9791-5FCE-4449-BF66-DAACC189731E}"/>
    <cellStyle name="Normal 3 3 4 3 3 3" xfId="9126" xr:uid="{46B3D316-C915-446C-B126-337452FE6CDE}"/>
    <cellStyle name="Normal 3 3 4 3 4" xfId="2067" xr:uid="{00000000-0005-0000-0000-00003B0C0000}"/>
    <cellStyle name="Normal 3 3 4 3 4 2" xfId="5313" xr:uid="{00000000-0005-0000-0000-00003C0C0000}"/>
    <cellStyle name="Normal 3 3 4 3 4 2 2" xfId="11490" xr:uid="{414C641C-3166-496A-8AB9-A0614842970E}"/>
    <cellStyle name="Normal 3 3 4 3 4 3" xfId="8244" xr:uid="{ED4E2E7E-1D2A-4DDC-876F-82B7A424EE5B}"/>
    <cellStyle name="Normal 3 3 4 3 5" xfId="3831" xr:uid="{00000000-0005-0000-0000-00003D0C0000}"/>
    <cellStyle name="Normal 3 3 4 3 5 2" xfId="10008" xr:uid="{1F2CF672-991B-4E86-A5AA-A7D0CE5B26B2}"/>
    <cellStyle name="Normal 3 3 4 3 6" xfId="1184" xr:uid="{00000000-0005-0000-0000-00003E0C0000}"/>
    <cellStyle name="Normal 3 3 4 3 6 2" xfId="7361" xr:uid="{DCA0D3EB-FEA3-4179-86F4-2F8FAD687DA9}"/>
    <cellStyle name="Normal 3 3 4 3 7" xfId="6478" xr:uid="{CFE19246-7D75-4C5A-B50D-D5DDB39FCFC6}"/>
    <cellStyle name="Normal 3 3 4 4" xfId="522" xr:uid="{00000000-0005-0000-0000-00003F0C0000}"/>
    <cellStyle name="Normal 3 3 4 4 2" xfId="3170" xr:uid="{00000000-0005-0000-0000-0000400C0000}"/>
    <cellStyle name="Normal 3 3 4 4 2 2" xfId="5314" xr:uid="{00000000-0005-0000-0000-0000410C0000}"/>
    <cellStyle name="Normal 3 3 4 4 2 2 2" xfId="11491" xr:uid="{43237D74-572D-44D8-AE1A-AD8AF9EBE680}"/>
    <cellStyle name="Normal 3 3 4 4 2 3" xfId="9347" xr:uid="{8DAB503C-681D-4CD9-894E-59734D2AABFA}"/>
    <cellStyle name="Normal 3 3 4 4 3" xfId="2288" xr:uid="{00000000-0005-0000-0000-0000420C0000}"/>
    <cellStyle name="Normal 3 3 4 4 3 2" xfId="5315" xr:uid="{00000000-0005-0000-0000-0000430C0000}"/>
    <cellStyle name="Normal 3 3 4 4 3 2 2" xfId="11492" xr:uid="{9CCE5482-5FC2-4ADD-9B77-993A0F2EF650}"/>
    <cellStyle name="Normal 3 3 4 4 3 3" xfId="8465" xr:uid="{429D445D-2B9C-429A-9959-E6171440333D}"/>
    <cellStyle name="Normal 3 3 4 4 4" xfId="4052" xr:uid="{00000000-0005-0000-0000-0000440C0000}"/>
    <cellStyle name="Normal 3 3 4 4 4 2" xfId="10229" xr:uid="{73B50BA4-CB31-40B8-B0A3-2358F864501A}"/>
    <cellStyle name="Normal 3 3 4 4 5" xfId="1405" xr:uid="{00000000-0005-0000-0000-0000450C0000}"/>
    <cellStyle name="Normal 3 3 4 4 5 2" xfId="7582" xr:uid="{E9E93CE5-F364-4992-A7A3-E4D9B46AC6A1}"/>
    <cellStyle name="Normal 3 3 4 4 6" xfId="6699" xr:uid="{44616900-9958-438F-9C1D-18D325180A8F}"/>
    <cellStyle name="Normal 3 3 4 5" xfId="2729" xr:uid="{00000000-0005-0000-0000-0000460C0000}"/>
    <cellStyle name="Normal 3 3 4 5 2" xfId="5316" xr:uid="{00000000-0005-0000-0000-0000470C0000}"/>
    <cellStyle name="Normal 3 3 4 5 2 2" xfId="11493" xr:uid="{31C1A5DE-F897-4FB6-9994-AF6DF815C2A4}"/>
    <cellStyle name="Normal 3 3 4 5 3" xfId="8906" xr:uid="{CE9AEF52-D63B-452E-BC20-7173FB486024}"/>
    <cellStyle name="Normal 3 3 4 6" xfId="1847" xr:uid="{00000000-0005-0000-0000-0000480C0000}"/>
    <cellStyle name="Normal 3 3 4 6 2" xfId="5317" xr:uid="{00000000-0005-0000-0000-0000490C0000}"/>
    <cellStyle name="Normal 3 3 4 6 2 2" xfId="11494" xr:uid="{BCDF6C26-00FE-4B99-8218-46E77408B6C4}"/>
    <cellStyle name="Normal 3 3 4 6 3" xfId="8024" xr:uid="{B881EAF3-DA0D-4A32-8BDE-F5AF26E93EEA}"/>
    <cellStyle name="Normal 3 3 4 7" xfId="3611" xr:uid="{00000000-0005-0000-0000-00004A0C0000}"/>
    <cellStyle name="Normal 3 3 4 7 2" xfId="9788" xr:uid="{3849BF60-B97A-4AEE-B714-08AFB7852A58}"/>
    <cellStyle name="Normal 3 3 4 8" xfId="964" xr:uid="{00000000-0005-0000-0000-00004B0C0000}"/>
    <cellStyle name="Normal 3 3 4 8 2" xfId="7141" xr:uid="{766C3DDC-60A3-49AC-ABEA-7E3AA85D4166}"/>
    <cellStyle name="Normal 3 3 4 9" xfId="6258" xr:uid="{644B5EE2-FC89-4047-86FD-D3992E77E522}"/>
    <cellStyle name="Normal 3 3 5" xfId="125" xr:uid="{00000000-0005-0000-0000-00004C0C0000}"/>
    <cellStyle name="Normal 3 3 5 2" xfId="345" xr:uid="{00000000-0005-0000-0000-00004D0C0000}"/>
    <cellStyle name="Normal 3 3 5 2 2" xfId="786" xr:uid="{00000000-0005-0000-0000-00004E0C0000}"/>
    <cellStyle name="Normal 3 3 5 2 2 2" xfId="3434" xr:uid="{00000000-0005-0000-0000-00004F0C0000}"/>
    <cellStyle name="Normal 3 3 5 2 2 2 2" xfId="5318" xr:uid="{00000000-0005-0000-0000-0000500C0000}"/>
    <cellStyle name="Normal 3 3 5 2 2 2 2 2" xfId="11495" xr:uid="{E8418C1A-0306-4AFF-9B03-EE2A9BD0B606}"/>
    <cellStyle name="Normal 3 3 5 2 2 2 3" xfId="9611" xr:uid="{B0B40C89-582F-406A-BD0C-4E0248217C55}"/>
    <cellStyle name="Normal 3 3 5 2 2 3" xfId="2552" xr:uid="{00000000-0005-0000-0000-0000510C0000}"/>
    <cellStyle name="Normal 3 3 5 2 2 3 2" xfId="5319" xr:uid="{00000000-0005-0000-0000-0000520C0000}"/>
    <cellStyle name="Normal 3 3 5 2 2 3 2 2" xfId="11496" xr:uid="{CF4955D1-EAB4-4B02-852D-F5316E955C72}"/>
    <cellStyle name="Normal 3 3 5 2 2 3 3" xfId="8729" xr:uid="{32191A42-C4CB-4136-9D84-97D653A8D099}"/>
    <cellStyle name="Normal 3 3 5 2 2 4" xfId="4316" xr:uid="{00000000-0005-0000-0000-0000530C0000}"/>
    <cellStyle name="Normal 3 3 5 2 2 4 2" xfId="10493" xr:uid="{8EAD6AE0-0919-4E78-8EA5-E508ECAC8F25}"/>
    <cellStyle name="Normal 3 3 5 2 2 5" xfId="1669" xr:uid="{00000000-0005-0000-0000-0000540C0000}"/>
    <cellStyle name="Normal 3 3 5 2 2 5 2" xfId="7846" xr:uid="{F05A4FF9-B6A3-4CB4-A18A-992B0C79C75B}"/>
    <cellStyle name="Normal 3 3 5 2 2 6" xfId="6963" xr:uid="{8AF8B4C5-8E32-43C4-BE0D-2E4C72DA9578}"/>
    <cellStyle name="Normal 3 3 5 2 3" xfId="2993" xr:uid="{00000000-0005-0000-0000-0000550C0000}"/>
    <cellStyle name="Normal 3 3 5 2 3 2" xfId="5320" xr:uid="{00000000-0005-0000-0000-0000560C0000}"/>
    <cellStyle name="Normal 3 3 5 2 3 2 2" xfId="11497" xr:uid="{4D5E618D-9C09-447B-B53E-DB1C8519E729}"/>
    <cellStyle name="Normal 3 3 5 2 3 3" xfId="9170" xr:uid="{43AB9E39-039C-4046-B346-F876DDC29E9F}"/>
    <cellStyle name="Normal 3 3 5 2 4" xfId="2111" xr:uid="{00000000-0005-0000-0000-0000570C0000}"/>
    <cellStyle name="Normal 3 3 5 2 4 2" xfId="5321" xr:uid="{00000000-0005-0000-0000-0000580C0000}"/>
    <cellStyle name="Normal 3 3 5 2 4 2 2" xfId="11498" xr:uid="{F3E3F46C-95C3-4A04-96EC-365A7F84CC05}"/>
    <cellStyle name="Normal 3 3 5 2 4 3" xfId="8288" xr:uid="{301952D3-D2FA-40D4-B868-8F1AA6B975F7}"/>
    <cellStyle name="Normal 3 3 5 2 5" xfId="3875" xr:uid="{00000000-0005-0000-0000-0000590C0000}"/>
    <cellStyle name="Normal 3 3 5 2 5 2" xfId="10052" xr:uid="{4CABA1E9-4DF5-4C46-A908-D33EFF6F764E}"/>
    <cellStyle name="Normal 3 3 5 2 6" xfId="1228" xr:uid="{00000000-0005-0000-0000-00005A0C0000}"/>
    <cellStyle name="Normal 3 3 5 2 6 2" xfId="7405" xr:uid="{001EC2CA-5CE4-41B7-914F-CEB3E05599D8}"/>
    <cellStyle name="Normal 3 3 5 2 7" xfId="6522" xr:uid="{CA6ADB62-E18D-4224-9579-6EA7240B80F4}"/>
    <cellStyle name="Normal 3 3 5 3" xfId="566" xr:uid="{00000000-0005-0000-0000-00005B0C0000}"/>
    <cellStyle name="Normal 3 3 5 3 2" xfId="3214" xr:uid="{00000000-0005-0000-0000-00005C0C0000}"/>
    <cellStyle name="Normal 3 3 5 3 2 2" xfId="5322" xr:uid="{00000000-0005-0000-0000-00005D0C0000}"/>
    <cellStyle name="Normal 3 3 5 3 2 2 2" xfId="11499" xr:uid="{6BCB336D-C499-4245-8A2B-1FD8CC435A01}"/>
    <cellStyle name="Normal 3 3 5 3 2 3" xfId="9391" xr:uid="{91BBB23C-6F66-4B55-837C-67FF70E792D4}"/>
    <cellStyle name="Normal 3 3 5 3 3" xfId="2332" xr:uid="{00000000-0005-0000-0000-00005E0C0000}"/>
    <cellStyle name="Normal 3 3 5 3 3 2" xfId="5323" xr:uid="{00000000-0005-0000-0000-00005F0C0000}"/>
    <cellStyle name="Normal 3 3 5 3 3 2 2" xfId="11500" xr:uid="{0F629C8D-C740-4B8E-952C-8A358BCB13F6}"/>
    <cellStyle name="Normal 3 3 5 3 3 3" xfId="8509" xr:uid="{A437EC40-3AB8-4B68-BC59-617D5F436242}"/>
    <cellStyle name="Normal 3 3 5 3 4" xfId="4096" xr:uid="{00000000-0005-0000-0000-0000600C0000}"/>
    <cellStyle name="Normal 3 3 5 3 4 2" xfId="10273" xr:uid="{C550D6A6-136C-4F35-BB0E-4AFDF88E8F1C}"/>
    <cellStyle name="Normal 3 3 5 3 5" xfId="1449" xr:uid="{00000000-0005-0000-0000-0000610C0000}"/>
    <cellStyle name="Normal 3 3 5 3 5 2" xfId="7626" xr:uid="{817DB077-985C-48EB-A378-40762D8EFC78}"/>
    <cellStyle name="Normal 3 3 5 3 6" xfId="6743" xr:uid="{3EF1AB9C-60DD-42A4-91D5-5B982FD5E253}"/>
    <cellStyle name="Normal 3 3 5 4" xfId="2773" xr:uid="{00000000-0005-0000-0000-0000620C0000}"/>
    <cellStyle name="Normal 3 3 5 4 2" xfId="5324" xr:uid="{00000000-0005-0000-0000-0000630C0000}"/>
    <cellStyle name="Normal 3 3 5 4 2 2" xfId="11501" xr:uid="{EF5C647D-52F6-4E74-8623-B2450C61F271}"/>
    <cellStyle name="Normal 3 3 5 4 3" xfId="8950" xr:uid="{61F77B92-FD03-4753-B91C-2BF0D71D6495}"/>
    <cellStyle name="Normal 3 3 5 5" xfId="1891" xr:uid="{00000000-0005-0000-0000-0000640C0000}"/>
    <cellStyle name="Normal 3 3 5 5 2" xfId="5325" xr:uid="{00000000-0005-0000-0000-0000650C0000}"/>
    <cellStyle name="Normal 3 3 5 5 2 2" xfId="11502" xr:uid="{CB384B18-1575-41DE-8E64-7502C8C195F3}"/>
    <cellStyle name="Normal 3 3 5 5 3" xfId="8068" xr:uid="{A7F6D8BB-A152-4AC4-B882-257321B4AB46}"/>
    <cellStyle name="Normal 3 3 5 6" xfId="3655" xr:uid="{00000000-0005-0000-0000-0000660C0000}"/>
    <cellStyle name="Normal 3 3 5 6 2" xfId="9832" xr:uid="{29A388F8-DC3C-4244-BE60-2417654354F0}"/>
    <cellStyle name="Normal 3 3 5 7" xfId="1008" xr:uid="{00000000-0005-0000-0000-0000670C0000}"/>
    <cellStyle name="Normal 3 3 5 7 2" xfId="7185" xr:uid="{41C39F26-733D-4443-A853-ABB82B199B50}"/>
    <cellStyle name="Normal 3 3 5 8" xfId="6302" xr:uid="{06BAA5FA-CF25-49EB-A40B-EC18F77B11A3}"/>
    <cellStyle name="Normal 3 3 6" xfId="235" xr:uid="{00000000-0005-0000-0000-0000680C0000}"/>
    <cellStyle name="Normal 3 3 6 2" xfId="676" xr:uid="{00000000-0005-0000-0000-0000690C0000}"/>
    <cellStyle name="Normal 3 3 6 2 2" xfId="3324" xr:uid="{00000000-0005-0000-0000-00006A0C0000}"/>
    <cellStyle name="Normal 3 3 6 2 2 2" xfId="5326" xr:uid="{00000000-0005-0000-0000-00006B0C0000}"/>
    <cellStyle name="Normal 3 3 6 2 2 2 2" xfId="11503" xr:uid="{7F4A7BFC-CF8B-4701-AD52-A2A77D367720}"/>
    <cellStyle name="Normal 3 3 6 2 2 3" xfId="9501" xr:uid="{046066A3-0A56-47C2-B209-DEFB2376183E}"/>
    <cellStyle name="Normal 3 3 6 2 3" xfId="2442" xr:uid="{00000000-0005-0000-0000-00006C0C0000}"/>
    <cellStyle name="Normal 3 3 6 2 3 2" xfId="5327" xr:uid="{00000000-0005-0000-0000-00006D0C0000}"/>
    <cellStyle name="Normal 3 3 6 2 3 2 2" xfId="11504" xr:uid="{9844612B-18B5-4F34-80A1-FD0285F4D6CA}"/>
    <cellStyle name="Normal 3 3 6 2 3 3" xfId="8619" xr:uid="{E9930295-458A-4DA7-88EC-108E897D6A72}"/>
    <cellStyle name="Normal 3 3 6 2 4" xfId="4206" xr:uid="{00000000-0005-0000-0000-00006E0C0000}"/>
    <cellStyle name="Normal 3 3 6 2 4 2" xfId="10383" xr:uid="{23465855-A355-4D08-845D-1C98A32141A5}"/>
    <cellStyle name="Normal 3 3 6 2 5" xfId="1559" xr:uid="{00000000-0005-0000-0000-00006F0C0000}"/>
    <cellStyle name="Normal 3 3 6 2 5 2" xfId="7736" xr:uid="{E09AFEEF-2E98-474F-970F-776674689E48}"/>
    <cellStyle name="Normal 3 3 6 2 6" xfId="6853" xr:uid="{CE842E36-45BB-4A50-A82B-17A2EB202BDE}"/>
    <cellStyle name="Normal 3 3 6 3" xfId="2883" xr:uid="{00000000-0005-0000-0000-0000700C0000}"/>
    <cellStyle name="Normal 3 3 6 3 2" xfId="5328" xr:uid="{00000000-0005-0000-0000-0000710C0000}"/>
    <cellStyle name="Normal 3 3 6 3 2 2" xfId="11505" xr:uid="{C03A27E2-194F-4620-BD53-F01F9AEFD294}"/>
    <cellStyle name="Normal 3 3 6 3 3" xfId="9060" xr:uid="{54D7946E-834F-446B-81B5-95068124DC77}"/>
    <cellStyle name="Normal 3 3 6 4" xfId="2001" xr:uid="{00000000-0005-0000-0000-0000720C0000}"/>
    <cellStyle name="Normal 3 3 6 4 2" xfId="5329" xr:uid="{00000000-0005-0000-0000-0000730C0000}"/>
    <cellStyle name="Normal 3 3 6 4 2 2" xfId="11506" xr:uid="{4CF61B2B-F0F5-42E4-9A99-C603DE9AB17E}"/>
    <cellStyle name="Normal 3 3 6 4 3" xfId="8178" xr:uid="{FFB40FFF-3F0A-496E-8606-171DC850CDE7}"/>
    <cellStyle name="Normal 3 3 6 5" xfId="3765" xr:uid="{00000000-0005-0000-0000-0000740C0000}"/>
    <cellStyle name="Normal 3 3 6 5 2" xfId="9942" xr:uid="{5C8FE8A4-0E9F-4B02-9621-A86AFB496B01}"/>
    <cellStyle name="Normal 3 3 6 6" xfId="1118" xr:uid="{00000000-0005-0000-0000-0000750C0000}"/>
    <cellStyle name="Normal 3 3 6 6 2" xfId="7295" xr:uid="{A0EE0B43-371E-4437-A3F4-AC635E618868}"/>
    <cellStyle name="Normal 3 3 6 7" xfId="6412" xr:uid="{DB3E33FD-FEB1-4B70-9384-E9F758398ECA}"/>
    <cellStyle name="Normal 3 3 7" xfId="456" xr:uid="{00000000-0005-0000-0000-0000760C0000}"/>
    <cellStyle name="Normal 3 3 7 2" xfId="3104" xr:uid="{00000000-0005-0000-0000-0000770C0000}"/>
    <cellStyle name="Normal 3 3 7 2 2" xfId="5330" xr:uid="{00000000-0005-0000-0000-0000780C0000}"/>
    <cellStyle name="Normal 3 3 7 2 2 2" xfId="11507" xr:uid="{63F0EEA3-7820-43E5-AA7C-4257F0005B5F}"/>
    <cellStyle name="Normal 3 3 7 2 3" xfId="9281" xr:uid="{B1EC2492-4A8F-453A-A883-B0C1841B98BE}"/>
    <cellStyle name="Normal 3 3 7 3" xfId="2222" xr:uid="{00000000-0005-0000-0000-0000790C0000}"/>
    <cellStyle name="Normal 3 3 7 3 2" xfId="5331" xr:uid="{00000000-0005-0000-0000-00007A0C0000}"/>
    <cellStyle name="Normal 3 3 7 3 2 2" xfId="11508" xr:uid="{6D7E62A7-25B6-4E10-946E-EE96FAB36A10}"/>
    <cellStyle name="Normal 3 3 7 3 3" xfId="8399" xr:uid="{FD8FDBDC-3927-4597-9879-021EC9F2714B}"/>
    <cellStyle name="Normal 3 3 7 4" xfId="3986" xr:uid="{00000000-0005-0000-0000-00007B0C0000}"/>
    <cellStyle name="Normal 3 3 7 4 2" xfId="10163" xr:uid="{66709EAE-21C0-4561-8659-7F732722AA57}"/>
    <cellStyle name="Normal 3 3 7 5" xfId="1339" xr:uid="{00000000-0005-0000-0000-00007C0C0000}"/>
    <cellStyle name="Normal 3 3 7 5 2" xfId="7516" xr:uid="{7894B5B9-4D4A-4343-B7AA-B362F4FEBE64}"/>
    <cellStyle name="Normal 3 3 7 6" xfId="6633" xr:uid="{9BE9FD20-E091-44A6-B99A-E647C5B5E0C0}"/>
    <cellStyle name="Normal 3 3 8" xfId="2663" xr:uid="{00000000-0005-0000-0000-00007D0C0000}"/>
    <cellStyle name="Normal 3 3 8 2" xfId="5332" xr:uid="{00000000-0005-0000-0000-00007E0C0000}"/>
    <cellStyle name="Normal 3 3 8 2 2" xfId="11509" xr:uid="{0D5CD976-9AB3-4AC6-9D56-38FDCBA3CF24}"/>
    <cellStyle name="Normal 3 3 8 3" xfId="8840" xr:uid="{85BF4C85-3DEE-4BD0-9135-955AD1833C9A}"/>
    <cellStyle name="Normal 3 3 9" xfId="1781" xr:uid="{00000000-0005-0000-0000-00007F0C0000}"/>
    <cellStyle name="Normal 3 3 9 2" xfId="5333" xr:uid="{00000000-0005-0000-0000-0000800C0000}"/>
    <cellStyle name="Normal 3 3 9 2 2" xfId="11510" xr:uid="{FDE1B0F9-3B9D-4CF9-8F06-2C61995F0955}"/>
    <cellStyle name="Normal 3 3 9 3" xfId="7958" xr:uid="{D15EE684-1B3E-43F7-9E99-6E4838694276}"/>
    <cellStyle name="Normal 3 4" xfId="17" xr:uid="{00000000-0005-0000-0000-0000810C0000}"/>
    <cellStyle name="Normal 3 4 10" xfId="3547" xr:uid="{00000000-0005-0000-0000-0000820C0000}"/>
    <cellStyle name="Normal 3 4 10 2" xfId="9724" xr:uid="{6A7D9F32-D925-413A-A747-5BAEB239C183}"/>
    <cellStyle name="Normal 3 4 11" xfId="900" xr:uid="{00000000-0005-0000-0000-0000830C0000}"/>
    <cellStyle name="Normal 3 4 11 2" xfId="7077" xr:uid="{47E3E303-2894-480B-AB38-3A83B5C7E2FF}"/>
    <cellStyle name="Normal 3 4 12" xfId="6194" xr:uid="{C434CA97-1FE2-437D-88BF-A54354941245}"/>
    <cellStyle name="Normal 3 4 2" xfId="51" xr:uid="{00000000-0005-0000-0000-0000840C0000}"/>
    <cellStyle name="Normal 3 4 2 2" xfId="161" xr:uid="{00000000-0005-0000-0000-0000850C0000}"/>
    <cellStyle name="Normal 3 4 2 2 2" xfId="381" xr:uid="{00000000-0005-0000-0000-0000860C0000}"/>
    <cellStyle name="Normal 3 4 2 2 2 2" xfId="822" xr:uid="{00000000-0005-0000-0000-0000870C0000}"/>
    <cellStyle name="Normal 3 4 2 2 2 2 2" xfId="3470" xr:uid="{00000000-0005-0000-0000-0000880C0000}"/>
    <cellStyle name="Normal 3 4 2 2 2 2 2 2" xfId="5334" xr:uid="{00000000-0005-0000-0000-0000890C0000}"/>
    <cellStyle name="Normal 3 4 2 2 2 2 2 2 2" xfId="11511" xr:uid="{F915E3AB-1CA3-4425-87CD-1C116B36846E}"/>
    <cellStyle name="Normal 3 4 2 2 2 2 2 3" xfId="9647" xr:uid="{A6FDD0CD-DFF7-4581-A7DD-8398720A5B09}"/>
    <cellStyle name="Normal 3 4 2 2 2 2 3" xfId="2588" xr:uid="{00000000-0005-0000-0000-00008A0C0000}"/>
    <cellStyle name="Normal 3 4 2 2 2 2 3 2" xfId="5335" xr:uid="{00000000-0005-0000-0000-00008B0C0000}"/>
    <cellStyle name="Normal 3 4 2 2 2 2 3 2 2" xfId="11512" xr:uid="{085CCF6D-BD7B-44CF-8168-D25E7462B7CC}"/>
    <cellStyle name="Normal 3 4 2 2 2 2 3 3" xfId="8765" xr:uid="{7AE0D5DA-B7AC-4B1D-A545-1A57ED0EC999}"/>
    <cellStyle name="Normal 3 4 2 2 2 2 4" xfId="4352" xr:uid="{00000000-0005-0000-0000-00008C0C0000}"/>
    <cellStyle name="Normal 3 4 2 2 2 2 4 2" xfId="10529" xr:uid="{16634B47-0B4B-427E-9AB0-4AAF0E2DA668}"/>
    <cellStyle name="Normal 3 4 2 2 2 2 5" xfId="1705" xr:uid="{00000000-0005-0000-0000-00008D0C0000}"/>
    <cellStyle name="Normal 3 4 2 2 2 2 5 2" xfId="7882" xr:uid="{FFF2F739-353F-42B6-A68B-D7C37714E653}"/>
    <cellStyle name="Normal 3 4 2 2 2 2 6" xfId="6999" xr:uid="{C9C2F113-B774-410E-B495-2BA413BF3C50}"/>
    <cellStyle name="Normal 3 4 2 2 2 3" xfId="3029" xr:uid="{00000000-0005-0000-0000-00008E0C0000}"/>
    <cellStyle name="Normal 3 4 2 2 2 3 2" xfId="5336" xr:uid="{00000000-0005-0000-0000-00008F0C0000}"/>
    <cellStyle name="Normal 3 4 2 2 2 3 2 2" xfId="11513" xr:uid="{A1EEFC6B-9303-45A6-804E-5F43197BC881}"/>
    <cellStyle name="Normal 3 4 2 2 2 3 3" xfId="9206" xr:uid="{6A0EAC50-CBFD-4198-BDB2-F7189623BD98}"/>
    <cellStyle name="Normal 3 4 2 2 2 4" xfId="2147" xr:uid="{00000000-0005-0000-0000-0000900C0000}"/>
    <cellStyle name="Normal 3 4 2 2 2 4 2" xfId="5337" xr:uid="{00000000-0005-0000-0000-0000910C0000}"/>
    <cellStyle name="Normal 3 4 2 2 2 4 2 2" xfId="11514" xr:uid="{645CACC3-9716-4608-88C5-9B44D337878D}"/>
    <cellStyle name="Normal 3 4 2 2 2 4 3" xfId="8324" xr:uid="{1C6C435B-9061-4A67-A06B-34BE61999B66}"/>
    <cellStyle name="Normal 3 4 2 2 2 5" xfId="3911" xr:uid="{00000000-0005-0000-0000-0000920C0000}"/>
    <cellStyle name="Normal 3 4 2 2 2 5 2" xfId="10088" xr:uid="{F0B4BC1A-3455-49FB-A5FF-CFA50A1BCA87}"/>
    <cellStyle name="Normal 3 4 2 2 2 6" xfId="1264" xr:uid="{00000000-0005-0000-0000-0000930C0000}"/>
    <cellStyle name="Normal 3 4 2 2 2 6 2" xfId="7441" xr:uid="{8D2493E5-481E-45C8-B52C-4265BC42ECE9}"/>
    <cellStyle name="Normal 3 4 2 2 2 7" xfId="6558" xr:uid="{62A596C8-38A7-4006-B60C-34BFC2AB1217}"/>
    <cellStyle name="Normal 3 4 2 2 3" xfId="602" xr:uid="{00000000-0005-0000-0000-0000940C0000}"/>
    <cellStyle name="Normal 3 4 2 2 3 2" xfId="3250" xr:uid="{00000000-0005-0000-0000-0000950C0000}"/>
    <cellStyle name="Normal 3 4 2 2 3 2 2" xfId="5338" xr:uid="{00000000-0005-0000-0000-0000960C0000}"/>
    <cellStyle name="Normal 3 4 2 2 3 2 2 2" xfId="11515" xr:uid="{A6DBA077-CD1A-42CD-BC7A-ACFAE01EE7AA}"/>
    <cellStyle name="Normal 3 4 2 2 3 2 3" xfId="9427" xr:uid="{3CD4C706-42FB-4E91-92C8-A44DF9627FF3}"/>
    <cellStyle name="Normal 3 4 2 2 3 3" xfId="2368" xr:uid="{00000000-0005-0000-0000-0000970C0000}"/>
    <cellStyle name="Normal 3 4 2 2 3 3 2" xfId="5339" xr:uid="{00000000-0005-0000-0000-0000980C0000}"/>
    <cellStyle name="Normal 3 4 2 2 3 3 2 2" xfId="11516" xr:uid="{1C827283-7293-40BF-B4F2-4FC802A87F53}"/>
    <cellStyle name="Normal 3 4 2 2 3 3 3" xfId="8545" xr:uid="{F81C4708-1498-4F9E-A2CA-23665D93AAC5}"/>
    <cellStyle name="Normal 3 4 2 2 3 4" xfId="4132" xr:uid="{00000000-0005-0000-0000-0000990C0000}"/>
    <cellStyle name="Normal 3 4 2 2 3 4 2" xfId="10309" xr:uid="{BE8CF776-BA26-4654-9141-B71C7FFF8980}"/>
    <cellStyle name="Normal 3 4 2 2 3 5" xfId="1485" xr:uid="{00000000-0005-0000-0000-00009A0C0000}"/>
    <cellStyle name="Normal 3 4 2 2 3 5 2" xfId="7662" xr:uid="{B4016C36-0C7F-4FEB-AEB5-B22DF2FE1C46}"/>
    <cellStyle name="Normal 3 4 2 2 3 6" xfId="6779" xr:uid="{E159342A-135D-4FDB-A5D0-1FACF977D8F7}"/>
    <cellStyle name="Normal 3 4 2 2 4" xfId="2809" xr:uid="{00000000-0005-0000-0000-00009B0C0000}"/>
    <cellStyle name="Normal 3 4 2 2 4 2" xfId="5340" xr:uid="{00000000-0005-0000-0000-00009C0C0000}"/>
    <cellStyle name="Normal 3 4 2 2 4 2 2" xfId="11517" xr:uid="{D7A2F656-EBC3-4074-B5CE-F51F34B1E048}"/>
    <cellStyle name="Normal 3 4 2 2 4 3" xfId="8986" xr:uid="{B6F344FC-0717-43B0-893C-7B74A94C374B}"/>
    <cellStyle name="Normal 3 4 2 2 5" xfId="1927" xr:uid="{00000000-0005-0000-0000-00009D0C0000}"/>
    <cellStyle name="Normal 3 4 2 2 5 2" xfId="5341" xr:uid="{00000000-0005-0000-0000-00009E0C0000}"/>
    <cellStyle name="Normal 3 4 2 2 5 2 2" xfId="11518" xr:uid="{E0CC60A6-E745-4759-9C71-3142B07A635B}"/>
    <cellStyle name="Normal 3 4 2 2 5 3" xfId="8104" xr:uid="{B0B37C7C-481B-42F0-A89F-AB3B0BDB0C24}"/>
    <cellStyle name="Normal 3 4 2 2 6" xfId="3691" xr:uid="{00000000-0005-0000-0000-00009F0C0000}"/>
    <cellStyle name="Normal 3 4 2 2 6 2" xfId="9868" xr:uid="{61E6B84B-2850-41CE-A019-276E1A24CFA8}"/>
    <cellStyle name="Normal 3 4 2 2 7" xfId="1044" xr:uid="{00000000-0005-0000-0000-0000A00C0000}"/>
    <cellStyle name="Normal 3 4 2 2 7 2" xfId="7221" xr:uid="{D0B51F67-DEDA-4C02-9503-14203E406A63}"/>
    <cellStyle name="Normal 3 4 2 2 8" xfId="6338" xr:uid="{D27249EB-D4DA-42DE-A1DB-84C4508DF7D2}"/>
    <cellStyle name="Normal 3 4 2 3" xfId="271" xr:uid="{00000000-0005-0000-0000-0000A10C0000}"/>
    <cellStyle name="Normal 3 4 2 3 2" xfId="712" xr:uid="{00000000-0005-0000-0000-0000A20C0000}"/>
    <cellStyle name="Normal 3 4 2 3 2 2" xfId="3360" xr:uid="{00000000-0005-0000-0000-0000A30C0000}"/>
    <cellStyle name="Normal 3 4 2 3 2 2 2" xfId="5342" xr:uid="{00000000-0005-0000-0000-0000A40C0000}"/>
    <cellStyle name="Normal 3 4 2 3 2 2 2 2" xfId="11519" xr:uid="{1619D570-11F6-4CE9-9F9D-7CE5CF491D41}"/>
    <cellStyle name="Normal 3 4 2 3 2 2 3" xfId="9537" xr:uid="{A1B4928A-99BB-4623-9E57-8C4679F7CE8F}"/>
    <cellStyle name="Normal 3 4 2 3 2 3" xfId="2478" xr:uid="{00000000-0005-0000-0000-0000A50C0000}"/>
    <cellStyle name="Normal 3 4 2 3 2 3 2" xfId="5343" xr:uid="{00000000-0005-0000-0000-0000A60C0000}"/>
    <cellStyle name="Normal 3 4 2 3 2 3 2 2" xfId="11520" xr:uid="{A0766D6D-EB4B-4F5C-97D0-9D74855A9168}"/>
    <cellStyle name="Normal 3 4 2 3 2 3 3" xfId="8655" xr:uid="{325577B4-37D0-4D31-97E0-94813A5FF9CB}"/>
    <cellStyle name="Normal 3 4 2 3 2 4" xfId="4242" xr:uid="{00000000-0005-0000-0000-0000A70C0000}"/>
    <cellStyle name="Normal 3 4 2 3 2 4 2" xfId="10419" xr:uid="{4D82AB11-3A42-4005-9BD8-AAF7FEEE42EC}"/>
    <cellStyle name="Normal 3 4 2 3 2 5" xfId="1595" xr:uid="{00000000-0005-0000-0000-0000A80C0000}"/>
    <cellStyle name="Normal 3 4 2 3 2 5 2" xfId="7772" xr:uid="{2B31156A-C519-4D3C-9121-1982EBCC8A4D}"/>
    <cellStyle name="Normal 3 4 2 3 2 6" xfId="6889" xr:uid="{4672C59D-D102-4BEC-B4CD-97C9E6673658}"/>
    <cellStyle name="Normal 3 4 2 3 3" xfId="2919" xr:uid="{00000000-0005-0000-0000-0000A90C0000}"/>
    <cellStyle name="Normal 3 4 2 3 3 2" xfId="5344" xr:uid="{00000000-0005-0000-0000-0000AA0C0000}"/>
    <cellStyle name="Normal 3 4 2 3 3 2 2" xfId="11521" xr:uid="{5514125E-6BB7-4C5F-8A66-1277AC625E93}"/>
    <cellStyle name="Normal 3 4 2 3 3 3" xfId="9096" xr:uid="{E55DE97A-5C94-44F7-8713-065024A9B0E4}"/>
    <cellStyle name="Normal 3 4 2 3 4" xfId="2037" xr:uid="{00000000-0005-0000-0000-0000AB0C0000}"/>
    <cellStyle name="Normal 3 4 2 3 4 2" xfId="5345" xr:uid="{00000000-0005-0000-0000-0000AC0C0000}"/>
    <cellStyle name="Normal 3 4 2 3 4 2 2" xfId="11522" xr:uid="{28F5924A-DED5-42A2-B18B-D5C2BEC8CB07}"/>
    <cellStyle name="Normal 3 4 2 3 4 3" xfId="8214" xr:uid="{D0F24054-A85B-4660-8F51-5F7E44BE8665}"/>
    <cellStyle name="Normal 3 4 2 3 5" xfId="3801" xr:uid="{00000000-0005-0000-0000-0000AD0C0000}"/>
    <cellStyle name="Normal 3 4 2 3 5 2" xfId="9978" xr:uid="{56364426-31A7-4B5D-B758-7D0CF8B3C382}"/>
    <cellStyle name="Normal 3 4 2 3 6" xfId="1154" xr:uid="{00000000-0005-0000-0000-0000AE0C0000}"/>
    <cellStyle name="Normal 3 4 2 3 6 2" xfId="7331" xr:uid="{12DCE11E-4531-4632-8DBD-CA520B3F7663}"/>
    <cellStyle name="Normal 3 4 2 3 7" xfId="6448" xr:uid="{C6BAFB10-E37F-4084-AF81-55527DF0AF2E}"/>
    <cellStyle name="Normal 3 4 2 4" xfId="492" xr:uid="{00000000-0005-0000-0000-0000AF0C0000}"/>
    <cellStyle name="Normal 3 4 2 4 2" xfId="3140" xr:uid="{00000000-0005-0000-0000-0000B00C0000}"/>
    <cellStyle name="Normal 3 4 2 4 2 2" xfId="5346" xr:uid="{00000000-0005-0000-0000-0000B10C0000}"/>
    <cellStyle name="Normal 3 4 2 4 2 2 2" xfId="11523" xr:uid="{C9E33050-4005-4148-90A2-B6C92D8C61A2}"/>
    <cellStyle name="Normal 3 4 2 4 2 3" xfId="9317" xr:uid="{2BF6EEFD-98A6-4F2C-A849-4EE1C785D8D4}"/>
    <cellStyle name="Normal 3 4 2 4 3" xfId="2258" xr:uid="{00000000-0005-0000-0000-0000B20C0000}"/>
    <cellStyle name="Normal 3 4 2 4 3 2" xfId="5347" xr:uid="{00000000-0005-0000-0000-0000B30C0000}"/>
    <cellStyle name="Normal 3 4 2 4 3 2 2" xfId="11524" xr:uid="{BF87A5F4-095A-43D3-9AF9-F8CFDFA475C2}"/>
    <cellStyle name="Normal 3 4 2 4 3 3" xfId="8435" xr:uid="{47BD6E8F-233C-4449-979C-61CDEB3A9036}"/>
    <cellStyle name="Normal 3 4 2 4 4" xfId="4022" xr:uid="{00000000-0005-0000-0000-0000B40C0000}"/>
    <cellStyle name="Normal 3 4 2 4 4 2" xfId="10199" xr:uid="{5BC427A4-8A7D-4E94-98EF-7D08AEEF17F0}"/>
    <cellStyle name="Normal 3 4 2 4 5" xfId="1375" xr:uid="{00000000-0005-0000-0000-0000B50C0000}"/>
    <cellStyle name="Normal 3 4 2 4 5 2" xfId="7552" xr:uid="{14D5DC6E-A043-4129-A324-0A73963AEE8B}"/>
    <cellStyle name="Normal 3 4 2 4 6" xfId="6669" xr:uid="{FE026D04-8EF3-4FC4-A4E1-51DBE20865C2}"/>
    <cellStyle name="Normal 3 4 2 5" xfId="2699" xr:uid="{00000000-0005-0000-0000-0000B60C0000}"/>
    <cellStyle name="Normal 3 4 2 5 2" xfId="5348" xr:uid="{00000000-0005-0000-0000-0000B70C0000}"/>
    <cellStyle name="Normal 3 4 2 5 2 2" xfId="11525" xr:uid="{EC453438-9A41-4A6C-8BCC-3D3242911500}"/>
    <cellStyle name="Normal 3 4 2 5 3" xfId="8876" xr:uid="{2F04361F-6339-43B4-A18A-E931D4CA2D38}"/>
    <cellStyle name="Normal 3 4 2 6" xfId="1817" xr:uid="{00000000-0005-0000-0000-0000B80C0000}"/>
    <cellStyle name="Normal 3 4 2 6 2" xfId="5349" xr:uid="{00000000-0005-0000-0000-0000B90C0000}"/>
    <cellStyle name="Normal 3 4 2 6 2 2" xfId="11526" xr:uid="{08CE413E-F3E4-42D3-B331-78236339BE13}"/>
    <cellStyle name="Normal 3 4 2 6 3" xfId="7994" xr:uid="{2278BEA7-9FBC-4296-9BEA-9C62705F509B}"/>
    <cellStyle name="Normal 3 4 2 7" xfId="3581" xr:uid="{00000000-0005-0000-0000-0000BA0C0000}"/>
    <cellStyle name="Normal 3 4 2 7 2" xfId="9758" xr:uid="{A0E658EC-0780-4D4B-A4CF-A10CC912E058}"/>
    <cellStyle name="Normal 3 4 2 8" xfId="934" xr:uid="{00000000-0005-0000-0000-0000BB0C0000}"/>
    <cellStyle name="Normal 3 4 2 8 2" xfId="7111" xr:uid="{AA4FE2E5-7954-41AB-84E0-7F88F8367B6D}"/>
    <cellStyle name="Normal 3 4 2 9" xfId="6228" xr:uid="{85E17091-5FC2-4042-B6C3-98D798ACC8F1}"/>
    <cellStyle name="Normal 3 4 3" xfId="67" xr:uid="{00000000-0005-0000-0000-0000BC0C0000}"/>
    <cellStyle name="Normal 3 4 3 2" xfId="177" xr:uid="{00000000-0005-0000-0000-0000BD0C0000}"/>
    <cellStyle name="Normal 3 4 3 2 2" xfId="397" xr:uid="{00000000-0005-0000-0000-0000BE0C0000}"/>
    <cellStyle name="Normal 3 4 3 2 2 2" xfId="838" xr:uid="{00000000-0005-0000-0000-0000BF0C0000}"/>
    <cellStyle name="Normal 3 4 3 2 2 2 2" xfId="3486" xr:uid="{00000000-0005-0000-0000-0000C00C0000}"/>
    <cellStyle name="Normal 3 4 3 2 2 2 2 2" xfId="5350" xr:uid="{00000000-0005-0000-0000-0000C10C0000}"/>
    <cellStyle name="Normal 3 4 3 2 2 2 2 2 2" xfId="11527" xr:uid="{81EFD4DC-FC53-4DB0-9C8E-B45494CD216A}"/>
    <cellStyle name="Normal 3 4 3 2 2 2 2 3" xfId="9663" xr:uid="{EF02D03F-7823-4DD4-8270-E96A6DB85FCD}"/>
    <cellStyle name="Normal 3 4 3 2 2 2 3" xfId="2604" xr:uid="{00000000-0005-0000-0000-0000C20C0000}"/>
    <cellStyle name="Normal 3 4 3 2 2 2 3 2" xfId="5351" xr:uid="{00000000-0005-0000-0000-0000C30C0000}"/>
    <cellStyle name="Normal 3 4 3 2 2 2 3 2 2" xfId="11528" xr:uid="{458C810B-800F-4232-B9D6-FD1DD6789C02}"/>
    <cellStyle name="Normal 3 4 3 2 2 2 3 3" xfId="8781" xr:uid="{7AD5AEA7-D184-4A19-97EF-DD116B79D2EB}"/>
    <cellStyle name="Normal 3 4 3 2 2 2 4" xfId="4368" xr:uid="{00000000-0005-0000-0000-0000C40C0000}"/>
    <cellStyle name="Normal 3 4 3 2 2 2 4 2" xfId="10545" xr:uid="{559E29F9-6FEE-4415-AC48-AEC09C5561F8}"/>
    <cellStyle name="Normal 3 4 3 2 2 2 5" xfId="1721" xr:uid="{00000000-0005-0000-0000-0000C50C0000}"/>
    <cellStyle name="Normal 3 4 3 2 2 2 5 2" xfId="7898" xr:uid="{633C963D-802D-435B-A739-3A96E3976E97}"/>
    <cellStyle name="Normal 3 4 3 2 2 2 6" xfId="7015" xr:uid="{57A600E0-A648-4514-9661-50F70FCD96FD}"/>
    <cellStyle name="Normal 3 4 3 2 2 3" xfId="3045" xr:uid="{00000000-0005-0000-0000-0000C60C0000}"/>
    <cellStyle name="Normal 3 4 3 2 2 3 2" xfId="5352" xr:uid="{00000000-0005-0000-0000-0000C70C0000}"/>
    <cellStyle name="Normal 3 4 3 2 2 3 2 2" xfId="11529" xr:uid="{6B4CA79C-2CF2-481C-843B-53F8FD2658D9}"/>
    <cellStyle name="Normal 3 4 3 2 2 3 3" xfId="9222" xr:uid="{E089E379-DC33-4025-9C05-71719DDBAAF4}"/>
    <cellStyle name="Normal 3 4 3 2 2 4" xfId="2163" xr:uid="{00000000-0005-0000-0000-0000C80C0000}"/>
    <cellStyle name="Normal 3 4 3 2 2 4 2" xfId="5353" xr:uid="{00000000-0005-0000-0000-0000C90C0000}"/>
    <cellStyle name="Normal 3 4 3 2 2 4 2 2" xfId="11530" xr:uid="{9DC9B5DF-0B7E-405F-9FE8-7868F9EC3CF4}"/>
    <cellStyle name="Normal 3 4 3 2 2 4 3" xfId="8340" xr:uid="{BB3DE7FE-C444-44AC-A7BA-52BE60318611}"/>
    <cellStyle name="Normal 3 4 3 2 2 5" xfId="3927" xr:uid="{00000000-0005-0000-0000-0000CA0C0000}"/>
    <cellStyle name="Normal 3 4 3 2 2 5 2" xfId="10104" xr:uid="{632D4DE2-F564-41A1-BCC6-D9E3ACFDC4D6}"/>
    <cellStyle name="Normal 3 4 3 2 2 6" xfId="1280" xr:uid="{00000000-0005-0000-0000-0000CB0C0000}"/>
    <cellStyle name="Normal 3 4 3 2 2 6 2" xfId="7457" xr:uid="{E5AAE4D3-6A45-43D7-9E47-C5442E2B7670}"/>
    <cellStyle name="Normal 3 4 3 2 2 7" xfId="6574" xr:uid="{C0434EAE-4302-4E2C-AE59-5A46B399BA77}"/>
    <cellStyle name="Normal 3 4 3 2 3" xfId="618" xr:uid="{00000000-0005-0000-0000-0000CC0C0000}"/>
    <cellStyle name="Normal 3 4 3 2 3 2" xfId="3266" xr:uid="{00000000-0005-0000-0000-0000CD0C0000}"/>
    <cellStyle name="Normal 3 4 3 2 3 2 2" xfId="5354" xr:uid="{00000000-0005-0000-0000-0000CE0C0000}"/>
    <cellStyle name="Normal 3 4 3 2 3 2 2 2" xfId="11531" xr:uid="{C837F799-1132-4558-8DE3-DF878DE481B0}"/>
    <cellStyle name="Normal 3 4 3 2 3 2 3" xfId="9443" xr:uid="{A1BF8D2A-5386-44D2-869C-D85FA9887161}"/>
    <cellStyle name="Normal 3 4 3 2 3 3" xfId="2384" xr:uid="{00000000-0005-0000-0000-0000CF0C0000}"/>
    <cellStyle name="Normal 3 4 3 2 3 3 2" xfId="5355" xr:uid="{00000000-0005-0000-0000-0000D00C0000}"/>
    <cellStyle name="Normal 3 4 3 2 3 3 2 2" xfId="11532" xr:uid="{693E7516-2A30-4FF5-9B5B-32AAE24C6B78}"/>
    <cellStyle name="Normal 3 4 3 2 3 3 3" xfId="8561" xr:uid="{5D1E35FC-770B-45F1-85F8-9A6BCF21678B}"/>
    <cellStyle name="Normal 3 4 3 2 3 4" xfId="4148" xr:uid="{00000000-0005-0000-0000-0000D10C0000}"/>
    <cellStyle name="Normal 3 4 3 2 3 4 2" xfId="10325" xr:uid="{D52F9441-1F34-41B5-BA56-B1EA9BE54C14}"/>
    <cellStyle name="Normal 3 4 3 2 3 5" xfId="1501" xr:uid="{00000000-0005-0000-0000-0000D20C0000}"/>
    <cellStyle name="Normal 3 4 3 2 3 5 2" xfId="7678" xr:uid="{0308A596-0143-4C0A-BE71-0DE6FDDCE09C}"/>
    <cellStyle name="Normal 3 4 3 2 3 6" xfId="6795" xr:uid="{46EEF9B9-40FB-4B98-9B39-0043FAC38036}"/>
    <cellStyle name="Normal 3 4 3 2 4" xfId="2825" xr:uid="{00000000-0005-0000-0000-0000D30C0000}"/>
    <cellStyle name="Normal 3 4 3 2 4 2" xfId="5356" xr:uid="{00000000-0005-0000-0000-0000D40C0000}"/>
    <cellStyle name="Normal 3 4 3 2 4 2 2" xfId="11533" xr:uid="{8E808E98-A3FD-4949-B500-DD8FA09A33F7}"/>
    <cellStyle name="Normal 3 4 3 2 4 3" xfId="9002" xr:uid="{BC270209-FB1E-4C82-833F-44825C1D7CDF}"/>
    <cellStyle name="Normal 3 4 3 2 5" xfId="1943" xr:uid="{00000000-0005-0000-0000-0000D50C0000}"/>
    <cellStyle name="Normal 3 4 3 2 5 2" xfId="5357" xr:uid="{00000000-0005-0000-0000-0000D60C0000}"/>
    <cellStyle name="Normal 3 4 3 2 5 2 2" xfId="11534" xr:uid="{1DAE9B31-3D0E-4E16-AEB0-72214C4708AC}"/>
    <cellStyle name="Normal 3 4 3 2 5 3" xfId="8120" xr:uid="{92BDC9A6-1482-45A4-AD7C-63757EA300AC}"/>
    <cellStyle name="Normal 3 4 3 2 6" xfId="3707" xr:uid="{00000000-0005-0000-0000-0000D70C0000}"/>
    <cellStyle name="Normal 3 4 3 2 6 2" xfId="9884" xr:uid="{C6DA3ED0-CDC4-479D-92FE-8BBEC551EDD8}"/>
    <cellStyle name="Normal 3 4 3 2 7" xfId="1060" xr:uid="{00000000-0005-0000-0000-0000D80C0000}"/>
    <cellStyle name="Normal 3 4 3 2 7 2" xfId="7237" xr:uid="{6743A0BC-827B-49CA-98B1-0715BC903E86}"/>
    <cellStyle name="Normal 3 4 3 2 8" xfId="6354" xr:uid="{4283805C-301E-4724-8216-4D0560B78725}"/>
    <cellStyle name="Normal 3 4 3 3" xfId="287" xr:uid="{00000000-0005-0000-0000-0000D90C0000}"/>
    <cellStyle name="Normal 3 4 3 3 2" xfId="728" xr:uid="{00000000-0005-0000-0000-0000DA0C0000}"/>
    <cellStyle name="Normal 3 4 3 3 2 2" xfId="3376" xr:uid="{00000000-0005-0000-0000-0000DB0C0000}"/>
    <cellStyle name="Normal 3 4 3 3 2 2 2" xfId="5358" xr:uid="{00000000-0005-0000-0000-0000DC0C0000}"/>
    <cellStyle name="Normal 3 4 3 3 2 2 2 2" xfId="11535" xr:uid="{3A911F2D-384A-44F4-8894-4B79EBDD2D6A}"/>
    <cellStyle name="Normal 3 4 3 3 2 2 3" xfId="9553" xr:uid="{B68B6445-30CD-479A-BC11-34600F04D87B}"/>
    <cellStyle name="Normal 3 4 3 3 2 3" xfId="2494" xr:uid="{00000000-0005-0000-0000-0000DD0C0000}"/>
    <cellStyle name="Normal 3 4 3 3 2 3 2" xfId="5359" xr:uid="{00000000-0005-0000-0000-0000DE0C0000}"/>
    <cellStyle name="Normal 3 4 3 3 2 3 2 2" xfId="11536" xr:uid="{2B6F3860-669A-405B-B4E3-D667803382D9}"/>
    <cellStyle name="Normal 3 4 3 3 2 3 3" xfId="8671" xr:uid="{5726F368-AF68-490A-9F7E-BB14D07C9318}"/>
    <cellStyle name="Normal 3 4 3 3 2 4" xfId="4258" xr:uid="{00000000-0005-0000-0000-0000DF0C0000}"/>
    <cellStyle name="Normal 3 4 3 3 2 4 2" xfId="10435" xr:uid="{B7CC21C6-4C87-4B3F-AD76-8B1C64B08CB0}"/>
    <cellStyle name="Normal 3 4 3 3 2 5" xfId="1611" xr:uid="{00000000-0005-0000-0000-0000E00C0000}"/>
    <cellStyle name="Normal 3 4 3 3 2 5 2" xfId="7788" xr:uid="{976EBCC0-4028-4655-B6FC-8B590F318639}"/>
    <cellStyle name="Normal 3 4 3 3 2 6" xfId="6905" xr:uid="{FD8FBDCD-BA58-4FDB-9120-5FDDB6E96882}"/>
    <cellStyle name="Normal 3 4 3 3 3" xfId="2935" xr:uid="{00000000-0005-0000-0000-0000E10C0000}"/>
    <cellStyle name="Normal 3 4 3 3 3 2" xfId="5360" xr:uid="{00000000-0005-0000-0000-0000E20C0000}"/>
    <cellStyle name="Normal 3 4 3 3 3 2 2" xfId="11537" xr:uid="{B2CD0FD8-3630-4316-BEEF-BA8E1211FABF}"/>
    <cellStyle name="Normal 3 4 3 3 3 3" xfId="9112" xr:uid="{94E92E97-3953-4C70-8E13-4DAD85E18E41}"/>
    <cellStyle name="Normal 3 4 3 3 4" xfId="2053" xr:uid="{00000000-0005-0000-0000-0000E30C0000}"/>
    <cellStyle name="Normal 3 4 3 3 4 2" xfId="5361" xr:uid="{00000000-0005-0000-0000-0000E40C0000}"/>
    <cellStyle name="Normal 3 4 3 3 4 2 2" xfId="11538" xr:uid="{843FB564-D9D3-4AD8-B7D9-D5396641B4D7}"/>
    <cellStyle name="Normal 3 4 3 3 4 3" xfId="8230" xr:uid="{41DFF59E-037E-4A8D-927D-9AA03199A951}"/>
    <cellStyle name="Normal 3 4 3 3 5" xfId="3817" xr:uid="{00000000-0005-0000-0000-0000E50C0000}"/>
    <cellStyle name="Normal 3 4 3 3 5 2" xfId="9994" xr:uid="{7EB64100-D08F-46D9-A3FA-D79C15CC0717}"/>
    <cellStyle name="Normal 3 4 3 3 6" xfId="1170" xr:uid="{00000000-0005-0000-0000-0000E60C0000}"/>
    <cellStyle name="Normal 3 4 3 3 6 2" xfId="7347" xr:uid="{D8B66DB1-997A-4D7D-B0B6-AEE7A7AB6DC9}"/>
    <cellStyle name="Normal 3 4 3 3 7" xfId="6464" xr:uid="{150DF481-FA3A-4DEC-A81F-3FF0BB813149}"/>
    <cellStyle name="Normal 3 4 3 4" xfId="508" xr:uid="{00000000-0005-0000-0000-0000E70C0000}"/>
    <cellStyle name="Normal 3 4 3 4 2" xfId="3156" xr:uid="{00000000-0005-0000-0000-0000E80C0000}"/>
    <cellStyle name="Normal 3 4 3 4 2 2" xfId="5362" xr:uid="{00000000-0005-0000-0000-0000E90C0000}"/>
    <cellStyle name="Normal 3 4 3 4 2 2 2" xfId="11539" xr:uid="{BC70CD0D-0D41-4638-B4BC-8D454A27093B}"/>
    <cellStyle name="Normal 3 4 3 4 2 3" xfId="9333" xr:uid="{7294220A-8A1F-428C-BC4A-A5F6FA62DDFC}"/>
    <cellStyle name="Normal 3 4 3 4 3" xfId="2274" xr:uid="{00000000-0005-0000-0000-0000EA0C0000}"/>
    <cellStyle name="Normal 3 4 3 4 3 2" xfId="5363" xr:uid="{00000000-0005-0000-0000-0000EB0C0000}"/>
    <cellStyle name="Normal 3 4 3 4 3 2 2" xfId="11540" xr:uid="{B9495D6D-A123-4BC4-820F-54B299B38E95}"/>
    <cellStyle name="Normal 3 4 3 4 3 3" xfId="8451" xr:uid="{2F469C1B-B6C9-4BA6-93A9-8F26E078FC62}"/>
    <cellStyle name="Normal 3 4 3 4 4" xfId="4038" xr:uid="{00000000-0005-0000-0000-0000EC0C0000}"/>
    <cellStyle name="Normal 3 4 3 4 4 2" xfId="10215" xr:uid="{E6125865-B640-4C71-A50A-961409B61E21}"/>
    <cellStyle name="Normal 3 4 3 4 5" xfId="1391" xr:uid="{00000000-0005-0000-0000-0000ED0C0000}"/>
    <cellStyle name="Normal 3 4 3 4 5 2" xfId="7568" xr:uid="{97F57B1F-201E-478A-A038-5BFEC203C157}"/>
    <cellStyle name="Normal 3 4 3 4 6" xfId="6685" xr:uid="{69D59223-455F-4FC4-BA22-3C77E2285EB6}"/>
    <cellStyle name="Normal 3 4 3 5" xfId="2715" xr:uid="{00000000-0005-0000-0000-0000EE0C0000}"/>
    <cellStyle name="Normal 3 4 3 5 2" xfId="5364" xr:uid="{00000000-0005-0000-0000-0000EF0C0000}"/>
    <cellStyle name="Normal 3 4 3 5 2 2" xfId="11541" xr:uid="{74475E3F-3D21-40EA-8B70-9DEABF1AD465}"/>
    <cellStyle name="Normal 3 4 3 5 3" xfId="8892" xr:uid="{C804C04C-E74F-41AE-8BF9-BE9A310A8F5A}"/>
    <cellStyle name="Normal 3 4 3 6" xfId="1833" xr:uid="{00000000-0005-0000-0000-0000F00C0000}"/>
    <cellStyle name="Normal 3 4 3 6 2" xfId="5365" xr:uid="{00000000-0005-0000-0000-0000F10C0000}"/>
    <cellStyle name="Normal 3 4 3 6 2 2" xfId="11542" xr:uid="{78AACB06-7BA6-4D62-BC96-D2B698C75CA2}"/>
    <cellStyle name="Normal 3 4 3 6 3" xfId="8010" xr:uid="{03AF78A8-E4A4-4085-BE43-5CF03C73BA21}"/>
    <cellStyle name="Normal 3 4 3 7" xfId="3597" xr:uid="{00000000-0005-0000-0000-0000F20C0000}"/>
    <cellStyle name="Normal 3 4 3 7 2" xfId="9774" xr:uid="{88624CF8-11CA-40F6-ADA5-7FCFC4778A85}"/>
    <cellStyle name="Normal 3 4 3 8" xfId="950" xr:uid="{00000000-0005-0000-0000-0000F30C0000}"/>
    <cellStyle name="Normal 3 4 3 8 2" xfId="7127" xr:uid="{EA482F4A-06C9-4245-95B9-2BA7EB77FCAE}"/>
    <cellStyle name="Normal 3 4 3 9" xfId="6244" xr:uid="{5D238911-9AD3-4B76-AFC1-2E2D6D1F9C33}"/>
    <cellStyle name="Normal 3 4 4" xfId="83" xr:uid="{00000000-0005-0000-0000-0000F40C0000}"/>
    <cellStyle name="Normal 3 4 4 2" xfId="193" xr:uid="{00000000-0005-0000-0000-0000F50C0000}"/>
    <cellStyle name="Normal 3 4 4 2 2" xfId="413" xr:uid="{00000000-0005-0000-0000-0000F60C0000}"/>
    <cellStyle name="Normal 3 4 4 2 2 2" xfId="854" xr:uid="{00000000-0005-0000-0000-0000F70C0000}"/>
    <cellStyle name="Normal 3 4 4 2 2 2 2" xfId="3502" xr:uid="{00000000-0005-0000-0000-0000F80C0000}"/>
    <cellStyle name="Normal 3 4 4 2 2 2 2 2" xfId="5366" xr:uid="{00000000-0005-0000-0000-0000F90C0000}"/>
    <cellStyle name="Normal 3 4 4 2 2 2 2 2 2" xfId="11543" xr:uid="{495E1445-B8CE-4C48-963A-19FC0E183859}"/>
    <cellStyle name="Normal 3 4 4 2 2 2 2 3" xfId="9679" xr:uid="{9A22092C-FC2D-4651-9F3E-9FB8B517B69D}"/>
    <cellStyle name="Normal 3 4 4 2 2 2 3" xfId="2620" xr:uid="{00000000-0005-0000-0000-0000FA0C0000}"/>
    <cellStyle name="Normal 3 4 4 2 2 2 3 2" xfId="5367" xr:uid="{00000000-0005-0000-0000-0000FB0C0000}"/>
    <cellStyle name="Normal 3 4 4 2 2 2 3 2 2" xfId="11544" xr:uid="{879B373C-8412-4D9E-B73F-E68C284D85A3}"/>
    <cellStyle name="Normal 3 4 4 2 2 2 3 3" xfId="8797" xr:uid="{7F5112F6-A7C1-4CF2-8161-EB7882AB0AF0}"/>
    <cellStyle name="Normal 3 4 4 2 2 2 4" xfId="4384" xr:uid="{00000000-0005-0000-0000-0000FC0C0000}"/>
    <cellStyle name="Normal 3 4 4 2 2 2 4 2" xfId="10561" xr:uid="{1EBA54BE-AC0A-44E6-A89E-1A979B47A379}"/>
    <cellStyle name="Normal 3 4 4 2 2 2 5" xfId="1737" xr:uid="{00000000-0005-0000-0000-0000FD0C0000}"/>
    <cellStyle name="Normal 3 4 4 2 2 2 5 2" xfId="7914" xr:uid="{DB07630E-93DB-4ED7-ACF6-1C7F363B9453}"/>
    <cellStyle name="Normal 3 4 4 2 2 2 6" xfId="7031" xr:uid="{D11F980F-61FC-4B2D-A8F6-B7F70B1338FE}"/>
    <cellStyle name="Normal 3 4 4 2 2 3" xfId="3061" xr:uid="{00000000-0005-0000-0000-0000FE0C0000}"/>
    <cellStyle name="Normal 3 4 4 2 2 3 2" xfId="5368" xr:uid="{00000000-0005-0000-0000-0000FF0C0000}"/>
    <cellStyle name="Normal 3 4 4 2 2 3 2 2" xfId="11545" xr:uid="{6F613D8B-6A1F-4E77-8D55-E92E0064E760}"/>
    <cellStyle name="Normal 3 4 4 2 2 3 3" xfId="9238" xr:uid="{7F77323E-EE92-4091-8BF5-0E710D9F1ABD}"/>
    <cellStyle name="Normal 3 4 4 2 2 4" xfId="2179" xr:uid="{00000000-0005-0000-0000-0000000D0000}"/>
    <cellStyle name="Normal 3 4 4 2 2 4 2" xfId="5369" xr:uid="{00000000-0005-0000-0000-0000010D0000}"/>
    <cellStyle name="Normal 3 4 4 2 2 4 2 2" xfId="11546" xr:uid="{B8FD19F1-802B-45DB-85D3-0050DB7C7A18}"/>
    <cellStyle name="Normal 3 4 4 2 2 4 3" xfId="8356" xr:uid="{49819B2C-22F4-4B90-B6F1-56D953A41D2B}"/>
    <cellStyle name="Normal 3 4 4 2 2 5" xfId="3943" xr:uid="{00000000-0005-0000-0000-0000020D0000}"/>
    <cellStyle name="Normal 3 4 4 2 2 5 2" xfId="10120" xr:uid="{054BEF28-6921-4A77-B036-7D5BEE7DA291}"/>
    <cellStyle name="Normal 3 4 4 2 2 6" xfId="1296" xr:uid="{00000000-0005-0000-0000-0000030D0000}"/>
    <cellStyle name="Normal 3 4 4 2 2 6 2" xfId="7473" xr:uid="{26E0CAC5-A9D3-4BE5-9C4F-8017B6828D60}"/>
    <cellStyle name="Normal 3 4 4 2 2 7" xfId="6590" xr:uid="{27E43C6E-C7F8-4490-8F8C-2644E9E173F5}"/>
    <cellStyle name="Normal 3 4 4 2 3" xfId="634" xr:uid="{00000000-0005-0000-0000-0000040D0000}"/>
    <cellStyle name="Normal 3 4 4 2 3 2" xfId="3282" xr:uid="{00000000-0005-0000-0000-0000050D0000}"/>
    <cellStyle name="Normal 3 4 4 2 3 2 2" xfId="5370" xr:uid="{00000000-0005-0000-0000-0000060D0000}"/>
    <cellStyle name="Normal 3 4 4 2 3 2 2 2" xfId="11547" xr:uid="{02B58ACA-6B4B-44D5-B1E9-6059A2CF4D65}"/>
    <cellStyle name="Normal 3 4 4 2 3 2 3" xfId="9459" xr:uid="{03DC6219-D311-4997-A80D-455848569CEC}"/>
    <cellStyle name="Normal 3 4 4 2 3 3" xfId="2400" xr:uid="{00000000-0005-0000-0000-0000070D0000}"/>
    <cellStyle name="Normal 3 4 4 2 3 3 2" xfId="5371" xr:uid="{00000000-0005-0000-0000-0000080D0000}"/>
    <cellStyle name="Normal 3 4 4 2 3 3 2 2" xfId="11548" xr:uid="{6C6B4319-8585-48F9-8A38-A342009C5160}"/>
    <cellStyle name="Normal 3 4 4 2 3 3 3" xfId="8577" xr:uid="{DCA628E5-39A0-48B0-A6D0-790C62EFB1B9}"/>
    <cellStyle name="Normal 3 4 4 2 3 4" xfId="4164" xr:uid="{00000000-0005-0000-0000-0000090D0000}"/>
    <cellStyle name="Normal 3 4 4 2 3 4 2" xfId="10341" xr:uid="{C6F120B8-1015-4421-89B7-F11C7DC2ECBB}"/>
    <cellStyle name="Normal 3 4 4 2 3 5" xfId="1517" xr:uid="{00000000-0005-0000-0000-00000A0D0000}"/>
    <cellStyle name="Normal 3 4 4 2 3 5 2" xfId="7694" xr:uid="{2B6895DB-5DA2-4D15-92A5-63A30EFF62AC}"/>
    <cellStyle name="Normal 3 4 4 2 3 6" xfId="6811" xr:uid="{96FEBF58-9188-4234-BF3A-F4728A659A1E}"/>
    <cellStyle name="Normal 3 4 4 2 4" xfId="2841" xr:uid="{00000000-0005-0000-0000-00000B0D0000}"/>
    <cellStyle name="Normal 3 4 4 2 4 2" xfId="5372" xr:uid="{00000000-0005-0000-0000-00000C0D0000}"/>
    <cellStyle name="Normal 3 4 4 2 4 2 2" xfId="11549" xr:uid="{79EA457A-7AC2-4B74-8E2B-BE8965EEAC88}"/>
    <cellStyle name="Normal 3 4 4 2 4 3" xfId="9018" xr:uid="{2F1ADA26-2FFB-440E-9A49-19C94F3DCCF9}"/>
    <cellStyle name="Normal 3 4 4 2 5" xfId="1959" xr:uid="{00000000-0005-0000-0000-00000D0D0000}"/>
    <cellStyle name="Normal 3 4 4 2 5 2" xfId="5373" xr:uid="{00000000-0005-0000-0000-00000E0D0000}"/>
    <cellStyle name="Normal 3 4 4 2 5 2 2" xfId="11550" xr:uid="{94C92E91-9FDB-4571-A277-2ABFF195AB23}"/>
    <cellStyle name="Normal 3 4 4 2 5 3" xfId="8136" xr:uid="{DCDD5F23-8F4F-457B-B8F3-8A87F578BEBD}"/>
    <cellStyle name="Normal 3 4 4 2 6" xfId="3723" xr:uid="{00000000-0005-0000-0000-00000F0D0000}"/>
    <cellStyle name="Normal 3 4 4 2 6 2" xfId="9900" xr:uid="{9F3EE421-B75B-4FB7-8019-E451DC041ABA}"/>
    <cellStyle name="Normal 3 4 4 2 7" xfId="1076" xr:uid="{00000000-0005-0000-0000-0000100D0000}"/>
    <cellStyle name="Normal 3 4 4 2 7 2" xfId="7253" xr:uid="{5ACCED82-93BB-497C-869F-025079ECCC06}"/>
    <cellStyle name="Normal 3 4 4 2 8" xfId="6370" xr:uid="{93F968A3-7F2C-4227-8DE3-CD01007D2944}"/>
    <cellStyle name="Normal 3 4 4 3" xfId="303" xr:uid="{00000000-0005-0000-0000-0000110D0000}"/>
    <cellStyle name="Normal 3 4 4 3 2" xfId="744" xr:uid="{00000000-0005-0000-0000-0000120D0000}"/>
    <cellStyle name="Normal 3 4 4 3 2 2" xfId="3392" xr:uid="{00000000-0005-0000-0000-0000130D0000}"/>
    <cellStyle name="Normal 3 4 4 3 2 2 2" xfId="5374" xr:uid="{00000000-0005-0000-0000-0000140D0000}"/>
    <cellStyle name="Normal 3 4 4 3 2 2 2 2" xfId="11551" xr:uid="{AE3374A6-22AA-4A47-93E6-B2AE01916E88}"/>
    <cellStyle name="Normal 3 4 4 3 2 2 3" xfId="9569" xr:uid="{D6603AF2-7300-47A1-87B2-5E01D6A698CA}"/>
    <cellStyle name="Normal 3 4 4 3 2 3" xfId="2510" xr:uid="{00000000-0005-0000-0000-0000150D0000}"/>
    <cellStyle name="Normal 3 4 4 3 2 3 2" xfId="5375" xr:uid="{00000000-0005-0000-0000-0000160D0000}"/>
    <cellStyle name="Normal 3 4 4 3 2 3 2 2" xfId="11552" xr:uid="{76FA3C6C-2CD4-4B9B-9BF9-D1ADA8FABBCA}"/>
    <cellStyle name="Normal 3 4 4 3 2 3 3" xfId="8687" xr:uid="{9CCFD167-E0A6-4165-961A-15D7E6E6488B}"/>
    <cellStyle name="Normal 3 4 4 3 2 4" xfId="4274" xr:uid="{00000000-0005-0000-0000-0000170D0000}"/>
    <cellStyle name="Normal 3 4 4 3 2 4 2" xfId="10451" xr:uid="{19A5234E-4AC8-4705-B64B-BFE461A7BC03}"/>
    <cellStyle name="Normal 3 4 4 3 2 5" xfId="1627" xr:uid="{00000000-0005-0000-0000-0000180D0000}"/>
    <cellStyle name="Normal 3 4 4 3 2 5 2" xfId="7804" xr:uid="{80B83609-DB39-4712-845A-3337AFEC85AE}"/>
    <cellStyle name="Normal 3 4 4 3 2 6" xfId="6921" xr:uid="{10F12729-EC49-4F3D-A89B-077F750202F5}"/>
    <cellStyle name="Normal 3 4 4 3 3" xfId="2951" xr:uid="{00000000-0005-0000-0000-0000190D0000}"/>
    <cellStyle name="Normal 3 4 4 3 3 2" xfId="5376" xr:uid="{00000000-0005-0000-0000-00001A0D0000}"/>
    <cellStyle name="Normal 3 4 4 3 3 2 2" xfId="11553" xr:uid="{8AF7221A-4A9D-4960-B574-251F76D477E0}"/>
    <cellStyle name="Normal 3 4 4 3 3 3" xfId="9128" xr:uid="{B75AA5B9-0242-4697-8A11-2C7E8C37CC25}"/>
    <cellStyle name="Normal 3 4 4 3 4" xfId="2069" xr:uid="{00000000-0005-0000-0000-00001B0D0000}"/>
    <cellStyle name="Normal 3 4 4 3 4 2" xfId="5377" xr:uid="{00000000-0005-0000-0000-00001C0D0000}"/>
    <cellStyle name="Normal 3 4 4 3 4 2 2" xfId="11554" xr:uid="{22894686-051F-4FB2-87B0-0B7C56703EA2}"/>
    <cellStyle name="Normal 3 4 4 3 4 3" xfId="8246" xr:uid="{229DD8A3-47A8-4F2F-A625-8DE7C6627EEE}"/>
    <cellStyle name="Normal 3 4 4 3 5" xfId="3833" xr:uid="{00000000-0005-0000-0000-00001D0D0000}"/>
    <cellStyle name="Normal 3 4 4 3 5 2" xfId="10010" xr:uid="{E6A11AFB-E24F-49E6-9765-A625F1DF49E1}"/>
    <cellStyle name="Normal 3 4 4 3 6" xfId="1186" xr:uid="{00000000-0005-0000-0000-00001E0D0000}"/>
    <cellStyle name="Normal 3 4 4 3 6 2" xfId="7363" xr:uid="{2007F0EF-93DC-4303-880E-FDD5684FDFA3}"/>
    <cellStyle name="Normal 3 4 4 3 7" xfId="6480" xr:uid="{C3AD58CC-50A1-45EF-A7EE-BAFA42E7F703}"/>
    <cellStyle name="Normal 3 4 4 4" xfId="524" xr:uid="{00000000-0005-0000-0000-00001F0D0000}"/>
    <cellStyle name="Normal 3 4 4 4 2" xfId="3172" xr:uid="{00000000-0005-0000-0000-0000200D0000}"/>
    <cellStyle name="Normal 3 4 4 4 2 2" xfId="5378" xr:uid="{00000000-0005-0000-0000-0000210D0000}"/>
    <cellStyle name="Normal 3 4 4 4 2 2 2" xfId="11555" xr:uid="{FAEE1E54-578C-42D2-8F23-D0D66C89491D}"/>
    <cellStyle name="Normal 3 4 4 4 2 3" xfId="9349" xr:uid="{DD2068AF-C6FB-41C7-9F54-120B2015A014}"/>
    <cellStyle name="Normal 3 4 4 4 3" xfId="2290" xr:uid="{00000000-0005-0000-0000-0000220D0000}"/>
    <cellStyle name="Normal 3 4 4 4 3 2" xfId="5379" xr:uid="{00000000-0005-0000-0000-0000230D0000}"/>
    <cellStyle name="Normal 3 4 4 4 3 2 2" xfId="11556" xr:uid="{10D431EF-E0E6-4054-8D8C-B7F928F151DA}"/>
    <cellStyle name="Normal 3 4 4 4 3 3" xfId="8467" xr:uid="{8B1C482D-DA2E-412E-9773-04F3A299136E}"/>
    <cellStyle name="Normal 3 4 4 4 4" xfId="4054" xr:uid="{00000000-0005-0000-0000-0000240D0000}"/>
    <cellStyle name="Normal 3 4 4 4 4 2" xfId="10231" xr:uid="{2361A2EB-3408-4C01-A35F-E83471B269EA}"/>
    <cellStyle name="Normal 3 4 4 4 5" xfId="1407" xr:uid="{00000000-0005-0000-0000-0000250D0000}"/>
    <cellStyle name="Normal 3 4 4 4 5 2" xfId="7584" xr:uid="{6E7BACCA-97CB-48DA-8678-3015527A737F}"/>
    <cellStyle name="Normal 3 4 4 4 6" xfId="6701" xr:uid="{0CB83E0D-66B4-4A9B-879E-BDBE838402F6}"/>
    <cellStyle name="Normal 3 4 4 5" xfId="2731" xr:uid="{00000000-0005-0000-0000-0000260D0000}"/>
    <cellStyle name="Normal 3 4 4 5 2" xfId="5380" xr:uid="{00000000-0005-0000-0000-0000270D0000}"/>
    <cellStyle name="Normal 3 4 4 5 2 2" xfId="11557" xr:uid="{E17102E1-8A08-44F1-B4D5-DCEFCCB40694}"/>
    <cellStyle name="Normal 3 4 4 5 3" xfId="8908" xr:uid="{3D063CD5-4D8E-4C00-8559-D94130A88308}"/>
    <cellStyle name="Normal 3 4 4 6" xfId="1849" xr:uid="{00000000-0005-0000-0000-0000280D0000}"/>
    <cellStyle name="Normal 3 4 4 6 2" xfId="5381" xr:uid="{00000000-0005-0000-0000-0000290D0000}"/>
    <cellStyle name="Normal 3 4 4 6 2 2" xfId="11558" xr:uid="{88547446-F231-4403-B2B6-6D360E42EDD6}"/>
    <cellStyle name="Normal 3 4 4 6 3" xfId="8026" xr:uid="{E9AA01E4-6BC0-4BB6-A7D0-FBCA168DA63B}"/>
    <cellStyle name="Normal 3 4 4 7" xfId="3613" xr:uid="{00000000-0005-0000-0000-00002A0D0000}"/>
    <cellStyle name="Normal 3 4 4 7 2" xfId="9790" xr:uid="{17C0F358-DADD-43F8-827D-7A617F8232E0}"/>
    <cellStyle name="Normal 3 4 4 8" xfId="966" xr:uid="{00000000-0005-0000-0000-00002B0D0000}"/>
    <cellStyle name="Normal 3 4 4 8 2" xfId="7143" xr:uid="{97DA31C4-920E-47AA-A0A4-66A490282877}"/>
    <cellStyle name="Normal 3 4 4 9" xfId="6260" xr:uid="{99B233D1-1266-4FFA-BFF5-BE6FF1580B43}"/>
    <cellStyle name="Normal 3 4 5" xfId="127" xr:uid="{00000000-0005-0000-0000-00002C0D0000}"/>
    <cellStyle name="Normal 3 4 5 2" xfId="347" xr:uid="{00000000-0005-0000-0000-00002D0D0000}"/>
    <cellStyle name="Normal 3 4 5 2 2" xfId="788" xr:uid="{00000000-0005-0000-0000-00002E0D0000}"/>
    <cellStyle name="Normal 3 4 5 2 2 2" xfId="3436" xr:uid="{00000000-0005-0000-0000-00002F0D0000}"/>
    <cellStyle name="Normal 3 4 5 2 2 2 2" xfId="5382" xr:uid="{00000000-0005-0000-0000-0000300D0000}"/>
    <cellStyle name="Normal 3 4 5 2 2 2 2 2" xfId="11559" xr:uid="{48D661BA-68CE-4E1E-98FE-3D9F88081C7C}"/>
    <cellStyle name="Normal 3 4 5 2 2 2 3" xfId="9613" xr:uid="{0647A66E-ECEE-4D8F-808F-EF6537B4165D}"/>
    <cellStyle name="Normal 3 4 5 2 2 3" xfId="2554" xr:uid="{00000000-0005-0000-0000-0000310D0000}"/>
    <cellStyle name="Normal 3 4 5 2 2 3 2" xfId="5383" xr:uid="{00000000-0005-0000-0000-0000320D0000}"/>
    <cellStyle name="Normal 3 4 5 2 2 3 2 2" xfId="11560" xr:uid="{AD436E0D-C503-4B15-84C8-7AAD7B58C9B5}"/>
    <cellStyle name="Normal 3 4 5 2 2 3 3" xfId="8731" xr:uid="{74EA4B25-D7AF-4E09-9C08-5F234952DC04}"/>
    <cellStyle name="Normal 3 4 5 2 2 4" xfId="4318" xr:uid="{00000000-0005-0000-0000-0000330D0000}"/>
    <cellStyle name="Normal 3 4 5 2 2 4 2" xfId="10495" xr:uid="{E0EE31A0-33A7-4F91-A537-51F65F95D37F}"/>
    <cellStyle name="Normal 3 4 5 2 2 5" xfId="1671" xr:uid="{00000000-0005-0000-0000-0000340D0000}"/>
    <cellStyle name="Normal 3 4 5 2 2 5 2" xfId="7848" xr:uid="{B0B74DF2-E533-4FC1-BA0D-02F59F703A3E}"/>
    <cellStyle name="Normal 3 4 5 2 2 6" xfId="6965" xr:uid="{57A90916-32D0-45EB-BA8A-560E295D6AD5}"/>
    <cellStyle name="Normal 3 4 5 2 3" xfId="2995" xr:uid="{00000000-0005-0000-0000-0000350D0000}"/>
    <cellStyle name="Normal 3 4 5 2 3 2" xfId="5384" xr:uid="{00000000-0005-0000-0000-0000360D0000}"/>
    <cellStyle name="Normal 3 4 5 2 3 2 2" xfId="11561" xr:uid="{FF5FBE75-B6BB-4058-85BB-448CDBF6F685}"/>
    <cellStyle name="Normal 3 4 5 2 3 3" xfId="9172" xr:uid="{76D22983-4610-430E-836E-E97D9DE72E18}"/>
    <cellStyle name="Normal 3 4 5 2 4" xfId="2113" xr:uid="{00000000-0005-0000-0000-0000370D0000}"/>
    <cellStyle name="Normal 3 4 5 2 4 2" xfId="5385" xr:uid="{00000000-0005-0000-0000-0000380D0000}"/>
    <cellStyle name="Normal 3 4 5 2 4 2 2" xfId="11562" xr:uid="{F8F3706B-4544-45D0-9749-F28213CB5A20}"/>
    <cellStyle name="Normal 3 4 5 2 4 3" xfId="8290" xr:uid="{393A47ED-1D05-47E1-AF9C-BA652A7D25B5}"/>
    <cellStyle name="Normal 3 4 5 2 5" xfId="3877" xr:uid="{00000000-0005-0000-0000-0000390D0000}"/>
    <cellStyle name="Normal 3 4 5 2 5 2" xfId="10054" xr:uid="{99469F60-C7C5-464A-B90B-9DB46C1DB2AB}"/>
    <cellStyle name="Normal 3 4 5 2 6" xfId="1230" xr:uid="{00000000-0005-0000-0000-00003A0D0000}"/>
    <cellStyle name="Normal 3 4 5 2 6 2" xfId="7407" xr:uid="{26D8C78A-E7E8-4839-AAB0-BB65FBFB4B42}"/>
    <cellStyle name="Normal 3 4 5 2 7" xfId="6524" xr:uid="{CFEE9EFC-8851-4678-9D95-D39411C3AD32}"/>
    <cellStyle name="Normal 3 4 5 3" xfId="568" xr:uid="{00000000-0005-0000-0000-00003B0D0000}"/>
    <cellStyle name="Normal 3 4 5 3 2" xfId="3216" xr:uid="{00000000-0005-0000-0000-00003C0D0000}"/>
    <cellStyle name="Normal 3 4 5 3 2 2" xfId="5386" xr:uid="{00000000-0005-0000-0000-00003D0D0000}"/>
    <cellStyle name="Normal 3 4 5 3 2 2 2" xfId="11563" xr:uid="{282E12EE-A3EA-4431-B60C-7ED5C8ECA711}"/>
    <cellStyle name="Normal 3 4 5 3 2 3" xfId="9393" xr:uid="{0E4C851F-95EF-44CF-B8D8-518122C43B4C}"/>
    <cellStyle name="Normal 3 4 5 3 3" xfId="2334" xr:uid="{00000000-0005-0000-0000-00003E0D0000}"/>
    <cellStyle name="Normal 3 4 5 3 3 2" xfId="5387" xr:uid="{00000000-0005-0000-0000-00003F0D0000}"/>
    <cellStyle name="Normal 3 4 5 3 3 2 2" xfId="11564" xr:uid="{3A0BB834-B177-4926-BE0F-52B472B0AF06}"/>
    <cellStyle name="Normal 3 4 5 3 3 3" xfId="8511" xr:uid="{77041113-ECB0-47D7-8993-A49F828D8726}"/>
    <cellStyle name="Normal 3 4 5 3 4" xfId="4098" xr:uid="{00000000-0005-0000-0000-0000400D0000}"/>
    <cellStyle name="Normal 3 4 5 3 4 2" xfId="10275" xr:uid="{56073ED4-85DF-4878-AFD2-36D597E9FAEA}"/>
    <cellStyle name="Normal 3 4 5 3 5" xfId="1451" xr:uid="{00000000-0005-0000-0000-0000410D0000}"/>
    <cellStyle name="Normal 3 4 5 3 5 2" xfId="7628" xr:uid="{F0E73CA0-4EA3-439A-8029-BBF1C1B1AED1}"/>
    <cellStyle name="Normal 3 4 5 3 6" xfId="6745" xr:uid="{9DF26BB3-F12B-42F9-AB3D-F7784FAF1BCF}"/>
    <cellStyle name="Normal 3 4 5 4" xfId="2775" xr:uid="{00000000-0005-0000-0000-0000420D0000}"/>
    <cellStyle name="Normal 3 4 5 4 2" xfId="5388" xr:uid="{00000000-0005-0000-0000-0000430D0000}"/>
    <cellStyle name="Normal 3 4 5 4 2 2" xfId="11565" xr:uid="{75D73BFB-F0A8-4F2D-B9E7-189258DD2DEB}"/>
    <cellStyle name="Normal 3 4 5 4 3" xfId="8952" xr:uid="{F3726A49-C938-4E0D-8FF2-2FFE79C18FFB}"/>
    <cellStyle name="Normal 3 4 5 5" xfId="1893" xr:uid="{00000000-0005-0000-0000-0000440D0000}"/>
    <cellStyle name="Normal 3 4 5 5 2" xfId="5389" xr:uid="{00000000-0005-0000-0000-0000450D0000}"/>
    <cellStyle name="Normal 3 4 5 5 2 2" xfId="11566" xr:uid="{CECCE7D3-B786-4BE2-817B-036320DEAB34}"/>
    <cellStyle name="Normal 3 4 5 5 3" xfId="8070" xr:uid="{B5BEEECA-228E-4480-9F07-F49C7927CD9A}"/>
    <cellStyle name="Normal 3 4 5 6" xfId="3657" xr:uid="{00000000-0005-0000-0000-0000460D0000}"/>
    <cellStyle name="Normal 3 4 5 6 2" xfId="9834" xr:uid="{6A3CF5F2-E6AE-4485-A942-925C79CAE537}"/>
    <cellStyle name="Normal 3 4 5 7" xfId="1010" xr:uid="{00000000-0005-0000-0000-0000470D0000}"/>
    <cellStyle name="Normal 3 4 5 7 2" xfId="7187" xr:uid="{4B31487E-143C-4EDB-BBC3-ED5DB7C2DD77}"/>
    <cellStyle name="Normal 3 4 5 8" xfId="6304" xr:uid="{99C75CFF-C782-43B6-B89E-F4FD2730C12C}"/>
    <cellStyle name="Normal 3 4 6" xfId="237" xr:uid="{00000000-0005-0000-0000-0000480D0000}"/>
    <cellStyle name="Normal 3 4 6 2" xfId="678" xr:uid="{00000000-0005-0000-0000-0000490D0000}"/>
    <cellStyle name="Normal 3 4 6 2 2" xfId="3326" xr:uid="{00000000-0005-0000-0000-00004A0D0000}"/>
    <cellStyle name="Normal 3 4 6 2 2 2" xfId="5390" xr:uid="{00000000-0005-0000-0000-00004B0D0000}"/>
    <cellStyle name="Normal 3 4 6 2 2 2 2" xfId="11567" xr:uid="{AA9A7D5E-C8BD-4C14-A70A-0B0CA751B770}"/>
    <cellStyle name="Normal 3 4 6 2 2 3" xfId="9503" xr:uid="{8A0A6F98-9066-4FCA-A23C-6C62AC8EDFAA}"/>
    <cellStyle name="Normal 3 4 6 2 3" xfId="2444" xr:uid="{00000000-0005-0000-0000-00004C0D0000}"/>
    <cellStyle name="Normal 3 4 6 2 3 2" xfId="5391" xr:uid="{00000000-0005-0000-0000-00004D0D0000}"/>
    <cellStyle name="Normal 3 4 6 2 3 2 2" xfId="11568" xr:uid="{079C5E98-FC66-455D-BA5B-E32F0AB2D2AB}"/>
    <cellStyle name="Normal 3 4 6 2 3 3" xfId="8621" xr:uid="{0BAE96E7-FF92-42E4-8F9D-C49F01086F81}"/>
    <cellStyle name="Normal 3 4 6 2 4" xfId="4208" xr:uid="{00000000-0005-0000-0000-00004E0D0000}"/>
    <cellStyle name="Normal 3 4 6 2 4 2" xfId="10385" xr:uid="{9904DBA9-B6AA-482D-AF68-37C319FBB524}"/>
    <cellStyle name="Normal 3 4 6 2 5" xfId="1561" xr:uid="{00000000-0005-0000-0000-00004F0D0000}"/>
    <cellStyle name="Normal 3 4 6 2 5 2" xfId="7738" xr:uid="{271E3EB9-5D9D-4B45-9337-C29A54D34B7F}"/>
    <cellStyle name="Normal 3 4 6 2 6" xfId="6855" xr:uid="{AC5D7BA9-51DE-49F9-B821-66E0A10DB1B4}"/>
    <cellStyle name="Normal 3 4 6 3" xfId="2885" xr:uid="{00000000-0005-0000-0000-0000500D0000}"/>
    <cellStyle name="Normal 3 4 6 3 2" xfId="5392" xr:uid="{00000000-0005-0000-0000-0000510D0000}"/>
    <cellStyle name="Normal 3 4 6 3 2 2" xfId="11569" xr:uid="{C0899858-8CED-4F88-B6CD-F7059AADC42F}"/>
    <cellStyle name="Normal 3 4 6 3 3" xfId="9062" xr:uid="{4F897370-DBF3-425D-BCAC-C9859B5C3536}"/>
    <cellStyle name="Normal 3 4 6 4" xfId="2003" xr:uid="{00000000-0005-0000-0000-0000520D0000}"/>
    <cellStyle name="Normal 3 4 6 4 2" xfId="5393" xr:uid="{00000000-0005-0000-0000-0000530D0000}"/>
    <cellStyle name="Normal 3 4 6 4 2 2" xfId="11570" xr:uid="{5DED6358-8FA3-4DB0-89E1-EBF56E8CECFB}"/>
    <cellStyle name="Normal 3 4 6 4 3" xfId="8180" xr:uid="{44643B01-1830-45F2-B177-A306B10EB5CF}"/>
    <cellStyle name="Normal 3 4 6 5" xfId="3767" xr:uid="{00000000-0005-0000-0000-0000540D0000}"/>
    <cellStyle name="Normal 3 4 6 5 2" xfId="9944" xr:uid="{3224595B-ACDD-4943-8AB1-F0E3E9F91DB6}"/>
    <cellStyle name="Normal 3 4 6 6" xfId="1120" xr:uid="{00000000-0005-0000-0000-0000550D0000}"/>
    <cellStyle name="Normal 3 4 6 6 2" xfId="7297" xr:uid="{58F2A331-3251-490F-A49C-1E1558912755}"/>
    <cellStyle name="Normal 3 4 6 7" xfId="6414" xr:uid="{1CC20BF4-32EF-4271-BDDC-6157CDEDD97A}"/>
    <cellStyle name="Normal 3 4 7" xfId="458" xr:uid="{00000000-0005-0000-0000-0000560D0000}"/>
    <cellStyle name="Normal 3 4 7 2" xfId="3106" xr:uid="{00000000-0005-0000-0000-0000570D0000}"/>
    <cellStyle name="Normal 3 4 7 2 2" xfId="5394" xr:uid="{00000000-0005-0000-0000-0000580D0000}"/>
    <cellStyle name="Normal 3 4 7 2 2 2" xfId="11571" xr:uid="{48351DEB-65F9-44CB-B392-06B8DD32E78D}"/>
    <cellStyle name="Normal 3 4 7 2 3" xfId="9283" xr:uid="{C4473AEE-4DFA-4E36-8ABA-68B9700E0513}"/>
    <cellStyle name="Normal 3 4 7 3" xfId="2224" xr:uid="{00000000-0005-0000-0000-0000590D0000}"/>
    <cellStyle name="Normal 3 4 7 3 2" xfId="5395" xr:uid="{00000000-0005-0000-0000-00005A0D0000}"/>
    <cellStyle name="Normal 3 4 7 3 2 2" xfId="11572" xr:uid="{3A6055E9-501E-40C3-9CA5-78A79FF28F32}"/>
    <cellStyle name="Normal 3 4 7 3 3" xfId="8401" xr:uid="{DCEA0A1A-56F1-431E-BCDF-0149B9B1BF6D}"/>
    <cellStyle name="Normal 3 4 7 4" xfId="3988" xr:uid="{00000000-0005-0000-0000-00005B0D0000}"/>
    <cellStyle name="Normal 3 4 7 4 2" xfId="10165" xr:uid="{B24E44D2-E1FD-4967-A91D-E4908DE603C5}"/>
    <cellStyle name="Normal 3 4 7 5" xfId="1341" xr:uid="{00000000-0005-0000-0000-00005C0D0000}"/>
    <cellStyle name="Normal 3 4 7 5 2" xfId="7518" xr:uid="{5EA41CB6-1852-446D-ACA9-73253F3A9FA0}"/>
    <cellStyle name="Normal 3 4 7 6" xfId="6635" xr:uid="{E1A6DC04-700B-41FA-A79F-DEB92A9BE630}"/>
    <cellStyle name="Normal 3 4 8" xfId="2665" xr:uid="{00000000-0005-0000-0000-00005D0D0000}"/>
    <cellStyle name="Normal 3 4 8 2" xfId="5396" xr:uid="{00000000-0005-0000-0000-00005E0D0000}"/>
    <cellStyle name="Normal 3 4 8 2 2" xfId="11573" xr:uid="{2379E24E-6911-4515-8161-C932A5399597}"/>
    <cellStyle name="Normal 3 4 8 3" xfId="8842" xr:uid="{F620647C-233C-4C3E-9761-83457896CE42}"/>
    <cellStyle name="Normal 3 4 9" xfId="1783" xr:uid="{00000000-0005-0000-0000-00005F0D0000}"/>
    <cellStyle name="Normal 3 4 9 2" xfId="5397" xr:uid="{00000000-0005-0000-0000-0000600D0000}"/>
    <cellStyle name="Normal 3 4 9 2 2" xfId="11574" xr:uid="{467AFD28-E68B-4C3E-BCF7-8587EE66333B}"/>
    <cellStyle name="Normal 3 4 9 3" xfId="7960" xr:uid="{A8057352-A5CA-4972-A948-63DF05C8F29E}"/>
    <cellStyle name="Normal 3 5" xfId="20" xr:uid="{00000000-0005-0000-0000-0000610D0000}"/>
    <cellStyle name="Normal 3 5 10" xfId="3550" xr:uid="{00000000-0005-0000-0000-0000620D0000}"/>
    <cellStyle name="Normal 3 5 10 2" xfId="9727" xr:uid="{81B14742-10C4-4AF6-9DFB-2B87D58B9FDF}"/>
    <cellStyle name="Normal 3 5 11" xfId="903" xr:uid="{00000000-0005-0000-0000-0000630D0000}"/>
    <cellStyle name="Normal 3 5 11 2" xfId="7080" xr:uid="{2E5D7A40-2E66-4CA5-BD2E-654FDF4AA603}"/>
    <cellStyle name="Normal 3 5 12" xfId="6197" xr:uid="{3E526526-B9C1-4EF0-AC26-7F189CDAE943}"/>
    <cellStyle name="Normal 3 5 2" xfId="54" xr:uid="{00000000-0005-0000-0000-0000640D0000}"/>
    <cellStyle name="Normal 3 5 2 2" xfId="164" xr:uid="{00000000-0005-0000-0000-0000650D0000}"/>
    <cellStyle name="Normal 3 5 2 2 2" xfId="384" xr:uid="{00000000-0005-0000-0000-0000660D0000}"/>
    <cellStyle name="Normal 3 5 2 2 2 2" xfId="825" xr:uid="{00000000-0005-0000-0000-0000670D0000}"/>
    <cellStyle name="Normal 3 5 2 2 2 2 2" xfId="3473" xr:uid="{00000000-0005-0000-0000-0000680D0000}"/>
    <cellStyle name="Normal 3 5 2 2 2 2 2 2" xfId="5398" xr:uid="{00000000-0005-0000-0000-0000690D0000}"/>
    <cellStyle name="Normal 3 5 2 2 2 2 2 2 2" xfId="11575" xr:uid="{DF8E05DF-22F5-4FFE-B30B-CF089A320AD2}"/>
    <cellStyle name="Normal 3 5 2 2 2 2 2 3" xfId="9650" xr:uid="{FB2B668A-E253-408C-A797-FE5AD27A627B}"/>
    <cellStyle name="Normal 3 5 2 2 2 2 3" xfId="2591" xr:uid="{00000000-0005-0000-0000-00006A0D0000}"/>
    <cellStyle name="Normal 3 5 2 2 2 2 3 2" xfId="5399" xr:uid="{00000000-0005-0000-0000-00006B0D0000}"/>
    <cellStyle name="Normal 3 5 2 2 2 2 3 2 2" xfId="11576" xr:uid="{DB686BA3-8EDE-4F53-88AD-FBD2A0E85455}"/>
    <cellStyle name="Normal 3 5 2 2 2 2 3 3" xfId="8768" xr:uid="{D997A058-93BE-41FA-A650-97633198CD42}"/>
    <cellStyle name="Normal 3 5 2 2 2 2 4" xfId="4355" xr:uid="{00000000-0005-0000-0000-00006C0D0000}"/>
    <cellStyle name="Normal 3 5 2 2 2 2 4 2" xfId="10532" xr:uid="{89675306-6542-4909-BF32-F2E7E67540DF}"/>
    <cellStyle name="Normal 3 5 2 2 2 2 5" xfId="1708" xr:uid="{00000000-0005-0000-0000-00006D0D0000}"/>
    <cellStyle name="Normal 3 5 2 2 2 2 5 2" xfId="7885" xr:uid="{402FF696-B905-43CF-B7AD-8C17FC463031}"/>
    <cellStyle name="Normal 3 5 2 2 2 2 6" xfId="7002" xr:uid="{532075CA-7F6D-410C-88C9-0D1E154C8B63}"/>
    <cellStyle name="Normal 3 5 2 2 2 3" xfId="3032" xr:uid="{00000000-0005-0000-0000-00006E0D0000}"/>
    <cellStyle name="Normal 3 5 2 2 2 3 2" xfId="5400" xr:uid="{00000000-0005-0000-0000-00006F0D0000}"/>
    <cellStyle name="Normal 3 5 2 2 2 3 2 2" xfId="11577" xr:uid="{94731AE1-1E7F-4211-8DA6-713B44759436}"/>
    <cellStyle name="Normal 3 5 2 2 2 3 3" xfId="9209" xr:uid="{109A44D0-4EFE-4A9F-B292-CFBD5ABDC231}"/>
    <cellStyle name="Normal 3 5 2 2 2 4" xfId="2150" xr:uid="{00000000-0005-0000-0000-0000700D0000}"/>
    <cellStyle name="Normal 3 5 2 2 2 4 2" xfId="5401" xr:uid="{00000000-0005-0000-0000-0000710D0000}"/>
    <cellStyle name="Normal 3 5 2 2 2 4 2 2" xfId="11578" xr:uid="{FC47C150-41B4-40C2-A36C-4A27AB0E7036}"/>
    <cellStyle name="Normal 3 5 2 2 2 4 3" xfId="8327" xr:uid="{F1EDD907-84FE-43A6-A6B2-4CB7335736AD}"/>
    <cellStyle name="Normal 3 5 2 2 2 5" xfId="3914" xr:uid="{00000000-0005-0000-0000-0000720D0000}"/>
    <cellStyle name="Normal 3 5 2 2 2 5 2" xfId="10091" xr:uid="{2FF9A051-4388-48FC-8BF4-A2ED15D661B4}"/>
    <cellStyle name="Normal 3 5 2 2 2 6" xfId="1267" xr:uid="{00000000-0005-0000-0000-0000730D0000}"/>
    <cellStyle name="Normal 3 5 2 2 2 6 2" xfId="7444" xr:uid="{8D43513C-1D86-4A57-91B8-6076B0C04C31}"/>
    <cellStyle name="Normal 3 5 2 2 2 7" xfId="6561" xr:uid="{0937EB23-394A-4F96-94F9-6F7C30712F4C}"/>
    <cellStyle name="Normal 3 5 2 2 3" xfId="605" xr:uid="{00000000-0005-0000-0000-0000740D0000}"/>
    <cellStyle name="Normal 3 5 2 2 3 2" xfId="3253" xr:uid="{00000000-0005-0000-0000-0000750D0000}"/>
    <cellStyle name="Normal 3 5 2 2 3 2 2" xfId="5402" xr:uid="{00000000-0005-0000-0000-0000760D0000}"/>
    <cellStyle name="Normal 3 5 2 2 3 2 2 2" xfId="11579" xr:uid="{814B170A-DC89-496E-8FB4-E93BBABA212E}"/>
    <cellStyle name="Normal 3 5 2 2 3 2 3" xfId="9430" xr:uid="{19C478E3-00E3-469A-B5E9-ED7B7C6A50D1}"/>
    <cellStyle name="Normal 3 5 2 2 3 3" xfId="2371" xr:uid="{00000000-0005-0000-0000-0000770D0000}"/>
    <cellStyle name="Normal 3 5 2 2 3 3 2" xfId="5403" xr:uid="{00000000-0005-0000-0000-0000780D0000}"/>
    <cellStyle name="Normal 3 5 2 2 3 3 2 2" xfId="11580" xr:uid="{342296B5-0020-4AEB-A56D-510D1882279B}"/>
    <cellStyle name="Normal 3 5 2 2 3 3 3" xfId="8548" xr:uid="{80A7B36D-9D5A-4CA4-9912-3840D4A7E05F}"/>
    <cellStyle name="Normal 3 5 2 2 3 4" xfId="4135" xr:uid="{00000000-0005-0000-0000-0000790D0000}"/>
    <cellStyle name="Normal 3 5 2 2 3 4 2" xfId="10312" xr:uid="{318B97B9-B493-44C7-AFFB-F6FFA06873AA}"/>
    <cellStyle name="Normal 3 5 2 2 3 5" xfId="1488" xr:uid="{00000000-0005-0000-0000-00007A0D0000}"/>
    <cellStyle name="Normal 3 5 2 2 3 5 2" xfId="7665" xr:uid="{47F1249C-9E3A-44EC-BD4E-BC2AC9CDEDAE}"/>
    <cellStyle name="Normal 3 5 2 2 3 6" xfId="6782" xr:uid="{88A79ECD-9D12-4F43-8961-9A53978C3158}"/>
    <cellStyle name="Normal 3 5 2 2 4" xfId="2812" xr:uid="{00000000-0005-0000-0000-00007B0D0000}"/>
    <cellStyle name="Normal 3 5 2 2 4 2" xfId="5404" xr:uid="{00000000-0005-0000-0000-00007C0D0000}"/>
    <cellStyle name="Normal 3 5 2 2 4 2 2" xfId="11581" xr:uid="{3AAF4679-0284-4A72-A780-BF70603B9A02}"/>
    <cellStyle name="Normal 3 5 2 2 4 3" xfId="8989" xr:uid="{05EB218C-EFD8-4B12-9121-C63AF75E1058}"/>
    <cellStyle name="Normal 3 5 2 2 5" xfId="1930" xr:uid="{00000000-0005-0000-0000-00007D0D0000}"/>
    <cellStyle name="Normal 3 5 2 2 5 2" xfId="5405" xr:uid="{00000000-0005-0000-0000-00007E0D0000}"/>
    <cellStyle name="Normal 3 5 2 2 5 2 2" xfId="11582" xr:uid="{B4741046-407E-499B-A7C0-5156BA038580}"/>
    <cellStyle name="Normal 3 5 2 2 5 3" xfId="8107" xr:uid="{104CCCE4-F35B-46F3-8AA7-CD0F7D15D456}"/>
    <cellStyle name="Normal 3 5 2 2 6" xfId="3694" xr:uid="{00000000-0005-0000-0000-00007F0D0000}"/>
    <cellStyle name="Normal 3 5 2 2 6 2" xfId="9871" xr:uid="{E41184E9-51DE-457F-ABBF-ABC39BEC3220}"/>
    <cellStyle name="Normal 3 5 2 2 7" xfId="1047" xr:uid="{00000000-0005-0000-0000-0000800D0000}"/>
    <cellStyle name="Normal 3 5 2 2 7 2" xfId="7224" xr:uid="{E0FCD296-866F-4124-88B3-AA96177C7593}"/>
    <cellStyle name="Normal 3 5 2 2 8" xfId="6341" xr:uid="{11F23F46-85F8-48C1-88A8-4ADD68D4C700}"/>
    <cellStyle name="Normal 3 5 2 3" xfId="274" xr:uid="{00000000-0005-0000-0000-0000810D0000}"/>
    <cellStyle name="Normal 3 5 2 3 2" xfId="715" xr:uid="{00000000-0005-0000-0000-0000820D0000}"/>
    <cellStyle name="Normal 3 5 2 3 2 2" xfId="3363" xr:uid="{00000000-0005-0000-0000-0000830D0000}"/>
    <cellStyle name="Normal 3 5 2 3 2 2 2" xfId="5406" xr:uid="{00000000-0005-0000-0000-0000840D0000}"/>
    <cellStyle name="Normal 3 5 2 3 2 2 2 2" xfId="11583" xr:uid="{8A09AA11-8D86-4DCD-9963-F3CB7DEAF19B}"/>
    <cellStyle name="Normal 3 5 2 3 2 2 3" xfId="9540" xr:uid="{DAB13CDD-5D1C-40E6-90A0-62E088640C4A}"/>
    <cellStyle name="Normal 3 5 2 3 2 3" xfId="2481" xr:uid="{00000000-0005-0000-0000-0000850D0000}"/>
    <cellStyle name="Normal 3 5 2 3 2 3 2" xfId="5407" xr:uid="{00000000-0005-0000-0000-0000860D0000}"/>
    <cellStyle name="Normal 3 5 2 3 2 3 2 2" xfId="11584" xr:uid="{A6920BFC-C30B-4B7F-A5F1-F87EA8184E5D}"/>
    <cellStyle name="Normal 3 5 2 3 2 3 3" xfId="8658" xr:uid="{B58D568D-0368-4582-93AA-3BFE6296884C}"/>
    <cellStyle name="Normal 3 5 2 3 2 4" xfId="4245" xr:uid="{00000000-0005-0000-0000-0000870D0000}"/>
    <cellStyle name="Normal 3 5 2 3 2 4 2" xfId="10422" xr:uid="{6444A92D-9C72-4241-9103-43A4B39DD94C}"/>
    <cellStyle name="Normal 3 5 2 3 2 5" xfId="1598" xr:uid="{00000000-0005-0000-0000-0000880D0000}"/>
    <cellStyle name="Normal 3 5 2 3 2 5 2" xfId="7775" xr:uid="{1088D700-53FD-438B-BF4B-307AD5C08878}"/>
    <cellStyle name="Normal 3 5 2 3 2 6" xfId="6892" xr:uid="{F58DB34E-3DDE-47C1-9307-CCC3804FE63E}"/>
    <cellStyle name="Normal 3 5 2 3 3" xfId="2922" xr:uid="{00000000-0005-0000-0000-0000890D0000}"/>
    <cellStyle name="Normal 3 5 2 3 3 2" xfId="5408" xr:uid="{00000000-0005-0000-0000-00008A0D0000}"/>
    <cellStyle name="Normal 3 5 2 3 3 2 2" xfId="11585" xr:uid="{9E5E528F-31A5-4178-877C-31BC89FF2269}"/>
    <cellStyle name="Normal 3 5 2 3 3 3" xfId="9099" xr:uid="{39D1A403-46CE-4429-9E3D-6D28832D37AA}"/>
    <cellStyle name="Normal 3 5 2 3 4" xfId="2040" xr:uid="{00000000-0005-0000-0000-00008B0D0000}"/>
    <cellStyle name="Normal 3 5 2 3 4 2" xfId="5409" xr:uid="{00000000-0005-0000-0000-00008C0D0000}"/>
    <cellStyle name="Normal 3 5 2 3 4 2 2" xfId="11586" xr:uid="{2D200367-4393-4F42-A336-D70068B50A68}"/>
    <cellStyle name="Normal 3 5 2 3 4 3" xfId="8217" xr:uid="{F99F5DEB-8159-4706-AB71-C94484F84945}"/>
    <cellStyle name="Normal 3 5 2 3 5" xfId="3804" xr:uid="{00000000-0005-0000-0000-00008D0D0000}"/>
    <cellStyle name="Normal 3 5 2 3 5 2" xfId="9981" xr:uid="{F6B656CF-FDF7-4D74-ADAF-6C7D1617F675}"/>
    <cellStyle name="Normal 3 5 2 3 6" xfId="1157" xr:uid="{00000000-0005-0000-0000-00008E0D0000}"/>
    <cellStyle name="Normal 3 5 2 3 6 2" xfId="7334" xr:uid="{C7256D1F-FC40-4C16-BB9D-33A429378176}"/>
    <cellStyle name="Normal 3 5 2 3 7" xfId="6451" xr:uid="{11A6D0AB-D7AD-4AB0-A43D-FA6DF14D405B}"/>
    <cellStyle name="Normal 3 5 2 4" xfId="495" xr:uid="{00000000-0005-0000-0000-00008F0D0000}"/>
    <cellStyle name="Normal 3 5 2 4 2" xfId="3143" xr:uid="{00000000-0005-0000-0000-0000900D0000}"/>
    <cellStyle name="Normal 3 5 2 4 2 2" xfId="5410" xr:uid="{00000000-0005-0000-0000-0000910D0000}"/>
    <cellStyle name="Normal 3 5 2 4 2 2 2" xfId="11587" xr:uid="{A1C507CF-185C-4671-B4C9-BA91A31F740B}"/>
    <cellStyle name="Normal 3 5 2 4 2 3" xfId="9320" xr:uid="{5441EC3A-FDFA-4492-AD1E-A11899DB0A0F}"/>
    <cellStyle name="Normal 3 5 2 4 3" xfId="2261" xr:uid="{00000000-0005-0000-0000-0000920D0000}"/>
    <cellStyle name="Normal 3 5 2 4 3 2" xfId="5411" xr:uid="{00000000-0005-0000-0000-0000930D0000}"/>
    <cellStyle name="Normal 3 5 2 4 3 2 2" xfId="11588" xr:uid="{ECFDE566-FA47-4226-9C5B-4A3EED7D8ECB}"/>
    <cellStyle name="Normal 3 5 2 4 3 3" xfId="8438" xr:uid="{E0FC34D3-BC7A-42D1-9AE0-5FB904691093}"/>
    <cellStyle name="Normal 3 5 2 4 4" xfId="4025" xr:uid="{00000000-0005-0000-0000-0000940D0000}"/>
    <cellStyle name="Normal 3 5 2 4 4 2" xfId="10202" xr:uid="{DDFE2C4D-1CC9-4ACA-8E9E-DDC82B310CF2}"/>
    <cellStyle name="Normal 3 5 2 4 5" xfId="1378" xr:uid="{00000000-0005-0000-0000-0000950D0000}"/>
    <cellStyle name="Normal 3 5 2 4 5 2" xfId="7555" xr:uid="{614357A4-F8DC-4907-87CD-DAD95D2C0428}"/>
    <cellStyle name="Normal 3 5 2 4 6" xfId="6672" xr:uid="{7F2D598B-E62B-4CA2-8FE3-D0AF55BB7256}"/>
    <cellStyle name="Normal 3 5 2 5" xfId="2702" xr:uid="{00000000-0005-0000-0000-0000960D0000}"/>
    <cellStyle name="Normal 3 5 2 5 2" xfId="5412" xr:uid="{00000000-0005-0000-0000-0000970D0000}"/>
    <cellStyle name="Normal 3 5 2 5 2 2" xfId="11589" xr:uid="{8C565DA7-3528-4665-9234-3A7D4D157CA8}"/>
    <cellStyle name="Normal 3 5 2 5 3" xfId="8879" xr:uid="{548437A6-DC4B-4987-8AB6-0D522F5F3A1A}"/>
    <cellStyle name="Normal 3 5 2 6" xfId="1820" xr:uid="{00000000-0005-0000-0000-0000980D0000}"/>
    <cellStyle name="Normal 3 5 2 6 2" xfId="5413" xr:uid="{00000000-0005-0000-0000-0000990D0000}"/>
    <cellStyle name="Normal 3 5 2 6 2 2" xfId="11590" xr:uid="{66CA0B34-DDA1-4CE0-8F66-B58472C46D18}"/>
    <cellStyle name="Normal 3 5 2 6 3" xfId="7997" xr:uid="{123F280A-BB5F-4032-A5EC-04CBB2D444C0}"/>
    <cellStyle name="Normal 3 5 2 7" xfId="3584" xr:uid="{00000000-0005-0000-0000-00009A0D0000}"/>
    <cellStyle name="Normal 3 5 2 7 2" xfId="9761" xr:uid="{0D425042-1436-4F8A-AD33-62258F27DAB0}"/>
    <cellStyle name="Normal 3 5 2 8" xfId="937" xr:uid="{00000000-0005-0000-0000-00009B0D0000}"/>
    <cellStyle name="Normal 3 5 2 8 2" xfId="7114" xr:uid="{0BA6C093-6E8E-4A6D-8033-C0D4B94B01F1}"/>
    <cellStyle name="Normal 3 5 2 9" xfId="6231" xr:uid="{1205B1FE-9BFE-4A90-BD29-440A34C98E99}"/>
    <cellStyle name="Normal 3 5 3" xfId="70" xr:uid="{00000000-0005-0000-0000-00009C0D0000}"/>
    <cellStyle name="Normal 3 5 3 2" xfId="180" xr:uid="{00000000-0005-0000-0000-00009D0D0000}"/>
    <cellStyle name="Normal 3 5 3 2 2" xfId="400" xr:uid="{00000000-0005-0000-0000-00009E0D0000}"/>
    <cellStyle name="Normal 3 5 3 2 2 2" xfId="841" xr:uid="{00000000-0005-0000-0000-00009F0D0000}"/>
    <cellStyle name="Normal 3 5 3 2 2 2 2" xfId="3489" xr:uid="{00000000-0005-0000-0000-0000A00D0000}"/>
    <cellStyle name="Normal 3 5 3 2 2 2 2 2" xfId="5414" xr:uid="{00000000-0005-0000-0000-0000A10D0000}"/>
    <cellStyle name="Normal 3 5 3 2 2 2 2 2 2" xfId="11591" xr:uid="{88CE1F95-5B9D-4CA5-A0D4-8218BBCED779}"/>
    <cellStyle name="Normal 3 5 3 2 2 2 2 3" xfId="9666" xr:uid="{26290365-B4B6-47A4-BFC7-D31F9BB7D1CA}"/>
    <cellStyle name="Normal 3 5 3 2 2 2 3" xfId="2607" xr:uid="{00000000-0005-0000-0000-0000A20D0000}"/>
    <cellStyle name="Normal 3 5 3 2 2 2 3 2" xfId="5415" xr:uid="{00000000-0005-0000-0000-0000A30D0000}"/>
    <cellStyle name="Normal 3 5 3 2 2 2 3 2 2" xfId="11592" xr:uid="{CD37E6FA-3358-4917-8782-E36349617DFF}"/>
    <cellStyle name="Normal 3 5 3 2 2 2 3 3" xfId="8784" xr:uid="{46F04480-95ED-4324-B723-FBCB8E74CCC2}"/>
    <cellStyle name="Normal 3 5 3 2 2 2 4" xfId="4371" xr:uid="{00000000-0005-0000-0000-0000A40D0000}"/>
    <cellStyle name="Normal 3 5 3 2 2 2 4 2" xfId="10548" xr:uid="{703DD5F8-864D-43BE-A4C7-C1799006F67F}"/>
    <cellStyle name="Normal 3 5 3 2 2 2 5" xfId="1724" xr:uid="{00000000-0005-0000-0000-0000A50D0000}"/>
    <cellStyle name="Normal 3 5 3 2 2 2 5 2" xfId="7901" xr:uid="{F99D898E-0E34-4F71-90A7-509BD2801400}"/>
    <cellStyle name="Normal 3 5 3 2 2 2 6" xfId="7018" xr:uid="{0B2AC356-9ECC-4BF8-93B5-F64066DBD044}"/>
    <cellStyle name="Normal 3 5 3 2 2 3" xfId="3048" xr:uid="{00000000-0005-0000-0000-0000A60D0000}"/>
    <cellStyle name="Normal 3 5 3 2 2 3 2" xfId="5416" xr:uid="{00000000-0005-0000-0000-0000A70D0000}"/>
    <cellStyle name="Normal 3 5 3 2 2 3 2 2" xfId="11593" xr:uid="{751AD076-8B99-4BA4-98A5-103B118EECF9}"/>
    <cellStyle name="Normal 3 5 3 2 2 3 3" xfId="9225" xr:uid="{5A0E8A1D-B55A-4966-8B99-6F9D7B4ADC9D}"/>
    <cellStyle name="Normal 3 5 3 2 2 4" xfId="2166" xr:uid="{00000000-0005-0000-0000-0000A80D0000}"/>
    <cellStyle name="Normal 3 5 3 2 2 4 2" xfId="5417" xr:uid="{00000000-0005-0000-0000-0000A90D0000}"/>
    <cellStyle name="Normal 3 5 3 2 2 4 2 2" xfId="11594" xr:uid="{884DE8A8-1FB0-428D-AAE7-B9BE34AC859E}"/>
    <cellStyle name="Normal 3 5 3 2 2 4 3" xfId="8343" xr:uid="{A86A9B5B-9C0B-4679-8677-A6DBA6A48540}"/>
    <cellStyle name="Normal 3 5 3 2 2 5" xfId="3930" xr:uid="{00000000-0005-0000-0000-0000AA0D0000}"/>
    <cellStyle name="Normal 3 5 3 2 2 5 2" xfId="10107" xr:uid="{B4DCBD98-EA2B-4607-B959-E604B9D0C902}"/>
    <cellStyle name="Normal 3 5 3 2 2 6" xfId="1283" xr:uid="{00000000-0005-0000-0000-0000AB0D0000}"/>
    <cellStyle name="Normal 3 5 3 2 2 6 2" xfId="7460" xr:uid="{BACECAA2-3D04-45ED-9B7F-724CF6813E2A}"/>
    <cellStyle name="Normal 3 5 3 2 2 7" xfId="6577" xr:uid="{EA06A629-B5F7-4D1D-B1D0-48088811A641}"/>
    <cellStyle name="Normal 3 5 3 2 3" xfId="621" xr:uid="{00000000-0005-0000-0000-0000AC0D0000}"/>
    <cellStyle name="Normal 3 5 3 2 3 2" xfId="3269" xr:uid="{00000000-0005-0000-0000-0000AD0D0000}"/>
    <cellStyle name="Normal 3 5 3 2 3 2 2" xfId="5418" xr:uid="{00000000-0005-0000-0000-0000AE0D0000}"/>
    <cellStyle name="Normal 3 5 3 2 3 2 2 2" xfId="11595" xr:uid="{168A32C5-D006-4787-981A-6E5A6CE318C6}"/>
    <cellStyle name="Normal 3 5 3 2 3 2 3" xfId="9446" xr:uid="{670079D4-25C9-445D-9F9C-686620A4C4D8}"/>
    <cellStyle name="Normal 3 5 3 2 3 3" xfId="2387" xr:uid="{00000000-0005-0000-0000-0000AF0D0000}"/>
    <cellStyle name="Normal 3 5 3 2 3 3 2" xfId="5419" xr:uid="{00000000-0005-0000-0000-0000B00D0000}"/>
    <cellStyle name="Normal 3 5 3 2 3 3 2 2" xfId="11596" xr:uid="{718A4E0B-C974-427E-9C4E-6C36367C3362}"/>
    <cellStyle name="Normal 3 5 3 2 3 3 3" xfId="8564" xr:uid="{FB67C266-5B83-4078-84D9-0912B0390FA1}"/>
    <cellStyle name="Normal 3 5 3 2 3 4" xfId="4151" xr:uid="{00000000-0005-0000-0000-0000B10D0000}"/>
    <cellStyle name="Normal 3 5 3 2 3 4 2" xfId="10328" xr:uid="{E8845F52-1BE6-4AB5-8AF0-993701BD5952}"/>
    <cellStyle name="Normal 3 5 3 2 3 5" xfId="1504" xr:uid="{00000000-0005-0000-0000-0000B20D0000}"/>
    <cellStyle name="Normal 3 5 3 2 3 5 2" xfId="7681" xr:uid="{97F24B11-3C33-47BE-8AF5-B3C57BB71427}"/>
    <cellStyle name="Normal 3 5 3 2 3 6" xfId="6798" xr:uid="{B3D25A6F-F7A1-4D33-A2CB-53F4131CE0AC}"/>
    <cellStyle name="Normal 3 5 3 2 4" xfId="2828" xr:uid="{00000000-0005-0000-0000-0000B30D0000}"/>
    <cellStyle name="Normal 3 5 3 2 4 2" xfId="5420" xr:uid="{00000000-0005-0000-0000-0000B40D0000}"/>
    <cellStyle name="Normal 3 5 3 2 4 2 2" xfId="11597" xr:uid="{D7EFEBDA-C62A-4B02-B871-8D0B0C3718BF}"/>
    <cellStyle name="Normal 3 5 3 2 4 3" xfId="9005" xr:uid="{789E8D3B-5BA9-4201-AC93-DD68747817CE}"/>
    <cellStyle name="Normal 3 5 3 2 5" xfId="1946" xr:uid="{00000000-0005-0000-0000-0000B50D0000}"/>
    <cellStyle name="Normal 3 5 3 2 5 2" xfId="5421" xr:uid="{00000000-0005-0000-0000-0000B60D0000}"/>
    <cellStyle name="Normal 3 5 3 2 5 2 2" xfId="11598" xr:uid="{7C610F8F-1D6C-414F-A738-08ED4B14DB66}"/>
    <cellStyle name="Normal 3 5 3 2 5 3" xfId="8123" xr:uid="{CE81CB54-9D62-489C-94F2-24FA953BBBD3}"/>
    <cellStyle name="Normal 3 5 3 2 6" xfId="3710" xr:uid="{00000000-0005-0000-0000-0000B70D0000}"/>
    <cellStyle name="Normal 3 5 3 2 6 2" xfId="9887" xr:uid="{AD2178F5-D7E0-4E34-80CC-247399E17588}"/>
    <cellStyle name="Normal 3 5 3 2 7" xfId="1063" xr:uid="{00000000-0005-0000-0000-0000B80D0000}"/>
    <cellStyle name="Normal 3 5 3 2 7 2" xfId="7240" xr:uid="{3605CCC8-F90F-4093-A865-9F61E8BD14D3}"/>
    <cellStyle name="Normal 3 5 3 2 8" xfId="6357" xr:uid="{ED11C313-BEAB-4BEB-AE2A-97A4D738DA09}"/>
    <cellStyle name="Normal 3 5 3 3" xfId="290" xr:uid="{00000000-0005-0000-0000-0000B90D0000}"/>
    <cellStyle name="Normal 3 5 3 3 2" xfId="731" xr:uid="{00000000-0005-0000-0000-0000BA0D0000}"/>
    <cellStyle name="Normal 3 5 3 3 2 2" xfId="3379" xr:uid="{00000000-0005-0000-0000-0000BB0D0000}"/>
    <cellStyle name="Normal 3 5 3 3 2 2 2" xfId="5422" xr:uid="{00000000-0005-0000-0000-0000BC0D0000}"/>
    <cellStyle name="Normal 3 5 3 3 2 2 2 2" xfId="11599" xr:uid="{86E4B74E-9226-402F-89A6-E63ADCEAAF0B}"/>
    <cellStyle name="Normal 3 5 3 3 2 2 3" xfId="9556" xr:uid="{BF959C55-8B12-42EA-9A89-658C5522FA26}"/>
    <cellStyle name="Normal 3 5 3 3 2 3" xfId="2497" xr:uid="{00000000-0005-0000-0000-0000BD0D0000}"/>
    <cellStyle name="Normal 3 5 3 3 2 3 2" xfId="5423" xr:uid="{00000000-0005-0000-0000-0000BE0D0000}"/>
    <cellStyle name="Normal 3 5 3 3 2 3 2 2" xfId="11600" xr:uid="{7DD68010-7C21-4D56-AD4A-04C0CD7924A1}"/>
    <cellStyle name="Normal 3 5 3 3 2 3 3" xfId="8674" xr:uid="{D2D362AA-3B1A-48B1-9E26-7E27414A1536}"/>
    <cellStyle name="Normal 3 5 3 3 2 4" xfId="4261" xr:uid="{00000000-0005-0000-0000-0000BF0D0000}"/>
    <cellStyle name="Normal 3 5 3 3 2 4 2" xfId="10438" xr:uid="{C4642896-75B8-47A3-9527-B81DB53B1B44}"/>
    <cellStyle name="Normal 3 5 3 3 2 5" xfId="1614" xr:uid="{00000000-0005-0000-0000-0000C00D0000}"/>
    <cellStyle name="Normal 3 5 3 3 2 5 2" xfId="7791" xr:uid="{92554431-3362-4274-ABA0-30D892121E33}"/>
    <cellStyle name="Normal 3 5 3 3 2 6" xfId="6908" xr:uid="{D42B38E8-1FEC-41A1-AAAD-2E696672B033}"/>
    <cellStyle name="Normal 3 5 3 3 3" xfId="2938" xr:uid="{00000000-0005-0000-0000-0000C10D0000}"/>
    <cellStyle name="Normal 3 5 3 3 3 2" xfId="5424" xr:uid="{00000000-0005-0000-0000-0000C20D0000}"/>
    <cellStyle name="Normal 3 5 3 3 3 2 2" xfId="11601" xr:uid="{22C76BAF-6C90-479F-9243-4D07D80754A4}"/>
    <cellStyle name="Normal 3 5 3 3 3 3" xfId="9115" xr:uid="{8937D6ED-7CED-4958-8573-C8CDE17C63D2}"/>
    <cellStyle name="Normal 3 5 3 3 4" xfId="2056" xr:uid="{00000000-0005-0000-0000-0000C30D0000}"/>
    <cellStyle name="Normal 3 5 3 3 4 2" xfId="5425" xr:uid="{00000000-0005-0000-0000-0000C40D0000}"/>
    <cellStyle name="Normal 3 5 3 3 4 2 2" xfId="11602" xr:uid="{2F9FC3AF-3138-4408-A6F5-A4EAC03FBD90}"/>
    <cellStyle name="Normal 3 5 3 3 4 3" xfId="8233" xr:uid="{A4960544-3A06-4824-8E23-375906176B38}"/>
    <cellStyle name="Normal 3 5 3 3 5" xfId="3820" xr:uid="{00000000-0005-0000-0000-0000C50D0000}"/>
    <cellStyle name="Normal 3 5 3 3 5 2" xfId="9997" xr:uid="{1E0E206C-0B92-49B3-AED5-F8E84B723D8F}"/>
    <cellStyle name="Normal 3 5 3 3 6" xfId="1173" xr:uid="{00000000-0005-0000-0000-0000C60D0000}"/>
    <cellStyle name="Normal 3 5 3 3 6 2" xfId="7350" xr:uid="{1471FE1E-A653-4357-9EC0-D97299C97842}"/>
    <cellStyle name="Normal 3 5 3 3 7" xfId="6467" xr:uid="{66B03C50-34C1-44F9-AA69-4297FD09917A}"/>
    <cellStyle name="Normal 3 5 3 4" xfId="511" xr:uid="{00000000-0005-0000-0000-0000C70D0000}"/>
    <cellStyle name="Normal 3 5 3 4 2" xfId="3159" xr:uid="{00000000-0005-0000-0000-0000C80D0000}"/>
    <cellStyle name="Normal 3 5 3 4 2 2" xfId="5426" xr:uid="{00000000-0005-0000-0000-0000C90D0000}"/>
    <cellStyle name="Normal 3 5 3 4 2 2 2" xfId="11603" xr:uid="{BF1B4D5B-82F0-4DA4-B9DF-E59C0D46A063}"/>
    <cellStyle name="Normal 3 5 3 4 2 3" xfId="9336" xr:uid="{CE7C958D-2BDC-4137-8578-4C79DC51D76A}"/>
    <cellStyle name="Normal 3 5 3 4 3" xfId="2277" xr:uid="{00000000-0005-0000-0000-0000CA0D0000}"/>
    <cellStyle name="Normal 3 5 3 4 3 2" xfId="5427" xr:uid="{00000000-0005-0000-0000-0000CB0D0000}"/>
    <cellStyle name="Normal 3 5 3 4 3 2 2" xfId="11604" xr:uid="{C4B5211A-5C13-4FF3-A17E-1D689733CFAF}"/>
    <cellStyle name="Normal 3 5 3 4 3 3" xfId="8454" xr:uid="{C364FA25-4C6D-4DE1-B0B8-E985A055C215}"/>
    <cellStyle name="Normal 3 5 3 4 4" xfId="4041" xr:uid="{00000000-0005-0000-0000-0000CC0D0000}"/>
    <cellStyle name="Normal 3 5 3 4 4 2" xfId="10218" xr:uid="{AA707B9F-9DBE-4360-887B-FAB007A06FC0}"/>
    <cellStyle name="Normal 3 5 3 4 5" xfId="1394" xr:uid="{00000000-0005-0000-0000-0000CD0D0000}"/>
    <cellStyle name="Normal 3 5 3 4 5 2" xfId="7571" xr:uid="{9A25B31A-2F0A-403E-AAAB-DC8891410A53}"/>
    <cellStyle name="Normal 3 5 3 4 6" xfId="6688" xr:uid="{EB47945E-D52E-4974-8F13-0AC610E3A94E}"/>
    <cellStyle name="Normal 3 5 3 5" xfId="2718" xr:uid="{00000000-0005-0000-0000-0000CE0D0000}"/>
    <cellStyle name="Normal 3 5 3 5 2" xfId="5428" xr:uid="{00000000-0005-0000-0000-0000CF0D0000}"/>
    <cellStyle name="Normal 3 5 3 5 2 2" xfId="11605" xr:uid="{7E62F822-BCA3-4208-B8FB-8BB941182E4F}"/>
    <cellStyle name="Normal 3 5 3 5 3" xfId="8895" xr:uid="{AACDD5A6-12DC-42E2-A926-6F89D67C25BE}"/>
    <cellStyle name="Normal 3 5 3 6" xfId="1836" xr:uid="{00000000-0005-0000-0000-0000D00D0000}"/>
    <cellStyle name="Normal 3 5 3 6 2" xfId="5429" xr:uid="{00000000-0005-0000-0000-0000D10D0000}"/>
    <cellStyle name="Normal 3 5 3 6 2 2" xfId="11606" xr:uid="{DE600ECA-ACA1-4F72-9368-17B1BB8E3A66}"/>
    <cellStyle name="Normal 3 5 3 6 3" xfId="8013" xr:uid="{8458F20B-202C-498B-B1D3-D6523CFA2D1B}"/>
    <cellStyle name="Normal 3 5 3 7" xfId="3600" xr:uid="{00000000-0005-0000-0000-0000D20D0000}"/>
    <cellStyle name="Normal 3 5 3 7 2" xfId="9777" xr:uid="{4A2D9F6F-7F9D-4A92-8702-2231E017B3D8}"/>
    <cellStyle name="Normal 3 5 3 8" xfId="953" xr:uid="{00000000-0005-0000-0000-0000D30D0000}"/>
    <cellStyle name="Normal 3 5 3 8 2" xfId="7130" xr:uid="{2719EAE8-1DA0-4B4C-8B05-ED29C37D4728}"/>
    <cellStyle name="Normal 3 5 3 9" xfId="6247" xr:uid="{9D7AB5F0-BB46-42A5-80BE-BAC873695C68}"/>
    <cellStyle name="Normal 3 5 4" xfId="86" xr:uid="{00000000-0005-0000-0000-0000D40D0000}"/>
    <cellStyle name="Normal 3 5 4 2" xfId="196" xr:uid="{00000000-0005-0000-0000-0000D50D0000}"/>
    <cellStyle name="Normal 3 5 4 2 2" xfId="416" xr:uid="{00000000-0005-0000-0000-0000D60D0000}"/>
    <cellStyle name="Normal 3 5 4 2 2 2" xfId="857" xr:uid="{00000000-0005-0000-0000-0000D70D0000}"/>
    <cellStyle name="Normal 3 5 4 2 2 2 2" xfId="3505" xr:uid="{00000000-0005-0000-0000-0000D80D0000}"/>
    <cellStyle name="Normal 3 5 4 2 2 2 2 2" xfId="5430" xr:uid="{00000000-0005-0000-0000-0000D90D0000}"/>
    <cellStyle name="Normal 3 5 4 2 2 2 2 2 2" xfId="11607" xr:uid="{CF96E1EF-BDC4-41DF-A217-A7E9EC4F9139}"/>
    <cellStyle name="Normal 3 5 4 2 2 2 2 3" xfId="9682" xr:uid="{F18870EC-C2E8-4FE4-81F7-5CE66D6C3E66}"/>
    <cellStyle name="Normal 3 5 4 2 2 2 3" xfId="2623" xr:uid="{00000000-0005-0000-0000-0000DA0D0000}"/>
    <cellStyle name="Normal 3 5 4 2 2 2 3 2" xfId="5431" xr:uid="{00000000-0005-0000-0000-0000DB0D0000}"/>
    <cellStyle name="Normal 3 5 4 2 2 2 3 2 2" xfId="11608" xr:uid="{7CE6DE64-B00E-4656-8E89-9A8646A85A28}"/>
    <cellStyle name="Normal 3 5 4 2 2 2 3 3" xfId="8800" xr:uid="{B206D2F0-C390-4631-BE38-1394AFC4E1E5}"/>
    <cellStyle name="Normal 3 5 4 2 2 2 4" xfId="4387" xr:uid="{00000000-0005-0000-0000-0000DC0D0000}"/>
    <cellStyle name="Normal 3 5 4 2 2 2 4 2" xfId="10564" xr:uid="{16A8AB0C-8ED0-4FF5-8FF8-0E0D2040918F}"/>
    <cellStyle name="Normal 3 5 4 2 2 2 5" xfId="1740" xr:uid="{00000000-0005-0000-0000-0000DD0D0000}"/>
    <cellStyle name="Normal 3 5 4 2 2 2 5 2" xfId="7917" xr:uid="{455B5644-7D9B-45F1-A08A-CA81FB38CB0F}"/>
    <cellStyle name="Normal 3 5 4 2 2 2 6" xfId="7034" xr:uid="{389C6FEC-BC18-4AC7-A89E-02D7933589BE}"/>
    <cellStyle name="Normal 3 5 4 2 2 3" xfId="3064" xr:uid="{00000000-0005-0000-0000-0000DE0D0000}"/>
    <cellStyle name="Normal 3 5 4 2 2 3 2" xfId="5432" xr:uid="{00000000-0005-0000-0000-0000DF0D0000}"/>
    <cellStyle name="Normal 3 5 4 2 2 3 2 2" xfId="11609" xr:uid="{F83807E2-31D3-46A0-A618-8672B87440AA}"/>
    <cellStyle name="Normal 3 5 4 2 2 3 3" xfId="9241" xr:uid="{FF1D0656-BDE7-4B8C-AA93-54A03AE13F42}"/>
    <cellStyle name="Normal 3 5 4 2 2 4" xfId="2182" xr:uid="{00000000-0005-0000-0000-0000E00D0000}"/>
    <cellStyle name="Normal 3 5 4 2 2 4 2" xfId="5433" xr:uid="{00000000-0005-0000-0000-0000E10D0000}"/>
    <cellStyle name="Normal 3 5 4 2 2 4 2 2" xfId="11610" xr:uid="{7D373E32-F735-47AF-828A-5FC0F448CFE7}"/>
    <cellStyle name="Normal 3 5 4 2 2 4 3" xfId="8359" xr:uid="{0B09F36A-7330-4DDE-AC8F-3047840DEB24}"/>
    <cellStyle name="Normal 3 5 4 2 2 5" xfId="3946" xr:uid="{00000000-0005-0000-0000-0000E20D0000}"/>
    <cellStyle name="Normal 3 5 4 2 2 5 2" xfId="10123" xr:uid="{6FA34F17-62C0-42C9-A04B-9B96D072DD3A}"/>
    <cellStyle name="Normal 3 5 4 2 2 6" xfId="1299" xr:uid="{00000000-0005-0000-0000-0000E30D0000}"/>
    <cellStyle name="Normal 3 5 4 2 2 6 2" xfId="7476" xr:uid="{9ADDEC8A-AA92-4E66-A439-722AAAD17081}"/>
    <cellStyle name="Normal 3 5 4 2 2 7" xfId="6593" xr:uid="{3215D670-8016-405B-9A9B-416CD838C300}"/>
    <cellStyle name="Normal 3 5 4 2 3" xfId="637" xr:uid="{00000000-0005-0000-0000-0000E40D0000}"/>
    <cellStyle name="Normal 3 5 4 2 3 2" xfId="3285" xr:uid="{00000000-0005-0000-0000-0000E50D0000}"/>
    <cellStyle name="Normal 3 5 4 2 3 2 2" xfId="5434" xr:uid="{00000000-0005-0000-0000-0000E60D0000}"/>
    <cellStyle name="Normal 3 5 4 2 3 2 2 2" xfId="11611" xr:uid="{73D120DE-387D-4983-84AA-4A9EC543802A}"/>
    <cellStyle name="Normal 3 5 4 2 3 2 3" xfId="9462" xr:uid="{1B8FDD7C-044E-475F-A660-C1D4004F5E06}"/>
    <cellStyle name="Normal 3 5 4 2 3 3" xfId="2403" xr:uid="{00000000-0005-0000-0000-0000E70D0000}"/>
    <cellStyle name="Normal 3 5 4 2 3 3 2" xfId="5435" xr:uid="{00000000-0005-0000-0000-0000E80D0000}"/>
    <cellStyle name="Normal 3 5 4 2 3 3 2 2" xfId="11612" xr:uid="{427C0BD8-AFFF-4AF5-912D-DE461FFE881B}"/>
    <cellStyle name="Normal 3 5 4 2 3 3 3" xfId="8580" xr:uid="{3463EE92-2C4B-4D7F-902D-45179C7E8FD3}"/>
    <cellStyle name="Normal 3 5 4 2 3 4" xfId="4167" xr:uid="{00000000-0005-0000-0000-0000E90D0000}"/>
    <cellStyle name="Normal 3 5 4 2 3 4 2" xfId="10344" xr:uid="{C457CAF1-E3B0-4BBC-9242-3BDEF3F13DAD}"/>
    <cellStyle name="Normal 3 5 4 2 3 5" xfId="1520" xr:uid="{00000000-0005-0000-0000-0000EA0D0000}"/>
    <cellStyle name="Normal 3 5 4 2 3 5 2" xfId="7697" xr:uid="{80400A30-6BD7-465F-A088-939540B74383}"/>
    <cellStyle name="Normal 3 5 4 2 3 6" xfId="6814" xr:uid="{0E8C6D3E-D52B-4BC0-AC17-527CF36FA25F}"/>
    <cellStyle name="Normal 3 5 4 2 4" xfId="2844" xr:uid="{00000000-0005-0000-0000-0000EB0D0000}"/>
    <cellStyle name="Normal 3 5 4 2 4 2" xfId="5436" xr:uid="{00000000-0005-0000-0000-0000EC0D0000}"/>
    <cellStyle name="Normal 3 5 4 2 4 2 2" xfId="11613" xr:uid="{8994F0AD-2B88-4256-87B6-454C8FDA74BD}"/>
    <cellStyle name="Normal 3 5 4 2 4 3" xfId="9021" xr:uid="{0B11A2EB-EF04-4236-9275-DCAD88D5D6D5}"/>
    <cellStyle name="Normal 3 5 4 2 5" xfId="1962" xr:uid="{00000000-0005-0000-0000-0000ED0D0000}"/>
    <cellStyle name="Normal 3 5 4 2 5 2" xfId="5437" xr:uid="{00000000-0005-0000-0000-0000EE0D0000}"/>
    <cellStyle name="Normal 3 5 4 2 5 2 2" xfId="11614" xr:uid="{3A8949E2-627A-4BA7-935F-59912769CA4A}"/>
    <cellStyle name="Normal 3 5 4 2 5 3" xfId="8139" xr:uid="{64A37412-60ED-450A-ABD2-44A5D575346B}"/>
    <cellStyle name="Normal 3 5 4 2 6" xfId="3726" xr:uid="{00000000-0005-0000-0000-0000EF0D0000}"/>
    <cellStyle name="Normal 3 5 4 2 6 2" xfId="9903" xr:uid="{2BD731F7-7AD3-4157-ABC5-636E292DF606}"/>
    <cellStyle name="Normal 3 5 4 2 7" xfId="1079" xr:uid="{00000000-0005-0000-0000-0000F00D0000}"/>
    <cellStyle name="Normal 3 5 4 2 7 2" xfId="7256" xr:uid="{407D420A-1D4A-402C-B3BE-AD8157827E69}"/>
    <cellStyle name="Normal 3 5 4 2 8" xfId="6373" xr:uid="{A473F055-F99E-40CD-A5C7-828EDCC899A8}"/>
    <cellStyle name="Normal 3 5 4 3" xfId="306" xr:uid="{00000000-0005-0000-0000-0000F10D0000}"/>
    <cellStyle name="Normal 3 5 4 3 2" xfId="747" xr:uid="{00000000-0005-0000-0000-0000F20D0000}"/>
    <cellStyle name="Normal 3 5 4 3 2 2" xfId="3395" xr:uid="{00000000-0005-0000-0000-0000F30D0000}"/>
    <cellStyle name="Normal 3 5 4 3 2 2 2" xfId="5438" xr:uid="{00000000-0005-0000-0000-0000F40D0000}"/>
    <cellStyle name="Normal 3 5 4 3 2 2 2 2" xfId="11615" xr:uid="{483CEB89-250E-476E-894D-032A1F93D6B8}"/>
    <cellStyle name="Normal 3 5 4 3 2 2 3" xfId="9572" xr:uid="{4F66C934-866F-43DA-B303-DD7632519FB9}"/>
    <cellStyle name="Normal 3 5 4 3 2 3" xfId="2513" xr:uid="{00000000-0005-0000-0000-0000F50D0000}"/>
    <cellStyle name="Normal 3 5 4 3 2 3 2" xfId="5439" xr:uid="{00000000-0005-0000-0000-0000F60D0000}"/>
    <cellStyle name="Normal 3 5 4 3 2 3 2 2" xfId="11616" xr:uid="{2F2C0E8B-4E3C-47BA-8E08-11DD6FE720D8}"/>
    <cellStyle name="Normal 3 5 4 3 2 3 3" xfId="8690" xr:uid="{F1FF2747-CE55-4177-9DC4-E5626E9F26E3}"/>
    <cellStyle name="Normal 3 5 4 3 2 4" xfId="4277" xr:uid="{00000000-0005-0000-0000-0000F70D0000}"/>
    <cellStyle name="Normal 3 5 4 3 2 4 2" xfId="10454" xr:uid="{8B54D413-1AF0-4DB3-AF3E-F4DF8579E060}"/>
    <cellStyle name="Normal 3 5 4 3 2 5" xfId="1630" xr:uid="{00000000-0005-0000-0000-0000F80D0000}"/>
    <cellStyle name="Normal 3 5 4 3 2 5 2" xfId="7807" xr:uid="{35D90306-E6AE-490B-8917-44E8F8EAFE1D}"/>
    <cellStyle name="Normal 3 5 4 3 2 6" xfId="6924" xr:uid="{D475548A-A763-41D4-AA8C-D5C0410E6F99}"/>
    <cellStyle name="Normal 3 5 4 3 3" xfId="2954" xr:uid="{00000000-0005-0000-0000-0000F90D0000}"/>
    <cellStyle name="Normal 3 5 4 3 3 2" xfId="5440" xr:uid="{00000000-0005-0000-0000-0000FA0D0000}"/>
    <cellStyle name="Normal 3 5 4 3 3 2 2" xfId="11617" xr:uid="{6F001108-10C5-4084-B597-6846904A4DA0}"/>
    <cellStyle name="Normal 3 5 4 3 3 3" xfId="9131" xr:uid="{ED8AFE6D-50F9-41DF-89C3-E80B352755D7}"/>
    <cellStyle name="Normal 3 5 4 3 4" xfId="2072" xr:uid="{00000000-0005-0000-0000-0000FB0D0000}"/>
    <cellStyle name="Normal 3 5 4 3 4 2" xfId="5441" xr:uid="{00000000-0005-0000-0000-0000FC0D0000}"/>
    <cellStyle name="Normal 3 5 4 3 4 2 2" xfId="11618" xr:uid="{ACB37429-1C73-4CD3-8DDE-C81E37AC658A}"/>
    <cellStyle name="Normal 3 5 4 3 4 3" xfId="8249" xr:uid="{8F415F7C-08E2-43E3-AEF3-2CAB8EEAA6DA}"/>
    <cellStyle name="Normal 3 5 4 3 5" xfId="3836" xr:uid="{00000000-0005-0000-0000-0000FD0D0000}"/>
    <cellStyle name="Normal 3 5 4 3 5 2" xfId="10013" xr:uid="{C6DB19DA-BECA-4567-A727-E925D38219B4}"/>
    <cellStyle name="Normal 3 5 4 3 6" xfId="1189" xr:uid="{00000000-0005-0000-0000-0000FE0D0000}"/>
    <cellStyle name="Normal 3 5 4 3 6 2" xfId="7366" xr:uid="{563851FE-C337-41B1-99BD-75049A4A54C8}"/>
    <cellStyle name="Normal 3 5 4 3 7" xfId="6483" xr:uid="{3B1D8AA9-E2B7-4D0C-A9B7-0CAB092304C5}"/>
    <cellStyle name="Normal 3 5 4 4" xfId="527" xr:uid="{00000000-0005-0000-0000-0000FF0D0000}"/>
    <cellStyle name="Normal 3 5 4 4 2" xfId="3175" xr:uid="{00000000-0005-0000-0000-0000000E0000}"/>
    <cellStyle name="Normal 3 5 4 4 2 2" xfId="5442" xr:uid="{00000000-0005-0000-0000-0000010E0000}"/>
    <cellStyle name="Normal 3 5 4 4 2 2 2" xfId="11619" xr:uid="{8C218BEC-AE00-4B02-9770-67BD0DCC742F}"/>
    <cellStyle name="Normal 3 5 4 4 2 3" xfId="9352" xr:uid="{3A49BE61-AD01-4ED3-8F93-A632BC83D91C}"/>
    <cellStyle name="Normal 3 5 4 4 3" xfId="2293" xr:uid="{00000000-0005-0000-0000-0000020E0000}"/>
    <cellStyle name="Normal 3 5 4 4 3 2" xfId="5443" xr:uid="{00000000-0005-0000-0000-0000030E0000}"/>
    <cellStyle name="Normal 3 5 4 4 3 2 2" xfId="11620" xr:uid="{C5CC246D-BD12-458A-A486-B7149EC50307}"/>
    <cellStyle name="Normal 3 5 4 4 3 3" xfId="8470" xr:uid="{7C09F8B7-7A22-43FE-BB91-E0A7E3E4772A}"/>
    <cellStyle name="Normal 3 5 4 4 4" xfId="4057" xr:uid="{00000000-0005-0000-0000-0000040E0000}"/>
    <cellStyle name="Normal 3 5 4 4 4 2" xfId="10234" xr:uid="{62F674C5-C370-4B18-9383-294940836137}"/>
    <cellStyle name="Normal 3 5 4 4 5" xfId="1410" xr:uid="{00000000-0005-0000-0000-0000050E0000}"/>
    <cellStyle name="Normal 3 5 4 4 5 2" xfId="7587" xr:uid="{EE9928BF-F30A-4C44-98E3-6BACDCA3B88B}"/>
    <cellStyle name="Normal 3 5 4 4 6" xfId="6704" xr:uid="{6AC23873-AA11-40EC-9A72-3D4F4FCE9C06}"/>
    <cellStyle name="Normal 3 5 4 5" xfId="2734" xr:uid="{00000000-0005-0000-0000-0000060E0000}"/>
    <cellStyle name="Normal 3 5 4 5 2" xfId="5444" xr:uid="{00000000-0005-0000-0000-0000070E0000}"/>
    <cellStyle name="Normal 3 5 4 5 2 2" xfId="11621" xr:uid="{6552BDA3-BC7F-4E6A-BABC-18A032F4B34D}"/>
    <cellStyle name="Normal 3 5 4 5 3" xfId="8911" xr:uid="{F09ECF38-5E35-4BB5-B9AB-E72E34E2D5F8}"/>
    <cellStyle name="Normal 3 5 4 6" xfId="1852" xr:uid="{00000000-0005-0000-0000-0000080E0000}"/>
    <cellStyle name="Normal 3 5 4 6 2" xfId="5445" xr:uid="{00000000-0005-0000-0000-0000090E0000}"/>
    <cellStyle name="Normal 3 5 4 6 2 2" xfId="11622" xr:uid="{1485E717-E1AD-4A2F-A4C2-902992C50E0E}"/>
    <cellStyle name="Normal 3 5 4 6 3" xfId="8029" xr:uid="{DCD124CD-3CDA-4AA3-ACCA-8CA64C034E36}"/>
    <cellStyle name="Normal 3 5 4 7" xfId="3616" xr:uid="{00000000-0005-0000-0000-00000A0E0000}"/>
    <cellStyle name="Normal 3 5 4 7 2" xfId="9793" xr:uid="{0DA6EF35-B6DC-444D-BE41-969D5CDF1CA7}"/>
    <cellStyle name="Normal 3 5 4 8" xfId="969" xr:uid="{00000000-0005-0000-0000-00000B0E0000}"/>
    <cellStyle name="Normal 3 5 4 8 2" xfId="7146" xr:uid="{12EE2541-5F2C-4947-83B1-FFF9A9F9E3BE}"/>
    <cellStyle name="Normal 3 5 4 9" xfId="6263" xr:uid="{C9A702C4-EA67-4991-97B9-2D9CA4F5C2ED}"/>
    <cellStyle name="Normal 3 5 5" xfId="130" xr:uid="{00000000-0005-0000-0000-00000C0E0000}"/>
    <cellStyle name="Normal 3 5 5 2" xfId="350" xr:uid="{00000000-0005-0000-0000-00000D0E0000}"/>
    <cellStyle name="Normal 3 5 5 2 2" xfId="791" xr:uid="{00000000-0005-0000-0000-00000E0E0000}"/>
    <cellStyle name="Normal 3 5 5 2 2 2" xfId="3439" xr:uid="{00000000-0005-0000-0000-00000F0E0000}"/>
    <cellStyle name="Normal 3 5 5 2 2 2 2" xfId="5446" xr:uid="{00000000-0005-0000-0000-0000100E0000}"/>
    <cellStyle name="Normal 3 5 5 2 2 2 2 2" xfId="11623" xr:uid="{A40769AF-B311-4D4E-A3A6-54BCFFE94058}"/>
    <cellStyle name="Normal 3 5 5 2 2 2 3" xfId="9616" xr:uid="{2ED4D7E3-76A0-4781-9E07-69558DA8CC26}"/>
    <cellStyle name="Normal 3 5 5 2 2 3" xfId="2557" xr:uid="{00000000-0005-0000-0000-0000110E0000}"/>
    <cellStyle name="Normal 3 5 5 2 2 3 2" xfId="5447" xr:uid="{00000000-0005-0000-0000-0000120E0000}"/>
    <cellStyle name="Normal 3 5 5 2 2 3 2 2" xfId="11624" xr:uid="{1643C20E-A0B6-4BCE-83D0-3AB09439773F}"/>
    <cellStyle name="Normal 3 5 5 2 2 3 3" xfId="8734" xr:uid="{1DDBB231-287D-4791-A756-4BB687CD82BC}"/>
    <cellStyle name="Normal 3 5 5 2 2 4" xfId="4321" xr:uid="{00000000-0005-0000-0000-0000130E0000}"/>
    <cellStyle name="Normal 3 5 5 2 2 4 2" xfId="10498" xr:uid="{499D4820-F7F2-4691-820A-951231DAF3C6}"/>
    <cellStyle name="Normal 3 5 5 2 2 5" xfId="1674" xr:uid="{00000000-0005-0000-0000-0000140E0000}"/>
    <cellStyle name="Normal 3 5 5 2 2 5 2" xfId="7851" xr:uid="{F7B09C82-4CEB-4B98-935E-603EC12EB554}"/>
    <cellStyle name="Normal 3 5 5 2 2 6" xfId="6968" xr:uid="{1B8A45B7-D195-41C1-9E7D-43C24A9DE4EB}"/>
    <cellStyle name="Normal 3 5 5 2 3" xfId="2998" xr:uid="{00000000-0005-0000-0000-0000150E0000}"/>
    <cellStyle name="Normal 3 5 5 2 3 2" xfId="5448" xr:uid="{00000000-0005-0000-0000-0000160E0000}"/>
    <cellStyle name="Normal 3 5 5 2 3 2 2" xfId="11625" xr:uid="{090B300C-7F72-4FE7-B4D5-E539545F1175}"/>
    <cellStyle name="Normal 3 5 5 2 3 3" xfId="9175" xr:uid="{6EBE6E1D-8E4C-42D6-AB15-261CE81FA7D3}"/>
    <cellStyle name="Normal 3 5 5 2 4" xfId="2116" xr:uid="{00000000-0005-0000-0000-0000170E0000}"/>
    <cellStyle name="Normal 3 5 5 2 4 2" xfId="5449" xr:uid="{00000000-0005-0000-0000-0000180E0000}"/>
    <cellStyle name="Normal 3 5 5 2 4 2 2" xfId="11626" xr:uid="{6BA0E811-A9AC-4498-9E2D-49B9EB8C9380}"/>
    <cellStyle name="Normal 3 5 5 2 4 3" xfId="8293" xr:uid="{2152FB02-0CC9-4BE1-96C8-D2628AE08131}"/>
    <cellStyle name="Normal 3 5 5 2 5" xfId="3880" xr:uid="{00000000-0005-0000-0000-0000190E0000}"/>
    <cellStyle name="Normal 3 5 5 2 5 2" xfId="10057" xr:uid="{D2FFC5AD-06CD-47C7-84D2-86E33A54E269}"/>
    <cellStyle name="Normal 3 5 5 2 6" xfId="1233" xr:uid="{00000000-0005-0000-0000-00001A0E0000}"/>
    <cellStyle name="Normal 3 5 5 2 6 2" xfId="7410" xr:uid="{E50CA5A2-1690-4401-8B47-F5316BB5EC57}"/>
    <cellStyle name="Normal 3 5 5 2 7" xfId="6527" xr:uid="{F2E416A2-5911-4DD2-9787-1B70C71DD5EC}"/>
    <cellStyle name="Normal 3 5 5 3" xfId="571" xr:uid="{00000000-0005-0000-0000-00001B0E0000}"/>
    <cellStyle name="Normal 3 5 5 3 2" xfId="3219" xr:uid="{00000000-0005-0000-0000-00001C0E0000}"/>
    <cellStyle name="Normal 3 5 5 3 2 2" xfId="5450" xr:uid="{00000000-0005-0000-0000-00001D0E0000}"/>
    <cellStyle name="Normal 3 5 5 3 2 2 2" xfId="11627" xr:uid="{4589D303-C99A-4EB0-BACD-4D2B3830191E}"/>
    <cellStyle name="Normal 3 5 5 3 2 3" xfId="9396" xr:uid="{524D2A27-D60F-40D9-B062-88F3FA43D2F7}"/>
    <cellStyle name="Normal 3 5 5 3 3" xfId="2337" xr:uid="{00000000-0005-0000-0000-00001E0E0000}"/>
    <cellStyle name="Normal 3 5 5 3 3 2" xfId="5451" xr:uid="{00000000-0005-0000-0000-00001F0E0000}"/>
    <cellStyle name="Normal 3 5 5 3 3 2 2" xfId="11628" xr:uid="{32E7D482-9745-4672-ABA1-247269AE727A}"/>
    <cellStyle name="Normal 3 5 5 3 3 3" xfId="8514" xr:uid="{33F99F28-EA3E-48C0-AB38-17BD08FCC3ED}"/>
    <cellStyle name="Normal 3 5 5 3 4" xfId="4101" xr:uid="{00000000-0005-0000-0000-0000200E0000}"/>
    <cellStyle name="Normal 3 5 5 3 4 2" xfId="10278" xr:uid="{59ECE735-45FF-471F-BA07-0DB8075A72B6}"/>
    <cellStyle name="Normal 3 5 5 3 5" xfId="1454" xr:uid="{00000000-0005-0000-0000-0000210E0000}"/>
    <cellStyle name="Normal 3 5 5 3 5 2" xfId="7631" xr:uid="{1667241A-D12B-4D14-869B-E95B7B7E3C73}"/>
    <cellStyle name="Normal 3 5 5 3 6" xfId="6748" xr:uid="{06D2D169-AD0C-4156-92A2-4D2266BC626E}"/>
    <cellStyle name="Normal 3 5 5 4" xfId="2778" xr:uid="{00000000-0005-0000-0000-0000220E0000}"/>
    <cellStyle name="Normal 3 5 5 4 2" xfId="5452" xr:uid="{00000000-0005-0000-0000-0000230E0000}"/>
    <cellStyle name="Normal 3 5 5 4 2 2" xfId="11629" xr:uid="{8001E698-33BB-4FA8-8584-02BA02C89AAF}"/>
    <cellStyle name="Normal 3 5 5 4 3" xfId="8955" xr:uid="{131132AA-26EF-4988-A391-D1993200BC36}"/>
    <cellStyle name="Normal 3 5 5 5" xfId="1896" xr:uid="{00000000-0005-0000-0000-0000240E0000}"/>
    <cellStyle name="Normal 3 5 5 5 2" xfId="5453" xr:uid="{00000000-0005-0000-0000-0000250E0000}"/>
    <cellStyle name="Normal 3 5 5 5 2 2" xfId="11630" xr:uid="{F400E742-B570-4B9F-9270-DBCA78383F2D}"/>
    <cellStyle name="Normal 3 5 5 5 3" xfId="8073" xr:uid="{A6076274-5E1D-4673-BDA2-ED82755A42AB}"/>
    <cellStyle name="Normal 3 5 5 6" xfId="3660" xr:uid="{00000000-0005-0000-0000-0000260E0000}"/>
    <cellStyle name="Normal 3 5 5 6 2" xfId="9837" xr:uid="{124917B0-740B-4A0D-8E3B-A87A0A8BC129}"/>
    <cellStyle name="Normal 3 5 5 7" xfId="1013" xr:uid="{00000000-0005-0000-0000-0000270E0000}"/>
    <cellStyle name="Normal 3 5 5 7 2" xfId="7190" xr:uid="{09146765-51E7-4A90-BE6E-6D6C0735E8EC}"/>
    <cellStyle name="Normal 3 5 5 8" xfId="6307" xr:uid="{BD82045A-474C-47DC-A12C-16FB77A74B70}"/>
    <cellStyle name="Normal 3 5 6" xfId="240" xr:uid="{00000000-0005-0000-0000-0000280E0000}"/>
    <cellStyle name="Normal 3 5 6 2" xfId="681" xr:uid="{00000000-0005-0000-0000-0000290E0000}"/>
    <cellStyle name="Normal 3 5 6 2 2" xfId="3329" xr:uid="{00000000-0005-0000-0000-00002A0E0000}"/>
    <cellStyle name="Normal 3 5 6 2 2 2" xfId="5454" xr:uid="{00000000-0005-0000-0000-00002B0E0000}"/>
    <cellStyle name="Normal 3 5 6 2 2 2 2" xfId="11631" xr:uid="{00CA96BC-A94D-4118-AF07-8D4D6B84A6B4}"/>
    <cellStyle name="Normal 3 5 6 2 2 3" xfId="9506" xr:uid="{E1007DD8-5F9A-4C28-9352-65FBD6ABF9FF}"/>
    <cellStyle name="Normal 3 5 6 2 3" xfId="2447" xr:uid="{00000000-0005-0000-0000-00002C0E0000}"/>
    <cellStyle name="Normal 3 5 6 2 3 2" xfId="5455" xr:uid="{00000000-0005-0000-0000-00002D0E0000}"/>
    <cellStyle name="Normal 3 5 6 2 3 2 2" xfId="11632" xr:uid="{A5F358A7-BD20-4854-9E56-754C10AAA520}"/>
    <cellStyle name="Normal 3 5 6 2 3 3" xfId="8624" xr:uid="{B6ED6C49-E3AC-48E4-805E-3CB06817F708}"/>
    <cellStyle name="Normal 3 5 6 2 4" xfId="4211" xr:uid="{00000000-0005-0000-0000-00002E0E0000}"/>
    <cellStyle name="Normal 3 5 6 2 4 2" xfId="10388" xr:uid="{0F9B64A3-C193-4C71-9736-5D7E2B56069B}"/>
    <cellStyle name="Normal 3 5 6 2 5" xfId="1564" xr:uid="{00000000-0005-0000-0000-00002F0E0000}"/>
    <cellStyle name="Normal 3 5 6 2 5 2" xfId="7741" xr:uid="{41059D36-B96B-4C14-83A8-92CD36895B34}"/>
    <cellStyle name="Normal 3 5 6 2 6" xfId="6858" xr:uid="{5DB155D4-7BC5-4B48-BD33-68239A1DE06D}"/>
    <cellStyle name="Normal 3 5 6 3" xfId="2888" xr:uid="{00000000-0005-0000-0000-0000300E0000}"/>
    <cellStyle name="Normal 3 5 6 3 2" xfId="5456" xr:uid="{00000000-0005-0000-0000-0000310E0000}"/>
    <cellStyle name="Normal 3 5 6 3 2 2" xfId="11633" xr:uid="{3499E21A-DC34-46EF-A318-DFC3577CBF09}"/>
    <cellStyle name="Normal 3 5 6 3 3" xfId="9065" xr:uid="{BEF8010E-0ED5-4642-8968-9174F7AB41D3}"/>
    <cellStyle name="Normal 3 5 6 4" xfId="2006" xr:uid="{00000000-0005-0000-0000-0000320E0000}"/>
    <cellStyle name="Normal 3 5 6 4 2" xfId="5457" xr:uid="{00000000-0005-0000-0000-0000330E0000}"/>
    <cellStyle name="Normal 3 5 6 4 2 2" xfId="11634" xr:uid="{65C4F84C-0295-42D2-AE53-3C4CE6CF08E0}"/>
    <cellStyle name="Normal 3 5 6 4 3" xfId="8183" xr:uid="{812E46D7-B9DA-475D-86E9-FBADDCF48CFE}"/>
    <cellStyle name="Normal 3 5 6 5" xfId="3770" xr:uid="{00000000-0005-0000-0000-0000340E0000}"/>
    <cellStyle name="Normal 3 5 6 5 2" xfId="9947" xr:uid="{42255A74-BFAB-46A7-A3F6-FD6E769E31D4}"/>
    <cellStyle name="Normal 3 5 6 6" xfId="1123" xr:uid="{00000000-0005-0000-0000-0000350E0000}"/>
    <cellStyle name="Normal 3 5 6 6 2" xfId="7300" xr:uid="{DFB82EEE-D3E7-4432-9C69-5D6F430BF51B}"/>
    <cellStyle name="Normal 3 5 6 7" xfId="6417" xr:uid="{2F93FF10-8882-4A74-A5F4-6FB32EC281E7}"/>
    <cellStyle name="Normal 3 5 7" xfId="461" xr:uid="{00000000-0005-0000-0000-0000360E0000}"/>
    <cellStyle name="Normal 3 5 7 2" xfId="3109" xr:uid="{00000000-0005-0000-0000-0000370E0000}"/>
    <cellStyle name="Normal 3 5 7 2 2" xfId="5458" xr:uid="{00000000-0005-0000-0000-0000380E0000}"/>
    <cellStyle name="Normal 3 5 7 2 2 2" xfId="11635" xr:uid="{E9DA4EE6-B648-40E6-B455-8D19174C67DB}"/>
    <cellStyle name="Normal 3 5 7 2 3" xfId="9286" xr:uid="{6570D5BA-4434-43A2-B6E4-76E8085F2222}"/>
    <cellStyle name="Normal 3 5 7 3" xfId="2227" xr:uid="{00000000-0005-0000-0000-0000390E0000}"/>
    <cellStyle name="Normal 3 5 7 3 2" xfId="5459" xr:uid="{00000000-0005-0000-0000-00003A0E0000}"/>
    <cellStyle name="Normal 3 5 7 3 2 2" xfId="11636" xr:uid="{A904B1E9-162E-44C7-B262-81A28ABB13C5}"/>
    <cellStyle name="Normal 3 5 7 3 3" xfId="8404" xr:uid="{526F59D7-1E8D-403F-A169-4FABBE7711A9}"/>
    <cellStyle name="Normal 3 5 7 4" xfId="3991" xr:uid="{00000000-0005-0000-0000-00003B0E0000}"/>
    <cellStyle name="Normal 3 5 7 4 2" xfId="10168" xr:uid="{D51F6812-1806-4F34-8544-92BA1F20E52A}"/>
    <cellStyle name="Normal 3 5 7 5" xfId="1344" xr:uid="{00000000-0005-0000-0000-00003C0E0000}"/>
    <cellStyle name="Normal 3 5 7 5 2" xfId="7521" xr:uid="{8483D656-B29B-419E-A3D4-1E10307AFC9A}"/>
    <cellStyle name="Normal 3 5 7 6" xfId="6638" xr:uid="{A22775E3-C933-44EA-B7FD-8E2462E47F44}"/>
    <cellStyle name="Normal 3 5 8" xfId="2668" xr:uid="{00000000-0005-0000-0000-00003D0E0000}"/>
    <cellStyle name="Normal 3 5 8 2" xfId="5460" xr:uid="{00000000-0005-0000-0000-00003E0E0000}"/>
    <cellStyle name="Normal 3 5 8 2 2" xfId="11637" xr:uid="{B573F984-88E3-4BCC-B215-72996F82977E}"/>
    <cellStyle name="Normal 3 5 8 3" xfId="8845" xr:uid="{ADF6AC6B-E255-4108-92AE-F8E2CA39DB65}"/>
    <cellStyle name="Normal 3 5 9" xfId="1786" xr:uid="{00000000-0005-0000-0000-00003F0E0000}"/>
    <cellStyle name="Normal 3 5 9 2" xfId="5461" xr:uid="{00000000-0005-0000-0000-0000400E0000}"/>
    <cellStyle name="Normal 3 5 9 2 2" xfId="11638" xr:uid="{0AF9F73A-6DFB-4B79-BC62-4DB89567D4DA}"/>
    <cellStyle name="Normal 3 5 9 3" xfId="7963" xr:uid="{C24CDC61-2A10-47B0-BB34-E56FFF555986}"/>
    <cellStyle name="Normal 3 6" xfId="23" xr:uid="{00000000-0005-0000-0000-0000410E0000}"/>
    <cellStyle name="Normal 3 6 10" xfId="3553" xr:uid="{00000000-0005-0000-0000-0000420E0000}"/>
    <cellStyle name="Normal 3 6 10 2" xfId="9730" xr:uid="{1C48D101-50C5-440D-8C3C-C1381899CA07}"/>
    <cellStyle name="Normal 3 6 11" xfId="906" xr:uid="{00000000-0005-0000-0000-0000430E0000}"/>
    <cellStyle name="Normal 3 6 11 2" xfId="7083" xr:uid="{471A7736-7933-4665-842D-7D5D81AA9BAE}"/>
    <cellStyle name="Normal 3 6 12" xfId="6200" xr:uid="{B142877D-8E44-496E-805B-A832AD1DBC11}"/>
    <cellStyle name="Normal 3 6 2" xfId="57" xr:uid="{00000000-0005-0000-0000-0000440E0000}"/>
    <cellStyle name="Normal 3 6 2 2" xfId="167" xr:uid="{00000000-0005-0000-0000-0000450E0000}"/>
    <cellStyle name="Normal 3 6 2 2 2" xfId="387" xr:uid="{00000000-0005-0000-0000-0000460E0000}"/>
    <cellStyle name="Normal 3 6 2 2 2 2" xfId="828" xr:uid="{00000000-0005-0000-0000-0000470E0000}"/>
    <cellStyle name="Normal 3 6 2 2 2 2 2" xfId="3476" xr:uid="{00000000-0005-0000-0000-0000480E0000}"/>
    <cellStyle name="Normal 3 6 2 2 2 2 2 2" xfId="5462" xr:uid="{00000000-0005-0000-0000-0000490E0000}"/>
    <cellStyle name="Normal 3 6 2 2 2 2 2 2 2" xfId="11639" xr:uid="{CE9F58B1-DD29-49AE-B029-A38969096559}"/>
    <cellStyle name="Normal 3 6 2 2 2 2 2 3" xfId="9653" xr:uid="{055B31E9-5B8F-4892-B32F-AAFAAD7F4ADE}"/>
    <cellStyle name="Normal 3 6 2 2 2 2 3" xfId="2594" xr:uid="{00000000-0005-0000-0000-00004A0E0000}"/>
    <cellStyle name="Normal 3 6 2 2 2 2 3 2" xfId="5463" xr:uid="{00000000-0005-0000-0000-00004B0E0000}"/>
    <cellStyle name="Normal 3 6 2 2 2 2 3 2 2" xfId="11640" xr:uid="{FA6DDA52-C20D-4C6B-A736-B9B64ACDCF90}"/>
    <cellStyle name="Normal 3 6 2 2 2 2 3 3" xfId="8771" xr:uid="{D6ACF379-95AD-4CE6-93FB-EDC9B3AC28BB}"/>
    <cellStyle name="Normal 3 6 2 2 2 2 4" xfId="4358" xr:uid="{00000000-0005-0000-0000-00004C0E0000}"/>
    <cellStyle name="Normal 3 6 2 2 2 2 4 2" xfId="10535" xr:uid="{5FA083AE-955B-45D5-B91F-7155C44B7936}"/>
    <cellStyle name="Normal 3 6 2 2 2 2 5" xfId="1711" xr:uid="{00000000-0005-0000-0000-00004D0E0000}"/>
    <cellStyle name="Normal 3 6 2 2 2 2 5 2" xfId="7888" xr:uid="{7CC493B4-5C7C-4723-8173-85D1CC8B44EE}"/>
    <cellStyle name="Normal 3 6 2 2 2 2 6" xfId="7005" xr:uid="{C582AA02-7D7C-49FD-8C84-FBB12DCE0EF2}"/>
    <cellStyle name="Normal 3 6 2 2 2 3" xfId="3035" xr:uid="{00000000-0005-0000-0000-00004E0E0000}"/>
    <cellStyle name="Normal 3 6 2 2 2 3 2" xfId="5464" xr:uid="{00000000-0005-0000-0000-00004F0E0000}"/>
    <cellStyle name="Normal 3 6 2 2 2 3 2 2" xfId="11641" xr:uid="{D2AEEB36-8CC3-46D6-9104-94A767BA0F0E}"/>
    <cellStyle name="Normal 3 6 2 2 2 3 3" xfId="9212" xr:uid="{2856256B-40EE-46D3-892F-E818B3F8C9D3}"/>
    <cellStyle name="Normal 3 6 2 2 2 4" xfId="2153" xr:uid="{00000000-0005-0000-0000-0000500E0000}"/>
    <cellStyle name="Normal 3 6 2 2 2 4 2" xfId="5465" xr:uid="{00000000-0005-0000-0000-0000510E0000}"/>
    <cellStyle name="Normal 3 6 2 2 2 4 2 2" xfId="11642" xr:uid="{39966A7A-A539-4AD6-90FC-45D7E12F57B8}"/>
    <cellStyle name="Normal 3 6 2 2 2 4 3" xfId="8330" xr:uid="{A9737F43-7E91-4A85-B6C8-5CD9556A6106}"/>
    <cellStyle name="Normal 3 6 2 2 2 5" xfId="3917" xr:uid="{00000000-0005-0000-0000-0000520E0000}"/>
    <cellStyle name="Normal 3 6 2 2 2 5 2" xfId="10094" xr:uid="{843900EF-AD1B-47BE-B276-B5C633DA0A3E}"/>
    <cellStyle name="Normal 3 6 2 2 2 6" xfId="1270" xr:uid="{00000000-0005-0000-0000-0000530E0000}"/>
    <cellStyle name="Normal 3 6 2 2 2 6 2" xfId="7447" xr:uid="{3F38D218-5172-4289-BAC0-A8CC7E5BE976}"/>
    <cellStyle name="Normal 3 6 2 2 2 7" xfId="6564" xr:uid="{545605CA-032A-437F-B447-3CEC3E4E596B}"/>
    <cellStyle name="Normal 3 6 2 2 3" xfId="608" xr:uid="{00000000-0005-0000-0000-0000540E0000}"/>
    <cellStyle name="Normal 3 6 2 2 3 2" xfId="3256" xr:uid="{00000000-0005-0000-0000-0000550E0000}"/>
    <cellStyle name="Normal 3 6 2 2 3 2 2" xfId="5466" xr:uid="{00000000-0005-0000-0000-0000560E0000}"/>
    <cellStyle name="Normal 3 6 2 2 3 2 2 2" xfId="11643" xr:uid="{DFB4DB98-A946-42E3-99C1-6C74A601EB29}"/>
    <cellStyle name="Normal 3 6 2 2 3 2 3" xfId="9433" xr:uid="{CC4BECF7-EFEF-4120-B766-98DE74E251EC}"/>
    <cellStyle name="Normal 3 6 2 2 3 3" xfId="2374" xr:uid="{00000000-0005-0000-0000-0000570E0000}"/>
    <cellStyle name="Normal 3 6 2 2 3 3 2" xfId="5467" xr:uid="{00000000-0005-0000-0000-0000580E0000}"/>
    <cellStyle name="Normal 3 6 2 2 3 3 2 2" xfId="11644" xr:uid="{730B6ECD-CA38-446B-A271-4DB5B823BE16}"/>
    <cellStyle name="Normal 3 6 2 2 3 3 3" xfId="8551" xr:uid="{D9A1C7C6-E586-48C9-B4D6-65B3E1603E5C}"/>
    <cellStyle name="Normal 3 6 2 2 3 4" xfId="4138" xr:uid="{00000000-0005-0000-0000-0000590E0000}"/>
    <cellStyle name="Normal 3 6 2 2 3 4 2" xfId="10315" xr:uid="{2032A744-88EA-40CD-B12D-584DE2D1453B}"/>
    <cellStyle name="Normal 3 6 2 2 3 5" xfId="1491" xr:uid="{00000000-0005-0000-0000-00005A0E0000}"/>
    <cellStyle name="Normal 3 6 2 2 3 5 2" xfId="7668" xr:uid="{5CE7474C-4A10-478E-81C5-6CEACD905719}"/>
    <cellStyle name="Normal 3 6 2 2 3 6" xfId="6785" xr:uid="{CFB13838-2D39-4EB2-BE8B-FBA4DCA30FA2}"/>
    <cellStyle name="Normal 3 6 2 2 4" xfId="2815" xr:uid="{00000000-0005-0000-0000-00005B0E0000}"/>
    <cellStyle name="Normal 3 6 2 2 4 2" xfId="5468" xr:uid="{00000000-0005-0000-0000-00005C0E0000}"/>
    <cellStyle name="Normal 3 6 2 2 4 2 2" xfId="11645" xr:uid="{610F3A60-8F69-4AE4-8742-EEEA16793DE0}"/>
    <cellStyle name="Normal 3 6 2 2 4 3" xfId="8992" xr:uid="{8FC478E6-BA28-489C-81EC-EE895C110382}"/>
    <cellStyle name="Normal 3 6 2 2 5" xfId="1933" xr:uid="{00000000-0005-0000-0000-00005D0E0000}"/>
    <cellStyle name="Normal 3 6 2 2 5 2" xfId="5469" xr:uid="{00000000-0005-0000-0000-00005E0E0000}"/>
    <cellStyle name="Normal 3 6 2 2 5 2 2" xfId="11646" xr:uid="{DA1A165E-2BE7-48BB-8659-7EDC6DBF0538}"/>
    <cellStyle name="Normal 3 6 2 2 5 3" xfId="8110" xr:uid="{E0F9D6E2-5C27-49C6-AA8C-1CAFC73E0B5A}"/>
    <cellStyle name="Normal 3 6 2 2 6" xfId="3697" xr:uid="{00000000-0005-0000-0000-00005F0E0000}"/>
    <cellStyle name="Normal 3 6 2 2 6 2" xfId="9874" xr:uid="{3F6E62A1-AF1D-4252-81FD-E67C6B43C1C1}"/>
    <cellStyle name="Normal 3 6 2 2 7" xfId="1050" xr:uid="{00000000-0005-0000-0000-0000600E0000}"/>
    <cellStyle name="Normal 3 6 2 2 7 2" xfId="7227" xr:uid="{AD3B890E-2594-4913-8D99-F896F17BAF13}"/>
    <cellStyle name="Normal 3 6 2 2 8" xfId="6344" xr:uid="{CFFDAF3A-A521-4602-9CBE-7B1846FC9FB7}"/>
    <cellStyle name="Normal 3 6 2 3" xfId="277" xr:uid="{00000000-0005-0000-0000-0000610E0000}"/>
    <cellStyle name="Normal 3 6 2 3 2" xfId="718" xr:uid="{00000000-0005-0000-0000-0000620E0000}"/>
    <cellStyle name="Normal 3 6 2 3 2 2" xfId="3366" xr:uid="{00000000-0005-0000-0000-0000630E0000}"/>
    <cellStyle name="Normal 3 6 2 3 2 2 2" xfId="5470" xr:uid="{00000000-0005-0000-0000-0000640E0000}"/>
    <cellStyle name="Normal 3 6 2 3 2 2 2 2" xfId="11647" xr:uid="{5525259C-322B-4E32-8445-2D41E73D3DC3}"/>
    <cellStyle name="Normal 3 6 2 3 2 2 3" xfId="9543" xr:uid="{4D193466-B738-467E-981A-55D57811BB0D}"/>
    <cellStyle name="Normal 3 6 2 3 2 3" xfId="2484" xr:uid="{00000000-0005-0000-0000-0000650E0000}"/>
    <cellStyle name="Normal 3 6 2 3 2 3 2" xfId="5471" xr:uid="{00000000-0005-0000-0000-0000660E0000}"/>
    <cellStyle name="Normal 3 6 2 3 2 3 2 2" xfId="11648" xr:uid="{4256C9AC-1EE3-4A2C-8D7E-BAF38C200A79}"/>
    <cellStyle name="Normal 3 6 2 3 2 3 3" xfId="8661" xr:uid="{AD81DF5E-ED61-47A6-BD0B-7E0E7FEECDA3}"/>
    <cellStyle name="Normal 3 6 2 3 2 4" xfId="4248" xr:uid="{00000000-0005-0000-0000-0000670E0000}"/>
    <cellStyle name="Normal 3 6 2 3 2 4 2" xfId="10425" xr:uid="{8D80D4EE-A6B0-4556-85F4-E62857FCA3F8}"/>
    <cellStyle name="Normal 3 6 2 3 2 5" xfId="1601" xr:uid="{00000000-0005-0000-0000-0000680E0000}"/>
    <cellStyle name="Normal 3 6 2 3 2 5 2" xfId="7778" xr:uid="{8CBACDD6-3736-49DD-8077-1600446916F4}"/>
    <cellStyle name="Normal 3 6 2 3 2 6" xfId="6895" xr:uid="{42AEECF0-71A9-45BF-AB3E-3A3240AB1D66}"/>
    <cellStyle name="Normal 3 6 2 3 3" xfId="2925" xr:uid="{00000000-0005-0000-0000-0000690E0000}"/>
    <cellStyle name="Normal 3 6 2 3 3 2" xfId="5472" xr:uid="{00000000-0005-0000-0000-00006A0E0000}"/>
    <cellStyle name="Normal 3 6 2 3 3 2 2" xfId="11649" xr:uid="{A033B28B-81DF-4DC3-9250-C4E887B9296D}"/>
    <cellStyle name="Normal 3 6 2 3 3 3" xfId="9102" xr:uid="{5943E2C7-C23E-4C39-92EE-B750B4633C5C}"/>
    <cellStyle name="Normal 3 6 2 3 4" xfId="2043" xr:uid="{00000000-0005-0000-0000-00006B0E0000}"/>
    <cellStyle name="Normal 3 6 2 3 4 2" xfId="5473" xr:uid="{00000000-0005-0000-0000-00006C0E0000}"/>
    <cellStyle name="Normal 3 6 2 3 4 2 2" xfId="11650" xr:uid="{CCEF482D-5C75-4EA3-A240-472AC5B65F41}"/>
    <cellStyle name="Normal 3 6 2 3 4 3" xfId="8220" xr:uid="{8AF7D74A-8866-4ED4-A441-3AAC18895BFA}"/>
    <cellStyle name="Normal 3 6 2 3 5" xfId="3807" xr:uid="{00000000-0005-0000-0000-00006D0E0000}"/>
    <cellStyle name="Normal 3 6 2 3 5 2" xfId="9984" xr:uid="{AABB514E-261E-44B8-94AB-10B2C2B89E7B}"/>
    <cellStyle name="Normal 3 6 2 3 6" xfId="1160" xr:uid="{00000000-0005-0000-0000-00006E0E0000}"/>
    <cellStyle name="Normal 3 6 2 3 6 2" xfId="7337" xr:uid="{75CF1328-223D-4C19-876B-74A49021ED37}"/>
    <cellStyle name="Normal 3 6 2 3 7" xfId="6454" xr:uid="{9558AA7E-4623-4F91-9695-04957AD4747C}"/>
    <cellStyle name="Normal 3 6 2 4" xfId="498" xr:uid="{00000000-0005-0000-0000-00006F0E0000}"/>
    <cellStyle name="Normal 3 6 2 4 2" xfId="3146" xr:uid="{00000000-0005-0000-0000-0000700E0000}"/>
    <cellStyle name="Normal 3 6 2 4 2 2" xfId="5474" xr:uid="{00000000-0005-0000-0000-0000710E0000}"/>
    <cellStyle name="Normal 3 6 2 4 2 2 2" xfId="11651" xr:uid="{37B0B340-7F0E-4082-BF41-72497C4D6077}"/>
    <cellStyle name="Normal 3 6 2 4 2 3" xfId="9323" xr:uid="{7E4234AE-0C99-4CD7-A3C8-B299C9C1C3D5}"/>
    <cellStyle name="Normal 3 6 2 4 3" xfId="2264" xr:uid="{00000000-0005-0000-0000-0000720E0000}"/>
    <cellStyle name="Normal 3 6 2 4 3 2" xfId="5475" xr:uid="{00000000-0005-0000-0000-0000730E0000}"/>
    <cellStyle name="Normal 3 6 2 4 3 2 2" xfId="11652" xr:uid="{33C69D63-5091-45A5-A839-A52D36930C13}"/>
    <cellStyle name="Normal 3 6 2 4 3 3" xfId="8441" xr:uid="{C0CB38AD-5C48-4659-91CD-AE2F5AC14CC0}"/>
    <cellStyle name="Normal 3 6 2 4 4" xfId="4028" xr:uid="{00000000-0005-0000-0000-0000740E0000}"/>
    <cellStyle name="Normal 3 6 2 4 4 2" xfId="10205" xr:uid="{53D58291-97DE-45FF-BA3C-255EF7B75657}"/>
    <cellStyle name="Normal 3 6 2 4 5" xfId="1381" xr:uid="{00000000-0005-0000-0000-0000750E0000}"/>
    <cellStyle name="Normal 3 6 2 4 5 2" xfId="7558" xr:uid="{82B09F33-0917-4634-B704-5756BE91791B}"/>
    <cellStyle name="Normal 3 6 2 4 6" xfId="6675" xr:uid="{84BE4545-2B7F-42C7-87F8-93C3DD72B18A}"/>
    <cellStyle name="Normal 3 6 2 5" xfId="2705" xr:uid="{00000000-0005-0000-0000-0000760E0000}"/>
    <cellStyle name="Normal 3 6 2 5 2" xfId="5476" xr:uid="{00000000-0005-0000-0000-0000770E0000}"/>
    <cellStyle name="Normal 3 6 2 5 2 2" xfId="11653" xr:uid="{38B7429D-99D6-4570-90EB-664D19C6E1AE}"/>
    <cellStyle name="Normal 3 6 2 5 3" xfId="8882" xr:uid="{6170B8AD-8C04-4D53-A9F6-4EA92DC78C23}"/>
    <cellStyle name="Normal 3 6 2 6" xfId="1823" xr:uid="{00000000-0005-0000-0000-0000780E0000}"/>
    <cellStyle name="Normal 3 6 2 6 2" xfId="5477" xr:uid="{00000000-0005-0000-0000-0000790E0000}"/>
    <cellStyle name="Normal 3 6 2 6 2 2" xfId="11654" xr:uid="{F5059968-3389-4195-BF43-76A27E8B8B03}"/>
    <cellStyle name="Normal 3 6 2 6 3" xfId="8000" xr:uid="{C88FC42B-EA1E-4654-A025-8DFBD1DFC032}"/>
    <cellStyle name="Normal 3 6 2 7" xfId="3587" xr:uid="{00000000-0005-0000-0000-00007A0E0000}"/>
    <cellStyle name="Normal 3 6 2 7 2" xfId="9764" xr:uid="{CFF06157-7512-4786-BB32-85C58BB2BD68}"/>
    <cellStyle name="Normal 3 6 2 8" xfId="940" xr:uid="{00000000-0005-0000-0000-00007B0E0000}"/>
    <cellStyle name="Normal 3 6 2 8 2" xfId="7117" xr:uid="{3AA20E1E-AB3D-45D1-9080-92F8502DD387}"/>
    <cellStyle name="Normal 3 6 2 9" xfId="6234" xr:uid="{C9669B68-7EAE-4D91-81A4-999A5F227D0D}"/>
    <cellStyle name="Normal 3 6 3" xfId="73" xr:uid="{00000000-0005-0000-0000-00007C0E0000}"/>
    <cellStyle name="Normal 3 6 3 2" xfId="183" xr:uid="{00000000-0005-0000-0000-00007D0E0000}"/>
    <cellStyle name="Normal 3 6 3 2 2" xfId="403" xr:uid="{00000000-0005-0000-0000-00007E0E0000}"/>
    <cellStyle name="Normal 3 6 3 2 2 2" xfId="844" xr:uid="{00000000-0005-0000-0000-00007F0E0000}"/>
    <cellStyle name="Normal 3 6 3 2 2 2 2" xfId="3492" xr:uid="{00000000-0005-0000-0000-0000800E0000}"/>
    <cellStyle name="Normal 3 6 3 2 2 2 2 2" xfId="5478" xr:uid="{00000000-0005-0000-0000-0000810E0000}"/>
    <cellStyle name="Normal 3 6 3 2 2 2 2 2 2" xfId="11655" xr:uid="{9821D067-5324-4AD5-B317-915E58A74039}"/>
    <cellStyle name="Normal 3 6 3 2 2 2 2 3" xfId="9669" xr:uid="{5C501C21-05D9-4AB8-AFAD-678395876143}"/>
    <cellStyle name="Normal 3 6 3 2 2 2 3" xfId="2610" xr:uid="{00000000-0005-0000-0000-0000820E0000}"/>
    <cellStyle name="Normal 3 6 3 2 2 2 3 2" xfId="5479" xr:uid="{00000000-0005-0000-0000-0000830E0000}"/>
    <cellStyle name="Normal 3 6 3 2 2 2 3 2 2" xfId="11656" xr:uid="{EF7CC116-FEE0-4EE9-B9BB-E110019E923F}"/>
    <cellStyle name="Normal 3 6 3 2 2 2 3 3" xfId="8787" xr:uid="{A872ABEB-1B43-488E-8A7A-2B34BC1792AB}"/>
    <cellStyle name="Normal 3 6 3 2 2 2 4" xfId="4374" xr:uid="{00000000-0005-0000-0000-0000840E0000}"/>
    <cellStyle name="Normal 3 6 3 2 2 2 4 2" xfId="10551" xr:uid="{19489E66-CBC7-4442-A0DC-89330E6342CC}"/>
    <cellStyle name="Normal 3 6 3 2 2 2 5" xfId="1727" xr:uid="{00000000-0005-0000-0000-0000850E0000}"/>
    <cellStyle name="Normal 3 6 3 2 2 2 5 2" xfId="7904" xr:uid="{8B6C8E32-40A2-42F4-8A3D-C1512F913427}"/>
    <cellStyle name="Normal 3 6 3 2 2 2 6" xfId="7021" xr:uid="{2EF20175-47AB-420F-B459-AD725B8C5328}"/>
    <cellStyle name="Normal 3 6 3 2 2 3" xfId="3051" xr:uid="{00000000-0005-0000-0000-0000860E0000}"/>
    <cellStyle name="Normal 3 6 3 2 2 3 2" xfId="5480" xr:uid="{00000000-0005-0000-0000-0000870E0000}"/>
    <cellStyle name="Normal 3 6 3 2 2 3 2 2" xfId="11657" xr:uid="{1CA1E0EA-9901-4C91-B186-C224A503422F}"/>
    <cellStyle name="Normal 3 6 3 2 2 3 3" xfId="9228" xr:uid="{07671CC9-B76C-4DC6-88C2-4B6F4FE3A64E}"/>
    <cellStyle name="Normal 3 6 3 2 2 4" xfId="2169" xr:uid="{00000000-0005-0000-0000-0000880E0000}"/>
    <cellStyle name="Normal 3 6 3 2 2 4 2" xfId="5481" xr:uid="{00000000-0005-0000-0000-0000890E0000}"/>
    <cellStyle name="Normal 3 6 3 2 2 4 2 2" xfId="11658" xr:uid="{F1000617-E755-40D8-8B0B-EDF2DFCB03E3}"/>
    <cellStyle name="Normal 3 6 3 2 2 4 3" xfId="8346" xr:uid="{13A56D33-8668-4A73-AD63-420F7C396146}"/>
    <cellStyle name="Normal 3 6 3 2 2 5" xfId="3933" xr:uid="{00000000-0005-0000-0000-00008A0E0000}"/>
    <cellStyle name="Normal 3 6 3 2 2 5 2" xfId="10110" xr:uid="{FD0BD464-B2CE-4B6E-A26E-82C5259761C0}"/>
    <cellStyle name="Normal 3 6 3 2 2 6" xfId="1286" xr:uid="{00000000-0005-0000-0000-00008B0E0000}"/>
    <cellStyle name="Normal 3 6 3 2 2 6 2" xfId="7463" xr:uid="{7883269B-3D4F-4332-A376-65413DC7D245}"/>
    <cellStyle name="Normal 3 6 3 2 2 7" xfId="6580" xr:uid="{4B2FC067-9967-4845-B629-0A84F9650040}"/>
    <cellStyle name="Normal 3 6 3 2 3" xfId="624" xr:uid="{00000000-0005-0000-0000-00008C0E0000}"/>
    <cellStyle name="Normal 3 6 3 2 3 2" xfId="3272" xr:uid="{00000000-0005-0000-0000-00008D0E0000}"/>
    <cellStyle name="Normal 3 6 3 2 3 2 2" xfId="5482" xr:uid="{00000000-0005-0000-0000-00008E0E0000}"/>
    <cellStyle name="Normal 3 6 3 2 3 2 2 2" xfId="11659" xr:uid="{C4EACDB3-3D76-4CBB-99CA-875037759000}"/>
    <cellStyle name="Normal 3 6 3 2 3 2 3" xfId="9449" xr:uid="{C9EB4714-9C31-4728-93D5-1457750DF9C7}"/>
    <cellStyle name="Normal 3 6 3 2 3 3" xfId="2390" xr:uid="{00000000-0005-0000-0000-00008F0E0000}"/>
    <cellStyle name="Normal 3 6 3 2 3 3 2" xfId="5483" xr:uid="{00000000-0005-0000-0000-0000900E0000}"/>
    <cellStyle name="Normal 3 6 3 2 3 3 2 2" xfId="11660" xr:uid="{2DF16222-7453-4F7C-8319-7278F0B62AF2}"/>
    <cellStyle name="Normal 3 6 3 2 3 3 3" xfId="8567" xr:uid="{84040175-B00B-4195-AD08-815683B00AA9}"/>
    <cellStyle name="Normal 3 6 3 2 3 4" xfId="4154" xr:uid="{00000000-0005-0000-0000-0000910E0000}"/>
    <cellStyle name="Normal 3 6 3 2 3 4 2" xfId="10331" xr:uid="{5ADE7F86-1F01-4320-96B9-755CF398DBAA}"/>
    <cellStyle name="Normal 3 6 3 2 3 5" xfId="1507" xr:uid="{00000000-0005-0000-0000-0000920E0000}"/>
    <cellStyle name="Normal 3 6 3 2 3 5 2" xfId="7684" xr:uid="{439735D8-FDFC-4DA5-8040-858BE41EC08C}"/>
    <cellStyle name="Normal 3 6 3 2 3 6" xfId="6801" xr:uid="{F428CF5F-021B-4DC9-AF08-2439375C14F6}"/>
    <cellStyle name="Normal 3 6 3 2 4" xfId="2831" xr:uid="{00000000-0005-0000-0000-0000930E0000}"/>
    <cellStyle name="Normal 3 6 3 2 4 2" xfId="5484" xr:uid="{00000000-0005-0000-0000-0000940E0000}"/>
    <cellStyle name="Normal 3 6 3 2 4 2 2" xfId="11661" xr:uid="{9E218FB2-5CA7-42AD-936D-6ED947E914F0}"/>
    <cellStyle name="Normal 3 6 3 2 4 3" xfId="9008" xr:uid="{16EF4B45-692B-4BCB-B805-B63048505BEB}"/>
    <cellStyle name="Normal 3 6 3 2 5" xfId="1949" xr:uid="{00000000-0005-0000-0000-0000950E0000}"/>
    <cellStyle name="Normal 3 6 3 2 5 2" xfId="5485" xr:uid="{00000000-0005-0000-0000-0000960E0000}"/>
    <cellStyle name="Normal 3 6 3 2 5 2 2" xfId="11662" xr:uid="{5B7CD8F0-4242-426B-8AC2-36A9F0C5E5DF}"/>
    <cellStyle name="Normal 3 6 3 2 5 3" xfId="8126" xr:uid="{596AB47C-D102-4714-99C6-2776CF2259F5}"/>
    <cellStyle name="Normal 3 6 3 2 6" xfId="3713" xr:uid="{00000000-0005-0000-0000-0000970E0000}"/>
    <cellStyle name="Normal 3 6 3 2 6 2" xfId="9890" xr:uid="{6C271828-D6EB-486B-9AE7-DBD112A69FE5}"/>
    <cellStyle name="Normal 3 6 3 2 7" xfId="1066" xr:uid="{00000000-0005-0000-0000-0000980E0000}"/>
    <cellStyle name="Normal 3 6 3 2 7 2" xfId="7243" xr:uid="{1B1F8D31-1661-4AB7-9711-8B8366DEDC57}"/>
    <cellStyle name="Normal 3 6 3 2 8" xfId="6360" xr:uid="{A2744065-1033-4052-9AC0-6A3FD1FA375D}"/>
    <cellStyle name="Normal 3 6 3 3" xfId="293" xr:uid="{00000000-0005-0000-0000-0000990E0000}"/>
    <cellStyle name="Normal 3 6 3 3 2" xfId="734" xr:uid="{00000000-0005-0000-0000-00009A0E0000}"/>
    <cellStyle name="Normal 3 6 3 3 2 2" xfId="3382" xr:uid="{00000000-0005-0000-0000-00009B0E0000}"/>
    <cellStyle name="Normal 3 6 3 3 2 2 2" xfId="5486" xr:uid="{00000000-0005-0000-0000-00009C0E0000}"/>
    <cellStyle name="Normal 3 6 3 3 2 2 2 2" xfId="11663" xr:uid="{A9050192-3E69-4F8B-8D6B-8D86A9133659}"/>
    <cellStyle name="Normal 3 6 3 3 2 2 3" xfId="9559" xr:uid="{8708682A-CA76-4AE4-A04A-4E32CD49634E}"/>
    <cellStyle name="Normal 3 6 3 3 2 3" xfId="2500" xr:uid="{00000000-0005-0000-0000-00009D0E0000}"/>
    <cellStyle name="Normal 3 6 3 3 2 3 2" xfId="5487" xr:uid="{00000000-0005-0000-0000-00009E0E0000}"/>
    <cellStyle name="Normal 3 6 3 3 2 3 2 2" xfId="11664" xr:uid="{F3BCCC0D-40F9-488A-94CA-814297FD30BD}"/>
    <cellStyle name="Normal 3 6 3 3 2 3 3" xfId="8677" xr:uid="{8622306D-40D5-4638-B76B-437CC9967246}"/>
    <cellStyle name="Normal 3 6 3 3 2 4" xfId="4264" xr:uid="{00000000-0005-0000-0000-00009F0E0000}"/>
    <cellStyle name="Normal 3 6 3 3 2 4 2" xfId="10441" xr:uid="{EE6AADEC-CA14-47E1-9239-1FBE68E25D4E}"/>
    <cellStyle name="Normal 3 6 3 3 2 5" xfId="1617" xr:uid="{00000000-0005-0000-0000-0000A00E0000}"/>
    <cellStyle name="Normal 3 6 3 3 2 5 2" xfId="7794" xr:uid="{354F7D06-4D59-4126-9B4F-A57537F89E8A}"/>
    <cellStyle name="Normal 3 6 3 3 2 6" xfId="6911" xr:uid="{C9A7FC8D-D692-4205-BDB1-CDD62ECB8BFE}"/>
    <cellStyle name="Normal 3 6 3 3 3" xfId="2941" xr:uid="{00000000-0005-0000-0000-0000A10E0000}"/>
    <cellStyle name="Normal 3 6 3 3 3 2" xfId="5488" xr:uid="{00000000-0005-0000-0000-0000A20E0000}"/>
    <cellStyle name="Normal 3 6 3 3 3 2 2" xfId="11665" xr:uid="{0FBEE4D0-8E41-40EB-8BFF-802C06C3D89B}"/>
    <cellStyle name="Normal 3 6 3 3 3 3" xfId="9118" xr:uid="{25B921F7-990F-4EAB-8C2F-2C1DDFCA06CA}"/>
    <cellStyle name="Normal 3 6 3 3 4" xfId="2059" xr:uid="{00000000-0005-0000-0000-0000A30E0000}"/>
    <cellStyle name="Normal 3 6 3 3 4 2" xfId="5489" xr:uid="{00000000-0005-0000-0000-0000A40E0000}"/>
    <cellStyle name="Normal 3 6 3 3 4 2 2" xfId="11666" xr:uid="{785F92BE-C208-4664-83A1-A1F3F0D6CA00}"/>
    <cellStyle name="Normal 3 6 3 3 4 3" xfId="8236" xr:uid="{877B94CE-7378-4494-B839-B248978E7739}"/>
    <cellStyle name="Normal 3 6 3 3 5" xfId="3823" xr:uid="{00000000-0005-0000-0000-0000A50E0000}"/>
    <cellStyle name="Normal 3 6 3 3 5 2" xfId="10000" xr:uid="{80463544-B72D-4528-9597-078D6A0888CF}"/>
    <cellStyle name="Normal 3 6 3 3 6" xfId="1176" xr:uid="{00000000-0005-0000-0000-0000A60E0000}"/>
    <cellStyle name="Normal 3 6 3 3 6 2" xfId="7353" xr:uid="{80B2F6F1-6F65-41C2-87A6-CD5EE021D9D5}"/>
    <cellStyle name="Normal 3 6 3 3 7" xfId="6470" xr:uid="{6D252DE4-1FE7-48FF-B69B-8A1595E91DA8}"/>
    <cellStyle name="Normal 3 6 3 4" xfId="514" xr:uid="{00000000-0005-0000-0000-0000A70E0000}"/>
    <cellStyle name="Normal 3 6 3 4 2" xfId="3162" xr:uid="{00000000-0005-0000-0000-0000A80E0000}"/>
    <cellStyle name="Normal 3 6 3 4 2 2" xfId="5490" xr:uid="{00000000-0005-0000-0000-0000A90E0000}"/>
    <cellStyle name="Normal 3 6 3 4 2 2 2" xfId="11667" xr:uid="{A0A8ACF2-F8CE-4883-8956-3EBD264ED918}"/>
    <cellStyle name="Normal 3 6 3 4 2 3" xfId="9339" xr:uid="{000AA36D-E9CE-4714-A96E-606CBD05D0F4}"/>
    <cellStyle name="Normal 3 6 3 4 3" xfId="2280" xr:uid="{00000000-0005-0000-0000-0000AA0E0000}"/>
    <cellStyle name="Normal 3 6 3 4 3 2" xfId="5491" xr:uid="{00000000-0005-0000-0000-0000AB0E0000}"/>
    <cellStyle name="Normal 3 6 3 4 3 2 2" xfId="11668" xr:uid="{2C022358-5235-4438-8918-9CD5229C1473}"/>
    <cellStyle name="Normal 3 6 3 4 3 3" xfId="8457" xr:uid="{5B12F90B-C824-4E8D-9F89-849D414C2B88}"/>
    <cellStyle name="Normal 3 6 3 4 4" xfId="4044" xr:uid="{00000000-0005-0000-0000-0000AC0E0000}"/>
    <cellStyle name="Normal 3 6 3 4 4 2" xfId="10221" xr:uid="{C1A5D79F-5F08-4367-845A-9F91C3D43C8A}"/>
    <cellStyle name="Normal 3 6 3 4 5" xfId="1397" xr:uid="{00000000-0005-0000-0000-0000AD0E0000}"/>
    <cellStyle name="Normal 3 6 3 4 5 2" xfId="7574" xr:uid="{FCFE7C44-AC3E-4DC0-A98E-999699B266DC}"/>
    <cellStyle name="Normal 3 6 3 4 6" xfId="6691" xr:uid="{512AC782-26B7-490F-A9C2-B17443DF8CA8}"/>
    <cellStyle name="Normal 3 6 3 5" xfId="2721" xr:uid="{00000000-0005-0000-0000-0000AE0E0000}"/>
    <cellStyle name="Normal 3 6 3 5 2" xfId="5492" xr:uid="{00000000-0005-0000-0000-0000AF0E0000}"/>
    <cellStyle name="Normal 3 6 3 5 2 2" xfId="11669" xr:uid="{C85FD5EA-ACB3-4B87-BBF0-EE7225F495AE}"/>
    <cellStyle name="Normal 3 6 3 5 3" xfId="8898" xr:uid="{722FFCB2-3B9C-4327-82DB-C14D69288BE1}"/>
    <cellStyle name="Normal 3 6 3 6" xfId="1839" xr:uid="{00000000-0005-0000-0000-0000B00E0000}"/>
    <cellStyle name="Normal 3 6 3 6 2" xfId="5493" xr:uid="{00000000-0005-0000-0000-0000B10E0000}"/>
    <cellStyle name="Normal 3 6 3 6 2 2" xfId="11670" xr:uid="{DE29652A-985A-4532-91F0-4607C57D41CC}"/>
    <cellStyle name="Normal 3 6 3 6 3" xfId="8016" xr:uid="{17755D0A-311F-4E0D-9160-E51B9F4F0452}"/>
    <cellStyle name="Normal 3 6 3 7" xfId="3603" xr:uid="{00000000-0005-0000-0000-0000B20E0000}"/>
    <cellStyle name="Normal 3 6 3 7 2" xfId="9780" xr:uid="{6B07FF64-11B7-469D-9FAC-50A2DDC6AC9F}"/>
    <cellStyle name="Normal 3 6 3 8" xfId="956" xr:uid="{00000000-0005-0000-0000-0000B30E0000}"/>
    <cellStyle name="Normal 3 6 3 8 2" xfId="7133" xr:uid="{BC45DDAB-8ED9-4547-8C72-AF1F32E70AC3}"/>
    <cellStyle name="Normal 3 6 3 9" xfId="6250" xr:uid="{6AA00D9D-5A19-442E-B62F-13F343CB48F4}"/>
    <cellStyle name="Normal 3 6 4" xfId="89" xr:uid="{00000000-0005-0000-0000-0000B40E0000}"/>
    <cellStyle name="Normal 3 6 4 2" xfId="199" xr:uid="{00000000-0005-0000-0000-0000B50E0000}"/>
    <cellStyle name="Normal 3 6 4 2 2" xfId="419" xr:uid="{00000000-0005-0000-0000-0000B60E0000}"/>
    <cellStyle name="Normal 3 6 4 2 2 2" xfId="860" xr:uid="{00000000-0005-0000-0000-0000B70E0000}"/>
    <cellStyle name="Normal 3 6 4 2 2 2 2" xfId="3508" xr:uid="{00000000-0005-0000-0000-0000B80E0000}"/>
    <cellStyle name="Normal 3 6 4 2 2 2 2 2" xfId="5494" xr:uid="{00000000-0005-0000-0000-0000B90E0000}"/>
    <cellStyle name="Normal 3 6 4 2 2 2 2 2 2" xfId="11671" xr:uid="{EBE329CF-459B-4180-9505-209CF2971AE1}"/>
    <cellStyle name="Normal 3 6 4 2 2 2 2 3" xfId="9685" xr:uid="{BDC5A2B6-A8DD-44F8-A016-1B26C6183D5E}"/>
    <cellStyle name="Normal 3 6 4 2 2 2 3" xfId="2626" xr:uid="{00000000-0005-0000-0000-0000BA0E0000}"/>
    <cellStyle name="Normal 3 6 4 2 2 2 3 2" xfId="5495" xr:uid="{00000000-0005-0000-0000-0000BB0E0000}"/>
    <cellStyle name="Normal 3 6 4 2 2 2 3 2 2" xfId="11672" xr:uid="{02FACE77-58B4-4410-B6E5-DCE30729248C}"/>
    <cellStyle name="Normal 3 6 4 2 2 2 3 3" xfId="8803" xr:uid="{D80A272E-A5E0-4570-992D-47DACDEF33E7}"/>
    <cellStyle name="Normal 3 6 4 2 2 2 4" xfId="4390" xr:uid="{00000000-0005-0000-0000-0000BC0E0000}"/>
    <cellStyle name="Normal 3 6 4 2 2 2 4 2" xfId="10567" xr:uid="{1512CF6F-344B-471E-A6F0-977DC4AAB28E}"/>
    <cellStyle name="Normal 3 6 4 2 2 2 5" xfId="1743" xr:uid="{00000000-0005-0000-0000-0000BD0E0000}"/>
    <cellStyle name="Normal 3 6 4 2 2 2 5 2" xfId="7920" xr:uid="{4E802A6E-2D36-4CEC-8221-1A06CAA9D061}"/>
    <cellStyle name="Normal 3 6 4 2 2 2 6" xfId="7037" xr:uid="{EFEC893F-E3E9-4A37-AF5B-B8FE2707E570}"/>
    <cellStyle name="Normal 3 6 4 2 2 3" xfId="3067" xr:uid="{00000000-0005-0000-0000-0000BE0E0000}"/>
    <cellStyle name="Normal 3 6 4 2 2 3 2" xfId="5496" xr:uid="{00000000-0005-0000-0000-0000BF0E0000}"/>
    <cellStyle name="Normal 3 6 4 2 2 3 2 2" xfId="11673" xr:uid="{F8E455A8-727F-45A6-B966-3901AD44F6D8}"/>
    <cellStyle name="Normal 3 6 4 2 2 3 3" xfId="9244" xr:uid="{3B8C3F17-6ADA-42E9-B765-C4C7CAB97C28}"/>
    <cellStyle name="Normal 3 6 4 2 2 4" xfId="2185" xr:uid="{00000000-0005-0000-0000-0000C00E0000}"/>
    <cellStyle name="Normal 3 6 4 2 2 4 2" xfId="5497" xr:uid="{00000000-0005-0000-0000-0000C10E0000}"/>
    <cellStyle name="Normal 3 6 4 2 2 4 2 2" xfId="11674" xr:uid="{4E9DAD60-7C8B-4B68-A456-484676871BF6}"/>
    <cellStyle name="Normal 3 6 4 2 2 4 3" xfId="8362" xr:uid="{71ECA210-2A5C-4940-9979-DC79FF2EC5F8}"/>
    <cellStyle name="Normal 3 6 4 2 2 5" xfId="3949" xr:uid="{00000000-0005-0000-0000-0000C20E0000}"/>
    <cellStyle name="Normal 3 6 4 2 2 5 2" xfId="10126" xr:uid="{4D2C32B8-D329-4439-B0EA-9FBC2E46C5B1}"/>
    <cellStyle name="Normal 3 6 4 2 2 6" xfId="1302" xr:uid="{00000000-0005-0000-0000-0000C30E0000}"/>
    <cellStyle name="Normal 3 6 4 2 2 6 2" xfId="7479" xr:uid="{93915643-E058-48F1-A9F7-46B8B8467D90}"/>
    <cellStyle name="Normal 3 6 4 2 2 7" xfId="6596" xr:uid="{1C25BEE1-9654-4598-8A6C-3676B06694F6}"/>
    <cellStyle name="Normal 3 6 4 2 3" xfId="640" xr:uid="{00000000-0005-0000-0000-0000C40E0000}"/>
    <cellStyle name="Normal 3 6 4 2 3 2" xfId="3288" xr:uid="{00000000-0005-0000-0000-0000C50E0000}"/>
    <cellStyle name="Normal 3 6 4 2 3 2 2" xfId="5498" xr:uid="{00000000-0005-0000-0000-0000C60E0000}"/>
    <cellStyle name="Normal 3 6 4 2 3 2 2 2" xfId="11675" xr:uid="{14A343E3-8764-44EC-BF49-B27DCF0DEC47}"/>
    <cellStyle name="Normal 3 6 4 2 3 2 3" xfId="9465" xr:uid="{7853EEE0-3138-479B-8396-D351070BCEA4}"/>
    <cellStyle name="Normal 3 6 4 2 3 3" xfId="2406" xr:uid="{00000000-0005-0000-0000-0000C70E0000}"/>
    <cellStyle name="Normal 3 6 4 2 3 3 2" xfId="5499" xr:uid="{00000000-0005-0000-0000-0000C80E0000}"/>
    <cellStyle name="Normal 3 6 4 2 3 3 2 2" xfId="11676" xr:uid="{3B7A61E2-16A2-4C3E-B8F8-3AED51A82E0B}"/>
    <cellStyle name="Normal 3 6 4 2 3 3 3" xfId="8583" xr:uid="{32784967-B6F6-4BE0-B5C2-4483356E4557}"/>
    <cellStyle name="Normal 3 6 4 2 3 4" xfId="4170" xr:uid="{00000000-0005-0000-0000-0000C90E0000}"/>
    <cellStyle name="Normal 3 6 4 2 3 4 2" xfId="10347" xr:uid="{0075833D-5152-4363-8FEC-726645BEBF83}"/>
    <cellStyle name="Normal 3 6 4 2 3 5" xfId="1523" xr:uid="{00000000-0005-0000-0000-0000CA0E0000}"/>
    <cellStyle name="Normal 3 6 4 2 3 5 2" xfId="7700" xr:uid="{C64F4677-F34B-4E4A-B3C9-0E25BAA2CE83}"/>
    <cellStyle name="Normal 3 6 4 2 3 6" xfId="6817" xr:uid="{5BED9A82-2701-4F5B-BF45-A8645C4D69C9}"/>
    <cellStyle name="Normal 3 6 4 2 4" xfId="2847" xr:uid="{00000000-0005-0000-0000-0000CB0E0000}"/>
    <cellStyle name="Normal 3 6 4 2 4 2" xfId="5500" xr:uid="{00000000-0005-0000-0000-0000CC0E0000}"/>
    <cellStyle name="Normal 3 6 4 2 4 2 2" xfId="11677" xr:uid="{D5BBE745-EE3A-4528-B6A6-A590DFD4F7FA}"/>
    <cellStyle name="Normal 3 6 4 2 4 3" xfId="9024" xr:uid="{BEC8AC7A-F2CD-47D4-94D3-F8B31FA4CF3F}"/>
    <cellStyle name="Normal 3 6 4 2 5" xfId="1965" xr:uid="{00000000-0005-0000-0000-0000CD0E0000}"/>
    <cellStyle name="Normal 3 6 4 2 5 2" xfId="5501" xr:uid="{00000000-0005-0000-0000-0000CE0E0000}"/>
    <cellStyle name="Normal 3 6 4 2 5 2 2" xfId="11678" xr:uid="{5F04CCAF-3E2E-4B3B-A14B-BF07521E0F6D}"/>
    <cellStyle name="Normal 3 6 4 2 5 3" xfId="8142" xr:uid="{A1727ABD-8D96-437F-9985-C4EC23620ABD}"/>
    <cellStyle name="Normal 3 6 4 2 6" xfId="3729" xr:uid="{00000000-0005-0000-0000-0000CF0E0000}"/>
    <cellStyle name="Normal 3 6 4 2 6 2" xfId="9906" xr:uid="{656A535F-0F39-4E97-B770-1369C9DF3927}"/>
    <cellStyle name="Normal 3 6 4 2 7" xfId="1082" xr:uid="{00000000-0005-0000-0000-0000D00E0000}"/>
    <cellStyle name="Normal 3 6 4 2 7 2" xfId="7259" xr:uid="{5306CED5-5C4D-467D-938F-225351722BE7}"/>
    <cellStyle name="Normal 3 6 4 2 8" xfId="6376" xr:uid="{5628C53A-066F-4DAB-B48A-E97475239C31}"/>
    <cellStyle name="Normal 3 6 4 3" xfId="309" xr:uid="{00000000-0005-0000-0000-0000D10E0000}"/>
    <cellStyle name="Normal 3 6 4 3 2" xfId="750" xr:uid="{00000000-0005-0000-0000-0000D20E0000}"/>
    <cellStyle name="Normal 3 6 4 3 2 2" xfId="3398" xr:uid="{00000000-0005-0000-0000-0000D30E0000}"/>
    <cellStyle name="Normal 3 6 4 3 2 2 2" xfId="5502" xr:uid="{00000000-0005-0000-0000-0000D40E0000}"/>
    <cellStyle name="Normal 3 6 4 3 2 2 2 2" xfId="11679" xr:uid="{698DA02D-1A50-400A-9597-14570C2DF2B9}"/>
    <cellStyle name="Normal 3 6 4 3 2 2 3" xfId="9575" xr:uid="{211D0915-87E2-4F02-AA3B-EAA06E5A63B0}"/>
    <cellStyle name="Normal 3 6 4 3 2 3" xfId="2516" xr:uid="{00000000-0005-0000-0000-0000D50E0000}"/>
    <cellStyle name="Normal 3 6 4 3 2 3 2" xfId="5503" xr:uid="{00000000-0005-0000-0000-0000D60E0000}"/>
    <cellStyle name="Normal 3 6 4 3 2 3 2 2" xfId="11680" xr:uid="{620B9C6D-2444-4B3B-9214-853FD1716273}"/>
    <cellStyle name="Normal 3 6 4 3 2 3 3" xfId="8693" xr:uid="{11D51C46-5118-4E27-B402-A90960C8B4D5}"/>
    <cellStyle name="Normal 3 6 4 3 2 4" xfId="4280" xr:uid="{00000000-0005-0000-0000-0000D70E0000}"/>
    <cellStyle name="Normal 3 6 4 3 2 4 2" xfId="10457" xr:uid="{ABCEB675-7940-4CCA-9C32-81FED6C8FCEB}"/>
    <cellStyle name="Normal 3 6 4 3 2 5" xfId="1633" xr:uid="{00000000-0005-0000-0000-0000D80E0000}"/>
    <cellStyle name="Normal 3 6 4 3 2 5 2" xfId="7810" xr:uid="{A32F4F03-5BE1-4350-AEA3-6297C36F738C}"/>
    <cellStyle name="Normal 3 6 4 3 2 6" xfId="6927" xr:uid="{64082AAC-1C5A-4EB9-9FC2-4B24D12DC3A0}"/>
    <cellStyle name="Normal 3 6 4 3 3" xfId="2957" xr:uid="{00000000-0005-0000-0000-0000D90E0000}"/>
    <cellStyle name="Normal 3 6 4 3 3 2" xfId="5504" xr:uid="{00000000-0005-0000-0000-0000DA0E0000}"/>
    <cellStyle name="Normal 3 6 4 3 3 2 2" xfId="11681" xr:uid="{DBDF7F9E-2288-40B9-BA81-2517A69CC5BC}"/>
    <cellStyle name="Normal 3 6 4 3 3 3" xfId="9134" xr:uid="{EF5EEEE0-7789-4B91-8A78-340DE824277D}"/>
    <cellStyle name="Normal 3 6 4 3 4" xfId="2075" xr:uid="{00000000-0005-0000-0000-0000DB0E0000}"/>
    <cellStyle name="Normal 3 6 4 3 4 2" xfId="5505" xr:uid="{00000000-0005-0000-0000-0000DC0E0000}"/>
    <cellStyle name="Normal 3 6 4 3 4 2 2" xfId="11682" xr:uid="{F0EC9483-C32B-4958-B63D-B036510BA7E9}"/>
    <cellStyle name="Normal 3 6 4 3 4 3" xfId="8252" xr:uid="{A470A49D-89A9-4EF9-A4DD-4F22B64AD65C}"/>
    <cellStyle name="Normal 3 6 4 3 5" xfId="3839" xr:uid="{00000000-0005-0000-0000-0000DD0E0000}"/>
    <cellStyle name="Normal 3 6 4 3 5 2" xfId="10016" xr:uid="{E1ACFC9E-753E-4CC8-85D6-845C0E493244}"/>
    <cellStyle name="Normal 3 6 4 3 6" xfId="1192" xr:uid="{00000000-0005-0000-0000-0000DE0E0000}"/>
    <cellStyle name="Normal 3 6 4 3 6 2" xfId="7369" xr:uid="{7AAFD5B6-33A7-4418-AF25-368A35FF7A2B}"/>
    <cellStyle name="Normal 3 6 4 3 7" xfId="6486" xr:uid="{33DA9DDB-014B-47B4-8695-A29D406EB8EB}"/>
    <cellStyle name="Normal 3 6 4 4" xfId="530" xr:uid="{00000000-0005-0000-0000-0000DF0E0000}"/>
    <cellStyle name="Normal 3 6 4 4 2" xfId="3178" xr:uid="{00000000-0005-0000-0000-0000E00E0000}"/>
    <cellStyle name="Normal 3 6 4 4 2 2" xfId="5506" xr:uid="{00000000-0005-0000-0000-0000E10E0000}"/>
    <cellStyle name="Normal 3 6 4 4 2 2 2" xfId="11683" xr:uid="{552F2149-BC13-44A3-BFA0-5942E6A08B6C}"/>
    <cellStyle name="Normal 3 6 4 4 2 3" xfId="9355" xr:uid="{7A0BCA4F-8265-43D7-BC1D-29A1C2D426B4}"/>
    <cellStyle name="Normal 3 6 4 4 3" xfId="2296" xr:uid="{00000000-0005-0000-0000-0000E20E0000}"/>
    <cellStyle name="Normal 3 6 4 4 3 2" xfId="5507" xr:uid="{00000000-0005-0000-0000-0000E30E0000}"/>
    <cellStyle name="Normal 3 6 4 4 3 2 2" xfId="11684" xr:uid="{656A2CB2-FC0F-4582-8630-44868D7F4269}"/>
    <cellStyle name="Normal 3 6 4 4 3 3" xfId="8473" xr:uid="{E0DEC5C3-9B4A-4AE5-9A76-43D44E40A1ED}"/>
    <cellStyle name="Normal 3 6 4 4 4" xfId="4060" xr:uid="{00000000-0005-0000-0000-0000E40E0000}"/>
    <cellStyle name="Normal 3 6 4 4 4 2" xfId="10237" xr:uid="{FABCDE64-0CB8-4FC8-B7DF-4FEA70AB01A9}"/>
    <cellStyle name="Normal 3 6 4 4 5" xfId="1413" xr:uid="{00000000-0005-0000-0000-0000E50E0000}"/>
    <cellStyle name="Normal 3 6 4 4 5 2" xfId="7590" xr:uid="{A8368EAB-C044-4B15-ADE0-60B90C0CC2E1}"/>
    <cellStyle name="Normal 3 6 4 4 6" xfId="6707" xr:uid="{0C675C5D-75A2-4F9C-9374-9E7A4A2A3F64}"/>
    <cellStyle name="Normal 3 6 4 5" xfId="2737" xr:uid="{00000000-0005-0000-0000-0000E60E0000}"/>
    <cellStyle name="Normal 3 6 4 5 2" xfId="5508" xr:uid="{00000000-0005-0000-0000-0000E70E0000}"/>
    <cellStyle name="Normal 3 6 4 5 2 2" xfId="11685" xr:uid="{693B71B5-2ECC-4C89-A66D-1EA5BCFE29E9}"/>
    <cellStyle name="Normal 3 6 4 5 3" xfId="8914" xr:uid="{0CA56E3E-EE6F-4618-B591-B6A18EA17580}"/>
    <cellStyle name="Normal 3 6 4 6" xfId="1855" xr:uid="{00000000-0005-0000-0000-0000E80E0000}"/>
    <cellStyle name="Normal 3 6 4 6 2" xfId="5509" xr:uid="{00000000-0005-0000-0000-0000E90E0000}"/>
    <cellStyle name="Normal 3 6 4 6 2 2" xfId="11686" xr:uid="{127938F1-8D47-422A-B01A-2C575273057C}"/>
    <cellStyle name="Normal 3 6 4 6 3" xfId="8032" xr:uid="{018773C5-60B4-4014-B61C-FBEBC70FCB4C}"/>
    <cellStyle name="Normal 3 6 4 7" xfId="3619" xr:uid="{00000000-0005-0000-0000-0000EA0E0000}"/>
    <cellStyle name="Normal 3 6 4 7 2" xfId="9796" xr:uid="{4DD989D8-30C1-42EF-8D31-52557963C356}"/>
    <cellStyle name="Normal 3 6 4 8" xfId="972" xr:uid="{00000000-0005-0000-0000-0000EB0E0000}"/>
    <cellStyle name="Normal 3 6 4 8 2" xfId="7149" xr:uid="{07A30A55-6511-4877-9DB9-9F0826D34B53}"/>
    <cellStyle name="Normal 3 6 4 9" xfId="6266" xr:uid="{CEA2F262-5579-410F-BB94-CD47BDF21E9D}"/>
    <cellStyle name="Normal 3 6 5" xfId="133" xr:uid="{00000000-0005-0000-0000-0000EC0E0000}"/>
    <cellStyle name="Normal 3 6 5 2" xfId="353" xr:uid="{00000000-0005-0000-0000-0000ED0E0000}"/>
    <cellStyle name="Normal 3 6 5 2 2" xfId="794" xr:uid="{00000000-0005-0000-0000-0000EE0E0000}"/>
    <cellStyle name="Normal 3 6 5 2 2 2" xfId="3442" xr:uid="{00000000-0005-0000-0000-0000EF0E0000}"/>
    <cellStyle name="Normal 3 6 5 2 2 2 2" xfId="5510" xr:uid="{00000000-0005-0000-0000-0000F00E0000}"/>
    <cellStyle name="Normal 3 6 5 2 2 2 2 2" xfId="11687" xr:uid="{5D4FFF89-1641-4896-918C-44EB09E98017}"/>
    <cellStyle name="Normal 3 6 5 2 2 2 3" xfId="9619" xr:uid="{22A34962-65A6-4954-9ABE-93A517C11A7A}"/>
    <cellStyle name="Normal 3 6 5 2 2 3" xfId="2560" xr:uid="{00000000-0005-0000-0000-0000F10E0000}"/>
    <cellStyle name="Normal 3 6 5 2 2 3 2" xfId="5511" xr:uid="{00000000-0005-0000-0000-0000F20E0000}"/>
    <cellStyle name="Normal 3 6 5 2 2 3 2 2" xfId="11688" xr:uid="{D32CEB7D-FFC9-47C4-8D04-9A29D8A974B5}"/>
    <cellStyle name="Normal 3 6 5 2 2 3 3" xfId="8737" xr:uid="{E75F6398-EB47-48AC-843C-06A36A4B6B5F}"/>
    <cellStyle name="Normal 3 6 5 2 2 4" xfId="4324" xr:uid="{00000000-0005-0000-0000-0000F30E0000}"/>
    <cellStyle name="Normal 3 6 5 2 2 4 2" xfId="10501" xr:uid="{E1BD2B6D-E0D3-4186-9AEA-D198FD81BF1B}"/>
    <cellStyle name="Normal 3 6 5 2 2 5" xfId="1677" xr:uid="{00000000-0005-0000-0000-0000F40E0000}"/>
    <cellStyle name="Normal 3 6 5 2 2 5 2" xfId="7854" xr:uid="{E66D77D0-31EC-40BE-A19C-FFD2063421BA}"/>
    <cellStyle name="Normal 3 6 5 2 2 6" xfId="6971" xr:uid="{A1EF186C-BE33-43B5-ACD7-2BD5C69F8A90}"/>
    <cellStyle name="Normal 3 6 5 2 3" xfId="3001" xr:uid="{00000000-0005-0000-0000-0000F50E0000}"/>
    <cellStyle name="Normal 3 6 5 2 3 2" xfId="5512" xr:uid="{00000000-0005-0000-0000-0000F60E0000}"/>
    <cellStyle name="Normal 3 6 5 2 3 2 2" xfId="11689" xr:uid="{6FEB8C0A-C126-43A2-A4B7-DD74DBAF5FBB}"/>
    <cellStyle name="Normal 3 6 5 2 3 3" xfId="9178" xr:uid="{2B6509A5-A6F3-428A-A8FD-B6E76CBA59EF}"/>
    <cellStyle name="Normal 3 6 5 2 4" xfId="2119" xr:uid="{00000000-0005-0000-0000-0000F70E0000}"/>
    <cellStyle name="Normal 3 6 5 2 4 2" xfId="5513" xr:uid="{00000000-0005-0000-0000-0000F80E0000}"/>
    <cellStyle name="Normal 3 6 5 2 4 2 2" xfId="11690" xr:uid="{71B930D1-E810-4E2D-B0B2-14F74CA9815D}"/>
    <cellStyle name="Normal 3 6 5 2 4 3" xfId="8296" xr:uid="{4F38279B-E2D5-42F8-8FF0-4348D553599D}"/>
    <cellStyle name="Normal 3 6 5 2 5" xfId="3883" xr:uid="{00000000-0005-0000-0000-0000F90E0000}"/>
    <cellStyle name="Normal 3 6 5 2 5 2" xfId="10060" xr:uid="{B5960580-F725-447A-89FF-8D4045B2336F}"/>
    <cellStyle name="Normal 3 6 5 2 6" xfId="1236" xr:uid="{00000000-0005-0000-0000-0000FA0E0000}"/>
    <cellStyle name="Normal 3 6 5 2 6 2" xfId="7413" xr:uid="{EF83FE32-72E6-48B4-99E8-3BF0579DB3E6}"/>
    <cellStyle name="Normal 3 6 5 2 7" xfId="6530" xr:uid="{C1C0BFFB-473D-4530-BAB6-1C6947104D8A}"/>
    <cellStyle name="Normal 3 6 5 3" xfId="574" xr:uid="{00000000-0005-0000-0000-0000FB0E0000}"/>
    <cellStyle name="Normal 3 6 5 3 2" xfId="3222" xr:uid="{00000000-0005-0000-0000-0000FC0E0000}"/>
    <cellStyle name="Normal 3 6 5 3 2 2" xfId="5514" xr:uid="{00000000-0005-0000-0000-0000FD0E0000}"/>
    <cellStyle name="Normal 3 6 5 3 2 2 2" xfId="11691" xr:uid="{73E0DB09-881E-4DCC-8D67-B7456B6F1762}"/>
    <cellStyle name="Normal 3 6 5 3 2 3" xfId="9399" xr:uid="{3DA7FE02-0155-40D7-A831-7B93D42C3175}"/>
    <cellStyle name="Normal 3 6 5 3 3" xfId="2340" xr:uid="{00000000-0005-0000-0000-0000FE0E0000}"/>
    <cellStyle name="Normal 3 6 5 3 3 2" xfId="5515" xr:uid="{00000000-0005-0000-0000-0000FF0E0000}"/>
    <cellStyle name="Normal 3 6 5 3 3 2 2" xfId="11692" xr:uid="{530EAA3D-8713-4A12-BA80-9EC716099850}"/>
    <cellStyle name="Normal 3 6 5 3 3 3" xfId="8517" xr:uid="{F0162286-201A-48FB-AFE5-EB0BAB18A322}"/>
    <cellStyle name="Normal 3 6 5 3 4" xfId="4104" xr:uid="{00000000-0005-0000-0000-0000000F0000}"/>
    <cellStyle name="Normal 3 6 5 3 4 2" xfId="10281" xr:uid="{2543F651-E914-4D1C-AD2A-87D97384D4A0}"/>
    <cellStyle name="Normal 3 6 5 3 5" xfId="1457" xr:uid="{00000000-0005-0000-0000-0000010F0000}"/>
    <cellStyle name="Normal 3 6 5 3 5 2" xfId="7634" xr:uid="{4B450869-ABE9-488B-9DB6-CD86F6B89592}"/>
    <cellStyle name="Normal 3 6 5 3 6" xfId="6751" xr:uid="{909B91BC-AE4E-415D-8570-1DA5406FD6CA}"/>
    <cellStyle name="Normal 3 6 5 4" xfId="2781" xr:uid="{00000000-0005-0000-0000-0000020F0000}"/>
    <cellStyle name="Normal 3 6 5 4 2" xfId="5516" xr:uid="{00000000-0005-0000-0000-0000030F0000}"/>
    <cellStyle name="Normal 3 6 5 4 2 2" xfId="11693" xr:uid="{1BCA5E6A-4316-4785-B07C-C6139D54BB98}"/>
    <cellStyle name="Normal 3 6 5 4 3" xfId="8958" xr:uid="{F508301A-FF0C-43A9-8252-7213163528AF}"/>
    <cellStyle name="Normal 3 6 5 5" xfId="1899" xr:uid="{00000000-0005-0000-0000-0000040F0000}"/>
    <cellStyle name="Normal 3 6 5 5 2" xfId="5517" xr:uid="{00000000-0005-0000-0000-0000050F0000}"/>
    <cellStyle name="Normal 3 6 5 5 2 2" xfId="11694" xr:uid="{43719F40-6315-4EAF-ABEE-6725F658CA35}"/>
    <cellStyle name="Normal 3 6 5 5 3" xfId="8076" xr:uid="{6C262202-4D19-440C-817A-C7E4AD678716}"/>
    <cellStyle name="Normal 3 6 5 6" xfId="3663" xr:uid="{00000000-0005-0000-0000-0000060F0000}"/>
    <cellStyle name="Normal 3 6 5 6 2" xfId="9840" xr:uid="{61052978-B1F2-4DFB-AE85-AD496A88BCED}"/>
    <cellStyle name="Normal 3 6 5 7" xfId="1016" xr:uid="{00000000-0005-0000-0000-0000070F0000}"/>
    <cellStyle name="Normal 3 6 5 7 2" xfId="7193" xr:uid="{32FDE868-2A5B-4DCF-B497-08795ABD2533}"/>
    <cellStyle name="Normal 3 6 5 8" xfId="6310" xr:uid="{721E00AD-083E-41CD-8A70-1B7814590867}"/>
    <cellStyle name="Normal 3 6 6" xfId="243" xr:uid="{00000000-0005-0000-0000-0000080F0000}"/>
    <cellStyle name="Normal 3 6 6 2" xfId="684" xr:uid="{00000000-0005-0000-0000-0000090F0000}"/>
    <cellStyle name="Normal 3 6 6 2 2" xfId="3332" xr:uid="{00000000-0005-0000-0000-00000A0F0000}"/>
    <cellStyle name="Normal 3 6 6 2 2 2" xfId="5518" xr:uid="{00000000-0005-0000-0000-00000B0F0000}"/>
    <cellStyle name="Normal 3 6 6 2 2 2 2" xfId="11695" xr:uid="{960C695F-63A4-4BE0-8EFD-35F6A1C5885B}"/>
    <cellStyle name="Normal 3 6 6 2 2 3" xfId="9509" xr:uid="{32B0D4C9-9051-4EE7-8A40-B51FEE956F11}"/>
    <cellStyle name="Normal 3 6 6 2 3" xfId="2450" xr:uid="{00000000-0005-0000-0000-00000C0F0000}"/>
    <cellStyle name="Normal 3 6 6 2 3 2" xfId="5519" xr:uid="{00000000-0005-0000-0000-00000D0F0000}"/>
    <cellStyle name="Normal 3 6 6 2 3 2 2" xfId="11696" xr:uid="{3D1C72E2-62F6-49C2-AC37-88968D16C59C}"/>
    <cellStyle name="Normal 3 6 6 2 3 3" xfId="8627" xr:uid="{A137F7A0-667A-4EDD-BB64-8CD251724B29}"/>
    <cellStyle name="Normal 3 6 6 2 4" xfId="4214" xr:uid="{00000000-0005-0000-0000-00000E0F0000}"/>
    <cellStyle name="Normal 3 6 6 2 4 2" xfId="10391" xr:uid="{9525950B-40A8-41A6-8CC2-F1D60BD8F1B8}"/>
    <cellStyle name="Normal 3 6 6 2 5" xfId="1567" xr:uid="{00000000-0005-0000-0000-00000F0F0000}"/>
    <cellStyle name="Normal 3 6 6 2 5 2" xfId="7744" xr:uid="{FFACD51C-D997-46BE-BF40-B1142F4F79D3}"/>
    <cellStyle name="Normal 3 6 6 2 6" xfId="6861" xr:uid="{BE9235AD-F056-4328-B341-0A34C9738B6C}"/>
    <cellStyle name="Normal 3 6 6 3" xfId="2891" xr:uid="{00000000-0005-0000-0000-0000100F0000}"/>
    <cellStyle name="Normal 3 6 6 3 2" xfId="5520" xr:uid="{00000000-0005-0000-0000-0000110F0000}"/>
    <cellStyle name="Normal 3 6 6 3 2 2" xfId="11697" xr:uid="{18E85923-13E9-4E2E-B8E2-85E6160ECB7B}"/>
    <cellStyle name="Normal 3 6 6 3 3" xfId="9068" xr:uid="{EA1F5D19-9879-4AD3-825B-354691220326}"/>
    <cellStyle name="Normal 3 6 6 4" xfId="2009" xr:uid="{00000000-0005-0000-0000-0000120F0000}"/>
    <cellStyle name="Normal 3 6 6 4 2" xfId="5521" xr:uid="{00000000-0005-0000-0000-0000130F0000}"/>
    <cellStyle name="Normal 3 6 6 4 2 2" xfId="11698" xr:uid="{6C06BDCD-4EAF-4527-AE4C-A0B501AAE990}"/>
    <cellStyle name="Normal 3 6 6 4 3" xfId="8186" xr:uid="{8050AFFC-E896-476A-8577-DE7D877791BC}"/>
    <cellStyle name="Normal 3 6 6 5" xfId="3773" xr:uid="{00000000-0005-0000-0000-0000140F0000}"/>
    <cellStyle name="Normal 3 6 6 5 2" xfId="9950" xr:uid="{28F34CAA-B8A9-43C1-B582-726CC9838908}"/>
    <cellStyle name="Normal 3 6 6 6" xfId="1126" xr:uid="{00000000-0005-0000-0000-0000150F0000}"/>
    <cellStyle name="Normal 3 6 6 6 2" xfId="7303" xr:uid="{8B48DA9B-0FE6-41B6-B110-C152AE029A28}"/>
    <cellStyle name="Normal 3 6 6 7" xfId="6420" xr:uid="{09D92AF8-986E-49E3-BE22-5B831EFD8E2E}"/>
    <cellStyle name="Normal 3 6 7" xfId="464" xr:uid="{00000000-0005-0000-0000-0000160F0000}"/>
    <cellStyle name="Normal 3 6 7 2" xfId="3112" xr:uid="{00000000-0005-0000-0000-0000170F0000}"/>
    <cellStyle name="Normal 3 6 7 2 2" xfId="5522" xr:uid="{00000000-0005-0000-0000-0000180F0000}"/>
    <cellStyle name="Normal 3 6 7 2 2 2" xfId="11699" xr:uid="{CBB65253-1E88-4AFF-99DE-FA6F52334A32}"/>
    <cellStyle name="Normal 3 6 7 2 3" xfId="9289" xr:uid="{D1F663C0-FF73-40CB-8C38-AF11F6F9334C}"/>
    <cellStyle name="Normal 3 6 7 3" xfId="2230" xr:uid="{00000000-0005-0000-0000-0000190F0000}"/>
    <cellStyle name="Normal 3 6 7 3 2" xfId="5523" xr:uid="{00000000-0005-0000-0000-00001A0F0000}"/>
    <cellStyle name="Normal 3 6 7 3 2 2" xfId="11700" xr:uid="{5AB28A74-1DF1-4D43-8E8D-4FAAC3AAAF4A}"/>
    <cellStyle name="Normal 3 6 7 3 3" xfId="8407" xr:uid="{6E737F70-3E03-4DC0-BFB6-88EB6C8AD23D}"/>
    <cellStyle name="Normal 3 6 7 4" xfId="3994" xr:uid="{00000000-0005-0000-0000-00001B0F0000}"/>
    <cellStyle name="Normal 3 6 7 4 2" xfId="10171" xr:uid="{1D9F7A65-BDD3-4AF0-95A9-0E873227EE76}"/>
    <cellStyle name="Normal 3 6 7 5" xfId="1347" xr:uid="{00000000-0005-0000-0000-00001C0F0000}"/>
    <cellStyle name="Normal 3 6 7 5 2" xfId="7524" xr:uid="{18B24017-3996-4404-AA59-8E07CC2859D7}"/>
    <cellStyle name="Normal 3 6 7 6" xfId="6641" xr:uid="{C1F240CD-760D-429D-9012-69A438DBB451}"/>
    <cellStyle name="Normal 3 6 8" xfId="2671" xr:uid="{00000000-0005-0000-0000-00001D0F0000}"/>
    <cellStyle name="Normal 3 6 8 2" xfId="5524" xr:uid="{00000000-0005-0000-0000-00001E0F0000}"/>
    <cellStyle name="Normal 3 6 8 2 2" xfId="11701" xr:uid="{3FFE3570-5D26-4096-901B-76586B2241E5}"/>
    <cellStyle name="Normal 3 6 8 3" xfId="8848" xr:uid="{B6705C2D-B8CC-4112-BDE2-2718A847D5A4}"/>
    <cellStyle name="Normal 3 6 9" xfId="1789" xr:uid="{00000000-0005-0000-0000-00001F0F0000}"/>
    <cellStyle name="Normal 3 6 9 2" xfId="5525" xr:uid="{00000000-0005-0000-0000-0000200F0000}"/>
    <cellStyle name="Normal 3 6 9 2 2" xfId="11702" xr:uid="{4E294774-2309-480E-A949-A5AF8592D171}"/>
    <cellStyle name="Normal 3 6 9 3" xfId="7966" xr:uid="{E3984BE6-1DF7-433C-BC43-18C268733551}"/>
    <cellStyle name="Normal 3 7" xfId="26" xr:uid="{00000000-0005-0000-0000-0000210F0000}"/>
    <cellStyle name="Normal 3 7 10" xfId="6203" xr:uid="{3BDD4806-612B-4D42-8250-8DD3B17F0FD1}"/>
    <cellStyle name="Normal 3 7 2" xfId="92" xr:uid="{00000000-0005-0000-0000-0000220F0000}"/>
    <cellStyle name="Normal 3 7 2 2" xfId="202" xr:uid="{00000000-0005-0000-0000-0000230F0000}"/>
    <cellStyle name="Normal 3 7 2 2 2" xfId="422" xr:uid="{00000000-0005-0000-0000-0000240F0000}"/>
    <cellStyle name="Normal 3 7 2 2 2 2" xfId="863" xr:uid="{00000000-0005-0000-0000-0000250F0000}"/>
    <cellStyle name="Normal 3 7 2 2 2 2 2" xfId="3511" xr:uid="{00000000-0005-0000-0000-0000260F0000}"/>
    <cellStyle name="Normal 3 7 2 2 2 2 2 2" xfId="5526" xr:uid="{00000000-0005-0000-0000-0000270F0000}"/>
    <cellStyle name="Normal 3 7 2 2 2 2 2 2 2" xfId="11703" xr:uid="{9E8C9D3F-7D9C-4737-9EDF-3C69D7A61B52}"/>
    <cellStyle name="Normal 3 7 2 2 2 2 2 3" xfId="9688" xr:uid="{E361D8DD-E12C-4240-85F1-A1C7D3BCE63C}"/>
    <cellStyle name="Normal 3 7 2 2 2 2 3" xfId="2629" xr:uid="{00000000-0005-0000-0000-0000280F0000}"/>
    <cellStyle name="Normal 3 7 2 2 2 2 3 2" xfId="5527" xr:uid="{00000000-0005-0000-0000-0000290F0000}"/>
    <cellStyle name="Normal 3 7 2 2 2 2 3 2 2" xfId="11704" xr:uid="{4689D7C7-03FD-465D-A93B-542F200B563D}"/>
    <cellStyle name="Normal 3 7 2 2 2 2 3 3" xfId="8806" xr:uid="{91D21CB7-7136-4C0C-B4A1-AD52A7A2436F}"/>
    <cellStyle name="Normal 3 7 2 2 2 2 4" xfId="4393" xr:uid="{00000000-0005-0000-0000-00002A0F0000}"/>
    <cellStyle name="Normal 3 7 2 2 2 2 4 2" xfId="10570" xr:uid="{B476CB65-5D91-4233-9D31-BB9A1E73691F}"/>
    <cellStyle name="Normal 3 7 2 2 2 2 5" xfId="1746" xr:uid="{00000000-0005-0000-0000-00002B0F0000}"/>
    <cellStyle name="Normal 3 7 2 2 2 2 5 2" xfId="7923" xr:uid="{9B26E202-134C-4C3B-BA06-943DAC2018C0}"/>
    <cellStyle name="Normal 3 7 2 2 2 2 6" xfId="7040" xr:uid="{71220BB3-BAF0-45C9-919E-D7FA3FC9A73C}"/>
    <cellStyle name="Normal 3 7 2 2 2 3" xfId="3070" xr:uid="{00000000-0005-0000-0000-00002C0F0000}"/>
    <cellStyle name="Normal 3 7 2 2 2 3 2" xfId="5528" xr:uid="{00000000-0005-0000-0000-00002D0F0000}"/>
    <cellStyle name="Normal 3 7 2 2 2 3 2 2" xfId="11705" xr:uid="{9F7927DC-66AD-47C6-9B05-9E8A9E84AC38}"/>
    <cellStyle name="Normal 3 7 2 2 2 3 3" xfId="9247" xr:uid="{A3931F60-8445-4AA3-8D2E-5B2DE2AC3887}"/>
    <cellStyle name="Normal 3 7 2 2 2 4" xfId="2188" xr:uid="{00000000-0005-0000-0000-00002E0F0000}"/>
    <cellStyle name="Normal 3 7 2 2 2 4 2" xfId="5529" xr:uid="{00000000-0005-0000-0000-00002F0F0000}"/>
    <cellStyle name="Normal 3 7 2 2 2 4 2 2" xfId="11706" xr:uid="{C3D284ED-144C-44E9-B352-8E0FC5759E10}"/>
    <cellStyle name="Normal 3 7 2 2 2 4 3" xfId="8365" xr:uid="{980F336A-B95F-4F12-B75C-A522DB7E112E}"/>
    <cellStyle name="Normal 3 7 2 2 2 5" xfId="3952" xr:uid="{00000000-0005-0000-0000-0000300F0000}"/>
    <cellStyle name="Normal 3 7 2 2 2 5 2" xfId="10129" xr:uid="{9CC5F1DA-8B6B-4DCB-A355-C41099EE3CFD}"/>
    <cellStyle name="Normal 3 7 2 2 2 6" xfId="1305" xr:uid="{00000000-0005-0000-0000-0000310F0000}"/>
    <cellStyle name="Normal 3 7 2 2 2 6 2" xfId="7482" xr:uid="{5A240A58-6450-46C9-B356-A1B592A81CAB}"/>
    <cellStyle name="Normal 3 7 2 2 2 7" xfId="6599" xr:uid="{FD116BE8-EDC1-4492-83AB-82DE5CC6008A}"/>
    <cellStyle name="Normal 3 7 2 2 3" xfId="643" xr:uid="{00000000-0005-0000-0000-0000320F0000}"/>
    <cellStyle name="Normal 3 7 2 2 3 2" xfId="3291" xr:uid="{00000000-0005-0000-0000-0000330F0000}"/>
    <cellStyle name="Normal 3 7 2 2 3 2 2" xfId="5530" xr:uid="{00000000-0005-0000-0000-0000340F0000}"/>
    <cellStyle name="Normal 3 7 2 2 3 2 2 2" xfId="11707" xr:uid="{1FACA7D7-C97B-48DF-952F-2EF61F890588}"/>
    <cellStyle name="Normal 3 7 2 2 3 2 3" xfId="9468" xr:uid="{F3954259-6882-44C7-908C-EFA1BACB9065}"/>
    <cellStyle name="Normal 3 7 2 2 3 3" xfId="2409" xr:uid="{00000000-0005-0000-0000-0000350F0000}"/>
    <cellStyle name="Normal 3 7 2 2 3 3 2" xfId="5531" xr:uid="{00000000-0005-0000-0000-0000360F0000}"/>
    <cellStyle name="Normal 3 7 2 2 3 3 2 2" xfId="11708" xr:uid="{8089DA85-8215-4D63-805A-7EA8F31769F6}"/>
    <cellStyle name="Normal 3 7 2 2 3 3 3" xfId="8586" xr:uid="{B88405C5-C81C-439B-BE61-6273EDC9FC5C}"/>
    <cellStyle name="Normal 3 7 2 2 3 4" xfId="4173" xr:uid="{00000000-0005-0000-0000-0000370F0000}"/>
    <cellStyle name="Normal 3 7 2 2 3 4 2" xfId="10350" xr:uid="{DC91A155-19DE-4D6E-81E9-DF61626F7645}"/>
    <cellStyle name="Normal 3 7 2 2 3 5" xfId="1526" xr:uid="{00000000-0005-0000-0000-0000380F0000}"/>
    <cellStyle name="Normal 3 7 2 2 3 5 2" xfId="7703" xr:uid="{22DF0757-2168-4798-89FF-BEA170FDD6A1}"/>
    <cellStyle name="Normal 3 7 2 2 3 6" xfId="6820" xr:uid="{CA280D5A-8C75-413B-9B1F-3AC056F19CE6}"/>
    <cellStyle name="Normal 3 7 2 2 4" xfId="2850" xr:uid="{00000000-0005-0000-0000-0000390F0000}"/>
    <cellStyle name="Normal 3 7 2 2 4 2" xfId="5532" xr:uid="{00000000-0005-0000-0000-00003A0F0000}"/>
    <cellStyle name="Normal 3 7 2 2 4 2 2" xfId="11709" xr:uid="{54CB1F67-7EA1-4068-9B06-787452F50CAA}"/>
    <cellStyle name="Normal 3 7 2 2 4 3" xfId="9027" xr:uid="{F0CB8F5B-87F2-4A08-98EC-1799526ECC0A}"/>
    <cellStyle name="Normal 3 7 2 2 5" xfId="1968" xr:uid="{00000000-0005-0000-0000-00003B0F0000}"/>
    <cellStyle name="Normal 3 7 2 2 5 2" xfId="5533" xr:uid="{00000000-0005-0000-0000-00003C0F0000}"/>
    <cellStyle name="Normal 3 7 2 2 5 2 2" xfId="11710" xr:uid="{F3273BC7-E760-4158-AA9F-4EE422EC839D}"/>
    <cellStyle name="Normal 3 7 2 2 5 3" xfId="8145" xr:uid="{9BBD54D2-E9FB-44AB-8534-796D952BACDF}"/>
    <cellStyle name="Normal 3 7 2 2 6" xfId="3732" xr:uid="{00000000-0005-0000-0000-00003D0F0000}"/>
    <cellStyle name="Normal 3 7 2 2 6 2" xfId="9909" xr:uid="{33D04763-344F-4E4F-9082-A5DAF4A72017}"/>
    <cellStyle name="Normal 3 7 2 2 7" xfId="1085" xr:uid="{00000000-0005-0000-0000-00003E0F0000}"/>
    <cellStyle name="Normal 3 7 2 2 7 2" xfId="7262" xr:uid="{716BB363-C8DD-4584-A7FD-33ECA12A078C}"/>
    <cellStyle name="Normal 3 7 2 2 8" xfId="6379" xr:uid="{E3360634-3FB7-4C25-97B3-078912519EE5}"/>
    <cellStyle name="Normal 3 7 2 3" xfId="312" xr:uid="{00000000-0005-0000-0000-00003F0F0000}"/>
    <cellStyle name="Normal 3 7 2 3 2" xfId="753" xr:uid="{00000000-0005-0000-0000-0000400F0000}"/>
    <cellStyle name="Normal 3 7 2 3 2 2" xfId="3401" xr:uid="{00000000-0005-0000-0000-0000410F0000}"/>
    <cellStyle name="Normal 3 7 2 3 2 2 2" xfId="5534" xr:uid="{00000000-0005-0000-0000-0000420F0000}"/>
    <cellStyle name="Normal 3 7 2 3 2 2 2 2" xfId="11711" xr:uid="{CAD5C0F1-DD9E-4262-BC82-45AC3F744F6B}"/>
    <cellStyle name="Normal 3 7 2 3 2 2 3" xfId="9578" xr:uid="{F5659C58-2078-410C-B801-B23F04FA0613}"/>
    <cellStyle name="Normal 3 7 2 3 2 3" xfId="2519" xr:uid="{00000000-0005-0000-0000-0000430F0000}"/>
    <cellStyle name="Normal 3 7 2 3 2 3 2" xfId="5535" xr:uid="{00000000-0005-0000-0000-0000440F0000}"/>
    <cellStyle name="Normal 3 7 2 3 2 3 2 2" xfId="11712" xr:uid="{7A64070A-2CF1-4C34-8E3E-BB08BA1EE74F}"/>
    <cellStyle name="Normal 3 7 2 3 2 3 3" xfId="8696" xr:uid="{192B9D83-7390-4FA5-8B4D-D966AAF94B94}"/>
    <cellStyle name="Normal 3 7 2 3 2 4" xfId="4283" xr:uid="{00000000-0005-0000-0000-0000450F0000}"/>
    <cellStyle name="Normal 3 7 2 3 2 4 2" xfId="10460" xr:uid="{86866A5A-1C8A-4EBC-879B-4FBCACBC197D}"/>
    <cellStyle name="Normal 3 7 2 3 2 5" xfId="1636" xr:uid="{00000000-0005-0000-0000-0000460F0000}"/>
    <cellStyle name="Normal 3 7 2 3 2 5 2" xfId="7813" xr:uid="{6966FCEF-1A14-4533-86C6-DD2747AADB70}"/>
    <cellStyle name="Normal 3 7 2 3 2 6" xfId="6930" xr:uid="{FEE83271-AF85-433E-9F98-CC5861FF580A}"/>
    <cellStyle name="Normal 3 7 2 3 3" xfId="2960" xr:uid="{00000000-0005-0000-0000-0000470F0000}"/>
    <cellStyle name="Normal 3 7 2 3 3 2" xfId="5536" xr:uid="{00000000-0005-0000-0000-0000480F0000}"/>
    <cellStyle name="Normal 3 7 2 3 3 2 2" xfId="11713" xr:uid="{24AE56A2-2677-4FD1-A6D5-A3AA8070FD19}"/>
    <cellStyle name="Normal 3 7 2 3 3 3" xfId="9137" xr:uid="{EFB268D4-8285-4C8A-A53C-31D7DF807EFC}"/>
    <cellStyle name="Normal 3 7 2 3 4" xfId="2078" xr:uid="{00000000-0005-0000-0000-0000490F0000}"/>
    <cellStyle name="Normal 3 7 2 3 4 2" xfId="5537" xr:uid="{00000000-0005-0000-0000-00004A0F0000}"/>
    <cellStyle name="Normal 3 7 2 3 4 2 2" xfId="11714" xr:uid="{0252B0E1-C339-44F5-8040-D8FF8EFF4CC1}"/>
    <cellStyle name="Normal 3 7 2 3 4 3" xfId="8255" xr:uid="{A3A22BCD-65A5-4527-8078-3DF3AB2DD371}"/>
    <cellStyle name="Normal 3 7 2 3 5" xfId="3842" xr:uid="{00000000-0005-0000-0000-00004B0F0000}"/>
    <cellStyle name="Normal 3 7 2 3 5 2" xfId="10019" xr:uid="{935E4A9F-51EA-4741-8938-E81CCB4F1B1B}"/>
    <cellStyle name="Normal 3 7 2 3 6" xfId="1195" xr:uid="{00000000-0005-0000-0000-00004C0F0000}"/>
    <cellStyle name="Normal 3 7 2 3 6 2" xfId="7372" xr:uid="{EDB2F68C-A14C-4A12-82B9-08FBEB5FFD73}"/>
    <cellStyle name="Normal 3 7 2 3 7" xfId="6489" xr:uid="{33760776-1514-493A-89F0-EF9D701F3D46}"/>
    <cellStyle name="Normal 3 7 2 4" xfId="533" xr:uid="{00000000-0005-0000-0000-00004D0F0000}"/>
    <cellStyle name="Normal 3 7 2 4 2" xfId="3181" xr:uid="{00000000-0005-0000-0000-00004E0F0000}"/>
    <cellStyle name="Normal 3 7 2 4 2 2" xfId="5538" xr:uid="{00000000-0005-0000-0000-00004F0F0000}"/>
    <cellStyle name="Normal 3 7 2 4 2 2 2" xfId="11715" xr:uid="{E7BAC201-C4DE-4D25-B0E0-75E651D92559}"/>
    <cellStyle name="Normal 3 7 2 4 2 3" xfId="9358" xr:uid="{137D2156-6FEE-447F-A9BD-D55AF3C76FC4}"/>
    <cellStyle name="Normal 3 7 2 4 3" xfId="2299" xr:uid="{00000000-0005-0000-0000-0000500F0000}"/>
    <cellStyle name="Normal 3 7 2 4 3 2" xfId="5539" xr:uid="{00000000-0005-0000-0000-0000510F0000}"/>
    <cellStyle name="Normal 3 7 2 4 3 2 2" xfId="11716" xr:uid="{30ABA698-1343-4C58-B166-CE0360AC2ED8}"/>
    <cellStyle name="Normal 3 7 2 4 3 3" xfId="8476" xr:uid="{7ED5EFE7-F8D7-4357-9A3A-058559B8B9DC}"/>
    <cellStyle name="Normal 3 7 2 4 4" xfId="4063" xr:uid="{00000000-0005-0000-0000-0000520F0000}"/>
    <cellStyle name="Normal 3 7 2 4 4 2" xfId="10240" xr:uid="{0764C189-64F8-43FB-ABE4-EA4DE80B81F5}"/>
    <cellStyle name="Normal 3 7 2 4 5" xfId="1416" xr:uid="{00000000-0005-0000-0000-0000530F0000}"/>
    <cellStyle name="Normal 3 7 2 4 5 2" xfId="7593" xr:uid="{71AC5F3C-319A-40F6-8CE3-C5A5AD110265}"/>
    <cellStyle name="Normal 3 7 2 4 6" xfId="6710" xr:uid="{3EF3FABD-0726-454C-B0C9-77EF1E1C1BA9}"/>
    <cellStyle name="Normal 3 7 2 5" xfId="2740" xr:uid="{00000000-0005-0000-0000-0000540F0000}"/>
    <cellStyle name="Normal 3 7 2 5 2" xfId="5540" xr:uid="{00000000-0005-0000-0000-0000550F0000}"/>
    <cellStyle name="Normal 3 7 2 5 2 2" xfId="11717" xr:uid="{9DF7359B-657E-4DF0-AA5A-7E895610C97E}"/>
    <cellStyle name="Normal 3 7 2 5 3" xfId="8917" xr:uid="{09F11816-D811-4EF6-836E-0A46DE3F064B}"/>
    <cellStyle name="Normal 3 7 2 6" xfId="1858" xr:uid="{00000000-0005-0000-0000-0000560F0000}"/>
    <cellStyle name="Normal 3 7 2 6 2" xfId="5541" xr:uid="{00000000-0005-0000-0000-0000570F0000}"/>
    <cellStyle name="Normal 3 7 2 6 2 2" xfId="11718" xr:uid="{AD3A07DC-26F5-407A-A1B4-F0B00411C9F9}"/>
    <cellStyle name="Normal 3 7 2 6 3" xfId="8035" xr:uid="{DC26560B-12AE-49C3-92B4-C2FAEC641FE2}"/>
    <cellStyle name="Normal 3 7 2 7" xfId="3622" xr:uid="{00000000-0005-0000-0000-0000580F0000}"/>
    <cellStyle name="Normal 3 7 2 7 2" xfId="9799" xr:uid="{8A7382E8-8DC6-45E4-A015-05F53E204B2C}"/>
    <cellStyle name="Normal 3 7 2 8" xfId="975" xr:uid="{00000000-0005-0000-0000-0000590F0000}"/>
    <cellStyle name="Normal 3 7 2 8 2" xfId="7152" xr:uid="{4A1E20D6-829C-4575-BA13-416524817B1E}"/>
    <cellStyle name="Normal 3 7 2 9" xfId="6269" xr:uid="{286C3AE3-209E-4CB8-B843-5520A71B93BD}"/>
    <cellStyle name="Normal 3 7 3" xfId="136" xr:uid="{00000000-0005-0000-0000-00005A0F0000}"/>
    <cellStyle name="Normal 3 7 3 2" xfId="356" xr:uid="{00000000-0005-0000-0000-00005B0F0000}"/>
    <cellStyle name="Normal 3 7 3 2 2" xfId="797" xr:uid="{00000000-0005-0000-0000-00005C0F0000}"/>
    <cellStyle name="Normal 3 7 3 2 2 2" xfId="3445" xr:uid="{00000000-0005-0000-0000-00005D0F0000}"/>
    <cellStyle name="Normal 3 7 3 2 2 2 2" xfId="5542" xr:uid="{00000000-0005-0000-0000-00005E0F0000}"/>
    <cellStyle name="Normal 3 7 3 2 2 2 2 2" xfId="11719" xr:uid="{B4FDFBD1-5B65-4FC9-9DEC-940C12775FF1}"/>
    <cellStyle name="Normal 3 7 3 2 2 2 3" xfId="9622" xr:uid="{E6817D7D-AD44-462B-AAA6-7E115F9F389E}"/>
    <cellStyle name="Normal 3 7 3 2 2 3" xfId="2563" xr:uid="{00000000-0005-0000-0000-00005F0F0000}"/>
    <cellStyle name="Normal 3 7 3 2 2 3 2" xfId="5543" xr:uid="{00000000-0005-0000-0000-0000600F0000}"/>
    <cellStyle name="Normal 3 7 3 2 2 3 2 2" xfId="11720" xr:uid="{5A9731E5-5105-48EB-BBF0-E94FCAB5AA70}"/>
    <cellStyle name="Normal 3 7 3 2 2 3 3" xfId="8740" xr:uid="{FDB753B5-CBC5-4315-878C-3407A66D5142}"/>
    <cellStyle name="Normal 3 7 3 2 2 4" xfId="4327" xr:uid="{00000000-0005-0000-0000-0000610F0000}"/>
    <cellStyle name="Normal 3 7 3 2 2 4 2" xfId="10504" xr:uid="{F9114C7C-9CE6-41DC-9A1F-49BFA1A1E58D}"/>
    <cellStyle name="Normal 3 7 3 2 2 5" xfId="1680" xr:uid="{00000000-0005-0000-0000-0000620F0000}"/>
    <cellStyle name="Normal 3 7 3 2 2 5 2" xfId="7857" xr:uid="{8B1DAB27-2FD2-4BD9-B57C-542B97A415BA}"/>
    <cellStyle name="Normal 3 7 3 2 2 6" xfId="6974" xr:uid="{D0308A7F-27C5-439F-82B1-3BBA89812F77}"/>
    <cellStyle name="Normal 3 7 3 2 3" xfId="3004" xr:uid="{00000000-0005-0000-0000-0000630F0000}"/>
    <cellStyle name="Normal 3 7 3 2 3 2" xfId="5544" xr:uid="{00000000-0005-0000-0000-0000640F0000}"/>
    <cellStyle name="Normal 3 7 3 2 3 2 2" xfId="11721" xr:uid="{BA5755A6-58F3-4BF3-A04C-16FE390AD7ED}"/>
    <cellStyle name="Normal 3 7 3 2 3 3" xfId="9181" xr:uid="{4E29B5DF-B7E0-492B-8D24-69662B647DF0}"/>
    <cellStyle name="Normal 3 7 3 2 4" xfId="2122" xr:uid="{00000000-0005-0000-0000-0000650F0000}"/>
    <cellStyle name="Normal 3 7 3 2 4 2" xfId="5545" xr:uid="{00000000-0005-0000-0000-0000660F0000}"/>
    <cellStyle name="Normal 3 7 3 2 4 2 2" xfId="11722" xr:uid="{6747640C-2039-43A4-9865-A7FDAF675481}"/>
    <cellStyle name="Normal 3 7 3 2 4 3" xfId="8299" xr:uid="{85FF4885-4B58-494D-893C-BB0C378EEC03}"/>
    <cellStyle name="Normal 3 7 3 2 5" xfId="3886" xr:uid="{00000000-0005-0000-0000-0000670F0000}"/>
    <cellStyle name="Normal 3 7 3 2 5 2" xfId="10063" xr:uid="{007E3C7E-550A-4C97-9777-A308FC301A15}"/>
    <cellStyle name="Normal 3 7 3 2 6" xfId="1239" xr:uid="{00000000-0005-0000-0000-0000680F0000}"/>
    <cellStyle name="Normal 3 7 3 2 6 2" xfId="7416" xr:uid="{32934640-1947-4719-8E03-632765CED355}"/>
    <cellStyle name="Normal 3 7 3 2 7" xfId="6533" xr:uid="{01F24D52-DCD5-4165-A7C1-850FF7B1B8B3}"/>
    <cellStyle name="Normal 3 7 3 3" xfId="577" xr:uid="{00000000-0005-0000-0000-0000690F0000}"/>
    <cellStyle name="Normal 3 7 3 3 2" xfId="3225" xr:uid="{00000000-0005-0000-0000-00006A0F0000}"/>
    <cellStyle name="Normal 3 7 3 3 2 2" xfId="5546" xr:uid="{00000000-0005-0000-0000-00006B0F0000}"/>
    <cellStyle name="Normal 3 7 3 3 2 2 2" xfId="11723" xr:uid="{BD2C9294-D257-4CF8-9796-456514ED4691}"/>
    <cellStyle name="Normal 3 7 3 3 2 3" xfId="9402" xr:uid="{FAA93B80-05F5-4131-AF46-2475B23A27EA}"/>
    <cellStyle name="Normal 3 7 3 3 3" xfId="2343" xr:uid="{00000000-0005-0000-0000-00006C0F0000}"/>
    <cellStyle name="Normal 3 7 3 3 3 2" xfId="5547" xr:uid="{00000000-0005-0000-0000-00006D0F0000}"/>
    <cellStyle name="Normal 3 7 3 3 3 2 2" xfId="11724" xr:uid="{836B9748-800F-415C-913A-CC0876DCAEB3}"/>
    <cellStyle name="Normal 3 7 3 3 3 3" xfId="8520" xr:uid="{E018942E-16D5-412B-9103-915E8B76D242}"/>
    <cellStyle name="Normal 3 7 3 3 4" xfId="4107" xr:uid="{00000000-0005-0000-0000-00006E0F0000}"/>
    <cellStyle name="Normal 3 7 3 3 4 2" xfId="10284" xr:uid="{AA6EBE6A-029D-4E72-BB81-DC6379F26F9A}"/>
    <cellStyle name="Normal 3 7 3 3 5" xfId="1460" xr:uid="{00000000-0005-0000-0000-00006F0F0000}"/>
    <cellStyle name="Normal 3 7 3 3 5 2" xfId="7637" xr:uid="{DD4CC91C-DCE2-4102-8C73-AD5188F7666C}"/>
    <cellStyle name="Normal 3 7 3 3 6" xfId="6754" xr:uid="{B53D1114-950D-4F2B-AFE9-30412E68D9E3}"/>
    <cellStyle name="Normal 3 7 3 4" xfId="2784" xr:uid="{00000000-0005-0000-0000-0000700F0000}"/>
    <cellStyle name="Normal 3 7 3 4 2" xfId="5548" xr:uid="{00000000-0005-0000-0000-0000710F0000}"/>
    <cellStyle name="Normal 3 7 3 4 2 2" xfId="11725" xr:uid="{36464D3F-57C6-4C17-9640-7C315AC444EC}"/>
    <cellStyle name="Normal 3 7 3 4 3" xfId="8961" xr:uid="{DF10BEEB-78DE-4EC3-8D00-273655F375F7}"/>
    <cellStyle name="Normal 3 7 3 5" xfId="1902" xr:uid="{00000000-0005-0000-0000-0000720F0000}"/>
    <cellStyle name="Normal 3 7 3 5 2" xfId="5549" xr:uid="{00000000-0005-0000-0000-0000730F0000}"/>
    <cellStyle name="Normal 3 7 3 5 2 2" xfId="11726" xr:uid="{5E7B81F5-2747-45EE-A292-D505A56DECAC}"/>
    <cellStyle name="Normal 3 7 3 5 3" xfId="8079" xr:uid="{EABFA582-ACB3-4895-ABE8-F4B838D9AD41}"/>
    <cellStyle name="Normal 3 7 3 6" xfId="3666" xr:uid="{00000000-0005-0000-0000-0000740F0000}"/>
    <cellStyle name="Normal 3 7 3 6 2" xfId="9843" xr:uid="{F1B07A80-B164-4DF2-B2F2-27D9A24A5ED4}"/>
    <cellStyle name="Normal 3 7 3 7" xfId="1019" xr:uid="{00000000-0005-0000-0000-0000750F0000}"/>
    <cellStyle name="Normal 3 7 3 7 2" xfId="7196" xr:uid="{278DD4F5-52F8-486F-8CA4-B32686BA7327}"/>
    <cellStyle name="Normal 3 7 3 8" xfId="6313" xr:uid="{A8F982CF-5DE8-43C4-8EDB-4DCFF4E5C70F}"/>
    <cellStyle name="Normal 3 7 4" xfId="246" xr:uid="{00000000-0005-0000-0000-0000760F0000}"/>
    <cellStyle name="Normal 3 7 4 2" xfId="687" xr:uid="{00000000-0005-0000-0000-0000770F0000}"/>
    <cellStyle name="Normal 3 7 4 2 2" xfId="3335" xr:uid="{00000000-0005-0000-0000-0000780F0000}"/>
    <cellStyle name="Normal 3 7 4 2 2 2" xfId="5550" xr:uid="{00000000-0005-0000-0000-0000790F0000}"/>
    <cellStyle name="Normal 3 7 4 2 2 2 2" xfId="11727" xr:uid="{3B5117B9-1074-47DD-8080-81503D0CD57C}"/>
    <cellStyle name="Normal 3 7 4 2 2 3" xfId="9512" xr:uid="{35D2FD0E-EE4B-4EDB-AAFF-35986CFC763E}"/>
    <cellStyle name="Normal 3 7 4 2 3" xfId="2453" xr:uid="{00000000-0005-0000-0000-00007A0F0000}"/>
    <cellStyle name="Normal 3 7 4 2 3 2" xfId="5551" xr:uid="{00000000-0005-0000-0000-00007B0F0000}"/>
    <cellStyle name="Normal 3 7 4 2 3 2 2" xfId="11728" xr:uid="{5F87FED0-0F55-4AEE-BB14-3A547CA81905}"/>
    <cellStyle name="Normal 3 7 4 2 3 3" xfId="8630" xr:uid="{C95EBA68-87BB-4C37-8FCB-85C5C7576574}"/>
    <cellStyle name="Normal 3 7 4 2 4" xfId="4217" xr:uid="{00000000-0005-0000-0000-00007C0F0000}"/>
    <cellStyle name="Normal 3 7 4 2 4 2" xfId="10394" xr:uid="{8772AB2C-465C-45EA-925C-AAF52F8CBCF3}"/>
    <cellStyle name="Normal 3 7 4 2 5" xfId="1570" xr:uid="{00000000-0005-0000-0000-00007D0F0000}"/>
    <cellStyle name="Normal 3 7 4 2 5 2" xfId="7747" xr:uid="{6116E2DA-F067-4876-A5F1-B36174BA6243}"/>
    <cellStyle name="Normal 3 7 4 2 6" xfId="6864" xr:uid="{EFBC6A32-7EB6-49DB-92E4-54EAFD93D07D}"/>
    <cellStyle name="Normal 3 7 4 3" xfId="2894" xr:uid="{00000000-0005-0000-0000-00007E0F0000}"/>
    <cellStyle name="Normal 3 7 4 3 2" xfId="5552" xr:uid="{00000000-0005-0000-0000-00007F0F0000}"/>
    <cellStyle name="Normal 3 7 4 3 2 2" xfId="11729" xr:uid="{33355B15-1F91-4990-8863-82AD74FDF6BB}"/>
    <cellStyle name="Normal 3 7 4 3 3" xfId="9071" xr:uid="{9D16C19E-77FF-4C29-AB4F-89D9CBA40131}"/>
    <cellStyle name="Normal 3 7 4 4" xfId="2012" xr:uid="{00000000-0005-0000-0000-0000800F0000}"/>
    <cellStyle name="Normal 3 7 4 4 2" xfId="5553" xr:uid="{00000000-0005-0000-0000-0000810F0000}"/>
    <cellStyle name="Normal 3 7 4 4 2 2" xfId="11730" xr:uid="{94D97E16-7A31-484A-8DBD-6D88A5C93666}"/>
    <cellStyle name="Normal 3 7 4 4 3" xfId="8189" xr:uid="{11B46242-3531-4546-92F6-119DFD43AEE9}"/>
    <cellStyle name="Normal 3 7 4 5" xfId="3776" xr:uid="{00000000-0005-0000-0000-0000820F0000}"/>
    <cellStyle name="Normal 3 7 4 5 2" xfId="9953" xr:uid="{1DCC5F29-A2C1-4570-8414-33D50D8B4982}"/>
    <cellStyle name="Normal 3 7 4 6" xfId="1129" xr:uid="{00000000-0005-0000-0000-0000830F0000}"/>
    <cellStyle name="Normal 3 7 4 6 2" xfId="7306" xr:uid="{237FDDE1-B79A-49CB-B1DB-D3CF2D30E1E1}"/>
    <cellStyle name="Normal 3 7 4 7" xfId="6423" xr:uid="{915E7ED1-1FDA-4C5C-9812-AF3E58DFC7C1}"/>
    <cellStyle name="Normal 3 7 5" xfId="467" xr:uid="{00000000-0005-0000-0000-0000840F0000}"/>
    <cellStyle name="Normal 3 7 5 2" xfId="3115" xr:uid="{00000000-0005-0000-0000-0000850F0000}"/>
    <cellStyle name="Normal 3 7 5 2 2" xfId="5554" xr:uid="{00000000-0005-0000-0000-0000860F0000}"/>
    <cellStyle name="Normal 3 7 5 2 2 2" xfId="11731" xr:uid="{78FA2267-7365-4F74-BC23-4C8FF33C23BE}"/>
    <cellStyle name="Normal 3 7 5 2 3" xfId="9292" xr:uid="{54EC633A-99C4-4D4D-83FE-A495DE4DB529}"/>
    <cellStyle name="Normal 3 7 5 3" xfId="2233" xr:uid="{00000000-0005-0000-0000-0000870F0000}"/>
    <cellStyle name="Normal 3 7 5 3 2" xfId="5555" xr:uid="{00000000-0005-0000-0000-0000880F0000}"/>
    <cellStyle name="Normal 3 7 5 3 2 2" xfId="11732" xr:uid="{0BCAAA7A-5C78-4E09-9DA5-45D81ED1808B}"/>
    <cellStyle name="Normal 3 7 5 3 3" xfId="8410" xr:uid="{5524903B-A77F-4842-BB94-8F12463C9C32}"/>
    <cellStyle name="Normal 3 7 5 4" xfId="3997" xr:uid="{00000000-0005-0000-0000-0000890F0000}"/>
    <cellStyle name="Normal 3 7 5 4 2" xfId="10174" xr:uid="{7A43803B-9F74-4116-B4DE-F8809625881F}"/>
    <cellStyle name="Normal 3 7 5 5" xfId="1350" xr:uid="{00000000-0005-0000-0000-00008A0F0000}"/>
    <cellStyle name="Normal 3 7 5 5 2" xfId="7527" xr:uid="{D1AEA2FF-EB4E-4188-96C9-3FEA8DC4A756}"/>
    <cellStyle name="Normal 3 7 5 6" xfId="6644" xr:uid="{96890D58-6A20-4DE8-9779-B6CAED93E056}"/>
    <cellStyle name="Normal 3 7 6" xfId="2674" xr:uid="{00000000-0005-0000-0000-00008B0F0000}"/>
    <cellStyle name="Normal 3 7 6 2" xfId="5556" xr:uid="{00000000-0005-0000-0000-00008C0F0000}"/>
    <cellStyle name="Normal 3 7 6 2 2" xfId="11733" xr:uid="{B3BDDB0A-D820-4EF1-A0C2-79068835D854}"/>
    <cellStyle name="Normal 3 7 6 3" xfId="8851" xr:uid="{82C50F8B-714B-41C0-AA04-EB949F2AFBEE}"/>
    <cellStyle name="Normal 3 7 7" xfId="1792" xr:uid="{00000000-0005-0000-0000-00008D0F0000}"/>
    <cellStyle name="Normal 3 7 7 2" xfId="5557" xr:uid="{00000000-0005-0000-0000-00008E0F0000}"/>
    <cellStyle name="Normal 3 7 7 2 2" xfId="11734" xr:uid="{224A4BAF-EB77-4BAC-8776-A2C21BF009EE}"/>
    <cellStyle name="Normal 3 7 7 3" xfId="7969" xr:uid="{F17A53EE-AB65-439E-8E40-2B711517E290}"/>
    <cellStyle name="Normal 3 7 8" xfId="3556" xr:uid="{00000000-0005-0000-0000-00008F0F0000}"/>
    <cellStyle name="Normal 3 7 8 2" xfId="9733" xr:uid="{1A039521-01D1-4749-BDC0-23B3EE2559CD}"/>
    <cellStyle name="Normal 3 7 9" xfId="909" xr:uid="{00000000-0005-0000-0000-0000900F0000}"/>
    <cellStyle name="Normal 3 7 9 2" xfId="7086" xr:uid="{57CFE80A-A08C-415F-8B4B-7AD22E87319F}"/>
    <cellStyle name="Normal 3 8" xfId="32" xr:uid="{00000000-0005-0000-0000-0000910F0000}"/>
    <cellStyle name="Normal 3 8 10" xfId="6209" xr:uid="{617A4DD0-CCB4-4E76-ABD0-B0DCD960E483}"/>
    <cellStyle name="Normal 3 8 2" xfId="98" xr:uid="{00000000-0005-0000-0000-0000920F0000}"/>
    <cellStyle name="Normal 3 8 2 2" xfId="208" xr:uid="{00000000-0005-0000-0000-0000930F0000}"/>
    <cellStyle name="Normal 3 8 2 2 2" xfId="428" xr:uid="{00000000-0005-0000-0000-0000940F0000}"/>
    <cellStyle name="Normal 3 8 2 2 2 2" xfId="869" xr:uid="{00000000-0005-0000-0000-0000950F0000}"/>
    <cellStyle name="Normal 3 8 2 2 2 2 2" xfId="3517" xr:uid="{00000000-0005-0000-0000-0000960F0000}"/>
    <cellStyle name="Normal 3 8 2 2 2 2 2 2" xfId="5558" xr:uid="{00000000-0005-0000-0000-0000970F0000}"/>
    <cellStyle name="Normal 3 8 2 2 2 2 2 2 2" xfId="11735" xr:uid="{7D8D8E06-012D-45FC-9926-AC6BF3391253}"/>
    <cellStyle name="Normal 3 8 2 2 2 2 2 3" xfId="9694" xr:uid="{5B2EA1F0-4A04-4331-9072-F11941277B3E}"/>
    <cellStyle name="Normal 3 8 2 2 2 2 3" xfId="2635" xr:uid="{00000000-0005-0000-0000-0000980F0000}"/>
    <cellStyle name="Normal 3 8 2 2 2 2 3 2" xfId="5559" xr:uid="{00000000-0005-0000-0000-0000990F0000}"/>
    <cellStyle name="Normal 3 8 2 2 2 2 3 2 2" xfId="11736" xr:uid="{D4522B9A-A7A6-483A-A8FA-63606F67EC64}"/>
    <cellStyle name="Normal 3 8 2 2 2 2 3 3" xfId="8812" xr:uid="{4BA04B4B-620E-423A-981D-61F4775D14CF}"/>
    <cellStyle name="Normal 3 8 2 2 2 2 4" xfId="4399" xr:uid="{00000000-0005-0000-0000-00009A0F0000}"/>
    <cellStyle name="Normal 3 8 2 2 2 2 4 2" xfId="10576" xr:uid="{8CBFF38A-BFC6-4A80-9CBB-63753FCC3D68}"/>
    <cellStyle name="Normal 3 8 2 2 2 2 5" xfId="1752" xr:uid="{00000000-0005-0000-0000-00009B0F0000}"/>
    <cellStyle name="Normal 3 8 2 2 2 2 5 2" xfId="7929" xr:uid="{EE397FB3-B7C7-4F9D-9D1F-DB83CB75E2CF}"/>
    <cellStyle name="Normal 3 8 2 2 2 2 6" xfId="7046" xr:uid="{BD4D9BF8-BB74-44A1-8C76-AC1FF5C53450}"/>
    <cellStyle name="Normal 3 8 2 2 2 3" xfId="3076" xr:uid="{00000000-0005-0000-0000-00009C0F0000}"/>
    <cellStyle name="Normal 3 8 2 2 2 3 2" xfId="5560" xr:uid="{00000000-0005-0000-0000-00009D0F0000}"/>
    <cellStyle name="Normal 3 8 2 2 2 3 2 2" xfId="11737" xr:uid="{1DEA70F4-6F16-49DE-A1F8-CB82733717B6}"/>
    <cellStyle name="Normal 3 8 2 2 2 3 3" xfId="9253" xr:uid="{422E773B-7941-40B9-AFD7-C93C96440D3D}"/>
    <cellStyle name="Normal 3 8 2 2 2 4" xfId="2194" xr:uid="{00000000-0005-0000-0000-00009E0F0000}"/>
    <cellStyle name="Normal 3 8 2 2 2 4 2" xfId="5561" xr:uid="{00000000-0005-0000-0000-00009F0F0000}"/>
    <cellStyle name="Normal 3 8 2 2 2 4 2 2" xfId="11738" xr:uid="{84BFD994-10C1-4BD0-A1FC-CD3FD1675EC0}"/>
    <cellStyle name="Normal 3 8 2 2 2 4 3" xfId="8371" xr:uid="{C3FCB56B-4CFB-48FB-9715-D4524BE3ECC5}"/>
    <cellStyle name="Normal 3 8 2 2 2 5" xfId="3958" xr:uid="{00000000-0005-0000-0000-0000A00F0000}"/>
    <cellStyle name="Normal 3 8 2 2 2 5 2" xfId="10135" xr:uid="{33BD891C-E787-4DD2-90BA-8346348D7DF3}"/>
    <cellStyle name="Normal 3 8 2 2 2 6" xfId="1311" xr:uid="{00000000-0005-0000-0000-0000A10F0000}"/>
    <cellStyle name="Normal 3 8 2 2 2 6 2" xfId="7488" xr:uid="{831C8323-E880-463F-A56A-76B61A8D0513}"/>
    <cellStyle name="Normal 3 8 2 2 2 7" xfId="6605" xr:uid="{7F582EDF-2300-4720-80E9-7EA7623EFA7D}"/>
    <cellStyle name="Normal 3 8 2 2 3" xfId="649" xr:uid="{00000000-0005-0000-0000-0000A20F0000}"/>
    <cellStyle name="Normal 3 8 2 2 3 2" xfId="3297" xr:uid="{00000000-0005-0000-0000-0000A30F0000}"/>
    <cellStyle name="Normal 3 8 2 2 3 2 2" xfId="5562" xr:uid="{00000000-0005-0000-0000-0000A40F0000}"/>
    <cellStyle name="Normal 3 8 2 2 3 2 2 2" xfId="11739" xr:uid="{E0E3A593-0149-47AD-84C3-6AB6775111B5}"/>
    <cellStyle name="Normal 3 8 2 2 3 2 3" xfId="9474" xr:uid="{1EAD159E-EBAA-42AF-BE6D-3523C57FF24F}"/>
    <cellStyle name="Normal 3 8 2 2 3 3" xfId="2415" xr:uid="{00000000-0005-0000-0000-0000A50F0000}"/>
    <cellStyle name="Normal 3 8 2 2 3 3 2" xfId="5563" xr:uid="{00000000-0005-0000-0000-0000A60F0000}"/>
    <cellStyle name="Normal 3 8 2 2 3 3 2 2" xfId="11740" xr:uid="{79C5B9B0-4C06-4621-9415-FC23680C65EE}"/>
    <cellStyle name="Normal 3 8 2 2 3 3 3" xfId="8592" xr:uid="{D1629F33-14E7-4F32-99EF-AE0E57BEDCCD}"/>
    <cellStyle name="Normal 3 8 2 2 3 4" xfId="4179" xr:uid="{00000000-0005-0000-0000-0000A70F0000}"/>
    <cellStyle name="Normal 3 8 2 2 3 4 2" xfId="10356" xr:uid="{74860D82-EB0A-41F5-A3E3-4A509991ED92}"/>
    <cellStyle name="Normal 3 8 2 2 3 5" xfId="1532" xr:uid="{00000000-0005-0000-0000-0000A80F0000}"/>
    <cellStyle name="Normal 3 8 2 2 3 5 2" xfId="7709" xr:uid="{034C4E6A-8BCB-4083-B616-30770EEA5117}"/>
    <cellStyle name="Normal 3 8 2 2 3 6" xfId="6826" xr:uid="{5AE31DAF-ECCA-48AD-B854-E631CC72991C}"/>
    <cellStyle name="Normal 3 8 2 2 4" xfId="2856" xr:uid="{00000000-0005-0000-0000-0000A90F0000}"/>
    <cellStyle name="Normal 3 8 2 2 4 2" xfId="5564" xr:uid="{00000000-0005-0000-0000-0000AA0F0000}"/>
    <cellStyle name="Normal 3 8 2 2 4 2 2" xfId="11741" xr:uid="{A39C0FDD-D462-44E3-ADFA-2898D08192DD}"/>
    <cellStyle name="Normal 3 8 2 2 4 3" xfId="9033" xr:uid="{AC939E0A-7464-4046-BEBC-9F322A8F3F5B}"/>
    <cellStyle name="Normal 3 8 2 2 5" xfId="1974" xr:uid="{00000000-0005-0000-0000-0000AB0F0000}"/>
    <cellStyle name="Normal 3 8 2 2 5 2" xfId="5565" xr:uid="{00000000-0005-0000-0000-0000AC0F0000}"/>
    <cellStyle name="Normal 3 8 2 2 5 2 2" xfId="11742" xr:uid="{299FA5B6-F8D7-4F0F-8F9E-8BFA9A013AAD}"/>
    <cellStyle name="Normal 3 8 2 2 5 3" xfId="8151" xr:uid="{5F75519A-ADD8-4C5D-9189-92D5517AB2DF}"/>
    <cellStyle name="Normal 3 8 2 2 6" xfId="3738" xr:uid="{00000000-0005-0000-0000-0000AD0F0000}"/>
    <cellStyle name="Normal 3 8 2 2 6 2" xfId="9915" xr:uid="{BC9BF39A-40E5-4D8F-B35A-8DBD770E2095}"/>
    <cellStyle name="Normal 3 8 2 2 7" xfId="1091" xr:uid="{00000000-0005-0000-0000-0000AE0F0000}"/>
    <cellStyle name="Normal 3 8 2 2 7 2" xfId="7268" xr:uid="{90CC4D8D-040F-40B0-AF6F-5E89A25C26EB}"/>
    <cellStyle name="Normal 3 8 2 2 8" xfId="6385" xr:uid="{4B1BA50C-FC4A-4595-B007-AF4098F65CCA}"/>
    <cellStyle name="Normal 3 8 2 3" xfId="318" xr:uid="{00000000-0005-0000-0000-0000AF0F0000}"/>
    <cellStyle name="Normal 3 8 2 3 2" xfId="759" xr:uid="{00000000-0005-0000-0000-0000B00F0000}"/>
    <cellStyle name="Normal 3 8 2 3 2 2" xfId="3407" xr:uid="{00000000-0005-0000-0000-0000B10F0000}"/>
    <cellStyle name="Normal 3 8 2 3 2 2 2" xfId="5566" xr:uid="{00000000-0005-0000-0000-0000B20F0000}"/>
    <cellStyle name="Normal 3 8 2 3 2 2 2 2" xfId="11743" xr:uid="{CCB599CF-88F7-441F-8CD3-1103B4938739}"/>
    <cellStyle name="Normal 3 8 2 3 2 2 3" xfId="9584" xr:uid="{CA79A2B8-1B10-49FB-B1F3-DEF18DE67052}"/>
    <cellStyle name="Normal 3 8 2 3 2 3" xfId="2525" xr:uid="{00000000-0005-0000-0000-0000B30F0000}"/>
    <cellStyle name="Normal 3 8 2 3 2 3 2" xfId="5567" xr:uid="{00000000-0005-0000-0000-0000B40F0000}"/>
    <cellStyle name="Normal 3 8 2 3 2 3 2 2" xfId="11744" xr:uid="{EC08D732-736A-447F-BD54-7B7436141BF6}"/>
    <cellStyle name="Normal 3 8 2 3 2 3 3" xfId="8702" xr:uid="{A33B9F2B-480D-440B-8838-BF37B93CB15F}"/>
    <cellStyle name="Normal 3 8 2 3 2 4" xfId="4289" xr:uid="{00000000-0005-0000-0000-0000B50F0000}"/>
    <cellStyle name="Normal 3 8 2 3 2 4 2" xfId="10466" xr:uid="{A8F2F184-C5BB-4827-8DE0-3E446BB9963F}"/>
    <cellStyle name="Normal 3 8 2 3 2 5" xfId="1642" xr:uid="{00000000-0005-0000-0000-0000B60F0000}"/>
    <cellStyle name="Normal 3 8 2 3 2 5 2" xfId="7819" xr:uid="{64F40209-9545-42DF-A1B6-D01F2C183C2A}"/>
    <cellStyle name="Normal 3 8 2 3 2 6" xfId="6936" xr:uid="{894BC645-86F3-46E3-B9D4-CD73B0BAD47A}"/>
    <cellStyle name="Normal 3 8 2 3 3" xfId="2966" xr:uid="{00000000-0005-0000-0000-0000B70F0000}"/>
    <cellStyle name="Normal 3 8 2 3 3 2" xfId="5568" xr:uid="{00000000-0005-0000-0000-0000B80F0000}"/>
    <cellStyle name="Normal 3 8 2 3 3 2 2" xfId="11745" xr:uid="{95FCC929-8283-432C-9F00-EA41F330A996}"/>
    <cellStyle name="Normal 3 8 2 3 3 3" xfId="9143" xr:uid="{4B251CFC-C9A7-4024-BC16-1E78BB93E5FA}"/>
    <cellStyle name="Normal 3 8 2 3 4" xfId="2084" xr:uid="{00000000-0005-0000-0000-0000B90F0000}"/>
    <cellStyle name="Normal 3 8 2 3 4 2" xfId="5569" xr:uid="{00000000-0005-0000-0000-0000BA0F0000}"/>
    <cellStyle name="Normal 3 8 2 3 4 2 2" xfId="11746" xr:uid="{4BAB3D5E-7872-44D8-82B5-5D27B0840207}"/>
    <cellStyle name="Normal 3 8 2 3 4 3" xfId="8261" xr:uid="{2B2887ED-8666-411F-9054-75E6A675F4BD}"/>
    <cellStyle name="Normal 3 8 2 3 5" xfId="3848" xr:uid="{00000000-0005-0000-0000-0000BB0F0000}"/>
    <cellStyle name="Normal 3 8 2 3 5 2" xfId="10025" xr:uid="{753F2DC2-707C-4EFA-A407-9B0D781D04D7}"/>
    <cellStyle name="Normal 3 8 2 3 6" xfId="1201" xr:uid="{00000000-0005-0000-0000-0000BC0F0000}"/>
    <cellStyle name="Normal 3 8 2 3 6 2" xfId="7378" xr:uid="{408F9627-8624-4E79-BF29-F590FD0C9939}"/>
    <cellStyle name="Normal 3 8 2 3 7" xfId="6495" xr:uid="{48AAB7F0-BB86-4DC0-8C75-6653EA99F69F}"/>
    <cellStyle name="Normal 3 8 2 4" xfId="539" xr:uid="{00000000-0005-0000-0000-0000BD0F0000}"/>
    <cellStyle name="Normal 3 8 2 4 2" xfId="3187" xr:uid="{00000000-0005-0000-0000-0000BE0F0000}"/>
    <cellStyle name="Normal 3 8 2 4 2 2" xfId="5570" xr:uid="{00000000-0005-0000-0000-0000BF0F0000}"/>
    <cellStyle name="Normal 3 8 2 4 2 2 2" xfId="11747" xr:uid="{EBBE8D57-6627-4223-9678-5A863285741D}"/>
    <cellStyle name="Normal 3 8 2 4 2 3" xfId="9364" xr:uid="{31E4B265-979F-4953-9867-85B7BA95846C}"/>
    <cellStyle name="Normal 3 8 2 4 3" xfId="2305" xr:uid="{00000000-0005-0000-0000-0000C00F0000}"/>
    <cellStyle name="Normal 3 8 2 4 3 2" xfId="5571" xr:uid="{00000000-0005-0000-0000-0000C10F0000}"/>
    <cellStyle name="Normal 3 8 2 4 3 2 2" xfId="11748" xr:uid="{E21112F4-5A44-4D78-9CB8-4E96DED9F5C2}"/>
    <cellStyle name="Normal 3 8 2 4 3 3" xfId="8482" xr:uid="{95C5E7D3-87BB-4CCF-9128-2EF0893E18A6}"/>
    <cellStyle name="Normal 3 8 2 4 4" xfId="4069" xr:uid="{00000000-0005-0000-0000-0000C20F0000}"/>
    <cellStyle name="Normal 3 8 2 4 4 2" xfId="10246" xr:uid="{82C595CF-059E-439F-8718-78777A8C3E4B}"/>
    <cellStyle name="Normal 3 8 2 4 5" xfId="1422" xr:uid="{00000000-0005-0000-0000-0000C30F0000}"/>
    <cellStyle name="Normal 3 8 2 4 5 2" xfId="7599" xr:uid="{B9F29CDB-B1C3-4A7D-94E3-E942A0EAF648}"/>
    <cellStyle name="Normal 3 8 2 4 6" xfId="6716" xr:uid="{D8C8DE5B-91DD-45B8-9327-377EE4DDB165}"/>
    <cellStyle name="Normal 3 8 2 5" xfId="2746" xr:uid="{00000000-0005-0000-0000-0000C40F0000}"/>
    <cellStyle name="Normal 3 8 2 5 2" xfId="5572" xr:uid="{00000000-0005-0000-0000-0000C50F0000}"/>
    <cellStyle name="Normal 3 8 2 5 2 2" xfId="11749" xr:uid="{0B97FA03-E533-4CFE-A119-2E54A50780B6}"/>
    <cellStyle name="Normal 3 8 2 5 3" xfId="8923" xr:uid="{29144C1E-FBE0-4EBD-84A7-70FDCE8B02C3}"/>
    <cellStyle name="Normal 3 8 2 6" xfId="1864" xr:uid="{00000000-0005-0000-0000-0000C60F0000}"/>
    <cellStyle name="Normal 3 8 2 6 2" xfId="5573" xr:uid="{00000000-0005-0000-0000-0000C70F0000}"/>
    <cellStyle name="Normal 3 8 2 6 2 2" xfId="11750" xr:uid="{294F1DF5-773D-4050-B078-2C033CD5C4CF}"/>
    <cellStyle name="Normal 3 8 2 6 3" xfId="8041" xr:uid="{B6445105-17D7-455C-934C-1C744EEC546F}"/>
    <cellStyle name="Normal 3 8 2 7" xfId="3628" xr:uid="{00000000-0005-0000-0000-0000C80F0000}"/>
    <cellStyle name="Normal 3 8 2 7 2" xfId="9805" xr:uid="{E066F89E-5370-4451-AA03-39907F8CF429}"/>
    <cellStyle name="Normal 3 8 2 8" xfId="981" xr:uid="{00000000-0005-0000-0000-0000C90F0000}"/>
    <cellStyle name="Normal 3 8 2 8 2" xfId="7158" xr:uid="{6299887F-DFEF-4530-A277-0B992F0B1833}"/>
    <cellStyle name="Normal 3 8 2 9" xfId="6275" xr:uid="{424EED47-B490-4E94-9EFA-E9B92CE9ED45}"/>
    <cellStyle name="Normal 3 8 3" xfId="142" xr:uid="{00000000-0005-0000-0000-0000CA0F0000}"/>
    <cellStyle name="Normal 3 8 3 2" xfId="362" xr:uid="{00000000-0005-0000-0000-0000CB0F0000}"/>
    <cellStyle name="Normal 3 8 3 2 2" xfId="803" xr:uid="{00000000-0005-0000-0000-0000CC0F0000}"/>
    <cellStyle name="Normal 3 8 3 2 2 2" xfId="3451" xr:uid="{00000000-0005-0000-0000-0000CD0F0000}"/>
    <cellStyle name="Normal 3 8 3 2 2 2 2" xfId="5574" xr:uid="{00000000-0005-0000-0000-0000CE0F0000}"/>
    <cellStyle name="Normal 3 8 3 2 2 2 2 2" xfId="11751" xr:uid="{1C3D304E-458B-4C8F-9EA2-C472586563F8}"/>
    <cellStyle name="Normal 3 8 3 2 2 2 3" xfId="9628" xr:uid="{E130B7A9-1CFE-4648-9CAF-1B33F7CABEE0}"/>
    <cellStyle name="Normal 3 8 3 2 2 3" xfId="2569" xr:uid="{00000000-0005-0000-0000-0000CF0F0000}"/>
    <cellStyle name="Normal 3 8 3 2 2 3 2" xfId="5575" xr:uid="{00000000-0005-0000-0000-0000D00F0000}"/>
    <cellStyle name="Normal 3 8 3 2 2 3 2 2" xfId="11752" xr:uid="{F9772FA0-174A-4FBF-984C-CF6EFDC0070E}"/>
    <cellStyle name="Normal 3 8 3 2 2 3 3" xfId="8746" xr:uid="{85007ADC-AD98-4A90-8215-4C9DD8A062AA}"/>
    <cellStyle name="Normal 3 8 3 2 2 4" xfId="4333" xr:uid="{00000000-0005-0000-0000-0000D10F0000}"/>
    <cellStyle name="Normal 3 8 3 2 2 4 2" xfId="10510" xr:uid="{45C4685C-24F4-4141-A9CB-815D3E721629}"/>
    <cellStyle name="Normal 3 8 3 2 2 5" xfId="1686" xr:uid="{00000000-0005-0000-0000-0000D20F0000}"/>
    <cellStyle name="Normal 3 8 3 2 2 5 2" xfId="7863" xr:uid="{2AB26A56-824C-410F-9C39-F9C8515B14E3}"/>
    <cellStyle name="Normal 3 8 3 2 2 6" xfId="6980" xr:uid="{FFC7EAE1-0EBB-4D41-A40F-040BCC9C0E04}"/>
    <cellStyle name="Normal 3 8 3 2 3" xfId="3010" xr:uid="{00000000-0005-0000-0000-0000D30F0000}"/>
    <cellStyle name="Normal 3 8 3 2 3 2" xfId="5576" xr:uid="{00000000-0005-0000-0000-0000D40F0000}"/>
    <cellStyle name="Normal 3 8 3 2 3 2 2" xfId="11753" xr:uid="{FEC3CC63-B759-4257-B546-9244CC59A7C4}"/>
    <cellStyle name="Normal 3 8 3 2 3 3" xfId="9187" xr:uid="{390B580A-2665-43F5-BA24-4CC20859647B}"/>
    <cellStyle name="Normal 3 8 3 2 4" xfId="2128" xr:uid="{00000000-0005-0000-0000-0000D50F0000}"/>
    <cellStyle name="Normal 3 8 3 2 4 2" xfId="5577" xr:uid="{00000000-0005-0000-0000-0000D60F0000}"/>
    <cellStyle name="Normal 3 8 3 2 4 2 2" xfId="11754" xr:uid="{9A66676E-30BE-4E6B-BF1F-7F37C07EF8F0}"/>
    <cellStyle name="Normal 3 8 3 2 4 3" xfId="8305" xr:uid="{3A13160E-942A-4B62-952F-F6F0419799F1}"/>
    <cellStyle name="Normal 3 8 3 2 5" xfId="3892" xr:uid="{00000000-0005-0000-0000-0000D70F0000}"/>
    <cellStyle name="Normal 3 8 3 2 5 2" xfId="10069" xr:uid="{3ED02DE1-786A-4A85-B93B-225C46A6AD2C}"/>
    <cellStyle name="Normal 3 8 3 2 6" xfId="1245" xr:uid="{00000000-0005-0000-0000-0000D80F0000}"/>
    <cellStyle name="Normal 3 8 3 2 6 2" xfId="7422" xr:uid="{8D630AC7-4AD6-4212-9713-F63989467D6F}"/>
    <cellStyle name="Normal 3 8 3 2 7" xfId="6539" xr:uid="{5DB42EEC-06DE-45E7-852F-8B14031569ED}"/>
    <cellStyle name="Normal 3 8 3 3" xfId="583" xr:uid="{00000000-0005-0000-0000-0000D90F0000}"/>
    <cellStyle name="Normal 3 8 3 3 2" xfId="3231" xr:uid="{00000000-0005-0000-0000-0000DA0F0000}"/>
    <cellStyle name="Normal 3 8 3 3 2 2" xfId="5578" xr:uid="{00000000-0005-0000-0000-0000DB0F0000}"/>
    <cellStyle name="Normal 3 8 3 3 2 2 2" xfId="11755" xr:uid="{802E7360-B103-4878-8B28-D934F5D8E405}"/>
    <cellStyle name="Normal 3 8 3 3 2 3" xfId="9408" xr:uid="{BCCE2046-E1BA-4625-AB2A-3A36FA296110}"/>
    <cellStyle name="Normal 3 8 3 3 3" xfId="2349" xr:uid="{00000000-0005-0000-0000-0000DC0F0000}"/>
    <cellStyle name="Normal 3 8 3 3 3 2" xfId="5579" xr:uid="{00000000-0005-0000-0000-0000DD0F0000}"/>
    <cellStyle name="Normal 3 8 3 3 3 2 2" xfId="11756" xr:uid="{BDE196BE-9724-4226-92E5-873889EF8798}"/>
    <cellStyle name="Normal 3 8 3 3 3 3" xfId="8526" xr:uid="{FF58F6FB-EF35-4C17-A480-369B17800DAE}"/>
    <cellStyle name="Normal 3 8 3 3 4" xfId="4113" xr:uid="{00000000-0005-0000-0000-0000DE0F0000}"/>
    <cellStyle name="Normal 3 8 3 3 4 2" xfId="10290" xr:uid="{FB6787C1-72F1-45AC-B486-72F8034759B2}"/>
    <cellStyle name="Normal 3 8 3 3 5" xfId="1466" xr:uid="{00000000-0005-0000-0000-0000DF0F0000}"/>
    <cellStyle name="Normal 3 8 3 3 5 2" xfId="7643" xr:uid="{B8D3DBB2-B22C-4F0A-9DE2-EF37FB9DF6CF}"/>
    <cellStyle name="Normal 3 8 3 3 6" xfId="6760" xr:uid="{0D6C170D-D035-473A-9B44-9D195B830F18}"/>
    <cellStyle name="Normal 3 8 3 4" xfId="2790" xr:uid="{00000000-0005-0000-0000-0000E00F0000}"/>
    <cellStyle name="Normal 3 8 3 4 2" xfId="5580" xr:uid="{00000000-0005-0000-0000-0000E10F0000}"/>
    <cellStyle name="Normal 3 8 3 4 2 2" xfId="11757" xr:uid="{E915E71E-358F-497D-87C6-66B99020713D}"/>
    <cellStyle name="Normal 3 8 3 4 3" xfId="8967" xr:uid="{FCB1987B-1D0B-497E-B054-6D8D2D10E8AA}"/>
    <cellStyle name="Normal 3 8 3 5" xfId="1908" xr:uid="{00000000-0005-0000-0000-0000E20F0000}"/>
    <cellStyle name="Normal 3 8 3 5 2" xfId="5581" xr:uid="{00000000-0005-0000-0000-0000E30F0000}"/>
    <cellStyle name="Normal 3 8 3 5 2 2" xfId="11758" xr:uid="{EACFD9AE-326C-463B-808F-A940F93E8B48}"/>
    <cellStyle name="Normal 3 8 3 5 3" xfId="8085" xr:uid="{9DBE2AFB-4465-4391-A21A-A75827AF2984}"/>
    <cellStyle name="Normal 3 8 3 6" xfId="3672" xr:uid="{00000000-0005-0000-0000-0000E40F0000}"/>
    <cellStyle name="Normal 3 8 3 6 2" xfId="9849" xr:uid="{C4273F32-5295-47BC-9B81-381381DCA0B4}"/>
    <cellStyle name="Normal 3 8 3 7" xfId="1025" xr:uid="{00000000-0005-0000-0000-0000E50F0000}"/>
    <cellStyle name="Normal 3 8 3 7 2" xfId="7202" xr:uid="{1D199F1B-CB1D-4D29-A59A-458ECE9ACEC8}"/>
    <cellStyle name="Normal 3 8 3 8" xfId="6319" xr:uid="{9B27388E-D02B-42B6-8CB7-B2728385ECD6}"/>
    <cellStyle name="Normal 3 8 4" xfId="252" xr:uid="{00000000-0005-0000-0000-0000E60F0000}"/>
    <cellStyle name="Normal 3 8 4 2" xfId="693" xr:uid="{00000000-0005-0000-0000-0000E70F0000}"/>
    <cellStyle name="Normal 3 8 4 2 2" xfId="3341" xr:uid="{00000000-0005-0000-0000-0000E80F0000}"/>
    <cellStyle name="Normal 3 8 4 2 2 2" xfId="5582" xr:uid="{00000000-0005-0000-0000-0000E90F0000}"/>
    <cellStyle name="Normal 3 8 4 2 2 2 2" xfId="11759" xr:uid="{E31D2909-7F49-4FC6-B766-ED81C867C7F7}"/>
    <cellStyle name="Normal 3 8 4 2 2 3" xfId="9518" xr:uid="{1A2CC7E3-6C5C-45D1-9FF8-A48C6C74AE51}"/>
    <cellStyle name="Normal 3 8 4 2 3" xfId="2459" xr:uid="{00000000-0005-0000-0000-0000EA0F0000}"/>
    <cellStyle name="Normal 3 8 4 2 3 2" xfId="5583" xr:uid="{00000000-0005-0000-0000-0000EB0F0000}"/>
    <cellStyle name="Normal 3 8 4 2 3 2 2" xfId="11760" xr:uid="{83A0BACB-984C-4D52-912A-D3B75E47C5A7}"/>
    <cellStyle name="Normal 3 8 4 2 3 3" xfId="8636" xr:uid="{F7F2EB34-B55F-47A6-937D-035F121FAD08}"/>
    <cellStyle name="Normal 3 8 4 2 4" xfId="4223" xr:uid="{00000000-0005-0000-0000-0000EC0F0000}"/>
    <cellStyle name="Normal 3 8 4 2 4 2" xfId="10400" xr:uid="{8C1C5E40-2760-4CE7-AD9B-9F55BC0BC654}"/>
    <cellStyle name="Normal 3 8 4 2 5" xfId="1576" xr:uid="{00000000-0005-0000-0000-0000ED0F0000}"/>
    <cellStyle name="Normal 3 8 4 2 5 2" xfId="7753" xr:uid="{C651ED63-D836-42D7-B00A-BD4D1EEBE208}"/>
    <cellStyle name="Normal 3 8 4 2 6" xfId="6870" xr:uid="{CDA60854-488B-444A-82C7-F74E2C7F036D}"/>
    <cellStyle name="Normal 3 8 4 3" xfId="2900" xr:uid="{00000000-0005-0000-0000-0000EE0F0000}"/>
    <cellStyle name="Normal 3 8 4 3 2" xfId="5584" xr:uid="{00000000-0005-0000-0000-0000EF0F0000}"/>
    <cellStyle name="Normal 3 8 4 3 2 2" xfId="11761" xr:uid="{602040C4-CD1F-42DD-BF42-13EF30848C04}"/>
    <cellStyle name="Normal 3 8 4 3 3" xfId="9077" xr:uid="{79B8F94B-BA2D-41AE-AD4C-6CDAA7D3EF02}"/>
    <cellStyle name="Normal 3 8 4 4" xfId="2018" xr:uid="{00000000-0005-0000-0000-0000F00F0000}"/>
    <cellStyle name="Normal 3 8 4 4 2" xfId="5585" xr:uid="{00000000-0005-0000-0000-0000F10F0000}"/>
    <cellStyle name="Normal 3 8 4 4 2 2" xfId="11762" xr:uid="{700763B0-C6B6-4EDB-AA2A-40B7C21B1085}"/>
    <cellStyle name="Normal 3 8 4 4 3" xfId="8195" xr:uid="{2546C0B6-0847-4B0C-901C-B22910A9D387}"/>
    <cellStyle name="Normal 3 8 4 5" xfId="3782" xr:uid="{00000000-0005-0000-0000-0000F20F0000}"/>
    <cellStyle name="Normal 3 8 4 5 2" xfId="9959" xr:uid="{EDB38A3E-5CDA-4397-BE8E-E5C2FEB92EB5}"/>
    <cellStyle name="Normal 3 8 4 6" xfId="1135" xr:uid="{00000000-0005-0000-0000-0000F30F0000}"/>
    <cellStyle name="Normal 3 8 4 6 2" xfId="7312" xr:uid="{3376AA76-B186-4928-A7B8-A985AF050FE7}"/>
    <cellStyle name="Normal 3 8 4 7" xfId="6429" xr:uid="{58BD998C-6088-452D-A253-B24F0BA11ECD}"/>
    <cellStyle name="Normal 3 8 5" xfId="473" xr:uid="{00000000-0005-0000-0000-0000F40F0000}"/>
    <cellStyle name="Normal 3 8 5 2" xfId="3121" xr:uid="{00000000-0005-0000-0000-0000F50F0000}"/>
    <cellStyle name="Normal 3 8 5 2 2" xfId="5586" xr:uid="{00000000-0005-0000-0000-0000F60F0000}"/>
    <cellStyle name="Normal 3 8 5 2 2 2" xfId="11763" xr:uid="{72B7F7E8-34BC-46DD-9FA5-B6E845B6411F}"/>
    <cellStyle name="Normal 3 8 5 2 3" xfId="9298" xr:uid="{5205E591-2074-44DA-92E8-DF6159E34E25}"/>
    <cellStyle name="Normal 3 8 5 3" xfId="2239" xr:uid="{00000000-0005-0000-0000-0000F70F0000}"/>
    <cellStyle name="Normal 3 8 5 3 2" xfId="5587" xr:uid="{00000000-0005-0000-0000-0000F80F0000}"/>
    <cellStyle name="Normal 3 8 5 3 2 2" xfId="11764" xr:uid="{60D3E3A3-9CF0-48E5-9D44-5B9203B4F6EB}"/>
    <cellStyle name="Normal 3 8 5 3 3" xfId="8416" xr:uid="{051C75A7-98D4-49BE-A238-4BB3199ACA77}"/>
    <cellStyle name="Normal 3 8 5 4" xfId="4003" xr:uid="{00000000-0005-0000-0000-0000F90F0000}"/>
    <cellStyle name="Normal 3 8 5 4 2" xfId="10180" xr:uid="{744FB3C6-6AFE-4927-9884-E73AC0C84DF5}"/>
    <cellStyle name="Normal 3 8 5 5" xfId="1356" xr:uid="{00000000-0005-0000-0000-0000FA0F0000}"/>
    <cellStyle name="Normal 3 8 5 5 2" xfId="7533" xr:uid="{734F4AF6-CA96-4EB3-AFA8-1A797E144B61}"/>
    <cellStyle name="Normal 3 8 5 6" xfId="6650" xr:uid="{570990E7-17B1-4C99-A2F5-EED99A02EB6C}"/>
    <cellStyle name="Normal 3 8 6" xfId="2680" xr:uid="{00000000-0005-0000-0000-0000FB0F0000}"/>
    <cellStyle name="Normal 3 8 6 2" xfId="5588" xr:uid="{00000000-0005-0000-0000-0000FC0F0000}"/>
    <cellStyle name="Normal 3 8 6 2 2" xfId="11765" xr:uid="{4D9911CF-53CE-4705-AE8D-1B18B3667CD8}"/>
    <cellStyle name="Normal 3 8 6 3" xfId="8857" xr:uid="{944EA0F5-350D-445D-889E-7D0B660BEBB4}"/>
    <cellStyle name="Normal 3 8 7" xfId="1798" xr:uid="{00000000-0005-0000-0000-0000FD0F0000}"/>
    <cellStyle name="Normal 3 8 7 2" xfId="5589" xr:uid="{00000000-0005-0000-0000-0000FE0F0000}"/>
    <cellStyle name="Normal 3 8 7 2 2" xfId="11766" xr:uid="{ECC0FCA3-3E80-4C51-897B-249C7E648735}"/>
    <cellStyle name="Normal 3 8 7 3" xfId="7975" xr:uid="{03474C25-030D-4515-82A7-6E62FE9BA3C5}"/>
    <cellStyle name="Normal 3 8 8" xfId="3562" xr:uid="{00000000-0005-0000-0000-0000FF0F0000}"/>
    <cellStyle name="Normal 3 8 8 2" xfId="9739" xr:uid="{6BD7C2CC-A3A4-4E15-AE48-9BD9B6B8C41A}"/>
    <cellStyle name="Normal 3 8 9" xfId="915" xr:uid="{00000000-0005-0000-0000-000000100000}"/>
    <cellStyle name="Normal 3 8 9 2" xfId="7092" xr:uid="{6062CB08-BAAC-4AB4-8204-FB6E5EA5DFA0}"/>
    <cellStyle name="Normal 3 9" xfId="38" xr:uid="{00000000-0005-0000-0000-000001100000}"/>
    <cellStyle name="Normal 3 9 10" xfId="6215" xr:uid="{8E2B3E0B-0F62-4345-98D9-D12E5B672835}"/>
    <cellStyle name="Normal 3 9 2" xfId="104" xr:uid="{00000000-0005-0000-0000-000002100000}"/>
    <cellStyle name="Normal 3 9 2 2" xfId="214" xr:uid="{00000000-0005-0000-0000-000003100000}"/>
    <cellStyle name="Normal 3 9 2 2 2" xfId="434" xr:uid="{00000000-0005-0000-0000-000004100000}"/>
    <cellStyle name="Normal 3 9 2 2 2 2" xfId="875" xr:uid="{00000000-0005-0000-0000-000005100000}"/>
    <cellStyle name="Normal 3 9 2 2 2 2 2" xfId="3523" xr:uid="{00000000-0005-0000-0000-000006100000}"/>
    <cellStyle name="Normal 3 9 2 2 2 2 2 2" xfId="5590" xr:uid="{00000000-0005-0000-0000-000007100000}"/>
    <cellStyle name="Normal 3 9 2 2 2 2 2 2 2" xfId="11767" xr:uid="{65F1FDA8-BF14-4A3D-A9F7-C2AC4C413965}"/>
    <cellStyle name="Normal 3 9 2 2 2 2 2 3" xfId="9700" xr:uid="{A276BEF0-140B-4F59-AB0D-2A9D137DE66A}"/>
    <cellStyle name="Normal 3 9 2 2 2 2 3" xfId="2641" xr:uid="{00000000-0005-0000-0000-000008100000}"/>
    <cellStyle name="Normal 3 9 2 2 2 2 3 2" xfId="5591" xr:uid="{00000000-0005-0000-0000-000009100000}"/>
    <cellStyle name="Normal 3 9 2 2 2 2 3 2 2" xfId="11768" xr:uid="{F973A252-4A51-4C76-A5BC-2D0CE97B0101}"/>
    <cellStyle name="Normal 3 9 2 2 2 2 3 3" xfId="8818" xr:uid="{D7CC3316-C81B-418D-B46B-1E761EB53E4A}"/>
    <cellStyle name="Normal 3 9 2 2 2 2 4" xfId="4405" xr:uid="{00000000-0005-0000-0000-00000A100000}"/>
    <cellStyle name="Normal 3 9 2 2 2 2 4 2" xfId="10582" xr:uid="{97FFEE3B-9EC8-4916-AC24-7D67441BA768}"/>
    <cellStyle name="Normal 3 9 2 2 2 2 5" xfId="1758" xr:uid="{00000000-0005-0000-0000-00000B100000}"/>
    <cellStyle name="Normal 3 9 2 2 2 2 5 2" xfId="7935" xr:uid="{4A1FF4A6-E601-4DEE-9060-FFBA5859531C}"/>
    <cellStyle name="Normal 3 9 2 2 2 2 6" xfId="7052" xr:uid="{62998A53-9724-44C4-A09A-ED678C4ADA6C}"/>
    <cellStyle name="Normal 3 9 2 2 2 3" xfId="3082" xr:uid="{00000000-0005-0000-0000-00000C100000}"/>
    <cellStyle name="Normal 3 9 2 2 2 3 2" xfId="5592" xr:uid="{00000000-0005-0000-0000-00000D100000}"/>
    <cellStyle name="Normal 3 9 2 2 2 3 2 2" xfId="11769" xr:uid="{2F7F2FD2-67B1-49CC-88EE-71B4F595F323}"/>
    <cellStyle name="Normal 3 9 2 2 2 3 3" xfId="9259" xr:uid="{2745CE79-25E2-4300-BCAF-19EEDA6C0FE6}"/>
    <cellStyle name="Normal 3 9 2 2 2 4" xfId="2200" xr:uid="{00000000-0005-0000-0000-00000E100000}"/>
    <cellStyle name="Normal 3 9 2 2 2 4 2" xfId="5593" xr:uid="{00000000-0005-0000-0000-00000F100000}"/>
    <cellStyle name="Normal 3 9 2 2 2 4 2 2" xfId="11770" xr:uid="{7B3824EB-12A2-4D7D-908C-9D652A673E8D}"/>
    <cellStyle name="Normal 3 9 2 2 2 4 3" xfId="8377" xr:uid="{5A017BAF-7241-4B0B-AD76-7CBA2E153F06}"/>
    <cellStyle name="Normal 3 9 2 2 2 5" xfId="3964" xr:uid="{00000000-0005-0000-0000-000010100000}"/>
    <cellStyle name="Normal 3 9 2 2 2 5 2" xfId="10141" xr:uid="{034B3C8D-BA0E-4C64-85A2-0ED9076A0C18}"/>
    <cellStyle name="Normal 3 9 2 2 2 6" xfId="1317" xr:uid="{00000000-0005-0000-0000-000011100000}"/>
    <cellStyle name="Normal 3 9 2 2 2 6 2" xfId="7494" xr:uid="{92C49048-FD29-46F6-9BB2-C4E187D156BF}"/>
    <cellStyle name="Normal 3 9 2 2 2 7" xfId="6611" xr:uid="{702061A0-23E1-482A-A0FA-8E3DD8D8EE28}"/>
    <cellStyle name="Normal 3 9 2 2 3" xfId="655" xr:uid="{00000000-0005-0000-0000-000012100000}"/>
    <cellStyle name="Normal 3 9 2 2 3 2" xfId="3303" xr:uid="{00000000-0005-0000-0000-000013100000}"/>
    <cellStyle name="Normal 3 9 2 2 3 2 2" xfId="5594" xr:uid="{00000000-0005-0000-0000-000014100000}"/>
    <cellStyle name="Normal 3 9 2 2 3 2 2 2" xfId="11771" xr:uid="{29774D52-1CFA-469C-B29F-F326ED43FF97}"/>
    <cellStyle name="Normal 3 9 2 2 3 2 3" xfId="9480" xr:uid="{0625A3F7-FF22-44DA-96FA-8FDC909EB5C4}"/>
    <cellStyle name="Normal 3 9 2 2 3 3" xfId="2421" xr:uid="{00000000-0005-0000-0000-000015100000}"/>
    <cellStyle name="Normal 3 9 2 2 3 3 2" xfId="5595" xr:uid="{00000000-0005-0000-0000-000016100000}"/>
    <cellStyle name="Normal 3 9 2 2 3 3 2 2" xfId="11772" xr:uid="{B4D6E3A7-98E1-4FAF-ADC5-FB4C25E33D05}"/>
    <cellStyle name="Normal 3 9 2 2 3 3 3" xfId="8598" xr:uid="{73874C30-06E0-45DF-BCEB-64359A3E980B}"/>
    <cellStyle name="Normal 3 9 2 2 3 4" xfId="4185" xr:uid="{00000000-0005-0000-0000-000017100000}"/>
    <cellStyle name="Normal 3 9 2 2 3 4 2" xfId="10362" xr:uid="{9791B72B-4D0E-4115-9EFE-CECB082808C5}"/>
    <cellStyle name="Normal 3 9 2 2 3 5" xfId="1538" xr:uid="{00000000-0005-0000-0000-000018100000}"/>
    <cellStyle name="Normal 3 9 2 2 3 5 2" xfId="7715" xr:uid="{7DA1E0D5-CCCA-4C01-9DD0-CD961A142B96}"/>
    <cellStyle name="Normal 3 9 2 2 3 6" xfId="6832" xr:uid="{F8276EAB-A6BD-42D2-BAFC-86D77C4FEDFD}"/>
    <cellStyle name="Normal 3 9 2 2 4" xfId="2862" xr:uid="{00000000-0005-0000-0000-000019100000}"/>
    <cellStyle name="Normal 3 9 2 2 4 2" xfId="5596" xr:uid="{00000000-0005-0000-0000-00001A100000}"/>
    <cellStyle name="Normal 3 9 2 2 4 2 2" xfId="11773" xr:uid="{5A0E540B-50C7-4622-8F94-D573B18617D6}"/>
    <cellStyle name="Normal 3 9 2 2 4 3" xfId="9039" xr:uid="{46C1892B-0588-4C8B-A2A1-DDBE7193F096}"/>
    <cellStyle name="Normal 3 9 2 2 5" xfId="1980" xr:uid="{00000000-0005-0000-0000-00001B100000}"/>
    <cellStyle name="Normal 3 9 2 2 5 2" xfId="5597" xr:uid="{00000000-0005-0000-0000-00001C100000}"/>
    <cellStyle name="Normal 3 9 2 2 5 2 2" xfId="11774" xr:uid="{2C06FDF9-F1C8-40F3-AE9B-4EA485D1E4F0}"/>
    <cellStyle name="Normal 3 9 2 2 5 3" xfId="8157" xr:uid="{85601803-F59A-4BEA-8DD7-60C02A9BD9D7}"/>
    <cellStyle name="Normal 3 9 2 2 6" xfId="3744" xr:uid="{00000000-0005-0000-0000-00001D100000}"/>
    <cellStyle name="Normal 3 9 2 2 6 2" xfId="9921" xr:uid="{F51A9CCC-EB04-4A97-9714-EB1E16EE6E3D}"/>
    <cellStyle name="Normal 3 9 2 2 7" xfId="1097" xr:uid="{00000000-0005-0000-0000-00001E100000}"/>
    <cellStyle name="Normal 3 9 2 2 7 2" xfId="7274" xr:uid="{9869DC15-80D9-4076-94C6-D3AB82CDC058}"/>
    <cellStyle name="Normal 3 9 2 2 8" xfId="6391" xr:uid="{BBB78556-64A4-4AD1-82FA-26D9E3E2E1C7}"/>
    <cellStyle name="Normal 3 9 2 3" xfId="324" xr:uid="{00000000-0005-0000-0000-00001F100000}"/>
    <cellStyle name="Normal 3 9 2 3 2" xfId="765" xr:uid="{00000000-0005-0000-0000-000020100000}"/>
    <cellStyle name="Normal 3 9 2 3 2 2" xfId="3413" xr:uid="{00000000-0005-0000-0000-000021100000}"/>
    <cellStyle name="Normal 3 9 2 3 2 2 2" xfId="5598" xr:uid="{00000000-0005-0000-0000-000022100000}"/>
    <cellStyle name="Normal 3 9 2 3 2 2 2 2" xfId="11775" xr:uid="{73080ED4-BD6E-40FB-8DDA-31BA38B2E7F1}"/>
    <cellStyle name="Normal 3 9 2 3 2 2 3" xfId="9590" xr:uid="{B4FFF7B6-6670-4CFF-BE77-F2D5B75A73CD}"/>
    <cellStyle name="Normal 3 9 2 3 2 3" xfId="2531" xr:uid="{00000000-0005-0000-0000-000023100000}"/>
    <cellStyle name="Normal 3 9 2 3 2 3 2" xfId="5599" xr:uid="{00000000-0005-0000-0000-000024100000}"/>
    <cellStyle name="Normal 3 9 2 3 2 3 2 2" xfId="11776" xr:uid="{80264FD8-DFA0-49A1-B1F9-702700D96D13}"/>
    <cellStyle name="Normal 3 9 2 3 2 3 3" xfId="8708" xr:uid="{33F9625B-B563-4498-80E6-395D0B444445}"/>
    <cellStyle name="Normal 3 9 2 3 2 4" xfId="4295" xr:uid="{00000000-0005-0000-0000-000025100000}"/>
    <cellStyle name="Normal 3 9 2 3 2 4 2" xfId="10472" xr:uid="{BB0D77C2-A3F0-49EE-9297-CE6367B2FD33}"/>
    <cellStyle name="Normal 3 9 2 3 2 5" xfId="1648" xr:uid="{00000000-0005-0000-0000-000026100000}"/>
    <cellStyle name="Normal 3 9 2 3 2 5 2" xfId="7825" xr:uid="{AD2A572C-93FB-4DCD-AC05-7CD447DE322A}"/>
    <cellStyle name="Normal 3 9 2 3 2 6" xfId="6942" xr:uid="{A4762AE2-5B18-49CE-A43A-386EA6FCF6A0}"/>
    <cellStyle name="Normal 3 9 2 3 3" xfId="2972" xr:uid="{00000000-0005-0000-0000-000027100000}"/>
    <cellStyle name="Normal 3 9 2 3 3 2" xfId="5600" xr:uid="{00000000-0005-0000-0000-000028100000}"/>
    <cellStyle name="Normal 3 9 2 3 3 2 2" xfId="11777" xr:uid="{0A345C2E-5187-45CA-BD62-6ADB3A0F276D}"/>
    <cellStyle name="Normal 3 9 2 3 3 3" xfId="9149" xr:uid="{A972E2AC-7DB1-40CE-A154-624AD2321AFF}"/>
    <cellStyle name="Normal 3 9 2 3 4" xfId="2090" xr:uid="{00000000-0005-0000-0000-000029100000}"/>
    <cellStyle name="Normal 3 9 2 3 4 2" xfId="5601" xr:uid="{00000000-0005-0000-0000-00002A100000}"/>
    <cellStyle name="Normal 3 9 2 3 4 2 2" xfId="11778" xr:uid="{C3D53522-B0EF-4E61-B33C-41ACE075A4A4}"/>
    <cellStyle name="Normal 3 9 2 3 4 3" xfId="8267" xr:uid="{5243F62A-697C-4818-84F2-C512099D7929}"/>
    <cellStyle name="Normal 3 9 2 3 5" xfId="3854" xr:uid="{00000000-0005-0000-0000-00002B100000}"/>
    <cellStyle name="Normal 3 9 2 3 5 2" xfId="10031" xr:uid="{02AB1037-CE0A-404C-9C24-EF732F9DCF80}"/>
    <cellStyle name="Normal 3 9 2 3 6" xfId="1207" xr:uid="{00000000-0005-0000-0000-00002C100000}"/>
    <cellStyle name="Normal 3 9 2 3 6 2" xfId="7384" xr:uid="{033B488E-CEF6-4775-8B1D-FD4F1B6BB295}"/>
    <cellStyle name="Normal 3 9 2 3 7" xfId="6501" xr:uid="{6D9B2421-0324-4766-8C41-3C6B19417759}"/>
    <cellStyle name="Normal 3 9 2 4" xfId="545" xr:uid="{00000000-0005-0000-0000-00002D100000}"/>
    <cellStyle name="Normal 3 9 2 4 2" xfId="3193" xr:uid="{00000000-0005-0000-0000-00002E100000}"/>
    <cellStyle name="Normal 3 9 2 4 2 2" xfId="5602" xr:uid="{00000000-0005-0000-0000-00002F100000}"/>
    <cellStyle name="Normal 3 9 2 4 2 2 2" xfId="11779" xr:uid="{099D5CA5-3D7C-4C6B-8AA2-DD3CB0ED970F}"/>
    <cellStyle name="Normal 3 9 2 4 2 3" xfId="9370" xr:uid="{8B309D95-2FD6-4E8A-A299-D57045624FDD}"/>
    <cellStyle name="Normal 3 9 2 4 3" xfId="2311" xr:uid="{00000000-0005-0000-0000-000030100000}"/>
    <cellStyle name="Normal 3 9 2 4 3 2" xfId="5603" xr:uid="{00000000-0005-0000-0000-000031100000}"/>
    <cellStyle name="Normal 3 9 2 4 3 2 2" xfId="11780" xr:uid="{962137F6-748F-4945-BD92-ACFAACBDD218}"/>
    <cellStyle name="Normal 3 9 2 4 3 3" xfId="8488" xr:uid="{7D23A012-35D1-4498-B89F-73D8F6DA4F66}"/>
    <cellStyle name="Normal 3 9 2 4 4" xfId="4075" xr:uid="{00000000-0005-0000-0000-000032100000}"/>
    <cellStyle name="Normal 3 9 2 4 4 2" xfId="10252" xr:uid="{5E0152D3-4B8C-43D3-B0D1-68A12A04707B}"/>
    <cellStyle name="Normal 3 9 2 4 5" xfId="1428" xr:uid="{00000000-0005-0000-0000-000033100000}"/>
    <cellStyle name="Normal 3 9 2 4 5 2" xfId="7605" xr:uid="{04A84D74-9AE6-40F6-BE4F-A3559B1765E0}"/>
    <cellStyle name="Normal 3 9 2 4 6" xfId="6722" xr:uid="{A95A93A3-6B60-4359-8039-57C28BC69A55}"/>
    <cellStyle name="Normal 3 9 2 5" xfId="2752" xr:uid="{00000000-0005-0000-0000-000034100000}"/>
    <cellStyle name="Normal 3 9 2 5 2" xfId="5604" xr:uid="{00000000-0005-0000-0000-000035100000}"/>
    <cellStyle name="Normal 3 9 2 5 2 2" xfId="11781" xr:uid="{73784D8E-EAFD-4F59-BB86-8302923C50B2}"/>
    <cellStyle name="Normal 3 9 2 5 3" xfId="8929" xr:uid="{2D2DDFA2-EEF7-4D34-85DE-F0F6B07F2270}"/>
    <cellStyle name="Normal 3 9 2 6" xfId="1870" xr:uid="{00000000-0005-0000-0000-000036100000}"/>
    <cellStyle name="Normal 3 9 2 6 2" xfId="5605" xr:uid="{00000000-0005-0000-0000-000037100000}"/>
    <cellStyle name="Normal 3 9 2 6 2 2" xfId="11782" xr:uid="{FA705B17-0AAD-4151-ABAC-12A3C3F9716F}"/>
    <cellStyle name="Normal 3 9 2 6 3" xfId="8047" xr:uid="{92213AB9-BD60-471D-8337-808D423EC977}"/>
    <cellStyle name="Normal 3 9 2 7" xfId="3634" xr:uid="{00000000-0005-0000-0000-000038100000}"/>
    <cellStyle name="Normal 3 9 2 7 2" xfId="9811" xr:uid="{6F766772-08DE-486F-AFC2-1E1E8DE6A206}"/>
    <cellStyle name="Normal 3 9 2 8" xfId="987" xr:uid="{00000000-0005-0000-0000-000039100000}"/>
    <cellStyle name="Normal 3 9 2 8 2" xfId="7164" xr:uid="{2DF55663-360A-4388-AE82-AE6EA052D66A}"/>
    <cellStyle name="Normal 3 9 2 9" xfId="6281" xr:uid="{98074413-7AA6-47E9-A503-8DCE01E2B258}"/>
    <cellStyle name="Normal 3 9 3" xfId="148" xr:uid="{00000000-0005-0000-0000-00003A100000}"/>
    <cellStyle name="Normal 3 9 3 2" xfId="368" xr:uid="{00000000-0005-0000-0000-00003B100000}"/>
    <cellStyle name="Normal 3 9 3 2 2" xfId="809" xr:uid="{00000000-0005-0000-0000-00003C100000}"/>
    <cellStyle name="Normal 3 9 3 2 2 2" xfId="3457" xr:uid="{00000000-0005-0000-0000-00003D100000}"/>
    <cellStyle name="Normal 3 9 3 2 2 2 2" xfId="5606" xr:uid="{00000000-0005-0000-0000-00003E100000}"/>
    <cellStyle name="Normal 3 9 3 2 2 2 2 2" xfId="11783" xr:uid="{8908A316-FB99-49F1-814B-A27D25465808}"/>
    <cellStyle name="Normal 3 9 3 2 2 2 3" xfId="9634" xr:uid="{9C1DE5BC-668E-4765-BD7B-50907382E5B6}"/>
    <cellStyle name="Normal 3 9 3 2 2 3" xfId="2575" xr:uid="{00000000-0005-0000-0000-00003F100000}"/>
    <cellStyle name="Normal 3 9 3 2 2 3 2" xfId="5607" xr:uid="{00000000-0005-0000-0000-000040100000}"/>
    <cellStyle name="Normal 3 9 3 2 2 3 2 2" xfId="11784" xr:uid="{3988FD23-EE0D-462A-BC34-6461DECC5D4A}"/>
    <cellStyle name="Normal 3 9 3 2 2 3 3" xfId="8752" xr:uid="{706EE8BA-6101-4A33-B3F4-02196947257C}"/>
    <cellStyle name="Normal 3 9 3 2 2 4" xfId="4339" xr:uid="{00000000-0005-0000-0000-000041100000}"/>
    <cellStyle name="Normal 3 9 3 2 2 4 2" xfId="10516" xr:uid="{2AFE0AB6-2E62-4325-BDC0-CFD26D4F1F3F}"/>
    <cellStyle name="Normal 3 9 3 2 2 5" xfId="1692" xr:uid="{00000000-0005-0000-0000-000042100000}"/>
    <cellStyle name="Normal 3 9 3 2 2 5 2" xfId="7869" xr:uid="{236A679F-D436-4445-B067-8C1578ED346F}"/>
    <cellStyle name="Normal 3 9 3 2 2 6" xfId="6986" xr:uid="{0A34E1D7-4459-4030-ADC9-6B35DAF4615F}"/>
    <cellStyle name="Normal 3 9 3 2 3" xfId="3016" xr:uid="{00000000-0005-0000-0000-000043100000}"/>
    <cellStyle name="Normal 3 9 3 2 3 2" xfId="5608" xr:uid="{00000000-0005-0000-0000-000044100000}"/>
    <cellStyle name="Normal 3 9 3 2 3 2 2" xfId="11785" xr:uid="{ADC3CB73-5465-42D2-80FA-91569CB15D45}"/>
    <cellStyle name="Normal 3 9 3 2 3 3" xfId="9193" xr:uid="{A7522BC6-9726-4698-96B7-EE294156F42C}"/>
    <cellStyle name="Normal 3 9 3 2 4" xfId="2134" xr:uid="{00000000-0005-0000-0000-000045100000}"/>
    <cellStyle name="Normal 3 9 3 2 4 2" xfId="5609" xr:uid="{00000000-0005-0000-0000-000046100000}"/>
    <cellStyle name="Normal 3 9 3 2 4 2 2" xfId="11786" xr:uid="{4312AFA5-A757-41AB-AFE0-DA912B1023E5}"/>
    <cellStyle name="Normal 3 9 3 2 4 3" xfId="8311" xr:uid="{CFA60076-C1B6-44CD-ABD0-AC077DE9BB2F}"/>
    <cellStyle name="Normal 3 9 3 2 5" xfId="3898" xr:uid="{00000000-0005-0000-0000-000047100000}"/>
    <cellStyle name="Normal 3 9 3 2 5 2" xfId="10075" xr:uid="{72307E8F-B609-4A92-958C-E8EFD3CB765E}"/>
    <cellStyle name="Normal 3 9 3 2 6" xfId="1251" xr:uid="{00000000-0005-0000-0000-000048100000}"/>
    <cellStyle name="Normal 3 9 3 2 6 2" xfId="7428" xr:uid="{67305C17-D397-4B05-9013-812295FADF22}"/>
    <cellStyle name="Normal 3 9 3 2 7" xfId="6545" xr:uid="{0203E7ED-9797-4298-AA0D-E74C250E2411}"/>
    <cellStyle name="Normal 3 9 3 3" xfId="589" xr:uid="{00000000-0005-0000-0000-000049100000}"/>
    <cellStyle name="Normal 3 9 3 3 2" xfId="3237" xr:uid="{00000000-0005-0000-0000-00004A100000}"/>
    <cellStyle name="Normal 3 9 3 3 2 2" xfId="5610" xr:uid="{00000000-0005-0000-0000-00004B100000}"/>
    <cellStyle name="Normal 3 9 3 3 2 2 2" xfId="11787" xr:uid="{5BB24F53-2024-4A7E-815A-49DE27A506C7}"/>
    <cellStyle name="Normal 3 9 3 3 2 3" xfId="9414" xr:uid="{E4629543-83CA-4CE5-9FC6-02DEBB4E53B5}"/>
    <cellStyle name="Normal 3 9 3 3 3" xfId="2355" xr:uid="{00000000-0005-0000-0000-00004C100000}"/>
    <cellStyle name="Normal 3 9 3 3 3 2" xfId="5611" xr:uid="{00000000-0005-0000-0000-00004D100000}"/>
    <cellStyle name="Normal 3 9 3 3 3 2 2" xfId="11788" xr:uid="{B1C3F91D-9E7D-415E-9FD6-59BF885DD33C}"/>
    <cellStyle name="Normal 3 9 3 3 3 3" xfId="8532" xr:uid="{F11AAA73-EB46-4494-8276-6CB1718A8A37}"/>
    <cellStyle name="Normal 3 9 3 3 4" xfId="4119" xr:uid="{00000000-0005-0000-0000-00004E100000}"/>
    <cellStyle name="Normal 3 9 3 3 4 2" xfId="10296" xr:uid="{403DD037-4D54-4207-964A-0826632A2F08}"/>
    <cellStyle name="Normal 3 9 3 3 5" xfId="1472" xr:uid="{00000000-0005-0000-0000-00004F100000}"/>
    <cellStyle name="Normal 3 9 3 3 5 2" xfId="7649" xr:uid="{FB89169E-FF87-42B6-A6FB-FF5FA683083C}"/>
    <cellStyle name="Normal 3 9 3 3 6" xfId="6766" xr:uid="{B2FD7089-D25B-4DE2-A1C8-F966AFA757FD}"/>
    <cellStyle name="Normal 3 9 3 4" xfId="2796" xr:uid="{00000000-0005-0000-0000-000050100000}"/>
    <cellStyle name="Normal 3 9 3 4 2" xfId="5612" xr:uid="{00000000-0005-0000-0000-000051100000}"/>
    <cellStyle name="Normal 3 9 3 4 2 2" xfId="11789" xr:uid="{F65325C1-2451-471A-BFA3-EDBF1140BDA0}"/>
    <cellStyle name="Normal 3 9 3 4 3" xfId="8973" xr:uid="{D8D9E64D-1FAB-435E-AA92-1BFAA8596ED1}"/>
    <cellStyle name="Normal 3 9 3 5" xfId="1914" xr:uid="{00000000-0005-0000-0000-000052100000}"/>
    <cellStyle name="Normal 3 9 3 5 2" xfId="5613" xr:uid="{00000000-0005-0000-0000-000053100000}"/>
    <cellStyle name="Normal 3 9 3 5 2 2" xfId="11790" xr:uid="{D6F76DA5-6489-4A44-BF0D-92D530AD0FFC}"/>
    <cellStyle name="Normal 3 9 3 5 3" xfId="8091" xr:uid="{D4D78266-A730-40A6-93A9-7404C4A15C67}"/>
    <cellStyle name="Normal 3 9 3 6" xfId="3678" xr:uid="{00000000-0005-0000-0000-000054100000}"/>
    <cellStyle name="Normal 3 9 3 6 2" xfId="9855" xr:uid="{D6E968CF-06D9-4DC5-AA4E-3C40BE2638F6}"/>
    <cellStyle name="Normal 3 9 3 7" xfId="1031" xr:uid="{00000000-0005-0000-0000-000055100000}"/>
    <cellStyle name="Normal 3 9 3 7 2" xfId="7208" xr:uid="{1CD7B35F-811D-4F74-BBED-4268C438287F}"/>
    <cellStyle name="Normal 3 9 3 8" xfId="6325" xr:uid="{9065CB3E-A193-492D-B162-330A0CA94522}"/>
    <cellStyle name="Normal 3 9 4" xfId="258" xr:uid="{00000000-0005-0000-0000-000056100000}"/>
    <cellStyle name="Normal 3 9 4 2" xfId="699" xr:uid="{00000000-0005-0000-0000-000057100000}"/>
    <cellStyle name="Normal 3 9 4 2 2" xfId="3347" xr:uid="{00000000-0005-0000-0000-000058100000}"/>
    <cellStyle name="Normal 3 9 4 2 2 2" xfId="5614" xr:uid="{00000000-0005-0000-0000-000059100000}"/>
    <cellStyle name="Normal 3 9 4 2 2 2 2" xfId="11791" xr:uid="{F909DBF3-7481-4B45-9D99-FE2B199193D5}"/>
    <cellStyle name="Normal 3 9 4 2 2 3" xfId="9524" xr:uid="{49A968D3-2A18-4AA3-A173-F36C4AF55B01}"/>
    <cellStyle name="Normal 3 9 4 2 3" xfId="2465" xr:uid="{00000000-0005-0000-0000-00005A100000}"/>
    <cellStyle name="Normal 3 9 4 2 3 2" xfId="5615" xr:uid="{00000000-0005-0000-0000-00005B100000}"/>
    <cellStyle name="Normal 3 9 4 2 3 2 2" xfId="11792" xr:uid="{B00BEB59-BACC-46EF-9428-1B76E0625B31}"/>
    <cellStyle name="Normal 3 9 4 2 3 3" xfId="8642" xr:uid="{446684D9-C09A-416F-B805-8C6B7C6CBBE7}"/>
    <cellStyle name="Normal 3 9 4 2 4" xfId="4229" xr:uid="{00000000-0005-0000-0000-00005C100000}"/>
    <cellStyle name="Normal 3 9 4 2 4 2" xfId="10406" xr:uid="{510D5143-56E7-464F-A003-FE2AFB96AA4B}"/>
    <cellStyle name="Normal 3 9 4 2 5" xfId="1582" xr:uid="{00000000-0005-0000-0000-00005D100000}"/>
    <cellStyle name="Normal 3 9 4 2 5 2" xfId="7759" xr:uid="{602EEBC6-A0B3-4D2C-9A09-73753BFB08B3}"/>
    <cellStyle name="Normal 3 9 4 2 6" xfId="6876" xr:uid="{86C5933A-3393-4059-A639-D0820D64DA6B}"/>
    <cellStyle name="Normal 3 9 4 3" xfId="2906" xr:uid="{00000000-0005-0000-0000-00005E100000}"/>
    <cellStyle name="Normal 3 9 4 3 2" xfId="5616" xr:uid="{00000000-0005-0000-0000-00005F100000}"/>
    <cellStyle name="Normal 3 9 4 3 2 2" xfId="11793" xr:uid="{B4F383F1-4FA0-41B9-8AAB-0B41E4065C97}"/>
    <cellStyle name="Normal 3 9 4 3 3" xfId="9083" xr:uid="{D682C6AD-C928-4C1C-8D44-146FDD8F43B4}"/>
    <cellStyle name="Normal 3 9 4 4" xfId="2024" xr:uid="{00000000-0005-0000-0000-000060100000}"/>
    <cellStyle name="Normal 3 9 4 4 2" xfId="5617" xr:uid="{00000000-0005-0000-0000-000061100000}"/>
    <cellStyle name="Normal 3 9 4 4 2 2" xfId="11794" xr:uid="{D7D57805-A895-46FF-B4E3-B2AE37789AF8}"/>
    <cellStyle name="Normal 3 9 4 4 3" xfId="8201" xr:uid="{45AD8BF2-85B5-4BB0-A548-63F280753ED9}"/>
    <cellStyle name="Normal 3 9 4 5" xfId="3788" xr:uid="{00000000-0005-0000-0000-000062100000}"/>
    <cellStyle name="Normal 3 9 4 5 2" xfId="9965" xr:uid="{77B2CA29-52D7-494A-8AE3-63C6AC413DF6}"/>
    <cellStyle name="Normal 3 9 4 6" xfId="1141" xr:uid="{00000000-0005-0000-0000-000063100000}"/>
    <cellStyle name="Normal 3 9 4 6 2" xfId="7318" xr:uid="{0B970A91-3251-40D2-8758-E81ACEAEDE60}"/>
    <cellStyle name="Normal 3 9 4 7" xfId="6435" xr:uid="{2EDE7644-64C8-48C0-A165-BD8C68CBBEA5}"/>
    <cellStyle name="Normal 3 9 5" xfId="479" xr:uid="{00000000-0005-0000-0000-000064100000}"/>
    <cellStyle name="Normal 3 9 5 2" xfId="3127" xr:uid="{00000000-0005-0000-0000-000065100000}"/>
    <cellStyle name="Normal 3 9 5 2 2" xfId="5618" xr:uid="{00000000-0005-0000-0000-000066100000}"/>
    <cellStyle name="Normal 3 9 5 2 2 2" xfId="11795" xr:uid="{940261A4-51FF-48C3-B7D3-0F6BF948C849}"/>
    <cellStyle name="Normal 3 9 5 2 3" xfId="9304" xr:uid="{25687966-5579-4048-92C9-90E190DDA8E6}"/>
    <cellStyle name="Normal 3 9 5 3" xfId="2245" xr:uid="{00000000-0005-0000-0000-000067100000}"/>
    <cellStyle name="Normal 3 9 5 3 2" xfId="5619" xr:uid="{00000000-0005-0000-0000-000068100000}"/>
    <cellStyle name="Normal 3 9 5 3 2 2" xfId="11796" xr:uid="{C3F63966-89EE-41E3-9B7D-749CBD2B9A4B}"/>
    <cellStyle name="Normal 3 9 5 3 3" xfId="8422" xr:uid="{BD213B59-1F64-48C1-849C-4A6C43D0D429}"/>
    <cellStyle name="Normal 3 9 5 4" xfId="4009" xr:uid="{00000000-0005-0000-0000-000069100000}"/>
    <cellStyle name="Normal 3 9 5 4 2" xfId="10186" xr:uid="{E3B5CC48-B2BB-4D7F-9CED-E1B1EE925F46}"/>
    <cellStyle name="Normal 3 9 5 5" xfId="1362" xr:uid="{00000000-0005-0000-0000-00006A100000}"/>
    <cellStyle name="Normal 3 9 5 5 2" xfId="7539" xr:uid="{D6D32C2C-3C9B-4F22-AF6F-5001E50BA464}"/>
    <cellStyle name="Normal 3 9 5 6" xfId="6656" xr:uid="{B07E1FCB-6A2C-4819-A120-94F922B33B92}"/>
    <cellStyle name="Normal 3 9 6" xfId="2686" xr:uid="{00000000-0005-0000-0000-00006B100000}"/>
    <cellStyle name="Normal 3 9 6 2" xfId="5620" xr:uid="{00000000-0005-0000-0000-00006C100000}"/>
    <cellStyle name="Normal 3 9 6 2 2" xfId="11797" xr:uid="{0C7A341A-024D-49D5-895A-05F1EC31CC7A}"/>
    <cellStyle name="Normal 3 9 6 3" xfId="8863" xr:uid="{0D4916A5-E756-4558-B351-62ADEB38EE17}"/>
    <cellStyle name="Normal 3 9 7" xfId="1804" xr:uid="{00000000-0005-0000-0000-00006D100000}"/>
    <cellStyle name="Normal 3 9 7 2" xfId="5621" xr:uid="{00000000-0005-0000-0000-00006E100000}"/>
    <cellStyle name="Normal 3 9 7 2 2" xfId="11798" xr:uid="{E697DF9C-1F61-48EB-AED9-2B91D08D61D4}"/>
    <cellStyle name="Normal 3 9 7 3" xfId="7981" xr:uid="{A58D6573-1B8C-412E-B156-13482205AA75}"/>
    <cellStyle name="Normal 3 9 8" xfId="3568" xr:uid="{00000000-0005-0000-0000-00006F100000}"/>
    <cellStyle name="Normal 3 9 8 2" xfId="9745" xr:uid="{D390C3A5-5CF4-4EA7-A352-08EB5C1A976A}"/>
    <cellStyle name="Normal 3 9 9" xfId="921" xr:uid="{00000000-0005-0000-0000-000070100000}"/>
    <cellStyle name="Normal 3 9 9 2" xfId="7098" xr:uid="{F27C03C4-E96F-4ED9-9A53-70238D41B7E1}"/>
    <cellStyle name="Normal 3_2013 Universal Input Prices" xfId="14" xr:uid="{00000000-0005-0000-0000-000071100000}"/>
    <cellStyle name="Normal 4" xfId="116" xr:uid="{00000000-0005-0000-0000-000072100000}"/>
    <cellStyle name="Normal 4 2" xfId="226" xr:uid="{00000000-0005-0000-0000-000073100000}"/>
    <cellStyle name="Normal 4 2 2" xfId="446" xr:uid="{00000000-0005-0000-0000-000074100000}"/>
    <cellStyle name="Normal 4 2 2 2" xfId="887" xr:uid="{00000000-0005-0000-0000-000075100000}"/>
    <cellStyle name="Normal 4 2 2 2 2" xfId="3535" xr:uid="{00000000-0005-0000-0000-000076100000}"/>
    <cellStyle name="Normal 4 2 2 2 2 2" xfId="5622" xr:uid="{00000000-0005-0000-0000-000077100000}"/>
    <cellStyle name="Normal 4 2 2 2 2 2 2" xfId="11799" xr:uid="{C7BF5CD0-910D-4CF8-B69A-1F9044F99079}"/>
    <cellStyle name="Normal 4 2 2 2 2 3" xfId="9712" xr:uid="{4143A802-2826-4CD7-B4F4-3A7E2A1BAD42}"/>
    <cellStyle name="Normal 4 2 2 2 3" xfId="2653" xr:uid="{00000000-0005-0000-0000-000078100000}"/>
    <cellStyle name="Normal 4 2 2 2 3 2" xfId="5623" xr:uid="{00000000-0005-0000-0000-000079100000}"/>
    <cellStyle name="Normal 4 2 2 2 3 2 2" xfId="11800" xr:uid="{EC6FDC35-B4F0-47E6-9863-FA99ABA2AE32}"/>
    <cellStyle name="Normal 4 2 2 2 3 3" xfId="8830" xr:uid="{3323DD56-F4E9-45DF-AE55-09C9B85A9A9B}"/>
    <cellStyle name="Normal 4 2 2 2 4" xfId="4417" xr:uid="{00000000-0005-0000-0000-00007A100000}"/>
    <cellStyle name="Normal 4 2 2 2 4 2" xfId="10594" xr:uid="{047826CE-3E6E-4E71-82E0-87A5FE22DDBF}"/>
    <cellStyle name="Normal 4 2 2 2 5" xfId="1770" xr:uid="{00000000-0005-0000-0000-00007B100000}"/>
    <cellStyle name="Normal 4 2 2 2 5 2" xfId="7947" xr:uid="{260AE463-59DC-44FB-B788-74663BFF1BB8}"/>
    <cellStyle name="Normal 4 2 2 2 6" xfId="7064" xr:uid="{B0E896E6-EF10-4C63-9121-A25FFFB62994}"/>
    <cellStyle name="Normal 4 2 2 3" xfId="3094" xr:uid="{00000000-0005-0000-0000-00007C100000}"/>
    <cellStyle name="Normal 4 2 2 3 2" xfId="5624" xr:uid="{00000000-0005-0000-0000-00007D100000}"/>
    <cellStyle name="Normal 4 2 2 3 2 2" xfId="11801" xr:uid="{25EC64B0-A97C-439E-8873-ED7BC6A2017B}"/>
    <cellStyle name="Normal 4 2 2 3 3" xfId="9271" xr:uid="{97354B77-9A78-4847-9B7B-4B1202A9DDBB}"/>
    <cellStyle name="Normal 4 2 2 4" xfId="2212" xr:uid="{00000000-0005-0000-0000-00007E100000}"/>
    <cellStyle name="Normal 4 2 2 4 2" xfId="5625" xr:uid="{00000000-0005-0000-0000-00007F100000}"/>
    <cellStyle name="Normal 4 2 2 4 2 2" xfId="11802" xr:uid="{0AE30F3F-39C8-42E2-9410-1C8CB35C523E}"/>
    <cellStyle name="Normal 4 2 2 4 3" xfId="8389" xr:uid="{162318D2-6205-4964-81A6-1E7248628C8E}"/>
    <cellStyle name="Normal 4 2 2 5" xfId="3976" xr:uid="{00000000-0005-0000-0000-000080100000}"/>
    <cellStyle name="Normal 4 2 2 5 2" xfId="10153" xr:uid="{1AE3680E-00FD-4089-A033-939C539AD21A}"/>
    <cellStyle name="Normal 4 2 2 6" xfId="1329" xr:uid="{00000000-0005-0000-0000-000081100000}"/>
    <cellStyle name="Normal 4 2 2 6 2" xfId="7506" xr:uid="{CDB8E00B-B5AC-49E4-90C9-62AC129DD5DC}"/>
    <cellStyle name="Normal 4 2 2 7" xfId="6623" xr:uid="{3EF95458-2BD4-4F1E-AE74-846317341BE4}"/>
    <cellStyle name="Normal 4 2 3" xfId="667" xr:uid="{00000000-0005-0000-0000-000082100000}"/>
    <cellStyle name="Normal 4 2 3 2" xfId="3315" xr:uid="{00000000-0005-0000-0000-000083100000}"/>
    <cellStyle name="Normal 4 2 3 2 2" xfId="5626" xr:uid="{00000000-0005-0000-0000-000084100000}"/>
    <cellStyle name="Normal 4 2 3 2 2 2" xfId="11803" xr:uid="{57B8BAEB-AED1-4B07-8720-0AD4711F9ED6}"/>
    <cellStyle name="Normal 4 2 3 2 3" xfId="9492" xr:uid="{0D9D22DA-CD92-4785-9315-4306AD839F07}"/>
    <cellStyle name="Normal 4 2 3 3" xfId="2433" xr:uid="{00000000-0005-0000-0000-000085100000}"/>
    <cellStyle name="Normal 4 2 3 3 2" xfId="5627" xr:uid="{00000000-0005-0000-0000-000086100000}"/>
    <cellStyle name="Normal 4 2 3 3 2 2" xfId="11804" xr:uid="{3EF9AE95-3B6C-43CE-A953-3C9C6DDC711C}"/>
    <cellStyle name="Normal 4 2 3 3 3" xfId="8610" xr:uid="{D97B35FB-A215-4B0E-8468-2DF5697EA4E9}"/>
    <cellStyle name="Normal 4 2 3 4" xfId="4197" xr:uid="{00000000-0005-0000-0000-000087100000}"/>
    <cellStyle name="Normal 4 2 3 4 2" xfId="10374" xr:uid="{811ABD20-68E6-4BEC-8016-37954F4AB92F}"/>
    <cellStyle name="Normal 4 2 3 5" xfId="1550" xr:uid="{00000000-0005-0000-0000-000088100000}"/>
    <cellStyle name="Normal 4 2 3 5 2" xfId="7727" xr:uid="{9C8F3033-2AC5-4E29-AF8C-0392BAC2C4E4}"/>
    <cellStyle name="Normal 4 2 3 6" xfId="6844" xr:uid="{529016FA-AC80-4F39-9E75-68E47C80E1DB}"/>
    <cellStyle name="Normal 4 2 4" xfId="2874" xr:uid="{00000000-0005-0000-0000-000089100000}"/>
    <cellStyle name="Normal 4 2 4 2" xfId="5628" xr:uid="{00000000-0005-0000-0000-00008A100000}"/>
    <cellStyle name="Normal 4 2 4 2 2" xfId="11805" xr:uid="{FDB64322-25D5-4D15-8E07-CE73DE90F0FD}"/>
    <cellStyle name="Normal 4 2 4 3" xfId="9051" xr:uid="{F3879274-0F81-4860-89CB-7EBB4CD8BC0D}"/>
    <cellStyle name="Normal 4 2 5" xfId="1992" xr:uid="{00000000-0005-0000-0000-00008B100000}"/>
    <cellStyle name="Normal 4 2 5 2" xfId="5629" xr:uid="{00000000-0005-0000-0000-00008C100000}"/>
    <cellStyle name="Normal 4 2 5 2 2" xfId="11806" xr:uid="{503B77FF-101B-4358-84B5-103764F42FFC}"/>
    <cellStyle name="Normal 4 2 5 3" xfId="8169" xr:uid="{E0E3454B-FCC3-48E8-ABB8-091EA02071D3}"/>
    <cellStyle name="Normal 4 2 6" xfId="3756" xr:uid="{00000000-0005-0000-0000-00008D100000}"/>
    <cellStyle name="Normal 4 2 6 2" xfId="9933" xr:uid="{420EF1C3-010A-444E-BF97-F4D18F0D295F}"/>
    <cellStyle name="Normal 4 2 7" xfId="1109" xr:uid="{00000000-0005-0000-0000-00008E100000}"/>
    <cellStyle name="Normal 4 2 7 2" xfId="7286" xr:uid="{E7DC0BE9-3C29-478D-BCC3-B68504295F07}"/>
    <cellStyle name="Normal 4 2 8" xfId="6403" xr:uid="{F70A2311-4D19-40AF-88E9-01F3BACEBEA2}"/>
    <cellStyle name="Normal 4 3" xfId="336" xr:uid="{00000000-0005-0000-0000-00008F100000}"/>
    <cellStyle name="Normal 4 3 2" xfId="777" xr:uid="{00000000-0005-0000-0000-000090100000}"/>
    <cellStyle name="Normal 4 3 2 2" xfId="3425" xr:uid="{00000000-0005-0000-0000-000091100000}"/>
    <cellStyle name="Normal 4 3 2 2 2" xfId="5630" xr:uid="{00000000-0005-0000-0000-000092100000}"/>
    <cellStyle name="Normal 4 3 2 2 2 2" xfId="11807" xr:uid="{CBAD7157-3BA3-40BD-8375-C85E97ACDC43}"/>
    <cellStyle name="Normal 4 3 2 2 3" xfId="9602" xr:uid="{F63E13F9-B9B9-4BCA-A5D3-C9ADCFB61D63}"/>
    <cellStyle name="Normal 4 3 2 3" xfId="2543" xr:uid="{00000000-0005-0000-0000-000093100000}"/>
    <cellStyle name="Normal 4 3 2 3 2" xfId="5631" xr:uid="{00000000-0005-0000-0000-000094100000}"/>
    <cellStyle name="Normal 4 3 2 3 2 2" xfId="11808" xr:uid="{47113632-B4D6-4A47-859C-76D57F2BE75B}"/>
    <cellStyle name="Normal 4 3 2 3 3" xfId="8720" xr:uid="{BFBA382A-E417-4557-9318-AD3F1B811D80}"/>
    <cellStyle name="Normal 4 3 2 4" xfId="4307" xr:uid="{00000000-0005-0000-0000-000095100000}"/>
    <cellStyle name="Normal 4 3 2 4 2" xfId="10484" xr:uid="{9784D754-FA26-4AD7-9A91-1D0DBE0BD286}"/>
    <cellStyle name="Normal 4 3 2 5" xfId="1660" xr:uid="{00000000-0005-0000-0000-000096100000}"/>
    <cellStyle name="Normal 4 3 2 5 2" xfId="7837" xr:uid="{818A8051-10DB-463C-8331-1AD0833CF7FC}"/>
    <cellStyle name="Normal 4 3 2 6" xfId="6954" xr:uid="{C2F8EB13-989F-4B73-B591-F1652A138BF0}"/>
    <cellStyle name="Normal 4 3 3" xfId="2984" xr:uid="{00000000-0005-0000-0000-000097100000}"/>
    <cellStyle name="Normal 4 3 3 2" xfId="5632" xr:uid="{00000000-0005-0000-0000-000098100000}"/>
    <cellStyle name="Normal 4 3 3 2 2" xfId="11809" xr:uid="{24555157-48B2-4DBB-AC32-1D81E9A216C2}"/>
    <cellStyle name="Normal 4 3 3 3" xfId="9161" xr:uid="{A33F2AC4-4EC9-48B5-B8AE-617BD3CE3CD1}"/>
    <cellStyle name="Normal 4 3 4" xfId="2102" xr:uid="{00000000-0005-0000-0000-000099100000}"/>
    <cellStyle name="Normal 4 3 4 2" xfId="5633" xr:uid="{00000000-0005-0000-0000-00009A100000}"/>
    <cellStyle name="Normal 4 3 4 2 2" xfId="11810" xr:uid="{0AA96C01-60EB-4355-92A1-37D0D8F20D03}"/>
    <cellStyle name="Normal 4 3 4 3" xfId="8279" xr:uid="{DA7EC2D7-08DC-40A3-8624-A800DDB963EC}"/>
    <cellStyle name="Normal 4 3 5" xfId="3866" xr:uid="{00000000-0005-0000-0000-00009B100000}"/>
    <cellStyle name="Normal 4 3 5 2" xfId="10043" xr:uid="{E18E6EED-D013-4401-82C4-FD67356B7C15}"/>
    <cellStyle name="Normal 4 3 6" xfId="1219" xr:uid="{00000000-0005-0000-0000-00009C100000}"/>
    <cellStyle name="Normal 4 3 6 2" xfId="7396" xr:uid="{4C99349B-FE2E-4A6C-8C90-390DAB1AB0BC}"/>
    <cellStyle name="Normal 4 3 7" xfId="6513" xr:uid="{96310D51-462C-4D68-BE9A-05C3AEB53EED}"/>
    <cellStyle name="Normal 4 4" xfId="557" xr:uid="{00000000-0005-0000-0000-00009D100000}"/>
    <cellStyle name="Normal 4 4 2" xfId="3205" xr:uid="{00000000-0005-0000-0000-00009E100000}"/>
    <cellStyle name="Normal 4 4 2 2" xfId="5634" xr:uid="{00000000-0005-0000-0000-00009F100000}"/>
    <cellStyle name="Normal 4 4 2 2 2" xfId="11811" xr:uid="{367FFC39-E27F-4FA2-840B-893EDB36BF63}"/>
    <cellStyle name="Normal 4 4 2 3" xfId="9382" xr:uid="{FBED7D0F-2CF2-4965-AF6E-89B09ED01D03}"/>
    <cellStyle name="Normal 4 4 3" xfId="2323" xr:uid="{00000000-0005-0000-0000-0000A0100000}"/>
    <cellStyle name="Normal 4 4 3 2" xfId="5635" xr:uid="{00000000-0005-0000-0000-0000A1100000}"/>
    <cellStyle name="Normal 4 4 3 2 2" xfId="11812" xr:uid="{CE002DA0-D194-48AF-B4B1-1CE06E3D16FB}"/>
    <cellStyle name="Normal 4 4 3 3" xfId="8500" xr:uid="{182DB372-ABC5-477E-B32E-BEA75C723500}"/>
    <cellStyle name="Normal 4 4 4" xfId="4087" xr:uid="{00000000-0005-0000-0000-0000A2100000}"/>
    <cellStyle name="Normal 4 4 4 2" xfId="10264" xr:uid="{534D3C44-B2EE-4CAC-A207-AB9F3DA7FA6E}"/>
    <cellStyle name="Normal 4 4 5" xfId="1440" xr:uid="{00000000-0005-0000-0000-0000A3100000}"/>
    <cellStyle name="Normal 4 4 5 2" xfId="7617" xr:uid="{BA512C7B-4224-44CF-B5AB-BF5109ADDEAD}"/>
    <cellStyle name="Normal 4 4 6" xfId="6734" xr:uid="{C5CC8ED2-CAFB-4A20-B21A-46DE8EA970FD}"/>
    <cellStyle name="Normal 4 5" xfId="2764" xr:uid="{00000000-0005-0000-0000-0000A4100000}"/>
    <cellStyle name="Normal 4 5 2" xfId="5636" xr:uid="{00000000-0005-0000-0000-0000A5100000}"/>
    <cellStyle name="Normal 4 5 2 2" xfId="11813" xr:uid="{CC2B0067-EAC2-49F5-B80E-C5B80AD4CD54}"/>
    <cellStyle name="Normal 4 5 3" xfId="8941" xr:uid="{27ED7DAC-FE6A-4372-B40A-7398819DC2D0}"/>
    <cellStyle name="Normal 4 6" xfId="1882" xr:uid="{00000000-0005-0000-0000-0000A6100000}"/>
    <cellStyle name="Normal 4 6 2" xfId="5637" xr:uid="{00000000-0005-0000-0000-0000A7100000}"/>
    <cellStyle name="Normal 4 6 2 2" xfId="11814" xr:uid="{2B3FE32A-CA30-433B-9C27-54A49D819F77}"/>
    <cellStyle name="Normal 4 6 3" xfId="8059" xr:uid="{BA16814D-52B5-4774-9696-C5D4C9E66584}"/>
    <cellStyle name="Normal 4 7" xfId="3646" xr:uid="{00000000-0005-0000-0000-0000A8100000}"/>
    <cellStyle name="Normal 4 7 2" xfId="9823" xr:uid="{0FE56862-785C-42ED-A51B-AADFCBA62278}"/>
    <cellStyle name="Normal 4 8" xfId="999" xr:uid="{00000000-0005-0000-0000-0000A9100000}"/>
    <cellStyle name="Normal 4 8 2" xfId="7176" xr:uid="{C765BE18-1054-4562-BBEB-49B653567348}"/>
    <cellStyle name="Normal 4 9" xfId="6293" xr:uid="{311E2BC9-714B-4E9A-9C8E-5FB39ECEE731}"/>
    <cellStyle name="Normal 5" xfId="117" xr:uid="{00000000-0005-0000-0000-0000AA100000}"/>
    <cellStyle name="Normal 5 2" xfId="227" xr:uid="{00000000-0005-0000-0000-0000AB100000}"/>
    <cellStyle name="Normal 5 2 2" xfId="447" xr:uid="{00000000-0005-0000-0000-0000AC100000}"/>
    <cellStyle name="Normal 5 2 2 2" xfId="888" xr:uid="{00000000-0005-0000-0000-0000AD100000}"/>
    <cellStyle name="Normal 5 2 2 2 2" xfId="3536" xr:uid="{00000000-0005-0000-0000-0000AE100000}"/>
    <cellStyle name="Normal 5 2 2 2 2 2" xfId="5638" xr:uid="{00000000-0005-0000-0000-0000AF100000}"/>
    <cellStyle name="Normal 5 2 2 2 2 2 2" xfId="11815" xr:uid="{08B51EEC-015D-458B-BE84-FC917E517553}"/>
    <cellStyle name="Normal 5 2 2 2 2 3" xfId="9713" xr:uid="{399BD1C6-A7F8-4C34-9BF9-4471F4972274}"/>
    <cellStyle name="Normal 5 2 2 2 3" xfId="2654" xr:uid="{00000000-0005-0000-0000-0000B0100000}"/>
    <cellStyle name="Normal 5 2 2 2 3 2" xfId="5639" xr:uid="{00000000-0005-0000-0000-0000B1100000}"/>
    <cellStyle name="Normal 5 2 2 2 3 2 2" xfId="11816" xr:uid="{5AD8EBB3-9102-4FC8-BAAA-89170550A639}"/>
    <cellStyle name="Normal 5 2 2 2 3 3" xfId="8831" xr:uid="{846456A9-A155-4EB9-B2CE-4B9A0965AB7D}"/>
    <cellStyle name="Normal 5 2 2 2 4" xfId="4418" xr:uid="{00000000-0005-0000-0000-0000B2100000}"/>
    <cellStyle name="Normal 5 2 2 2 4 2" xfId="10595" xr:uid="{9F068065-8148-44A6-8DDD-080E2E825E09}"/>
    <cellStyle name="Normal 5 2 2 2 5" xfId="1771" xr:uid="{00000000-0005-0000-0000-0000B3100000}"/>
    <cellStyle name="Normal 5 2 2 2 5 2" xfId="7948" xr:uid="{33333A0A-AF47-4E0D-83A8-F706C59FBBF4}"/>
    <cellStyle name="Normal 5 2 2 2 6" xfId="7065" xr:uid="{3F1D645A-C1BD-4BF5-AFF3-0C993F47A013}"/>
    <cellStyle name="Normal 5 2 2 3" xfId="3095" xr:uid="{00000000-0005-0000-0000-0000B4100000}"/>
    <cellStyle name="Normal 5 2 2 3 2" xfId="5640" xr:uid="{00000000-0005-0000-0000-0000B5100000}"/>
    <cellStyle name="Normal 5 2 2 3 2 2" xfId="11817" xr:uid="{960E8E43-BFB6-4789-9DB6-A631BB6E94AF}"/>
    <cellStyle name="Normal 5 2 2 3 3" xfId="9272" xr:uid="{EEFCEB0A-1788-4860-A9D2-8A234E411ED2}"/>
    <cellStyle name="Normal 5 2 2 4" xfId="2213" xr:uid="{00000000-0005-0000-0000-0000B6100000}"/>
    <cellStyle name="Normal 5 2 2 4 2" xfId="5641" xr:uid="{00000000-0005-0000-0000-0000B7100000}"/>
    <cellStyle name="Normal 5 2 2 4 2 2" xfId="11818" xr:uid="{1A0FDCFE-CC77-4807-89C7-C83A82D223C8}"/>
    <cellStyle name="Normal 5 2 2 4 3" xfId="8390" xr:uid="{531A6BB4-D922-495E-99B7-C028A71A4633}"/>
    <cellStyle name="Normal 5 2 2 5" xfId="3977" xr:uid="{00000000-0005-0000-0000-0000B8100000}"/>
    <cellStyle name="Normal 5 2 2 5 2" xfId="10154" xr:uid="{AB32EC5B-3649-4B9B-8FCA-D58D9B6DEBC8}"/>
    <cellStyle name="Normal 5 2 2 6" xfId="1330" xr:uid="{00000000-0005-0000-0000-0000B9100000}"/>
    <cellStyle name="Normal 5 2 2 6 2" xfId="7507" xr:uid="{6453F6D4-47D1-4424-A098-F87893277DF8}"/>
    <cellStyle name="Normal 5 2 2 7" xfId="6624" xr:uid="{91C0A7FB-FD48-436A-A20B-D85B9106939F}"/>
    <cellStyle name="Normal 5 2 3" xfId="668" xr:uid="{00000000-0005-0000-0000-0000BA100000}"/>
    <cellStyle name="Normal 5 2 3 2" xfId="3316" xr:uid="{00000000-0005-0000-0000-0000BB100000}"/>
    <cellStyle name="Normal 5 2 3 2 2" xfId="5642" xr:uid="{00000000-0005-0000-0000-0000BC100000}"/>
    <cellStyle name="Normal 5 2 3 2 2 2" xfId="11819" xr:uid="{01085D8C-F696-4E2A-B978-AC05EAC8BA65}"/>
    <cellStyle name="Normal 5 2 3 2 3" xfId="9493" xr:uid="{CF79B4D4-343B-4287-B415-C5CE01C6DECC}"/>
    <cellStyle name="Normal 5 2 3 3" xfId="2434" xr:uid="{00000000-0005-0000-0000-0000BD100000}"/>
    <cellStyle name="Normal 5 2 3 3 2" xfId="5643" xr:uid="{00000000-0005-0000-0000-0000BE100000}"/>
    <cellStyle name="Normal 5 2 3 3 2 2" xfId="11820" xr:uid="{26383589-14FB-4B78-AD5F-81EE5CAA975A}"/>
    <cellStyle name="Normal 5 2 3 3 3" xfId="8611" xr:uid="{C288890C-0A2C-4F73-ABD2-5094E547C4B9}"/>
    <cellStyle name="Normal 5 2 3 4" xfId="4198" xr:uid="{00000000-0005-0000-0000-0000BF100000}"/>
    <cellStyle name="Normal 5 2 3 4 2" xfId="10375" xr:uid="{7F356BAA-8206-40DA-939B-4C4D101A0BA9}"/>
    <cellStyle name="Normal 5 2 3 5" xfId="1551" xr:uid="{00000000-0005-0000-0000-0000C0100000}"/>
    <cellStyle name="Normal 5 2 3 5 2" xfId="7728" xr:uid="{6AF740B4-DCE9-4C75-8CC8-B658E8CF3589}"/>
    <cellStyle name="Normal 5 2 3 6" xfId="6845" xr:uid="{8E6351F8-B140-4772-9004-BD27BFEBE4B0}"/>
    <cellStyle name="Normal 5 2 4" xfId="2875" xr:uid="{00000000-0005-0000-0000-0000C1100000}"/>
    <cellStyle name="Normal 5 2 4 2" xfId="5644" xr:uid="{00000000-0005-0000-0000-0000C2100000}"/>
    <cellStyle name="Normal 5 2 4 2 2" xfId="11821" xr:uid="{2BDE94C2-1BF9-4CD6-BBCF-20A519639E17}"/>
    <cellStyle name="Normal 5 2 4 3" xfId="9052" xr:uid="{0870ECBD-BD04-43FD-ABD3-BC31E47FF16B}"/>
    <cellStyle name="Normal 5 2 5" xfId="1993" xr:uid="{00000000-0005-0000-0000-0000C3100000}"/>
    <cellStyle name="Normal 5 2 5 2" xfId="5645" xr:uid="{00000000-0005-0000-0000-0000C4100000}"/>
    <cellStyle name="Normal 5 2 5 2 2" xfId="11822" xr:uid="{8251A4CA-01ED-4734-A982-7B6CFD2CEEB6}"/>
    <cellStyle name="Normal 5 2 5 3" xfId="8170" xr:uid="{A0F77422-9285-4641-8049-124C7FBA7A74}"/>
    <cellStyle name="Normal 5 2 6" xfId="3757" xr:uid="{00000000-0005-0000-0000-0000C5100000}"/>
    <cellStyle name="Normal 5 2 6 2" xfId="9934" xr:uid="{F31CA4AC-0C5B-42FF-A716-19CE9FEACBB2}"/>
    <cellStyle name="Normal 5 2 7" xfId="1110" xr:uid="{00000000-0005-0000-0000-0000C6100000}"/>
    <cellStyle name="Normal 5 2 7 2" xfId="7287" xr:uid="{4C622BC0-5D5B-4182-BC43-88957F1DEEFC}"/>
    <cellStyle name="Normal 5 2 8" xfId="6404" xr:uid="{CC4EBE02-0E78-46D5-A223-ED327349AD2D}"/>
    <cellStyle name="Normal 5 3" xfId="337" xr:uid="{00000000-0005-0000-0000-0000C7100000}"/>
    <cellStyle name="Normal 5 3 2" xfId="778" xr:uid="{00000000-0005-0000-0000-0000C8100000}"/>
    <cellStyle name="Normal 5 3 2 2" xfId="3426" xr:uid="{00000000-0005-0000-0000-0000C9100000}"/>
    <cellStyle name="Normal 5 3 2 2 2" xfId="5646" xr:uid="{00000000-0005-0000-0000-0000CA100000}"/>
    <cellStyle name="Normal 5 3 2 2 2 2" xfId="11823" xr:uid="{2180F5A0-95F7-420C-9E66-37FB735B1D40}"/>
    <cellStyle name="Normal 5 3 2 2 3" xfId="9603" xr:uid="{77DD66C5-360F-42D0-B035-6CB02AE0703C}"/>
    <cellStyle name="Normal 5 3 2 3" xfId="2544" xr:uid="{00000000-0005-0000-0000-0000CB100000}"/>
    <cellStyle name="Normal 5 3 2 3 2" xfId="5647" xr:uid="{00000000-0005-0000-0000-0000CC100000}"/>
    <cellStyle name="Normal 5 3 2 3 2 2" xfId="11824" xr:uid="{E732B8DD-626F-4D38-8FB7-61AF63443248}"/>
    <cellStyle name="Normal 5 3 2 3 3" xfId="8721" xr:uid="{863AAACD-B750-4E8F-86BD-3D31CAE1265A}"/>
    <cellStyle name="Normal 5 3 2 4" xfId="4308" xr:uid="{00000000-0005-0000-0000-0000CD100000}"/>
    <cellStyle name="Normal 5 3 2 4 2" xfId="10485" xr:uid="{2361EEB1-C827-4644-9C7A-B6DB3D85BBE5}"/>
    <cellStyle name="Normal 5 3 2 5" xfId="1661" xr:uid="{00000000-0005-0000-0000-0000CE100000}"/>
    <cellStyle name="Normal 5 3 2 5 2" xfId="7838" xr:uid="{7389C20B-FBCB-4BC3-B0CE-91CA2DED76B7}"/>
    <cellStyle name="Normal 5 3 2 6" xfId="6955" xr:uid="{415AD327-B23B-4040-A34F-7C4C16E72C95}"/>
    <cellStyle name="Normal 5 3 3" xfId="2985" xr:uid="{00000000-0005-0000-0000-0000CF100000}"/>
    <cellStyle name="Normal 5 3 3 2" xfId="5648" xr:uid="{00000000-0005-0000-0000-0000D0100000}"/>
    <cellStyle name="Normal 5 3 3 2 2" xfId="11825" xr:uid="{56D5A0AC-5617-464E-BDE4-E7D966CCE2FC}"/>
    <cellStyle name="Normal 5 3 3 3" xfId="9162" xr:uid="{38C74A1E-1208-46EB-A31B-87EF122D55ED}"/>
    <cellStyle name="Normal 5 3 4" xfId="2103" xr:uid="{00000000-0005-0000-0000-0000D1100000}"/>
    <cellStyle name="Normal 5 3 4 2" xfId="5649" xr:uid="{00000000-0005-0000-0000-0000D2100000}"/>
    <cellStyle name="Normal 5 3 4 2 2" xfId="11826" xr:uid="{9C119C43-F8BA-402E-86D3-B9F9E6DAF6AF}"/>
    <cellStyle name="Normal 5 3 4 3" xfId="8280" xr:uid="{7D5A031E-F205-40FA-AD6D-8BC30908106D}"/>
    <cellStyle name="Normal 5 3 5" xfId="3867" xr:uid="{00000000-0005-0000-0000-0000D3100000}"/>
    <cellStyle name="Normal 5 3 5 2" xfId="10044" xr:uid="{068D0B43-4049-4D40-8E26-CF65DDF7BDD5}"/>
    <cellStyle name="Normal 5 3 6" xfId="1220" xr:uid="{00000000-0005-0000-0000-0000D4100000}"/>
    <cellStyle name="Normal 5 3 6 2" xfId="7397" xr:uid="{0C54A8F6-433F-41F8-BF84-B5C8FA55466B}"/>
    <cellStyle name="Normal 5 3 7" xfId="6514" xr:uid="{54F3C17A-0778-42D6-984C-F4DC60A32A00}"/>
    <cellStyle name="Normal 5 4" xfId="558" xr:uid="{00000000-0005-0000-0000-0000D5100000}"/>
    <cellStyle name="Normal 5 4 2" xfId="3206" xr:uid="{00000000-0005-0000-0000-0000D6100000}"/>
    <cellStyle name="Normal 5 4 2 2" xfId="5650" xr:uid="{00000000-0005-0000-0000-0000D7100000}"/>
    <cellStyle name="Normal 5 4 2 2 2" xfId="11827" xr:uid="{3004337A-97E5-445A-AA26-E23D42722C99}"/>
    <cellStyle name="Normal 5 4 2 3" xfId="9383" xr:uid="{15CE31EF-348A-4983-AFD0-851F345B9DB2}"/>
    <cellStyle name="Normal 5 4 3" xfId="2324" xr:uid="{00000000-0005-0000-0000-0000D8100000}"/>
    <cellStyle name="Normal 5 4 3 2" xfId="5651" xr:uid="{00000000-0005-0000-0000-0000D9100000}"/>
    <cellStyle name="Normal 5 4 3 2 2" xfId="11828" xr:uid="{65D916BD-FC54-4FD8-B819-88254AFC0C83}"/>
    <cellStyle name="Normal 5 4 3 3" xfId="8501" xr:uid="{82A7CDEE-2B35-4B7F-AA9A-E60C888076C4}"/>
    <cellStyle name="Normal 5 4 4" xfId="4088" xr:uid="{00000000-0005-0000-0000-0000DA100000}"/>
    <cellStyle name="Normal 5 4 4 2" xfId="10265" xr:uid="{C58569A7-975D-44CA-A5B1-0B5376FE5A38}"/>
    <cellStyle name="Normal 5 4 5" xfId="1441" xr:uid="{00000000-0005-0000-0000-0000DB100000}"/>
    <cellStyle name="Normal 5 4 5 2" xfId="7618" xr:uid="{B867D215-BD56-47D2-A7C9-FAB20FDC1B75}"/>
    <cellStyle name="Normal 5 4 6" xfId="6735" xr:uid="{9F9B7AFE-7A5C-44B4-838C-764BF576624F}"/>
    <cellStyle name="Normal 5 5" xfId="2765" xr:uid="{00000000-0005-0000-0000-0000DC100000}"/>
    <cellStyle name="Normal 5 5 2" xfId="5652" xr:uid="{00000000-0005-0000-0000-0000DD100000}"/>
    <cellStyle name="Normal 5 5 2 2" xfId="11829" xr:uid="{50D8814C-DD8A-4FE5-AE56-003B3C69B274}"/>
    <cellStyle name="Normal 5 5 3" xfId="8942" xr:uid="{02C9D06C-270E-4951-8DAF-B05DE8BF29FB}"/>
    <cellStyle name="Normal 5 6" xfId="1883" xr:uid="{00000000-0005-0000-0000-0000DE100000}"/>
    <cellStyle name="Normal 5 6 2" xfId="5653" xr:uid="{00000000-0005-0000-0000-0000DF100000}"/>
    <cellStyle name="Normal 5 6 2 2" xfId="11830" xr:uid="{FF88CCE5-1229-4F1A-BEA5-93B091991A0B}"/>
    <cellStyle name="Normal 5 6 3" xfId="8060" xr:uid="{0168E720-59CD-4AA4-91D7-D4DF449A54D3}"/>
    <cellStyle name="Normal 5 7" xfId="3647" xr:uid="{00000000-0005-0000-0000-0000E0100000}"/>
    <cellStyle name="Normal 5 7 2" xfId="9824" xr:uid="{F8DD7C24-8C50-4BC9-AE39-087FC23C2210}"/>
    <cellStyle name="Normal 5 8" xfId="1000" xr:uid="{00000000-0005-0000-0000-0000E1100000}"/>
    <cellStyle name="Normal 5 8 2" xfId="7177" xr:uid="{2945E269-BD37-4573-BEF7-0D48B6DD9DF8}"/>
    <cellStyle name="Normal 5 9" xfId="6294" xr:uid="{457B53C4-2332-48BA-BBC7-67A842EF78F4}"/>
    <cellStyle name="Normal 6" xfId="118" xr:uid="{00000000-0005-0000-0000-0000E2100000}"/>
    <cellStyle name="Normal 6 2" xfId="228" xr:uid="{00000000-0005-0000-0000-0000E3100000}"/>
    <cellStyle name="Normal 6 2 2" xfId="448" xr:uid="{00000000-0005-0000-0000-0000E4100000}"/>
    <cellStyle name="Normal 6 2 2 2" xfId="889" xr:uid="{00000000-0005-0000-0000-0000E5100000}"/>
    <cellStyle name="Normal 6 2 2 2 2" xfId="3537" xr:uid="{00000000-0005-0000-0000-0000E6100000}"/>
    <cellStyle name="Normal 6 2 2 2 2 2" xfId="5654" xr:uid="{00000000-0005-0000-0000-0000E7100000}"/>
    <cellStyle name="Normal 6 2 2 2 2 2 2" xfId="11831" xr:uid="{CBBF06D1-ABFA-4862-8497-9319999BEAF3}"/>
    <cellStyle name="Normal 6 2 2 2 2 3" xfId="9714" xr:uid="{8E950029-27C3-48E3-964C-83D3878915EE}"/>
    <cellStyle name="Normal 6 2 2 2 3" xfId="2655" xr:uid="{00000000-0005-0000-0000-0000E8100000}"/>
    <cellStyle name="Normal 6 2 2 2 3 2" xfId="5655" xr:uid="{00000000-0005-0000-0000-0000E9100000}"/>
    <cellStyle name="Normal 6 2 2 2 3 2 2" xfId="11832" xr:uid="{C6FF9301-FB3E-4313-AD19-19929BA86116}"/>
    <cellStyle name="Normal 6 2 2 2 3 3" xfId="8832" xr:uid="{4C766708-AFA2-4F07-A1CC-E00E2498BE56}"/>
    <cellStyle name="Normal 6 2 2 2 4" xfId="4419" xr:uid="{00000000-0005-0000-0000-0000EA100000}"/>
    <cellStyle name="Normal 6 2 2 2 4 2" xfId="10596" xr:uid="{37DDD906-BD20-45A3-8186-1DB1FEB8EF88}"/>
    <cellStyle name="Normal 6 2 2 2 5" xfId="1772" xr:uid="{00000000-0005-0000-0000-0000EB100000}"/>
    <cellStyle name="Normal 6 2 2 2 5 2" xfId="7949" xr:uid="{1CC1C802-1B41-4C25-B1C9-F9702F3ADD73}"/>
    <cellStyle name="Normal 6 2 2 2 6" xfId="7066" xr:uid="{ABFFB8EB-9480-442D-96FE-BA6D19391EBD}"/>
    <cellStyle name="Normal 6 2 2 3" xfId="3096" xr:uid="{00000000-0005-0000-0000-0000EC100000}"/>
    <cellStyle name="Normal 6 2 2 3 2" xfId="5656" xr:uid="{00000000-0005-0000-0000-0000ED100000}"/>
    <cellStyle name="Normal 6 2 2 3 2 2" xfId="11833" xr:uid="{F85D9470-DD86-407C-8991-ECE7C06392F7}"/>
    <cellStyle name="Normal 6 2 2 3 3" xfId="9273" xr:uid="{11106617-4B17-46C9-B201-EE8F49AFD6F8}"/>
    <cellStyle name="Normal 6 2 2 4" xfId="2214" xr:uid="{00000000-0005-0000-0000-0000EE100000}"/>
    <cellStyle name="Normal 6 2 2 4 2" xfId="5657" xr:uid="{00000000-0005-0000-0000-0000EF100000}"/>
    <cellStyle name="Normal 6 2 2 4 2 2" xfId="11834" xr:uid="{A3D6CE3C-DD33-4B3B-A88F-4100F318F367}"/>
    <cellStyle name="Normal 6 2 2 4 3" xfId="8391" xr:uid="{ECD5CAC1-275E-4991-B2EB-72CCB98B4770}"/>
    <cellStyle name="Normal 6 2 2 5" xfId="3978" xr:uid="{00000000-0005-0000-0000-0000F0100000}"/>
    <cellStyle name="Normal 6 2 2 5 2" xfId="10155" xr:uid="{3445E90A-C7F5-4A99-A365-99F35DF990D8}"/>
    <cellStyle name="Normal 6 2 2 6" xfId="1331" xr:uid="{00000000-0005-0000-0000-0000F1100000}"/>
    <cellStyle name="Normal 6 2 2 6 2" xfId="7508" xr:uid="{4D890394-F2DF-49C4-9737-F6DC3AD45D3E}"/>
    <cellStyle name="Normal 6 2 2 7" xfId="6625" xr:uid="{DFC1CD05-7EE5-4115-A9B8-C5F389FDE377}"/>
    <cellStyle name="Normal 6 2 3" xfId="669" xr:uid="{00000000-0005-0000-0000-0000F2100000}"/>
    <cellStyle name="Normal 6 2 3 2" xfId="3317" xr:uid="{00000000-0005-0000-0000-0000F3100000}"/>
    <cellStyle name="Normal 6 2 3 2 2" xfId="5658" xr:uid="{00000000-0005-0000-0000-0000F4100000}"/>
    <cellStyle name="Normal 6 2 3 2 2 2" xfId="11835" xr:uid="{6ECB69BB-3F8B-4D3B-90B5-19510CACDB97}"/>
    <cellStyle name="Normal 6 2 3 2 3" xfId="9494" xr:uid="{9B88A389-5A25-4EE8-8E14-CC2B8B9C3CC6}"/>
    <cellStyle name="Normal 6 2 3 3" xfId="2435" xr:uid="{00000000-0005-0000-0000-0000F5100000}"/>
    <cellStyle name="Normal 6 2 3 3 2" xfId="5659" xr:uid="{00000000-0005-0000-0000-0000F6100000}"/>
    <cellStyle name="Normal 6 2 3 3 2 2" xfId="11836" xr:uid="{E7BF276C-8388-4735-8E37-EBCE4D9EDAD4}"/>
    <cellStyle name="Normal 6 2 3 3 3" xfId="8612" xr:uid="{8555AAAB-BEA5-4173-BE11-82ED6F14D808}"/>
    <cellStyle name="Normal 6 2 3 4" xfId="4199" xr:uid="{00000000-0005-0000-0000-0000F7100000}"/>
    <cellStyle name="Normal 6 2 3 4 2" xfId="10376" xr:uid="{025C818E-BF38-4216-8FC7-4D2FFA6E26A3}"/>
    <cellStyle name="Normal 6 2 3 5" xfId="1552" xr:uid="{00000000-0005-0000-0000-0000F8100000}"/>
    <cellStyle name="Normal 6 2 3 5 2" xfId="7729" xr:uid="{4BB92B55-0EF1-44D1-A9CE-C128A063CE6C}"/>
    <cellStyle name="Normal 6 2 3 6" xfId="6846" xr:uid="{3269FD1B-B7C9-44B3-B651-921AE306811E}"/>
    <cellStyle name="Normal 6 2 4" xfId="2876" xr:uid="{00000000-0005-0000-0000-0000F9100000}"/>
    <cellStyle name="Normal 6 2 4 2" xfId="5660" xr:uid="{00000000-0005-0000-0000-0000FA100000}"/>
    <cellStyle name="Normal 6 2 4 2 2" xfId="11837" xr:uid="{D3042AF2-732F-47A0-830D-CCF849E6C344}"/>
    <cellStyle name="Normal 6 2 4 3" xfId="9053" xr:uid="{AFD40D7D-F3F0-486A-88E5-BA35B1FF3D4A}"/>
    <cellStyle name="Normal 6 2 5" xfId="1994" xr:uid="{00000000-0005-0000-0000-0000FB100000}"/>
    <cellStyle name="Normal 6 2 5 2" xfId="5661" xr:uid="{00000000-0005-0000-0000-0000FC100000}"/>
    <cellStyle name="Normal 6 2 5 2 2" xfId="11838" xr:uid="{DD2FA439-D96A-4F23-84BB-C50F98CDFB81}"/>
    <cellStyle name="Normal 6 2 5 3" xfId="8171" xr:uid="{A86219A2-6C68-43C8-87A2-ED49FCAE8361}"/>
    <cellStyle name="Normal 6 2 6" xfId="3758" xr:uid="{00000000-0005-0000-0000-0000FD100000}"/>
    <cellStyle name="Normal 6 2 6 2" xfId="9935" xr:uid="{97D12DB3-FBF1-4FF5-994A-7CCC6A196ED4}"/>
    <cellStyle name="Normal 6 2 7" xfId="1111" xr:uid="{00000000-0005-0000-0000-0000FE100000}"/>
    <cellStyle name="Normal 6 2 7 2" xfId="7288" xr:uid="{78BF3820-DB45-423F-AF21-82E9511457E5}"/>
    <cellStyle name="Normal 6 2 8" xfId="6405" xr:uid="{46A6709B-C4D6-45EB-A342-61D6287440AF}"/>
    <cellStyle name="Normal 6 3" xfId="338" xr:uid="{00000000-0005-0000-0000-0000FF100000}"/>
    <cellStyle name="Normal 6 3 2" xfId="779" xr:uid="{00000000-0005-0000-0000-000000110000}"/>
    <cellStyle name="Normal 6 3 2 2" xfId="3427" xr:uid="{00000000-0005-0000-0000-000001110000}"/>
    <cellStyle name="Normal 6 3 2 2 2" xfId="5662" xr:uid="{00000000-0005-0000-0000-000002110000}"/>
    <cellStyle name="Normal 6 3 2 2 2 2" xfId="11839" xr:uid="{32C8586C-59EE-4ADD-92A6-592B5343FFED}"/>
    <cellStyle name="Normal 6 3 2 2 3" xfId="9604" xr:uid="{975C411D-C53A-4E64-AE78-62ECB402BF69}"/>
    <cellStyle name="Normal 6 3 2 3" xfId="2545" xr:uid="{00000000-0005-0000-0000-000003110000}"/>
    <cellStyle name="Normal 6 3 2 3 2" xfId="5663" xr:uid="{00000000-0005-0000-0000-000004110000}"/>
    <cellStyle name="Normal 6 3 2 3 2 2" xfId="11840" xr:uid="{C46A28C2-748B-41E2-B350-A89CBD3749F4}"/>
    <cellStyle name="Normal 6 3 2 3 3" xfId="8722" xr:uid="{16122BF1-BBB1-4A32-9A0A-A16D42350D87}"/>
    <cellStyle name="Normal 6 3 2 4" xfId="4309" xr:uid="{00000000-0005-0000-0000-000005110000}"/>
    <cellStyle name="Normal 6 3 2 4 2" xfId="10486" xr:uid="{085D90E2-C665-4AFE-9E32-2FBD0E31916C}"/>
    <cellStyle name="Normal 6 3 2 5" xfId="1662" xr:uid="{00000000-0005-0000-0000-000006110000}"/>
    <cellStyle name="Normal 6 3 2 5 2" xfId="7839" xr:uid="{757209F2-FBF5-40F3-9CB8-0864E881FF57}"/>
    <cellStyle name="Normal 6 3 2 6" xfId="6956" xr:uid="{3D1C1857-26C7-4078-A519-C857A1281F16}"/>
    <cellStyle name="Normal 6 3 3" xfId="2986" xr:uid="{00000000-0005-0000-0000-000007110000}"/>
    <cellStyle name="Normal 6 3 3 2" xfId="5664" xr:uid="{00000000-0005-0000-0000-000008110000}"/>
    <cellStyle name="Normal 6 3 3 2 2" xfId="11841" xr:uid="{C5EDDA9E-B3DA-4066-B99D-0D5147E7AA0D}"/>
    <cellStyle name="Normal 6 3 3 3" xfId="9163" xr:uid="{C034D2F9-4EBA-4FE4-B270-0BEED6E4EE25}"/>
    <cellStyle name="Normal 6 3 4" xfId="2104" xr:uid="{00000000-0005-0000-0000-000009110000}"/>
    <cellStyle name="Normal 6 3 4 2" xfId="5665" xr:uid="{00000000-0005-0000-0000-00000A110000}"/>
    <cellStyle name="Normal 6 3 4 2 2" xfId="11842" xr:uid="{314BEBB8-CFF0-47CF-B61B-01B464D28E60}"/>
    <cellStyle name="Normal 6 3 4 3" xfId="8281" xr:uid="{90E603C7-79B6-43AC-9056-85BFC327BF9B}"/>
    <cellStyle name="Normal 6 3 5" xfId="3868" xr:uid="{00000000-0005-0000-0000-00000B110000}"/>
    <cellStyle name="Normal 6 3 5 2" xfId="10045" xr:uid="{783AA786-7138-48D8-B6A4-F711767688A6}"/>
    <cellStyle name="Normal 6 3 6" xfId="1221" xr:uid="{00000000-0005-0000-0000-00000C110000}"/>
    <cellStyle name="Normal 6 3 6 2" xfId="7398" xr:uid="{C8F6F134-B19B-409C-81A0-DC6AEA2EBDC7}"/>
    <cellStyle name="Normal 6 3 7" xfId="6515" xr:uid="{1E0D395A-00A9-46CB-B84C-549C0B391AA5}"/>
    <cellStyle name="Normal 6 4" xfId="559" xr:uid="{00000000-0005-0000-0000-00000D110000}"/>
    <cellStyle name="Normal 6 4 2" xfId="3207" xr:uid="{00000000-0005-0000-0000-00000E110000}"/>
    <cellStyle name="Normal 6 4 2 2" xfId="5666" xr:uid="{00000000-0005-0000-0000-00000F110000}"/>
    <cellStyle name="Normal 6 4 2 2 2" xfId="11843" xr:uid="{A44C8F9B-38E6-4375-B943-627F670E8BC4}"/>
    <cellStyle name="Normal 6 4 2 3" xfId="9384" xr:uid="{B4085656-709C-41DE-989E-0B2C065CE086}"/>
    <cellStyle name="Normal 6 4 3" xfId="2325" xr:uid="{00000000-0005-0000-0000-000010110000}"/>
    <cellStyle name="Normal 6 4 3 2" xfId="5667" xr:uid="{00000000-0005-0000-0000-000011110000}"/>
    <cellStyle name="Normal 6 4 3 2 2" xfId="11844" xr:uid="{5C6AC1D6-C685-4873-94BF-8B79C671FD4E}"/>
    <cellStyle name="Normal 6 4 3 3" xfId="8502" xr:uid="{E847268D-7283-4810-98AC-6C6C6F9F9BAA}"/>
    <cellStyle name="Normal 6 4 4" xfId="4089" xr:uid="{00000000-0005-0000-0000-000012110000}"/>
    <cellStyle name="Normal 6 4 4 2" xfId="10266" xr:uid="{14DFA482-9C9A-4798-A660-C496B06FF20C}"/>
    <cellStyle name="Normal 6 4 5" xfId="1442" xr:uid="{00000000-0005-0000-0000-000013110000}"/>
    <cellStyle name="Normal 6 4 5 2" xfId="7619" xr:uid="{4CDB3CE3-9C20-4F0C-9392-C91E7F2104E4}"/>
    <cellStyle name="Normal 6 4 6" xfId="6736" xr:uid="{13B4EE1F-779A-409C-A7F4-FE317576ABED}"/>
    <cellStyle name="Normal 6 5" xfId="2766" xr:uid="{00000000-0005-0000-0000-000014110000}"/>
    <cellStyle name="Normal 6 5 2" xfId="5668" xr:uid="{00000000-0005-0000-0000-000015110000}"/>
    <cellStyle name="Normal 6 5 2 2" xfId="11845" xr:uid="{57CC9FB8-663D-43B3-8B65-85D22A58727D}"/>
    <cellStyle name="Normal 6 5 3" xfId="8943" xr:uid="{E10B3753-0A88-481D-89E6-59EF496DD5E9}"/>
    <cellStyle name="Normal 6 6" xfId="1884" xr:uid="{00000000-0005-0000-0000-000016110000}"/>
    <cellStyle name="Normal 6 6 2" xfId="5669" xr:uid="{00000000-0005-0000-0000-000017110000}"/>
    <cellStyle name="Normal 6 6 2 2" xfId="11846" xr:uid="{E9754AFE-7A69-43C4-B920-8ABF343540DD}"/>
    <cellStyle name="Normal 6 6 3" xfId="8061" xr:uid="{76FAB23E-AEC7-4391-9C0E-976B97B46826}"/>
    <cellStyle name="Normal 6 7" xfId="3648" xr:uid="{00000000-0005-0000-0000-000018110000}"/>
    <cellStyle name="Normal 6 7 2" xfId="9825" xr:uid="{6D41659A-241F-468E-A5BA-2B06D4A4FDCB}"/>
    <cellStyle name="Normal 6 8" xfId="1001" xr:uid="{00000000-0005-0000-0000-000019110000}"/>
    <cellStyle name="Normal 6 8 2" xfId="7178" xr:uid="{B3CEB191-3D30-4823-B764-AB6D6A0A88BC}"/>
    <cellStyle name="Normal 6 9" xfId="6295" xr:uid="{9EB6129B-D24A-4130-BB88-1238345202BB}"/>
    <cellStyle name="Normal 7" xfId="449" xr:uid="{00000000-0005-0000-0000-00001A110000}"/>
    <cellStyle name="Normal 7 2" xfId="890" xr:uid="{00000000-0005-0000-0000-00001B110000}"/>
    <cellStyle name="Normal 7 2 2" xfId="3538" xr:uid="{00000000-0005-0000-0000-00001C110000}"/>
    <cellStyle name="Normal 7 2 2 2" xfId="5670" xr:uid="{00000000-0005-0000-0000-00001D110000}"/>
    <cellStyle name="Normal 7 2 2 2 2" xfId="11847" xr:uid="{B461AB97-AE32-40F5-88E9-51FC46C7EF53}"/>
    <cellStyle name="Normal 7 2 2 3" xfId="9715" xr:uid="{C7944DD9-2A78-4CF8-92E8-D3050DA5BE04}"/>
    <cellStyle name="Normal 7 2 3" xfId="2656" xr:uid="{00000000-0005-0000-0000-00001E110000}"/>
    <cellStyle name="Normal 7 2 3 2" xfId="5671" xr:uid="{00000000-0005-0000-0000-00001F110000}"/>
    <cellStyle name="Normal 7 2 3 2 2" xfId="11848" xr:uid="{6CE6B602-BEE8-4BD3-955D-3279EB24B561}"/>
    <cellStyle name="Normal 7 2 3 3" xfId="8833" xr:uid="{ED0D74B5-C47B-4318-BD24-C4DA56332FE8}"/>
    <cellStyle name="Normal 7 2 4" xfId="4420" xr:uid="{00000000-0005-0000-0000-000020110000}"/>
    <cellStyle name="Normal 7 2 4 2" xfId="10597" xr:uid="{8E06C899-E301-4F93-9118-A6C57F9F4CBB}"/>
    <cellStyle name="Normal 7 2 5" xfId="1773" xr:uid="{00000000-0005-0000-0000-000021110000}"/>
    <cellStyle name="Normal 7 2 5 2" xfId="7950" xr:uid="{E4FCC1AE-29C4-4003-8AA4-7899AFCF6BB1}"/>
    <cellStyle name="Normal 7 2 6" xfId="7067" xr:uid="{DAE47ABE-FD60-41F5-ADA9-831351D38DDF}"/>
    <cellStyle name="Normal 7 3" xfId="3097" xr:uid="{00000000-0005-0000-0000-000022110000}"/>
    <cellStyle name="Normal 7 3 2" xfId="5672" xr:uid="{00000000-0005-0000-0000-000023110000}"/>
    <cellStyle name="Normal 7 3 2 2" xfId="11849" xr:uid="{F8F37017-838C-4BE1-B475-71BA21AACD25}"/>
    <cellStyle name="Normal 7 3 3" xfId="9274" xr:uid="{DEF0DC7F-1A4D-4311-A115-8CED3CEA47E5}"/>
    <cellStyle name="Normal 7 4" xfId="2215" xr:uid="{00000000-0005-0000-0000-000024110000}"/>
    <cellStyle name="Normal 7 4 2" xfId="5673" xr:uid="{00000000-0005-0000-0000-000025110000}"/>
    <cellStyle name="Normal 7 4 2 2" xfId="11850" xr:uid="{8D630FDC-8D1D-42E7-9364-E5533FC602B6}"/>
    <cellStyle name="Normal 7 4 3" xfId="8392" xr:uid="{D85A3EB6-7FCF-4E1C-8B20-9C43EDB5DC3D}"/>
    <cellStyle name="Normal 7 5" xfId="3979" xr:uid="{00000000-0005-0000-0000-000026110000}"/>
    <cellStyle name="Normal 7 5 2" xfId="10156" xr:uid="{D9401E08-B80A-43B4-BA2B-BD7A12B38CFB}"/>
    <cellStyle name="Normal 7 6" xfId="1332" xr:uid="{00000000-0005-0000-0000-000027110000}"/>
    <cellStyle name="Normal 7 6 2" xfId="7509" xr:uid="{F247640D-FE3D-4106-8570-9F80C9B4F4DF}"/>
    <cellStyle name="Normal 7 7" xfId="6626" xr:uid="{96D62117-A2C7-468B-BA5E-9E9996074136}"/>
    <cellStyle name="Percent" xfId="8" builtinId="5"/>
    <cellStyle name="Percent 2" xfId="9" xr:uid="{00000000-0005-0000-0000-000029110000}"/>
    <cellStyle name="Percent 2 2" xfId="10" xr:uid="{00000000-0005-0000-0000-00002A110000}"/>
    <cellStyle name="Percent 2 2 10" xfId="61" xr:uid="{00000000-0005-0000-0000-00002B110000}"/>
    <cellStyle name="Percent 2 2 10 2" xfId="171" xr:uid="{00000000-0005-0000-0000-00002C110000}"/>
    <cellStyle name="Percent 2 2 10 2 2" xfId="391" xr:uid="{00000000-0005-0000-0000-00002D110000}"/>
    <cellStyle name="Percent 2 2 10 2 2 2" xfId="832" xr:uid="{00000000-0005-0000-0000-00002E110000}"/>
    <cellStyle name="Percent 2 2 10 2 2 2 2" xfId="3480" xr:uid="{00000000-0005-0000-0000-00002F110000}"/>
    <cellStyle name="Percent 2 2 10 2 2 2 2 2" xfId="5674" xr:uid="{00000000-0005-0000-0000-000030110000}"/>
    <cellStyle name="Percent 2 2 10 2 2 2 2 2 2" xfId="11851" xr:uid="{AD4A7928-94CE-4DF6-B31C-700445BCABAE}"/>
    <cellStyle name="Percent 2 2 10 2 2 2 2 3" xfId="9657" xr:uid="{E16E8900-C25C-402F-AF4C-F1953B9C084A}"/>
    <cellStyle name="Percent 2 2 10 2 2 2 3" xfId="2598" xr:uid="{00000000-0005-0000-0000-000031110000}"/>
    <cellStyle name="Percent 2 2 10 2 2 2 3 2" xfId="5675" xr:uid="{00000000-0005-0000-0000-000032110000}"/>
    <cellStyle name="Percent 2 2 10 2 2 2 3 2 2" xfId="11852" xr:uid="{B07A1BFB-A65C-463D-89FF-C2158BB82BC4}"/>
    <cellStyle name="Percent 2 2 10 2 2 2 3 3" xfId="8775" xr:uid="{9AB6B836-4507-44B4-8CC9-2D6B98F6C423}"/>
    <cellStyle name="Percent 2 2 10 2 2 2 4" xfId="4362" xr:uid="{00000000-0005-0000-0000-000033110000}"/>
    <cellStyle name="Percent 2 2 10 2 2 2 4 2" xfId="10539" xr:uid="{4E647882-D333-4DFB-B862-9DA5C9E3867E}"/>
    <cellStyle name="Percent 2 2 10 2 2 2 5" xfId="1715" xr:uid="{00000000-0005-0000-0000-000034110000}"/>
    <cellStyle name="Percent 2 2 10 2 2 2 5 2" xfId="7892" xr:uid="{C975D718-E0D7-437F-92D7-5E94AE838206}"/>
    <cellStyle name="Percent 2 2 10 2 2 2 6" xfId="7009" xr:uid="{4C44F470-311F-4058-AC04-44B86B236A6A}"/>
    <cellStyle name="Percent 2 2 10 2 2 3" xfId="3039" xr:uid="{00000000-0005-0000-0000-000035110000}"/>
    <cellStyle name="Percent 2 2 10 2 2 3 2" xfId="5676" xr:uid="{00000000-0005-0000-0000-000036110000}"/>
    <cellStyle name="Percent 2 2 10 2 2 3 2 2" xfId="11853" xr:uid="{3992F5DE-2B52-4D83-88F4-DBA6043FD155}"/>
    <cellStyle name="Percent 2 2 10 2 2 3 3" xfId="9216" xr:uid="{74516C7D-69A5-49A2-8C8E-17B3B0C1E553}"/>
    <cellStyle name="Percent 2 2 10 2 2 4" xfId="2157" xr:uid="{00000000-0005-0000-0000-000037110000}"/>
    <cellStyle name="Percent 2 2 10 2 2 4 2" xfId="5677" xr:uid="{00000000-0005-0000-0000-000038110000}"/>
    <cellStyle name="Percent 2 2 10 2 2 4 2 2" xfId="11854" xr:uid="{C1E48A6E-BC5C-4046-9FE2-B179F8CF84BB}"/>
    <cellStyle name="Percent 2 2 10 2 2 4 3" xfId="8334" xr:uid="{9D8D22A3-6B4D-4D3F-A623-94C6F826C692}"/>
    <cellStyle name="Percent 2 2 10 2 2 5" xfId="3921" xr:uid="{00000000-0005-0000-0000-000039110000}"/>
    <cellStyle name="Percent 2 2 10 2 2 5 2" xfId="10098" xr:uid="{482FA3C3-7D4A-421F-A7AC-92F6819DED31}"/>
    <cellStyle name="Percent 2 2 10 2 2 6" xfId="1274" xr:uid="{00000000-0005-0000-0000-00003A110000}"/>
    <cellStyle name="Percent 2 2 10 2 2 6 2" xfId="7451" xr:uid="{2C8D6C64-B9A6-4153-AAEC-F33DA4C249C7}"/>
    <cellStyle name="Percent 2 2 10 2 2 7" xfId="6568" xr:uid="{92478EE7-355A-4299-A006-73E4F6AC492F}"/>
    <cellStyle name="Percent 2 2 10 2 3" xfId="612" xr:uid="{00000000-0005-0000-0000-00003B110000}"/>
    <cellStyle name="Percent 2 2 10 2 3 2" xfId="3260" xr:uid="{00000000-0005-0000-0000-00003C110000}"/>
    <cellStyle name="Percent 2 2 10 2 3 2 2" xfId="5678" xr:uid="{00000000-0005-0000-0000-00003D110000}"/>
    <cellStyle name="Percent 2 2 10 2 3 2 2 2" xfId="11855" xr:uid="{8331ACEE-8C92-44D8-85C8-A87B4D1E4E4E}"/>
    <cellStyle name="Percent 2 2 10 2 3 2 3" xfId="9437" xr:uid="{0585BB02-D12C-49EC-B539-2128A078FB69}"/>
    <cellStyle name="Percent 2 2 10 2 3 3" xfId="2378" xr:uid="{00000000-0005-0000-0000-00003E110000}"/>
    <cellStyle name="Percent 2 2 10 2 3 3 2" xfId="5679" xr:uid="{00000000-0005-0000-0000-00003F110000}"/>
    <cellStyle name="Percent 2 2 10 2 3 3 2 2" xfId="11856" xr:uid="{AED14DB5-1BF3-4FE6-9502-5A7F21962E77}"/>
    <cellStyle name="Percent 2 2 10 2 3 3 3" xfId="8555" xr:uid="{A2EB1061-E74B-440C-8C3B-F9C4DF6EECA0}"/>
    <cellStyle name="Percent 2 2 10 2 3 4" xfId="4142" xr:uid="{00000000-0005-0000-0000-000040110000}"/>
    <cellStyle name="Percent 2 2 10 2 3 4 2" xfId="10319" xr:uid="{D2A4B5B3-56B7-4AFA-9700-48CFE114FA27}"/>
    <cellStyle name="Percent 2 2 10 2 3 5" xfId="1495" xr:uid="{00000000-0005-0000-0000-000041110000}"/>
    <cellStyle name="Percent 2 2 10 2 3 5 2" xfId="7672" xr:uid="{36407093-73C6-4328-BE49-64C275D099C1}"/>
    <cellStyle name="Percent 2 2 10 2 3 6" xfId="6789" xr:uid="{0EB0ED76-0470-4714-AE22-78DA4DCFB4FD}"/>
    <cellStyle name="Percent 2 2 10 2 4" xfId="2819" xr:uid="{00000000-0005-0000-0000-000042110000}"/>
    <cellStyle name="Percent 2 2 10 2 4 2" xfId="5680" xr:uid="{00000000-0005-0000-0000-000043110000}"/>
    <cellStyle name="Percent 2 2 10 2 4 2 2" xfId="11857" xr:uid="{6C418A33-CED7-4F0C-AE67-DF4B94E9018A}"/>
    <cellStyle name="Percent 2 2 10 2 4 3" xfId="8996" xr:uid="{B37AC499-CF8C-457E-BB82-663713A538FA}"/>
    <cellStyle name="Percent 2 2 10 2 5" xfId="1937" xr:uid="{00000000-0005-0000-0000-000044110000}"/>
    <cellStyle name="Percent 2 2 10 2 5 2" xfId="5681" xr:uid="{00000000-0005-0000-0000-000045110000}"/>
    <cellStyle name="Percent 2 2 10 2 5 2 2" xfId="11858" xr:uid="{3F77095D-E35D-4C67-8D08-4AAF85EB37E5}"/>
    <cellStyle name="Percent 2 2 10 2 5 3" xfId="8114" xr:uid="{3DB4A518-CBD9-4934-A4B6-814FC5352842}"/>
    <cellStyle name="Percent 2 2 10 2 6" xfId="3701" xr:uid="{00000000-0005-0000-0000-000046110000}"/>
    <cellStyle name="Percent 2 2 10 2 6 2" xfId="9878" xr:uid="{9E4116C4-5644-4464-80AB-05E25A731A79}"/>
    <cellStyle name="Percent 2 2 10 2 7" xfId="1054" xr:uid="{00000000-0005-0000-0000-000047110000}"/>
    <cellStyle name="Percent 2 2 10 2 7 2" xfId="7231" xr:uid="{B547ED4D-43A4-40EC-B08E-FFC13860C1D0}"/>
    <cellStyle name="Percent 2 2 10 2 8" xfId="6348" xr:uid="{046AB789-FC2D-4252-ACE5-FD3C272E9052}"/>
    <cellStyle name="Percent 2 2 10 3" xfId="281" xr:uid="{00000000-0005-0000-0000-000048110000}"/>
    <cellStyle name="Percent 2 2 10 3 2" xfId="722" xr:uid="{00000000-0005-0000-0000-000049110000}"/>
    <cellStyle name="Percent 2 2 10 3 2 2" xfId="3370" xr:uid="{00000000-0005-0000-0000-00004A110000}"/>
    <cellStyle name="Percent 2 2 10 3 2 2 2" xfId="5682" xr:uid="{00000000-0005-0000-0000-00004B110000}"/>
    <cellStyle name="Percent 2 2 10 3 2 2 2 2" xfId="11859" xr:uid="{0F736318-4640-4BDE-9722-D9AF399F3155}"/>
    <cellStyle name="Percent 2 2 10 3 2 2 3" xfId="9547" xr:uid="{436428B7-D623-4D71-91F4-0C57C3260980}"/>
    <cellStyle name="Percent 2 2 10 3 2 3" xfId="2488" xr:uid="{00000000-0005-0000-0000-00004C110000}"/>
    <cellStyle name="Percent 2 2 10 3 2 3 2" xfId="5683" xr:uid="{00000000-0005-0000-0000-00004D110000}"/>
    <cellStyle name="Percent 2 2 10 3 2 3 2 2" xfId="11860" xr:uid="{22BF4ACB-D747-4F70-BEBA-09E53D88CB4D}"/>
    <cellStyle name="Percent 2 2 10 3 2 3 3" xfId="8665" xr:uid="{5A19ADC0-4C6F-4820-8D21-5695A76F749C}"/>
    <cellStyle name="Percent 2 2 10 3 2 4" xfId="4252" xr:uid="{00000000-0005-0000-0000-00004E110000}"/>
    <cellStyle name="Percent 2 2 10 3 2 4 2" xfId="10429" xr:uid="{0FF88901-6EF5-4297-BBD8-106A9052CC88}"/>
    <cellStyle name="Percent 2 2 10 3 2 5" xfId="1605" xr:uid="{00000000-0005-0000-0000-00004F110000}"/>
    <cellStyle name="Percent 2 2 10 3 2 5 2" xfId="7782" xr:uid="{60432A09-36B4-4FAA-B8DD-837AE953A06F}"/>
    <cellStyle name="Percent 2 2 10 3 2 6" xfId="6899" xr:uid="{A891919C-858B-480B-977F-A97AFB0A6DA3}"/>
    <cellStyle name="Percent 2 2 10 3 3" xfId="2929" xr:uid="{00000000-0005-0000-0000-000050110000}"/>
    <cellStyle name="Percent 2 2 10 3 3 2" xfId="5684" xr:uid="{00000000-0005-0000-0000-000051110000}"/>
    <cellStyle name="Percent 2 2 10 3 3 2 2" xfId="11861" xr:uid="{0A1647AA-2E54-492B-89F7-0601271E208F}"/>
    <cellStyle name="Percent 2 2 10 3 3 3" xfId="9106" xr:uid="{E28A7F31-7615-4AFD-A526-3CB1774E7F4E}"/>
    <cellStyle name="Percent 2 2 10 3 4" xfId="2047" xr:uid="{00000000-0005-0000-0000-000052110000}"/>
    <cellStyle name="Percent 2 2 10 3 4 2" xfId="5685" xr:uid="{00000000-0005-0000-0000-000053110000}"/>
    <cellStyle name="Percent 2 2 10 3 4 2 2" xfId="11862" xr:uid="{0567AACB-641D-40B4-B02D-19ABB20FE1D4}"/>
    <cellStyle name="Percent 2 2 10 3 4 3" xfId="8224" xr:uid="{09D61567-488E-49B6-832C-3C2F0F1048F3}"/>
    <cellStyle name="Percent 2 2 10 3 5" xfId="3811" xr:uid="{00000000-0005-0000-0000-000054110000}"/>
    <cellStyle name="Percent 2 2 10 3 5 2" xfId="9988" xr:uid="{47D4EE44-E600-4938-A219-A890A12ABC0A}"/>
    <cellStyle name="Percent 2 2 10 3 6" xfId="1164" xr:uid="{00000000-0005-0000-0000-000055110000}"/>
    <cellStyle name="Percent 2 2 10 3 6 2" xfId="7341" xr:uid="{57C140CC-24A1-4503-85D8-2A15763FCF43}"/>
    <cellStyle name="Percent 2 2 10 3 7" xfId="6458" xr:uid="{397D0B8B-226E-4676-9804-4D5A9FB1868E}"/>
    <cellStyle name="Percent 2 2 10 4" xfId="502" xr:uid="{00000000-0005-0000-0000-000056110000}"/>
    <cellStyle name="Percent 2 2 10 4 2" xfId="3150" xr:uid="{00000000-0005-0000-0000-000057110000}"/>
    <cellStyle name="Percent 2 2 10 4 2 2" xfId="5686" xr:uid="{00000000-0005-0000-0000-000058110000}"/>
    <cellStyle name="Percent 2 2 10 4 2 2 2" xfId="11863" xr:uid="{0963A60D-94F0-49AE-B375-43958C6F1345}"/>
    <cellStyle name="Percent 2 2 10 4 2 3" xfId="9327" xr:uid="{A9C0738C-FA3F-4F3C-AD2F-51C423AA5BF8}"/>
    <cellStyle name="Percent 2 2 10 4 3" xfId="2268" xr:uid="{00000000-0005-0000-0000-000059110000}"/>
    <cellStyle name="Percent 2 2 10 4 3 2" xfId="5687" xr:uid="{00000000-0005-0000-0000-00005A110000}"/>
    <cellStyle name="Percent 2 2 10 4 3 2 2" xfId="11864" xr:uid="{E95F1F42-6602-48A3-8707-F16152935AAB}"/>
    <cellStyle name="Percent 2 2 10 4 3 3" xfId="8445" xr:uid="{415F439D-ECA3-491F-B679-5F7CB475C7C7}"/>
    <cellStyle name="Percent 2 2 10 4 4" xfId="4032" xr:uid="{00000000-0005-0000-0000-00005B110000}"/>
    <cellStyle name="Percent 2 2 10 4 4 2" xfId="10209" xr:uid="{D7CE88FD-E223-4D1D-BD42-068E41CD0CB6}"/>
    <cellStyle name="Percent 2 2 10 4 5" xfId="1385" xr:uid="{00000000-0005-0000-0000-00005C110000}"/>
    <cellStyle name="Percent 2 2 10 4 5 2" xfId="7562" xr:uid="{33A911C9-6403-47C4-B7A0-8DDEC84BB56C}"/>
    <cellStyle name="Percent 2 2 10 4 6" xfId="6679" xr:uid="{65E80E45-78C3-48EA-90FE-055C1424921E}"/>
    <cellStyle name="Percent 2 2 10 5" xfId="2709" xr:uid="{00000000-0005-0000-0000-00005D110000}"/>
    <cellStyle name="Percent 2 2 10 5 2" xfId="5688" xr:uid="{00000000-0005-0000-0000-00005E110000}"/>
    <cellStyle name="Percent 2 2 10 5 2 2" xfId="11865" xr:uid="{3BA27C45-4F14-4671-8B6C-7A8EC48F49CA}"/>
    <cellStyle name="Percent 2 2 10 5 3" xfId="8886" xr:uid="{FEF0CDED-4F79-4DA4-8859-2138E8A9CDE0}"/>
    <cellStyle name="Percent 2 2 10 6" xfId="1827" xr:uid="{00000000-0005-0000-0000-00005F110000}"/>
    <cellStyle name="Percent 2 2 10 6 2" xfId="5689" xr:uid="{00000000-0005-0000-0000-000060110000}"/>
    <cellStyle name="Percent 2 2 10 6 2 2" xfId="11866" xr:uid="{AEF96BC1-A632-4CA1-992F-78C15806C096}"/>
    <cellStyle name="Percent 2 2 10 6 3" xfId="8004" xr:uid="{0F497DB5-B0AD-46B5-9387-0257CF774142}"/>
    <cellStyle name="Percent 2 2 10 7" xfId="3591" xr:uid="{00000000-0005-0000-0000-000061110000}"/>
    <cellStyle name="Percent 2 2 10 7 2" xfId="9768" xr:uid="{8CB07E0E-BB04-4765-9DCE-1BA4CD93B9A3}"/>
    <cellStyle name="Percent 2 2 10 8" xfId="944" xr:uid="{00000000-0005-0000-0000-000062110000}"/>
    <cellStyle name="Percent 2 2 10 8 2" xfId="7121" xr:uid="{FC1C8F00-5576-45DB-90EB-FDCE6CBA44EC}"/>
    <cellStyle name="Percent 2 2 10 9" xfId="6238" xr:uid="{58055FFE-6052-491B-85A8-7AA5717C3C8F}"/>
    <cellStyle name="Percent 2 2 11" xfId="77" xr:uid="{00000000-0005-0000-0000-000063110000}"/>
    <cellStyle name="Percent 2 2 11 2" xfId="187" xr:uid="{00000000-0005-0000-0000-000064110000}"/>
    <cellStyle name="Percent 2 2 11 2 2" xfId="407" xr:uid="{00000000-0005-0000-0000-000065110000}"/>
    <cellStyle name="Percent 2 2 11 2 2 2" xfId="848" xr:uid="{00000000-0005-0000-0000-000066110000}"/>
    <cellStyle name="Percent 2 2 11 2 2 2 2" xfId="3496" xr:uid="{00000000-0005-0000-0000-000067110000}"/>
    <cellStyle name="Percent 2 2 11 2 2 2 2 2" xfId="5690" xr:uid="{00000000-0005-0000-0000-000068110000}"/>
    <cellStyle name="Percent 2 2 11 2 2 2 2 2 2" xfId="11867" xr:uid="{3AA36657-07F6-4BF8-A522-3AE0D286F717}"/>
    <cellStyle name="Percent 2 2 11 2 2 2 2 3" xfId="9673" xr:uid="{46155E51-E61D-4F0D-9B8F-8F13E3DC676D}"/>
    <cellStyle name="Percent 2 2 11 2 2 2 3" xfId="2614" xr:uid="{00000000-0005-0000-0000-000069110000}"/>
    <cellStyle name="Percent 2 2 11 2 2 2 3 2" xfId="5691" xr:uid="{00000000-0005-0000-0000-00006A110000}"/>
    <cellStyle name="Percent 2 2 11 2 2 2 3 2 2" xfId="11868" xr:uid="{54607766-71F9-4944-A2ED-2B873392B965}"/>
    <cellStyle name="Percent 2 2 11 2 2 2 3 3" xfId="8791" xr:uid="{25083580-9CD4-4E44-BA68-5D22A9D48B7E}"/>
    <cellStyle name="Percent 2 2 11 2 2 2 4" xfId="4378" xr:uid="{00000000-0005-0000-0000-00006B110000}"/>
    <cellStyle name="Percent 2 2 11 2 2 2 4 2" xfId="10555" xr:uid="{1B430457-C28F-484E-BB22-3E8999B1273D}"/>
    <cellStyle name="Percent 2 2 11 2 2 2 5" xfId="1731" xr:uid="{00000000-0005-0000-0000-00006C110000}"/>
    <cellStyle name="Percent 2 2 11 2 2 2 5 2" xfId="7908" xr:uid="{5803AF62-AABE-4C76-B1E7-8AD227347B1C}"/>
    <cellStyle name="Percent 2 2 11 2 2 2 6" xfId="7025" xr:uid="{58D4647E-8D94-47E5-AB77-B1611EFD8074}"/>
    <cellStyle name="Percent 2 2 11 2 2 3" xfId="3055" xr:uid="{00000000-0005-0000-0000-00006D110000}"/>
    <cellStyle name="Percent 2 2 11 2 2 3 2" xfId="5692" xr:uid="{00000000-0005-0000-0000-00006E110000}"/>
    <cellStyle name="Percent 2 2 11 2 2 3 2 2" xfId="11869" xr:uid="{FB836886-1860-4539-AFB1-949E83558C5E}"/>
    <cellStyle name="Percent 2 2 11 2 2 3 3" xfId="9232" xr:uid="{4654EC10-F50B-49C7-848B-C81ABA5511CA}"/>
    <cellStyle name="Percent 2 2 11 2 2 4" xfId="2173" xr:uid="{00000000-0005-0000-0000-00006F110000}"/>
    <cellStyle name="Percent 2 2 11 2 2 4 2" xfId="5693" xr:uid="{00000000-0005-0000-0000-000070110000}"/>
    <cellStyle name="Percent 2 2 11 2 2 4 2 2" xfId="11870" xr:uid="{9DF2F678-DC44-440C-8094-81A7C33A8164}"/>
    <cellStyle name="Percent 2 2 11 2 2 4 3" xfId="8350" xr:uid="{7EF41B16-D4EF-42D0-985B-1547E3FAE223}"/>
    <cellStyle name="Percent 2 2 11 2 2 5" xfId="3937" xr:uid="{00000000-0005-0000-0000-000071110000}"/>
    <cellStyle name="Percent 2 2 11 2 2 5 2" xfId="10114" xr:uid="{7AB6F965-C48C-4F8D-9A4C-B536478737C5}"/>
    <cellStyle name="Percent 2 2 11 2 2 6" xfId="1290" xr:uid="{00000000-0005-0000-0000-000072110000}"/>
    <cellStyle name="Percent 2 2 11 2 2 6 2" xfId="7467" xr:uid="{3DED8D71-DD2B-4662-A17D-4B2F191BB2AB}"/>
    <cellStyle name="Percent 2 2 11 2 2 7" xfId="6584" xr:uid="{7E45CAA3-B445-4DE1-A3F0-31B765F2B4D5}"/>
    <cellStyle name="Percent 2 2 11 2 3" xfId="628" xr:uid="{00000000-0005-0000-0000-000073110000}"/>
    <cellStyle name="Percent 2 2 11 2 3 2" xfId="3276" xr:uid="{00000000-0005-0000-0000-000074110000}"/>
    <cellStyle name="Percent 2 2 11 2 3 2 2" xfId="5694" xr:uid="{00000000-0005-0000-0000-000075110000}"/>
    <cellStyle name="Percent 2 2 11 2 3 2 2 2" xfId="11871" xr:uid="{972627F4-3C0A-4F1A-9110-632AF1B3DEC1}"/>
    <cellStyle name="Percent 2 2 11 2 3 2 3" xfId="9453" xr:uid="{C0B7C125-4333-4702-B391-67BDC9266E48}"/>
    <cellStyle name="Percent 2 2 11 2 3 3" xfId="2394" xr:uid="{00000000-0005-0000-0000-000076110000}"/>
    <cellStyle name="Percent 2 2 11 2 3 3 2" xfId="5695" xr:uid="{00000000-0005-0000-0000-000077110000}"/>
    <cellStyle name="Percent 2 2 11 2 3 3 2 2" xfId="11872" xr:uid="{C12D3A90-59F8-4DD5-BE07-592E4236A6B7}"/>
    <cellStyle name="Percent 2 2 11 2 3 3 3" xfId="8571" xr:uid="{0FE1E698-37B2-4361-BE4F-C7D24AA09809}"/>
    <cellStyle name="Percent 2 2 11 2 3 4" xfId="4158" xr:uid="{00000000-0005-0000-0000-000078110000}"/>
    <cellStyle name="Percent 2 2 11 2 3 4 2" xfId="10335" xr:uid="{4F6240F3-D5BF-4188-840C-CECC186A3138}"/>
    <cellStyle name="Percent 2 2 11 2 3 5" xfId="1511" xr:uid="{00000000-0005-0000-0000-000079110000}"/>
    <cellStyle name="Percent 2 2 11 2 3 5 2" xfId="7688" xr:uid="{76D5DF3F-3984-422A-8147-07068641F9DE}"/>
    <cellStyle name="Percent 2 2 11 2 3 6" xfId="6805" xr:uid="{27C91D6F-495F-435D-9BB0-FBF3CD647D10}"/>
    <cellStyle name="Percent 2 2 11 2 4" xfId="2835" xr:uid="{00000000-0005-0000-0000-00007A110000}"/>
    <cellStyle name="Percent 2 2 11 2 4 2" xfId="5696" xr:uid="{00000000-0005-0000-0000-00007B110000}"/>
    <cellStyle name="Percent 2 2 11 2 4 2 2" xfId="11873" xr:uid="{42478A04-DACC-4B82-AC0F-8561FD72C754}"/>
    <cellStyle name="Percent 2 2 11 2 4 3" xfId="9012" xr:uid="{7431D27E-EEF9-4E0F-B3B4-A634F974E110}"/>
    <cellStyle name="Percent 2 2 11 2 5" xfId="1953" xr:uid="{00000000-0005-0000-0000-00007C110000}"/>
    <cellStyle name="Percent 2 2 11 2 5 2" xfId="5697" xr:uid="{00000000-0005-0000-0000-00007D110000}"/>
    <cellStyle name="Percent 2 2 11 2 5 2 2" xfId="11874" xr:uid="{EE1623BD-1BC2-4E8C-B4BF-A6F63B4334C3}"/>
    <cellStyle name="Percent 2 2 11 2 5 3" xfId="8130" xr:uid="{2DE89272-9F52-4194-9988-464B7C7CC1A6}"/>
    <cellStyle name="Percent 2 2 11 2 6" xfId="3717" xr:uid="{00000000-0005-0000-0000-00007E110000}"/>
    <cellStyle name="Percent 2 2 11 2 6 2" xfId="9894" xr:uid="{007F28B7-9AAE-4335-9ADC-EA2C51985354}"/>
    <cellStyle name="Percent 2 2 11 2 7" xfId="1070" xr:uid="{00000000-0005-0000-0000-00007F110000}"/>
    <cellStyle name="Percent 2 2 11 2 7 2" xfId="7247" xr:uid="{2DD2B586-8034-48F2-BABD-3621F123F6FC}"/>
    <cellStyle name="Percent 2 2 11 2 8" xfId="6364" xr:uid="{E4EEA9A3-CB60-4F60-9637-E464F242A3FA}"/>
    <cellStyle name="Percent 2 2 11 3" xfId="297" xr:uid="{00000000-0005-0000-0000-000080110000}"/>
    <cellStyle name="Percent 2 2 11 3 2" xfId="738" xr:uid="{00000000-0005-0000-0000-000081110000}"/>
    <cellStyle name="Percent 2 2 11 3 2 2" xfId="3386" xr:uid="{00000000-0005-0000-0000-000082110000}"/>
    <cellStyle name="Percent 2 2 11 3 2 2 2" xfId="5698" xr:uid="{00000000-0005-0000-0000-000083110000}"/>
    <cellStyle name="Percent 2 2 11 3 2 2 2 2" xfId="11875" xr:uid="{39A48795-CA36-4515-8A84-36846284D057}"/>
    <cellStyle name="Percent 2 2 11 3 2 2 3" xfId="9563" xr:uid="{36F72A6A-DEA8-4AE6-B3B3-DD19D95DFCC5}"/>
    <cellStyle name="Percent 2 2 11 3 2 3" xfId="2504" xr:uid="{00000000-0005-0000-0000-000084110000}"/>
    <cellStyle name="Percent 2 2 11 3 2 3 2" xfId="5699" xr:uid="{00000000-0005-0000-0000-000085110000}"/>
    <cellStyle name="Percent 2 2 11 3 2 3 2 2" xfId="11876" xr:uid="{F38EC547-35CD-4AF0-99E4-E40700CFD5C4}"/>
    <cellStyle name="Percent 2 2 11 3 2 3 3" xfId="8681" xr:uid="{CCF84CC7-D826-4F20-A7EA-BB3F82B7A0B5}"/>
    <cellStyle name="Percent 2 2 11 3 2 4" xfId="4268" xr:uid="{00000000-0005-0000-0000-000086110000}"/>
    <cellStyle name="Percent 2 2 11 3 2 4 2" xfId="10445" xr:uid="{551758A4-284F-4267-9D9C-687A48D43BD6}"/>
    <cellStyle name="Percent 2 2 11 3 2 5" xfId="1621" xr:uid="{00000000-0005-0000-0000-000087110000}"/>
    <cellStyle name="Percent 2 2 11 3 2 5 2" xfId="7798" xr:uid="{38F44A89-66CA-4CE5-8236-BF138F19FEAA}"/>
    <cellStyle name="Percent 2 2 11 3 2 6" xfId="6915" xr:uid="{097A6022-E33A-4678-865D-8AED437F6EC3}"/>
    <cellStyle name="Percent 2 2 11 3 3" xfId="2945" xr:uid="{00000000-0005-0000-0000-000088110000}"/>
    <cellStyle name="Percent 2 2 11 3 3 2" xfId="5700" xr:uid="{00000000-0005-0000-0000-000089110000}"/>
    <cellStyle name="Percent 2 2 11 3 3 2 2" xfId="11877" xr:uid="{BF5EF241-4326-4162-9F53-709E6C99329C}"/>
    <cellStyle name="Percent 2 2 11 3 3 3" xfId="9122" xr:uid="{AFDDFA58-9F60-43A2-9AB5-69FD068C5404}"/>
    <cellStyle name="Percent 2 2 11 3 4" xfId="2063" xr:uid="{00000000-0005-0000-0000-00008A110000}"/>
    <cellStyle name="Percent 2 2 11 3 4 2" xfId="5701" xr:uid="{00000000-0005-0000-0000-00008B110000}"/>
    <cellStyle name="Percent 2 2 11 3 4 2 2" xfId="11878" xr:uid="{099A9A54-DEE8-49B6-AF76-0BB91C09A919}"/>
    <cellStyle name="Percent 2 2 11 3 4 3" xfId="8240" xr:uid="{F1E58F28-E771-4233-B679-E86F99B0BB27}"/>
    <cellStyle name="Percent 2 2 11 3 5" xfId="3827" xr:uid="{00000000-0005-0000-0000-00008C110000}"/>
    <cellStyle name="Percent 2 2 11 3 5 2" xfId="10004" xr:uid="{2B530527-F3F8-4EC7-AFE7-3F685AE5062B}"/>
    <cellStyle name="Percent 2 2 11 3 6" xfId="1180" xr:uid="{00000000-0005-0000-0000-00008D110000}"/>
    <cellStyle name="Percent 2 2 11 3 6 2" xfId="7357" xr:uid="{749B37B2-94FC-4120-AB3F-BB59A396D4EB}"/>
    <cellStyle name="Percent 2 2 11 3 7" xfId="6474" xr:uid="{1E457C46-1F05-409F-A05E-17C3CFB062F7}"/>
    <cellStyle name="Percent 2 2 11 4" xfId="518" xr:uid="{00000000-0005-0000-0000-00008E110000}"/>
    <cellStyle name="Percent 2 2 11 4 2" xfId="3166" xr:uid="{00000000-0005-0000-0000-00008F110000}"/>
    <cellStyle name="Percent 2 2 11 4 2 2" xfId="5702" xr:uid="{00000000-0005-0000-0000-000090110000}"/>
    <cellStyle name="Percent 2 2 11 4 2 2 2" xfId="11879" xr:uid="{7D7E5E5C-973B-4FD9-B704-24D911B31B37}"/>
    <cellStyle name="Percent 2 2 11 4 2 3" xfId="9343" xr:uid="{AE22F338-D9DF-48DF-A701-DE073B678708}"/>
    <cellStyle name="Percent 2 2 11 4 3" xfId="2284" xr:uid="{00000000-0005-0000-0000-000091110000}"/>
    <cellStyle name="Percent 2 2 11 4 3 2" xfId="5703" xr:uid="{00000000-0005-0000-0000-000092110000}"/>
    <cellStyle name="Percent 2 2 11 4 3 2 2" xfId="11880" xr:uid="{9846771F-9A4B-40AA-B74B-6A32E5406BF2}"/>
    <cellStyle name="Percent 2 2 11 4 3 3" xfId="8461" xr:uid="{A6488A91-12E2-4F8F-920D-2BEBCB9D95EF}"/>
    <cellStyle name="Percent 2 2 11 4 4" xfId="4048" xr:uid="{00000000-0005-0000-0000-000093110000}"/>
    <cellStyle name="Percent 2 2 11 4 4 2" xfId="10225" xr:uid="{9B1A6F80-929D-490E-ACB2-091A868DF278}"/>
    <cellStyle name="Percent 2 2 11 4 5" xfId="1401" xr:uid="{00000000-0005-0000-0000-000094110000}"/>
    <cellStyle name="Percent 2 2 11 4 5 2" xfId="7578" xr:uid="{FD567169-8AE0-4477-A4C1-B5F2A553C878}"/>
    <cellStyle name="Percent 2 2 11 4 6" xfId="6695" xr:uid="{2F0C2B75-E1CA-4861-A4BB-5F64D88C3321}"/>
    <cellStyle name="Percent 2 2 11 5" xfId="2725" xr:uid="{00000000-0005-0000-0000-000095110000}"/>
    <cellStyle name="Percent 2 2 11 5 2" xfId="5704" xr:uid="{00000000-0005-0000-0000-000096110000}"/>
    <cellStyle name="Percent 2 2 11 5 2 2" xfId="11881" xr:uid="{57D3C002-B044-44C2-A471-5A68EFAB1A42}"/>
    <cellStyle name="Percent 2 2 11 5 3" xfId="8902" xr:uid="{45B5E73D-AB5C-452E-BF83-4D084C9EF163}"/>
    <cellStyle name="Percent 2 2 11 6" xfId="1843" xr:uid="{00000000-0005-0000-0000-000097110000}"/>
    <cellStyle name="Percent 2 2 11 6 2" xfId="5705" xr:uid="{00000000-0005-0000-0000-000098110000}"/>
    <cellStyle name="Percent 2 2 11 6 2 2" xfId="11882" xr:uid="{DB2A0622-72F8-4CCB-BB82-D31503F1428F}"/>
    <cellStyle name="Percent 2 2 11 6 3" xfId="8020" xr:uid="{AEAB98DE-3F8A-4BB6-A3EB-3C61406179B1}"/>
    <cellStyle name="Percent 2 2 11 7" xfId="3607" xr:uid="{00000000-0005-0000-0000-000099110000}"/>
    <cellStyle name="Percent 2 2 11 7 2" xfId="9784" xr:uid="{497712E5-C825-466B-852D-3BED7FCDCDEF}"/>
    <cellStyle name="Percent 2 2 11 8" xfId="960" xr:uid="{00000000-0005-0000-0000-00009A110000}"/>
    <cellStyle name="Percent 2 2 11 8 2" xfId="7137" xr:uid="{37DFB0F4-72B7-4CBD-AE7B-B31F2DCE3E6D}"/>
    <cellStyle name="Percent 2 2 11 9" xfId="6254" xr:uid="{3D490A26-89DC-40FD-9D47-263058A92D15}"/>
    <cellStyle name="Percent 2 2 12" xfId="121" xr:uid="{00000000-0005-0000-0000-00009B110000}"/>
    <cellStyle name="Percent 2 2 12 2" xfId="341" xr:uid="{00000000-0005-0000-0000-00009C110000}"/>
    <cellStyle name="Percent 2 2 12 2 2" xfId="782" xr:uid="{00000000-0005-0000-0000-00009D110000}"/>
    <cellStyle name="Percent 2 2 12 2 2 2" xfId="3430" xr:uid="{00000000-0005-0000-0000-00009E110000}"/>
    <cellStyle name="Percent 2 2 12 2 2 2 2" xfId="5706" xr:uid="{00000000-0005-0000-0000-00009F110000}"/>
    <cellStyle name="Percent 2 2 12 2 2 2 2 2" xfId="11883" xr:uid="{5A4C84D6-FFFA-4324-9B77-E3A9622E65F6}"/>
    <cellStyle name="Percent 2 2 12 2 2 2 3" xfId="9607" xr:uid="{3DF43D95-B058-4869-BA3D-98E98CBD811D}"/>
    <cellStyle name="Percent 2 2 12 2 2 3" xfId="2548" xr:uid="{00000000-0005-0000-0000-0000A0110000}"/>
    <cellStyle name="Percent 2 2 12 2 2 3 2" xfId="5707" xr:uid="{00000000-0005-0000-0000-0000A1110000}"/>
    <cellStyle name="Percent 2 2 12 2 2 3 2 2" xfId="11884" xr:uid="{6AD46397-B765-4CA7-8314-D7A8CB7A0A20}"/>
    <cellStyle name="Percent 2 2 12 2 2 3 3" xfId="8725" xr:uid="{86EA9AC2-F7B9-44C7-B630-B682DEDBECD4}"/>
    <cellStyle name="Percent 2 2 12 2 2 4" xfId="4312" xr:uid="{00000000-0005-0000-0000-0000A2110000}"/>
    <cellStyle name="Percent 2 2 12 2 2 4 2" xfId="10489" xr:uid="{DB1F2C85-265D-44AF-897B-2B500C9EA49C}"/>
    <cellStyle name="Percent 2 2 12 2 2 5" xfId="1665" xr:uid="{00000000-0005-0000-0000-0000A3110000}"/>
    <cellStyle name="Percent 2 2 12 2 2 5 2" xfId="7842" xr:uid="{E452B872-C99D-4C55-8CEE-E8847706D502}"/>
    <cellStyle name="Percent 2 2 12 2 2 6" xfId="6959" xr:uid="{43C76E9F-D805-4174-A5E5-0B5CD6A4AB44}"/>
    <cellStyle name="Percent 2 2 12 2 3" xfId="2989" xr:uid="{00000000-0005-0000-0000-0000A4110000}"/>
    <cellStyle name="Percent 2 2 12 2 3 2" xfId="5708" xr:uid="{00000000-0005-0000-0000-0000A5110000}"/>
    <cellStyle name="Percent 2 2 12 2 3 2 2" xfId="11885" xr:uid="{9FCCBCB8-C4D4-4AEC-86EA-1A22C9742843}"/>
    <cellStyle name="Percent 2 2 12 2 3 3" xfId="9166" xr:uid="{8D48DBDB-4543-4134-86E6-D5CB685FB3E6}"/>
    <cellStyle name="Percent 2 2 12 2 4" xfId="2107" xr:uid="{00000000-0005-0000-0000-0000A6110000}"/>
    <cellStyle name="Percent 2 2 12 2 4 2" xfId="5709" xr:uid="{00000000-0005-0000-0000-0000A7110000}"/>
    <cellStyle name="Percent 2 2 12 2 4 2 2" xfId="11886" xr:uid="{C0580FF7-167A-48D6-842F-8F556B5FDDF7}"/>
    <cellStyle name="Percent 2 2 12 2 4 3" xfId="8284" xr:uid="{1CF685ED-9442-4430-AB85-3926BBB1659B}"/>
    <cellStyle name="Percent 2 2 12 2 5" xfId="3871" xr:uid="{00000000-0005-0000-0000-0000A8110000}"/>
    <cellStyle name="Percent 2 2 12 2 5 2" xfId="10048" xr:uid="{08A5D0E8-3290-46F4-B4A8-EE0303FF2F61}"/>
    <cellStyle name="Percent 2 2 12 2 6" xfId="1224" xr:uid="{00000000-0005-0000-0000-0000A9110000}"/>
    <cellStyle name="Percent 2 2 12 2 6 2" xfId="7401" xr:uid="{44681C6C-E349-4FA8-AF15-23A2F0475C21}"/>
    <cellStyle name="Percent 2 2 12 2 7" xfId="6518" xr:uid="{DDACD66B-D652-48A8-8947-33CC75342519}"/>
    <cellStyle name="Percent 2 2 12 3" xfId="562" xr:uid="{00000000-0005-0000-0000-0000AA110000}"/>
    <cellStyle name="Percent 2 2 12 3 2" xfId="3210" xr:uid="{00000000-0005-0000-0000-0000AB110000}"/>
    <cellStyle name="Percent 2 2 12 3 2 2" xfId="5710" xr:uid="{00000000-0005-0000-0000-0000AC110000}"/>
    <cellStyle name="Percent 2 2 12 3 2 2 2" xfId="11887" xr:uid="{45B44050-DA01-47B8-9DFF-52096C527F28}"/>
    <cellStyle name="Percent 2 2 12 3 2 3" xfId="9387" xr:uid="{5E238409-33FB-4328-B0FD-1A23BA7D7B1E}"/>
    <cellStyle name="Percent 2 2 12 3 3" xfId="2328" xr:uid="{00000000-0005-0000-0000-0000AD110000}"/>
    <cellStyle name="Percent 2 2 12 3 3 2" xfId="5711" xr:uid="{00000000-0005-0000-0000-0000AE110000}"/>
    <cellStyle name="Percent 2 2 12 3 3 2 2" xfId="11888" xr:uid="{71CB3E57-757E-4357-BE14-6F367002BCF2}"/>
    <cellStyle name="Percent 2 2 12 3 3 3" xfId="8505" xr:uid="{AC189208-2A4E-4DF4-A94C-1051A6127509}"/>
    <cellStyle name="Percent 2 2 12 3 4" xfId="4092" xr:uid="{00000000-0005-0000-0000-0000AF110000}"/>
    <cellStyle name="Percent 2 2 12 3 4 2" xfId="10269" xr:uid="{EBE45486-A423-49EC-AB16-95207E6A2AF8}"/>
    <cellStyle name="Percent 2 2 12 3 5" xfId="1445" xr:uid="{00000000-0005-0000-0000-0000B0110000}"/>
    <cellStyle name="Percent 2 2 12 3 5 2" xfId="7622" xr:uid="{85DBE831-69D9-495E-B04E-58333D3F34B7}"/>
    <cellStyle name="Percent 2 2 12 3 6" xfId="6739" xr:uid="{20D578EC-6472-44C5-B6C4-6B0227B58E6F}"/>
    <cellStyle name="Percent 2 2 12 4" xfId="2769" xr:uid="{00000000-0005-0000-0000-0000B1110000}"/>
    <cellStyle name="Percent 2 2 12 4 2" xfId="5712" xr:uid="{00000000-0005-0000-0000-0000B2110000}"/>
    <cellStyle name="Percent 2 2 12 4 2 2" xfId="11889" xr:uid="{4898A40F-848E-4EFA-8A74-71F80165B89A}"/>
    <cellStyle name="Percent 2 2 12 4 3" xfId="8946" xr:uid="{6B73CF04-4D25-41DA-B5F6-E6794B0FD0E6}"/>
    <cellStyle name="Percent 2 2 12 5" xfId="1887" xr:uid="{00000000-0005-0000-0000-0000B3110000}"/>
    <cellStyle name="Percent 2 2 12 5 2" xfId="5713" xr:uid="{00000000-0005-0000-0000-0000B4110000}"/>
    <cellStyle name="Percent 2 2 12 5 2 2" xfId="11890" xr:uid="{D1679C77-2613-45D2-9AAC-43A77921DC6C}"/>
    <cellStyle name="Percent 2 2 12 5 3" xfId="8064" xr:uid="{959F92CC-B17B-4F53-B89A-C0E1B3E025B3}"/>
    <cellStyle name="Percent 2 2 12 6" xfId="3651" xr:uid="{00000000-0005-0000-0000-0000B5110000}"/>
    <cellStyle name="Percent 2 2 12 6 2" xfId="9828" xr:uid="{2F5F1BDD-8729-4B18-AA55-8426A9361811}"/>
    <cellStyle name="Percent 2 2 12 7" xfId="1004" xr:uid="{00000000-0005-0000-0000-0000B6110000}"/>
    <cellStyle name="Percent 2 2 12 7 2" xfId="7181" xr:uid="{AD986384-8089-4C94-B2B5-8571B0C29AD1}"/>
    <cellStyle name="Percent 2 2 12 8" xfId="6298" xr:uid="{7B24DDD6-1F5C-4A1A-A1A6-C75677FC40CB}"/>
    <cellStyle name="Percent 2 2 13" xfId="231" xr:uid="{00000000-0005-0000-0000-0000B7110000}"/>
    <cellStyle name="Percent 2 2 13 2" xfId="672" xr:uid="{00000000-0005-0000-0000-0000B8110000}"/>
    <cellStyle name="Percent 2 2 13 2 2" xfId="3320" xr:uid="{00000000-0005-0000-0000-0000B9110000}"/>
    <cellStyle name="Percent 2 2 13 2 2 2" xfId="5714" xr:uid="{00000000-0005-0000-0000-0000BA110000}"/>
    <cellStyle name="Percent 2 2 13 2 2 2 2" xfId="11891" xr:uid="{8026E3E4-6C67-4302-A667-623E59170ECA}"/>
    <cellStyle name="Percent 2 2 13 2 2 3" xfId="9497" xr:uid="{3BD56FD6-FA6C-40A1-8AFB-6F1B1E988BC2}"/>
    <cellStyle name="Percent 2 2 13 2 3" xfId="2438" xr:uid="{00000000-0005-0000-0000-0000BB110000}"/>
    <cellStyle name="Percent 2 2 13 2 3 2" xfId="5715" xr:uid="{00000000-0005-0000-0000-0000BC110000}"/>
    <cellStyle name="Percent 2 2 13 2 3 2 2" xfId="11892" xr:uid="{36894222-558C-4327-AF00-317021A55C7E}"/>
    <cellStyle name="Percent 2 2 13 2 3 3" xfId="8615" xr:uid="{87E66A6A-17BE-49C6-834A-D21F349DC61B}"/>
    <cellStyle name="Percent 2 2 13 2 4" xfId="4202" xr:uid="{00000000-0005-0000-0000-0000BD110000}"/>
    <cellStyle name="Percent 2 2 13 2 4 2" xfId="10379" xr:uid="{5BFB0F8E-31E4-459F-87FA-09C1A70347CF}"/>
    <cellStyle name="Percent 2 2 13 2 5" xfId="1555" xr:uid="{00000000-0005-0000-0000-0000BE110000}"/>
    <cellStyle name="Percent 2 2 13 2 5 2" xfId="7732" xr:uid="{9BD406A5-2AAC-4D28-A823-550A510BA02A}"/>
    <cellStyle name="Percent 2 2 13 2 6" xfId="6849" xr:uid="{9DEA0E64-994B-4875-9135-8EE5564F09E0}"/>
    <cellStyle name="Percent 2 2 13 3" xfId="2879" xr:uid="{00000000-0005-0000-0000-0000BF110000}"/>
    <cellStyle name="Percent 2 2 13 3 2" xfId="5716" xr:uid="{00000000-0005-0000-0000-0000C0110000}"/>
    <cellStyle name="Percent 2 2 13 3 2 2" xfId="11893" xr:uid="{3C82AAF0-79BE-40BC-8011-8D675633E55A}"/>
    <cellStyle name="Percent 2 2 13 3 3" xfId="9056" xr:uid="{2BDFE595-9BB2-45C3-8B7E-76409C4F573D}"/>
    <cellStyle name="Percent 2 2 13 4" xfId="1997" xr:uid="{00000000-0005-0000-0000-0000C1110000}"/>
    <cellStyle name="Percent 2 2 13 4 2" xfId="5717" xr:uid="{00000000-0005-0000-0000-0000C2110000}"/>
    <cellStyle name="Percent 2 2 13 4 2 2" xfId="11894" xr:uid="{005D229D-FC77-431B-88CD-1406B61C9AEC}"/>
    <cellStyle name="Percent 2 2 13 4 3" xfId="8174" xr:uid="{1BD3E20D-D67F-4EF2-8537-5D50A15FF7E6}"/>
    <cellStyle name="Percent 2 2 13 5" xfId="3761" xr:uid="{00000000-0005-0000-0000-0000C3110000}"/>
    <cellStyle name="Percent 2 2 13 5 2" xfId="9938" xr:uid="{03F66AA4-32EA-4E50-B882-07BF04B14230}"/>
    <cellStyle name="Percent 2 2 13 6" xfId="1114" xr:uid="{00000000-0005-0000-0000-0000C4110000}"/>
    <cellStyle name="Percent 2 2 13 6 2" xfId="7291" xr:uid="{2EE91621-62FF-4700-A0F9-0A8673C22ED9}"/>
    <cellStyle name="Percent 2 2 13 7" xfId="6408" xr:uid="{17F1F32E-76EB-4240-B701-54CE8AC70D5B}"/>
    <cellStyle name="Percent 2 2 14" xfId="452" xr:uid="{00000000-0005-0000-0000-0000C5110000}"/>
    <cellStyle name="Percent 2 2 14 2" xfId="3100" xr:uid="{00000000-0005-0000-0000-0000C6110000}"/>
    <cellStyle name="Percent 2 2 14 2 2" xfId="5718" xr:uid="{00000000-0005-0000-0000-0000C7110000}"/>
    <cellStyle name="Percent 2 2 14 2 2 2" xfId="11895" xr:uid="{7DD4C143-6860-46AA-BB41-2E917EDA0FCB}"/>
    <cellStyle name="Percent 2 2 14 2 3" xfId="9277" xr:uid="{359969D8-D363-40FA-894F-44CA003370E3}"/>
    <cellStyle name="Percent 2 2 14 3" xfId="2218" xr:uid="{00000000-0005-0000-0000-0000C8110000}"/>
    <cellStyle name="Percent 2 2 14 3 2" xfId="5719" xr:uid="{00000000-0005-0000-0000-0000C9110000}"/>
    <cellStyle name="Percent 2 2 14 3 2 2" xfId="11896" xr:uid="{183CB9D1-2902-42CD-88F6-606348AD6416}"/>
    <cellStyle name="Percent 2 2 14 3 3" xfId="8395" xr:uid="{1F247050-3E28-43F9-88FC-AD48972FA568}"/>
    <cellStyle name="Percent 2 2 14 4" xfId="3982" xr:uid="{00000000-0005-0000-0000-0000CA110000}"/>
    <cellStyle name="Percent 2 2 14 4 2" xfId="10159" xr:uid="{FA0C6B2A-1B62-4ABE-BEB4-565EC9B2208B}"/>
    <cellStyle name="Percent 2 2 14 5" xfId="1335" xr:uid="{00000000-0005-0000-0000-0000CB110000}"/>
    <cellStyle name="Percent 2 2 14 5 2" xfId="7512" xr:uid="{6E9174B3-4B27-44DB-9526-DB5F061732BC}"/>
    <cellStyle name="Percent 2 2 14 6" xfId="6629" xr:uid="{9622013C-B700-48CE-B772-6C9A2957AC58}"/>
    <cellStyle name="Percent 2 2 15" xfId="2659" xr:uid="{00000000-0005-0000-0000-0000CC110000}"/>
    <cellStyle name="Percent 2 2 15 2" xfId="5720" xr:uid="{00000000-0005-0000-0000-0000CD110000}"/>
    <cellStyle name="Percent 2 2 15 2 2" xfId="11897" xr:uid="{ECBE965A-A158-4386-9C7C-E274158B5144}"/>
    <cellStyle name="Percent 2 2 15 3" xfId="8836" xr:uid="{024051D3-F534-40A8-9153-98582EE3C4C2}"/>
    <cellStyle name="Percent 2 2 16" xfId="1777" xr:uid="{00000000-0005-0000-0000-0000CE110000}"/>
    <cellStyle name="Percent 2 2 16 2" xfId="5721" xr:uid="{00000000-0005-0000-0000-0000CF110000}"/>
    <cellStyle name="Percent 2 2 16 2 2" xfId="11898" xr:uid="{4BA4ACCC-01A3-4E56-A7CE-448122E26071}"/>
    <cellStyle name="Percent 2 2 16 3" xfId="7954" xr:uid="{4CCC9B68-A68A-4926-BD18-9AC156B743CE}"/>
    <cellStyle name="Percent 2 2 17" xfId="3541" xr:uid="{00000000-0005-0000-0000-0000D0110000}"/>
    <cellStyle name="Percent 2 2 17 2" xfId="9718" xr:uid="{A31089A9-C8E7-4433-977A-D611B2659B14}"/>
    <cellStyle name="Percent 2 2 18" xfId="894" xr:uid="{00000000-0005-0000-0000-0000D1110000}"/>
    <cellStyle name="Percent 2 2 18 2" xfId="7071" xr:uid="{0FC9216C-FF86-4712-99D5-6310B823521F}"/>
    <cellStyle name="Percent 2 2 19" xfId="6188" xr:uid="{4A6EBE06-88F7-48DA-B2D6-3679E3816B6B}"/>
    <cellStyle name="Percent 2 2 2" xfId="13" xr:uid="{00000000-0005-0000-0000-0000D2110000}"/>
    <cellStyle name="Percent 2 2 2 10" xfId="455" xr:uid="{00000000-0005-0000-0000-0000D3110000}"/>
    <cellStyle name="Percent 2 2 2 10 2" xfId="3103" xr:uid="{00000000-0005-0000-0000-0000D4110000}"/>
    <cellStyle name="Percent 2 2 2 10 2 2" xfId="5722" xr:uid="{00000000-0005-0000-0000-0000D5110000}"/>
    <cellStyle name="Percent 2 2 2 10 2 2 2" xfId="11899" xr:uid="{A8FCCDFD-8D7B-4A59-9683-75F98364D193}"/>
    <cellStyle name="Percent 2 2 2 10 2 3" xfId="9280" xr:uid="{9A0CB918-BB09-44D0-84BE-B1D896B4E676}"/>
    <cellStyle name="Percent 2 2 2 10 3" xfId="2221" xr:uid="{00000000-0005-0000-0000-0000D6110000}"/>
    <cellStyle name="Percent 2 2 2 10 3 2" xfId="5723" xr:uid="{00000000-0005-0000-0000-0000D7110000}"/>
    <cellStyle name="Percent 2 2 2 10 3 2 2" xfId="11900" xr:uid="{21C2F39D-839E-4213-9EC9-DF690C24BEF1}"/>
    <cellStyle name="Percent 2 2 2 10 3 3" xfId="8398" xr:uid="{27193ED2-58D7-4E16-9065-6D94BEC691B8}"/>
    <cellStyle name="Percent 2 2 2 10 4" xfId="3985" xr:uid="{00000000-0005-0000-0000-0000D8110000}"/>
    <cellStyle name="Percent 2 2 2 10 4 2" xfId="10162" xr:uid="{0284A272-7F27-4486-ACEF-C7A2A2934555}"/>
    <cellStyle name="Percent 2 2 2 10 5" xfId="1338" xr:uid="{00000000-0005-0000-0000-0000D9110000}"/>
    <cellStyle name="Percent 2 2 2 10 5 2" xfId="7515" xr:uid="{5E68B8BE-E9F3-4B1A-9E99-A139D7E26F6F}"/>
    <cellStyle name="Percent 2 2 2 10 6" xfId="6632" xr:uid="{CFB0A8C0-14BE-4160-9194-7360F2A97BC9}"/>
    <cellStyle name="Percent 2 2 2 11" xfId="2662" xr:uid="{00000000-0005-0000-0000-0000DA110000}"/>
    <cellStyle name="Percent 2 2 2 11 2" xfId="5724" xr:uid="{00000000-0005-0000-0000-0000DB110000}"/>
    <cellStyle name="Percent 2 2 2 11 2 2" xfId="11901" xr:uid="{6733F921-8116-4EBF-928F-AB0743822973}"/>
    <cellStyle name="Percent 2 2 2 11 3" xfId="8839" xr:uid="{D2B6B030-8E68-4B46-A787-5E24F17480FD}"/>
    <cellStyle name="Percent 2 2 2 12" xfId="1780" xr:uid="{00000000-0005-0000-0000-0000DC110000}"/>
    <cellStyle name="Percent 2 2 2 12 2" xfId="5725" xr:uid="{00000000-0005-0000-0000-0000DD110000}"/>
    <cellStyle name="Percent 2 2 2 12 2 2" xfId="11902" xr:uid="{B525F012-A32A-4FEC-BB33-38B08F08612A}"/>
    <cellStyle name="Percent 2 2 2 12 3" xfId="7957" xr:uid="{50BD92F3-C9A1-4408-B667-7DAFA3DF4C46}"/>
    <cellStyle name="Percent 2 2 2 13" xfId="3544" xr:uid="{00000000-0005-0000-0000-0000DE110000}"/>
    <cellStyle name="Percent 2 2 2 13 2" xfId="9721" xr:uid="{B1D927FB-8451-465E-9811-CF380F72414D}"/>
    <cellStyle name="Percent 2 2 2 14" xfId="897" xr:uid="{00000000-0005-0000-0000-0000DF110000}"/>
    <cellStyle name="Percent 2 2 2 14 2" xfId="7074" xr:uid="{962091B5-7BFE-4CA0-828C-42553C46A411}"/>
    <cellStyle name="Percent 2 2 2 15" xfId="6191" xr:uid="{7F5F8A55-B71E-427D-992C-94743D3FB72D}"/>
    <cellStyle name="Percent 2 2 2 2" xfId="30" xr:uid="{00000000-0005-0000-0000-0000E0110000}"/>
    <cellStyle name="Percent 2 2 2 2 10" xfId="6207" xr:uid="{AF19F2CD-504E-48CD-99D6-D96FF4EEED07}"/>
    <cellStyle name="Percent 2 2 2 2 2" xfId="96" xr:uid="{00000000-0005-0000-0000-0000E1110000}"/>
    <cellStyle name="Percent 2 2 2 2 2 2" xfId="206" xr:uid="{00000000-0005-0000-0000-0000E2110000}"/>
    <cellStyle name="Percent 2 2 2 2 2 2 2" xfId="426" xr:uid="{00000000-0005-0000-0000-0000E3110000}"/>
    <cellStyle name="Percent 2 2 2 2 2 2 2 2" xfId="867" xr:uid="{00000000-0005-0000-0000-0000E4110000}"/>
    <cellStyle name="Percent 2 2 2 2 2 2 2 2 2" xfId="3515" xr:uid="{00000000-0005-0000-0000-0000E5110000}"/>
    <cellStyle name="Percent 2 2 2 2 2 2 2 2 2 2" xfId="5726" xr:uid="{00000000-0005-0000-0000-0000E6110000}"/>
    <cellStyle name="Percent 2 2 2 2 2 2 2 2 2 2 2" xfId="11903" xr:uid="{E9A3E015-13FE-4CDF-8430-CF414124EEBD}"/>
    <cellStyle name="Percent 2 2 2 2 2 2 2 2 2 3" xfId="9692" xr:uid="{5CD55FBB-E182-45AD-B542-5FAF1B105F37}"/>
    <cellStyle name="Percent 2 2 2 2 2 2 2 2 3" xfId="2633" xr:uid="{00000000-0005-0000-0000-0000E7110000}"/>
    <cellStyle name="Percent 2 2 2 2 2 2 2 2 3 2" xfId="5727" xr:uid="{00000000-0005-0000-0000-0000E8110000}"/>
    <cellStyle name="Percent 2 2 2 2 2 2 2 2 3 2 2" xfId="11904" xr:uid="{EF1D227B-6280-4F7A-9686-BAC13E98496C}"/>
    <cellStyle name="Percent 2 2 2 2 2 2 2 2 3 3" xfId="8810" xr:uid="{B3A4B239-E29B-493A-B5CA-E83C0C6AB324}"/>
    <cellStyle name="Percent 2 2 2 2 2 2 2 2 4" xfId="4397" xr:uid="{00000000-0005-0000-0000-0000E9110000}"/>
    <cellStyle name="Percent 2 2 2 2 2 2 2 2 4 2" xfId="10574" xr:uid="{01863916-A4DA-4953-9D83-CD99CD50C63C}"/>
    <cellStyle name="Percent 2 2 2 2 2 2 2 2 5" xfId="1750" xr:uid="{00000000-0005-0000-0000-0000EA110000}"/>
    <cellStyle name="Percent 2 2 2 2 2 2 2 2 5 2" xfId="7927" xr:uid="{5F2EA6E2-9C4A-42C5-9626-12A4BADCA6C0}"/>
    <cellStyle name="Percent 2 2 2 2 2 2 2 2 6" xfId="7044" xr:uid="{A3FE0814-4335-4A0D-B7FF-87EA4990C784}"/>
    <cellStyle name="Percent 2 2 2 2 2 2 2 3" xfId="3074" xr:uid="{00000000-0005-0000-0000-0000EB110000}"/>
    <cellStyle name="Percent 2 2 2 2 2 2 2 3 2" xfId="5728" xr:uid="{00000000-0005-0000-0000-0000EC110000}"/>
    <cellStyle name="Percent 2 2 2 2 2 2 2 3 2 2" xfId="11905" xr:uid="{5BE9759F-E45E-4F50-BAAF-A84E1CD5232C}"/>
    <cellStyle name="Percent 2 2 2 2 2 2 2 3 3" xfId="9251" xr:uid="{57E86E63-D081-4F60-ABBF-052155010BAC}"/>
    <cellStyle name="Percent 2 2 2 2 2 2 2 4" xfId="2192" xr:uid="{00000000-0005-0000-0000-0000ED110000}"/>
    <cellStyle name="Percent 2 2 2 2 2 2 2 4 2" xfId="5729" xr:uid="{00000000-0005-0000-0000-0000EE110000}"/>
    <cellStyle name="Percent 2 2 2 2 2 2 2 4 2 2" xfId="11906" xr:uid="{4366E914-C666-48C1-A8CE-550268D60044}"/>
    <cellStyle name="Percent 2 2 2 2 2 2 2 4 3" xfId="8369" xr:uid="{B4EF7B43-FE89-41D3-BE1C-8CFE3994764B}"/>
    <cellStyle name="Percent 2 2 2 2 2 2 2 5" xfId="3956" xr:uid="{00000000-0005-0000-0000-0000EF110000}"/>
    <cellStyle name="Percent 2 2 2 2 2 2 2 5 2" xfId="10133" xr:uid="{2456990A-7896-4514-A57F-961595ACF87B}"/>
    <cellStyle name="Percent 2 2 2 2 2 2 2 6" xfId="1309" xr:uid="{00000000-0005-0000-0000-0000F0110000}"/>
    <cellStyle name="Percent 2 2 2 2 2 2 2 6 2" xfId="7486" xr:uid="{51E99A1D-E219-4A7C-B8C7-0F9F1FA36B38}"/>
    <cellStyle name="Percent 2 2 2 2 2 2 2 7" xfId="6603" xr:uid="{DC3B1B55-A153-4280-80F3-4084131EBBA6}"/>
    <cellStyle name="Percent 2 2 2 2 2 2 3" xfId="647" xr:uid="{00000000-0005-0000-0000-0000F1110000}"/>
    <cellStyle name="Percent 2 2 2 2 2 2 3 2" xfId="3295" xr:uid="{00000000-0005-0000-0000-0000F2110000}"/>
    <cellStyle name="Percent 2 2 2 2 2 2 3 2 2" xfId="5730" xr:uid="{00000000-0005-0000-0000-0000F3110000}"/>
    <cellStyle name="Percent 2 2 2 2 2 2 3 2 2 2" xfId="11907" xr:uid="{595A6EF6-026C-43BF-BFE4-2FE3708B4F5D}"/>
    <cellStyle name="Percent 2 2 2 2 2 2 3 2 3" xfId="9472" xr:uid="{52C2C1B0-1CAE-4525-A63F-751AD26363B7}"/>
    <cellStyle name="Percent 2 2 2 2 2 2 3 3" xfId="2413" xr:uid="{00000000-0005-0000-0000-0000F4110000}"/>
    <cellStyle name="Percent 2 2 2 2 2 2 3 3 2" xfId="5731" xr:uid="{00000000-0005-0000-0000-0000F5110000}"/>
    <cellStyle name="Percent 2 2 2 2 2 2 3 3 2 2" xfId="11908" xr:uid="{89627EC1-1FF3-4223-922D-8A65286D26BC}"/>
    <cellStyle name="Percent 2 2 2 2 2 2 3 3 3" xfId="8590" xr:uid="{5FB12449-679D-48B7-88C1-0E0C2019A993}"/>
    <cellStyle name="Percent 2 2 2 2 2 2 3 4" xfId="4177" xr:uid="{00000000-0005-0000-0000-0000F6110000}"/>
    <cellStyle name="Percent 2 2 2 2 2 2 3 4 2" xfId="10354" xr:uid="{29097985-3E22-40AF-A2E5-31340A5B8CB1}"/>
    <cellStyle name="Percent 2 2 2 2 2 2 3 5" xfId="1530" xr:uid="{00000000-0005-0000-0000-0000F7110000}"/>
    <cellStyle name="Percent 2 2 2 2 2 2 3 5 2" xfId="7707" xr:uid="{F4D3FBD1-173A-413F-9ABC-DE829AA536FC}"/>
    <cellStyle name="Percent 2 2 2 2 2 2 3 6" xfId="6824" xr:uid="{79626A59-139A-42D6-8FF8-0F2B734D223C}"/>
    <cellStyle name="Percent 2 2 2 2 2 2 4" xfId="2854" xr:uid="{00000000-0005-0000-0000-0000F8110000}"/>
    <cellStyle name="Percent 2 2 2 2 2 2 4 2" xfId="5732" xr:uid="{00000000-0005-0000-0000-0000F9110000}"/>
    <cellStyle name="Percent 2 2 2 2 2 2 4 2 2" xfId="11909" xr:uid="{85244BD6-C40D-4B10-913E-714608ED7A46}"/>
    <cellStyle name="Percent 2 2 2 2 2 2 4 3" xfId="9031" xr:uid="{C31AB540-E5AF-4B19-BEC3-6E26978BF592}"/>
    <cellStyle name="Percent 2 2 2 2 2 2 5" xfId="1972" xr:uid="{00000000-0005-0000-0000-0000FA110000}"/>
    <cellStyle name="Percent 2 2 2 2 2 2 5 2" xfId="5733" xr:uid="{00000000-0005-0000-0000-0000FB110000}"/>
    <cellStyle name="Percent 2 2 2 2 2 2 5 2 2" xfId="11910" xr:uid="{A0C96E6F-1BDB-47B7-9E6B-43085AADFCD9}"/>
    <cellStyle name="Percent 2 2 2 2 2 2 5 3" xfId="8149" xr:uid="{A84ADED8-5873-4F85-A480-AD964BA3BFAC}"/>
    <cellStyle name="Percent 2 2 2 2 2 2 6" xfId="3736" xr:uid="{00000000-0005-0000-0000-0000FC110000}"/>
    <cellStyle name="Percent 2 2 2 2 2 2 6 2" xfId="9913" xr:uid="{E5AD9C4F-595E-4870-AD72-61DACB4387F2}"/>
    <cellStyle name="Percent 2 2 2 2 2 2 7" xfId="1089" xr:uid="{00000000-0005-0000-0000-0000FD110000}"/>
    <cellStyle name="Percent 2 2 2 2 2 2 7 2" xfId="7266" xr:uid="{EF7AD7AE-B5D9-4CB3-ADBF-6EB9EAEED956}"/>
    <cellStyle name="Percent 2 2 2 2 2 2 8" xfId="6383" xr:uid="{D3D9E293-1900-4D72-B4F3-047DE9ECAE35}"/>
    <cellStyle name="Percent 2 2 2 2 2 3" xfId="316" xr:uid="{00000000-0005-0000-0000-0000FE110000}"/>
    <cellStyle name="Percent 2 2 2 2 2 3 2" xfId="757" xr:uid="{00000000-0005-0000-0000-0000FF110000}"/>
    <cellStyle name="Percent 2 2 2 2 2 3 2 2" xfId="3405" xr:uid="{00000000-0005-0000-0000-000000120000}"/>
    <cellStyle name="Percent 2 2 2 2 2 3 2 2 2" xfId="5734" xr:uid="{00000000-0005-0000-0000-000001120000}"/>
    <cellStyle name="Percent 2 2 2 2 2 3 2 2 2 2" xfId="11911" xr:uid="{8A57D8BF-1357-40E8-A9AA-69ADFC0D88A0}"/>
    <cellStyle name="Percent 2 2 2 2 2 3 2 2 3" xfId="9582" xr:uid="{92169F03-B157-4073-B291-DF4A0927D83B}"/>
    <cellStyle name="Percent 2 2 2 2 2 3 2 3" xfId="2523" xr:uid="{00000000-0005-0000-0000-000002120000}"/>
    <cellStyle name="Percent 2 2 2 2 2 3 2 3 2" xfId="5735" xr:uid="{00000000-0005-0000-0000-000003120000}"/>
    <cellStyle name="Percent 2 2 2 2 2 3 2 3 2 2" xfId="11912" xr:uid="{4249C3CF-7C38-47A0-AF65-CFC905A163FC}"/>
    <cellStyle name="Percent 2 2 2 2 2 3 2 3 3" xfId="8700" xr:uid="{6717AFC4-B2A8-4345-A120-97ADA9CD3408}"/>
    <cellStyle name="Percent 2 2 2 2 2 3 2 4" xfId="4287" xr:uid="{00000000-0005-0000-0000-000004120000}"/>
    <cellStyle name="Percent 2 2 2 2 2 3 2 4 2" xfId="10464" xr:uid="{0AB6417D-B18B-4055-B22B-F3ABEAC85B07}"/>
    <cellStyle name="Percent 2 2 2 2 2 3 2 5" xfId="1640" xr:uid="{00000000-0005-0000-0000-000005120000}"/>
    <cellStyle name="Percent 2 2 2 2 2 3 2 5 2" xfId="7817" xr:uid="{B88C3791-7BE9-4826-B46F-E0DFD5D04A73}"/>
    <cellStyle name="Percent 2 2 2 2 2 3 2 6" xfId="6934" xr:uid="{55BDB448-79B5-49D2-91D6-4C5CD09A00F7}"/>
    <cellStyle name="Percent 2 2 2 2 2 3 3" xfId="2964" xr:uid="{00000000-0005-0000-0000-000006120000}"/>
    <cellStyle name="Percent 2 2 2 2 2 3 3 2" xfId="5736" xr:uid="{00000000-0005-0000-0000-000007120000}"/>
    <cellStyle name="Percent 2 2 2 2 2 3 3 2 2" xfId="11913" xr:uid="{BEDE6C45-59DD-40B5-BB63-AD2DE2B32E6F}"/>
    <cellStyle name="Percent 2 2 2 2 2 3 3 3" xfId="9141" xr:uid="{B8D0DC2B-D90F-447C-AF0A-44F8D1BBD02E}"/>
    <cellStyle name="Percent 2 2 2 2 2 3 4" xfId="2082" xr:uid="{00000000-0005-0000-0000-000008120000}"/>
    <cellStyle name="Percent 2 2 2 2 2 3 4 2" xfId="5737" xr:uid="{00000000-0005-0000-0000-000009120000}"/>
    <cellStyle name="Percent 2 2 2 2 2 3 4 2 2" xfId="11914" xr:uid="{D8378C8F-7FEA-4E78-9A85-67BAE773F92F}"/>
    <cellStyle name="Percent 2 2 2 2 2 3 4 3" xfId="8259" xr:uid="{B8EEA34E-6CD7-4964-9952-CC77E6BC90D1}"/>
    <cellStyle name="Percent 2 2 2 2 2 3 5" xfId="3846" xr:uid="{00000000-0005-0000-0000-00000A120000}"/>
    <cellStyle name="Percent 2 2 2 2 2 3 5 2" xfId="10023" xr:uid="{0A4FCF9F-A9A5-4D7A-955F-8F877E1AFE03}"/>
    <cellStyle name="Percent 2 2 2 2 2 3 6" xfId="1199" xr:uid="{00000000-0005-0000-0000-00000B120000}"/>
    <cellStyle name="Percent 2 2 2 2 2 3 6 2" xfId="7376" xr:uid="{0DF015EC-7F77-4AA0-A4B7-B585887858A3}"/>
    <cellStyle name="Percent 2 2 2 2 2 3 7" xfId="6493" xr:uid="{B2955418-3C0A-49D0-ABC9-E78C9CD81D24}"/>
    <cellStyle name="Percent 2 2 2 2 2 4" xfId="537" xr:uid="{00000000-0005-0000-0000-00000C120000}"/>
    <cellStyle name="Percent 2 2 2 2 2 4 2" xfId="3185" xr:uid="{00000000-0005-0000-0000-00000D120000}"/>
    <cellStyle name="Percent 2 2 2 2 2 4 2 2" xfId="5738" xr:uid="{00000000-0005-0000-0000-00000E120000}"/>
    <cellStyle name="Percent 2 2 2 2 2 4 2 2 2" xfId="11915" xr:uid="{1F619601-3BD9-464C-BE80-D9C0D73A6109}"/>
    <cellStyle name="Percent 2 2 2 2 2 4 2 3" xfId="9362" xr:uid="{C8AA1C45-9B69-4F4F-A834-490AFE894752}"/>
    <cellStyle name="Percent 2 2 2 2 2 4 3" xfId="2303" xr:uid="{00000000-0005-0000-0000-00000F120000}"/>
    <cellStyle name="Percent 2 2 2 2 2 4 3 2" xfId="5739" xr:uid="{00000000-0005-0000-0000-000010120000}"/>
    <cellStyle name="Percent 2 2 2 2 2 4 3 2 2" xfId="11916" xr:uid="{D8F6E152-3713-48BE-8DBB-4EF793BA3268}"/>
    <cellStyle name="Percent 2 2 2 2 2 4 3 3" xfId="8480" xr:uid="{E054045A-0BB7-4328-958A-BBCFDD322CA6}"/>
    <cellStyle name="Percent 2 2 2 2 2 4 4" xfId="4067" xr:uid="{00000000-0005-0000-0000-000011120000}"/>
    <cellStyle name="Percent 2 2 2 2 2 4 4 2" xfId="10244" xr:uid="{6D6C12CD-0D66-4727-9A7B-95A6A948C8F6}"/>
    <cellStyle name="Percent 2 2 2 2 2 4 5" xfId="1420" xr:uid="{00000000-0005-0000-0000-000012120000}"/>
    <cellStyle name="Percent 2 2 2 2 2 4 5 2" xfId="7597" xr:uid="{263170EE-2251-42B1-83C7-A0CF6E890359}"/>
    <cellStyle name="Percent 2 2 2 2 2 4 6" xfId="6714" xr:uid="{0D0A0829-85C3-49F1-8A19-C0CF7B10775A}"/>
    <cellStyle name="Percent 2 2 2 2 2 5" xfId="2744" xr:uid="{00000000-0005-0000-0000-000013120000}"/>
    <cellStyle name="Percent 2 2 2 2 2 5 2" xfId="5740" xr:uid="{00000000-0005-0000-0000-000014120000}"/>
    <cellStyle name="Percent 2 2 2 2 2 5 2 2" xfId="11917" xr:uid="{8921BA05-941A-4F0A-8653-A377342EE307}"/>
    <cellStyle name="Percent 2 2 2 2 2 5 3" xfId="8921" xr:uid="{16667463-62BF-402E-9FC8-174058F0790E}"/>
    <cellStyle name="Percent 2 2 2 2 2 6" xfId="1862" xr:uid="{00000000-0005-0000-0000-000015120000}"/>
    <cellStyle name="Percent 2 2 2 2 2 6 2" xfId="5741" xr:uid="{00000000-0005-0000-0000-000016120000}"/>
    <cellStyle name="Percent 2 2 2 2 2 6 2 2" xfId="11918" xr:uid="{9B9277DC-1B3A-41B4-A08C-199896D6707A}"/>
    <cellStyle name="Percent 2 2 2 2 2 6 3" xfId="8039" xr:uid="{197F074B-17BF-4A7F-9B04-9E636A24D5CD}"/>
    <cellStyle name="Percent 2 2 2 2 2 7" xfId="3626" xr:uid="{00000000-0005-0000-0000-000017120000}"/>
    <cellStyle name="Percent 2 2 2 2 2 7 2" xfId="9803" xr:uid="{AF72A22C-E3BC-4E9E-9DA4-969946F66E96}"/>
    <cellStyle name="Percent 2 2 2 2 2 8" xfId="979" xr:uid="{00000000-0005-0000-0000-000018120000}"/>
    <cellStyle name="Percent 2 2 2 2 2 8 2" xfId="7156" xr:uid="{6970BF94-5B05-472D-86B0-9FB1BF259259}"/>
    <cellStyle name="Percent 2 2 2 2 2 9" xfId="6273" xr:uid="{012656D1-F2C8-4844-8254-D96006F0638C}"/>
    <cellStyle name="Percent 2 2 2 2 3" xfId="140" xr:uid="{00000000-0005-0000-0000-000019120000}"/>
    <cellStyle name="Percent 2 2 2 2 3 2" xfId="360" xr:uid="{00000000-0005-0000-0000-00001A120000}"/>
    <cellStyle name="Percent 2 2 2 2 3 2 2" xfId="801" xr:uid="{00000000-0005-0000-0000-00001B120000}"/>
    <cellStyle name="Percent 2 2 2 2 3 2 2 2" xfId="3449" xr:uid="{00000000-0005-0000-0000-00001C120000}"/>
    <cellStyle name="Percent 2 2 2 2 3 2 2 2 2" xfId="5742" xr:uid="{00000000-0005-0000-0000-00001D120000}"/>
    <cellStyle name="Percent 2 2 2 2 3 2 2 2 2 2" xfId="11919" xr:uid="{73870CD9-57CC-4B1B-8D3A-7B12C23C6329}"/>
    <cellStyle name="Percent 2 2 2 2 3 2 2 2 3" xfId="9626" xr:uid="{60279A45-CD58-4E25-B1D0-05F97EFB5046}"/>
    <cellStyle name="Percent 2 2 2 2 3 2 2 3" xfId="2567" xr:uid="{00000000-0005-0000-0000-00001E120000}"/>
    <cellStyle name="Percent 2 2 2 2 3 2 2 3 2" xfId="5743" xr:uid="{00000000-0005-0000-0000-00001F120000}"/>
    <cellStyle name="Percent 2 2 2 2 3 2 2 3 2 2" xfId="11920" xr:uid="{8C64CC38-245D-42A9-B6B6-54564A6B9331}"/>
    <cellStyle name="Percent 2 2 2 2 3 2 2 3 3" xfId="8744" xr:uid="{F2D2EAC2-DB90-4043-8816-CD7CAB285C8C}"/>
    <cellStyle name="Percent 2 2 2 2 3 2 2 4" xfId="4331" xr:uid="{00000000-0005-0000-0000-000020120000}"/>
    <cellStyle name="Percent 2 2 2 2 3 2 2 4 2" xfId="10508" xr:uid="{FB4F6757-36F2-4090-9570-1064FDA6944E}"/>
    <cellStyle name="Percent 2 2 2 2 3 2 2 5" xfId="1684" xr:uid="{00000000-0005-0000-0000-000021120000}"/>
    <cellStyle name="Percent 2 2 2 2 3 2 2 5 2" xfId="7861" xr:uid="{F4B60713-3CBE-4BA6-8CEB-2C35B49557C0}"/>
    <cellStyle name="Percent 2 2 2 2 3 2 2 6" xfId="6978" xr:uid="{C05BFAE9-F1A1-4667-A5E4-7ED420608963}"/>
    <cellStyle name="Percent 2 2 2 2 3 2 3" xfId="3008" xr:uid="{00000000-0005-0000-0000-000022120000}"/>
    <cellStyle name="Percent 2 2 2 2 3 2 3 2" xfId="5744" xr:uid="{00000000-0005-0000-0000-000023120000}"/>
    <cellStyle name="Percent 2 2 2 2 3 2 3 2 2" xfId="11921" xr:uid="{359430C8-ED27-49C1-9B13-B779CF1BAAFE}"/>
    <cellStyle name="Percent 2 2 2 2 3 2 3 3" xfId="9185" xr:uid="{86775EFF-63EA-460D-80CA-BABCA249D5FA}"/>
    <cellStyle name="Percent 2 2 2 2 3 2 4" xfId="2126" xr:uid="{00000000-0005-0000-0000-000024120000}"/>
    <cellStyle name="Percent 2 2 2 2 3 2 4 2" xfId="5745" xr:uid="{00000000-0005-0000-0000-000025120000}"/>
    <cellStyle name="Percent 2 2 2 2 3 2 4 2 2" xfId="11922" xr:uid="{90160DF1-73E9-452F-ACF4-7D7B98B725F5}"/>
    <cellStyle name="Percent 2 2 2 2 3 2 4 3" xfId="8303" xr:uid="{D51E4A86-5079-4D73-BAE2-94E69621B6AF}"/>
    <cellStyle name="Percent 2 2 2 2 3 2 5" xfId="3890" xr:uid="{00000000-0005-0000-0000-000026120000}"/>
    <cellStyle name="Percent 2 2 2 2 3 2 5 2" xfId="10067" xr:uid="{8D80FF30-3390-4E35-8D10-00867DE27B7E}"/>
    <cellStyle name="Percent 2 2 2 2 3 2 6" xfId="1243" xr:uid="{00000000-0005-0000-0000-000027120000}"/>
    <cellStyle name="Percent 2 2 2 2 3 2 6 2" xfId="7420" xr:uid="{97F68EE0-A7C6-40B6-B3DA-2E4CEEC8E93C}"/>
    <cellStyle name="Percent 2 2 2 2 3 2 7" xfId="6537" xr:uid="{533D5B82-7CF8-4879-BBEC-296FC96B5250}"/>
    <cellStyle name="Percent 2 2 2 2 3 3" xfId="581" xr:uid="{00000000-0005-0000-0000-000028120000}"/>
    <cellStyle name="Percent 2 2 2 2 3 3 2" xfId="3229" xr:uid="{00000000-0005-0000-0000-000029120000}"/>
    <cellStyle name="Percent 2 2 2 2 3 3 2 2" xfId="5746" xr:uid="{00000000-0005-0000-0000-00002A120000}"/>
    <cellStyle name="Percent 2 2 2 2 3 3 2 2 2" xfId="11923" xr:uid="{D46A0573-178E-4A13-939F-AEF5D1C6F7B8}"/>
    <cellStyle name="Percent 2 2 2 2 3 3 2 3" xfId="9406" xr:uid="{DC1A9D64-472F-41D0-99CB-C57451CCECBD}"/>
    <cellStyle name="Percent 2 2 2 2 3 3 3" xfId="2347" xr:uid="{00000000-0005-0000-0000-00002B120000}"/>
    <cellStyle name="Percent 2 2 2 2 3 3 3 2" xfId="5747" xr:uid="{00000000-0005-0000-0000-00002C120000}"/>
    <cellStyle name="Percent 2 2 2 2 3 3 3 2 2" xfId="11924" xr:uid="{34CFE6A6-8FF4-4F2A-85CC-EFA61FA96250}"/>
    <cellStyle name="Percent 2 2 2 2 3 3 3 3" xfId="8524" xr:uid="{968BEEFC-DDA8-4F3C-9039-B28D64A9E757}"/>
    <cellStyle name="Percent 2 2 2 2 3 3 4" xfId="4111" xr:uid="{00000000-0005-0000-0000-00002D120000}"/>
    <cellStyle name="Percent 2 2 2 2 3 3 4 2" xfId="10288" xr:uid="{7CE33B58-2ED5-4738-81C1-FBAB39348B77}"/>
    <cellStyle name="Percent 2 2 2 2 3 3 5" xfId="1464" xr:uid="{00000000-0005-0000-0000-00002E120000}"/>
    <cellStyle name="Percent 2 2 2 2 3 3 5 2" xfId="7641" xr:uid="{0C9572FA-B585-4AB7-BA39-FF41B0567B44}"/>
    <cellStyle name="Percent 2 2 2 2 3 3 6" xfId="6758" xr:uid="{64951370-195B-4F6A-99A6-D49A759DEA28}"/>
    <cellStyle name="Percent 2 2 2 2 3 4" xfId="2788" xr:uid="{00000000-0005-0000-0000-00002F120000}"/>
    <cellStyle name="Percent 2 2 2 2 3 4 2" xfId="5748" xr:uid="{00000000-0005-0000-0000-000030120000}"/>
    <cellStyle name="Percent 2 2 2 2 3 4 2 2" xfId="11925" xr:uid="{CE99C6E2-AE4D-489E-AF24-56B7559E01CB}"/>
    <cellStyle name="Percent 2 2 2 2 3 4 3" xfId="8965" xr:uid="{677C7B43-4A19-4B99-A31D-9391C134F564}"/>
    <cellStyle name="Percent 2 2 2 2 3 5" xfId="1906" xr:uid="{00000000-0005-0000-0000-000031120000}"/>
    <cellStyle name="Percent 2 2 2 2 3 5 2" xfId="5749" xr:uid="{00000000-0005-0000-0000-000032120000}"/>
    <cellStyle name="Percent 2 2 2 2 3 5 2 2" xfId="11926" xr:uid="{25425CBF-8F6B-4869-BD34-D4377A0B5956}"/>
    <cellStyle name="Percent 2 2 2 2 3 5 3" xfId="8083" xr:uid="{1E45686D-F869-468B-94F0-296140E2EC21}"/>
    <cellStyle name="Percent 2 2 2 2 3 6" xfId="3670" xr:uid="{00000000-0005-0000-0000-000033120000}"/>
    <cellStyle name="Percent 2 2 2 2 3 6 2" xfId="9847" xr:uid="{5C3B815D-CA1C-48EC-865C-6CEC901CFBDF}"/>
    <cellStyle name="Percent 2 2 2 2 3 7" xfId="1023" xr:uid="{00000000-0005-0000-0000-000034120000}"/>
    <cellStyle name="Percent 2 2 2 2 3 7 2" xfId="7200" xr:uid="{19440981-24C3-4780-A781-08712756C01C}"/>
    <cellStyle name="Percent 2 2 2 2 3 8" xfId="6317" xr:uid="{14B6A3CD-DD21-4195-8C9B-8F04DD29629F}"/>
    <cellStyle name="Percent 2 2 2 2 4" xfId="250" xr:uid="{00000000-0005-0000-0000-000035120000}"/>
    <cellStyle name="Percent 2 2 2 2 4 2" xfId="691" xr:uid="{00000000-0005-0000-0000-000036120000}"/>
    <cellStyle name="Percent 2 2 2 2 4 2 2" xfId="3339" xr:uid="{00000000-0005-0000-0000-000037120000}"/>
    <cellStyle name="Percent 2 2 2 2 4 2 2 2" xfId="5750" xr:uid="{00000000-0005-0000-0000-000038120000}"/>
    <cellStyle name="Percent 2 2 2 2 4 2 2 2 2" xfId="11927" xr:uid="{E1B3659E-1A78-44FA-BB36-4710CCC57F63}"/>
    <cellStyle name="Percent 2 2 2 2 4 2 2 3" xfId="9516" xr:uid="{7A233149-F764-420B-A260-5A098BFA8CBC}"/>
    <cellStyle name="Percent 2 2 2 2 4 2 3" xfId="2457" xr:uid="{00000000-0005-0000-0000-000039120000}"/>
    <cellStyle name="Percent 2 2 2 2 4 2 3 2" xfId="5751" xr:uid="{00000000-0005-0000-0000-00003A120000}"/>
    <cellStyle name="Percent 2 2 2 2 4 2 3 2 2" xfId="11928" xr:uid="{FCAF761F-B640-4CF3-8E15-B11F35A50374}"/>
    <cellStyle name="Percent 2 2 2 2 4 2 3 3" xfId="8634" xr:uid="{B0D48997-4686-476C-BDE7-30B228E39621}"/>
    <cellStyle name="Percent 2 2 2 2 4 2 4" xfId="4221" xr:uid="{00000000-0005-0000-0000-00003B120000}"/>
    <cellStyle name="Percent 2 2 2 2 4 2 4 2" xfId="10398" xr:uid="{31CA783B-33F4-47FA-8425-F25B8F4330BA}"/>
    <cellStyle name="Percent 2 2 2 2 4 2 5" xfId="1574" xr:uid="{00000000-0005-0000-0000-00003C120000}"/>
    <cellStyle name="Percent 2 2 2 2 4 2 5 2" xfId="7751" xr:uid="{2BE7E968-1655-43F9-82DC-9C38072A83F7}"/>
    <cellStyle name="Percent 2 2 2 2 4 2 6" xfId="6868" xr:uid="{06C013F0-1C30-4C69-9B54-B435A9EF5039}"/>
    <cellStyle name="Percent 2 2 2 2 4 3" xfId="2898" xr:uid="{00000000-0005-0000-0000-00003D120000}"/>
    <cellStyle name="Percent 2 2 2 2 4 3 2" xfId="5752" xr:uid="{00000000-0005-0000-0000-00003E120000}"/>
    <cellStyle name="Percent 2 2 2 2 4 3 2 2" xfId="11929" xr:uid="{622F84E7-B3E8-4143-A7EB-B40DE1D543CE}"/>
    <cellStyle name="Percent 2 2 2 2 4 3 3" xfId="9075" xr:uid="{374404C0-73BB-49F7-A2AB-22107EA9314A}"/>
    <cellStyle name="Percent 2 2 2 2 4 4" xfId="2016" xr:uid="{00000000-0005-0000-0000-00003F120000}"/>
    <cellStyle name="Percent 2 2 2 2 4 4 2" xfId="5753" xr:uid="{00000000-0005-0000-0000-000040120000}"/>
    <cellStyle name="Percent 2 2 2 2 4 4 2 2" xfId="11930" xr:uid="{C9047F71-E533-4A49-B4C9-1B5A5A3DDA79}"/>
    <cellStyle name="Percent 2 2 2 2 4 4 3" xfId="8193" xr:uid="{5FC8B203-613F-4BC4-A15A-BE3241B4CF2B}"/>
    <cellStyle name="Percent 2 2 2 2 4 5" xfId="3780" xr:uid="{00000000-0005-0000-0000-000041120000}"/>
    <cellStyle name="Percent 2 2 2 2 4 5 2" xfId="9957" xr:uid="{AE4D58AA-7499-4735-A2F1-4FA26F7967B0}"/>
    <cellStyle name="Percent 2 2 2 2 4 6" xfId="1133" xr:uid="{00000000-0005-0000-0000-000042120000}"/>
    <cellStyle name="Percent 2 2 2 2 4 6 2" xfId="7310" xr:uid="{A7E3F278-D5C9-49C1-88E3-89C60AF760B6}"/>
    <cellStyle name="Percent 2 2 2 2 4 7" xfId="6427" xr:uid="{74C620C0-DBDD-4668-B875-9FD1D8C10DF0}"/>
    <cellStyle name="Percent 2 2 2 2 5" xfId="471" xr:uid="{00000000-0005-0000-0000-000043120000}"/>
    <cellStyle name="Percent 2 2 2 2 5 2" xfId="3119" xr:uid="{00000000-0005-0000-0000-000044120000}"/>
    <cellStyle name="Percent 2 2 2 2 5 2 2" xfId="5754" xr:uid="{00000000-0005-0000-0000-000045120000}"/>
    <cellStyle name="Percent 2 2 2 2 5 2 2 2" xfId="11931" xr:uid="{746F03F6-68FC-4AF7-A0B4-AE8D1129B227}"/>
    <cellStyle name="Percent 2 2 2 2 5 2 3" xfId="9296" xr:uid="{DD4CE180-B74E-4D52-9826-F820A94FA0DF}"/>
    <cellStyle name="Percent 2 2 2 2 5 3" xfId="2237" xr:uid="{00000000-0005-0000-0000-000046120000}"/>
    <cellStyle name="Percent 2 2 2 2 5 3 2" xfId="5755" xr:uid="{00000000-0005-0000-0000-000047120000}"/>
    <cellStyle name="Percent 2 2 2 2 5 3 2 2" xfId="11932" xr:uid="{03B895A0-3B7B-46E9-B40C-BFCFE13D677A}"/>
    <cellStyle name="Percent 2 2 2 2 5 3 3" xfId="8414" xr:uid="{5B9BD519-651D-4DE5-A6C5-EC531F9A2227}"/>
    <cellStyle name="Percent 2 2 2 2 5 4" xfId="4001" xr:uid="{00000000-0005-0000-0000-000048120000}"/>
    <cellStyle name="Percent 2 2 2 2 5 4 2" xfId="10178" xr:uid="{E9719702-1E86-4223-B8A1-92239E543CA2}"/>
    <cellStyle name="Percent 2 2 2 2 5 5" xfId="1354" xr:uid="{00000000-0005-0000-0000-000049120000}"/>
    <cellStyle name="Percent 2 2 2 2 5 5 2" xfId="7531" xr:uid="{1B3BE3E8-BD62-4CE4-8A39-02B861426F5C}"/>
    <cellStyle name="Percent 2 2 2 2 5 6" xfId="6648" xr:uid="{A49CE358-CEA0-4D8E-AB99-585A465C33A8}"/>
    <cellStyle name="Percent 2 2 2 2 6" xfId="2678" xr:uid="{00000000-0005-0000-0000-00004A120000}"/>
    <cellStyle name="Percent 2 2 2 2 6 2" xfId="5756" xr:uid="{00000000-0005-0000-0000-00004B120000}"/>
    <cellStyle name="Percent 2 2 2 2 6 2 2" xfId="11933" xr:uid="{61F9A555-2E7A-4ECC-885A-AC7D9332268A}"/>
    <cellStyle name="Percent 2 2 2 2 6 3" xfId="8855" xr:uid="{5A280AD3-8690-4ED7-9D81-6ADB9099FDEC}"/>
    <cellStyle name="Percent 2 2 2 2 7" xfId="1796" xr:uid="{00000000-0005-0000-0000-00004C120000}"/>
    <cellStyle name="Percent 2 2 2 2 7 2" xfId="5757" xr:uid="{00000000-0005-0000-0000-00004D120000}"/>
    <cellStyle name="Percent 2 2 2 2 7 2 2" xfId="11934" xr:uid="{B31C226F-4037-45F9-9D70-D77CC1A8AF67}"/>
    <cellStyle name="Percent 2 2 2 2 7 3" xfId="7973" xr:uid="{AD957330-1E25-48D9-9AD0-1F65D611A507}"/>
    <cellStyle name="Percent 2 2 2 2 8" xfId="3560" xr:uid="{00000000-0005-0000-0000-00004E120000}"/>
    <cellStyle name="Percent 2 2 2 2 8 2" xfId="9737" xr:uid="{16F0CA45-2A8F-42B3-9C84-50C4D5511676}"/>
    <cellStyle name="Percent 2 2 2 2 9" xfId="913" xr:uid="{00000000-0005-0000-0000-00004F120000}"/>
    <cellStyle name="Percent 2 2 2 2 9 2" xfId="7090" xr:uid="{31748818-CD3B-4D9C-876E-F668462BAA2E}"/>
    <cellStyle name="Percent 2 2 2 3" xfId="36" xr:uid="{00000000-0005-0000-0000-000050120000}"/>
    <cellStyle name="Percent 2 2 2 3 10" xfId="6213" xr:uid="{07CA05FA-478C-44E4-9D6C-AF0893328818}"/>
    <cellStyle name="Percent 2 2 2 3 2" xfId="102" xr:uid="{00000000-0005-0000-0000-000051120000}"/>
    <cellStyle name="Percent 2 2 2 3 2 2" xfId="212" xr:uid="{00000000-0005-0000-0000-000052120000}"/>
    <cellStyle name="Percent 2 2 2 3 2 2 2" xfId="432" xr:uid="{00000000-0005-0000-0000-000053120000}"/>
    <cellStyle name="Percent 2 2 2 3 2 2 2 2" xfId="873" xr:uid="{00000000-0005-0000-0000-000054120000}"/>
    <cellStyle name="Percent 2 2 2 3 2 2 2 2 2" xfId="3521" xr:uid="{00000000-0005-0000-0000-000055120000}"/>
    <cellStyle name="Percent 2 2 2 3 2 2 2 2 2 2" xfId="5758" xr:uid="{00000000-0005-0000-0000-000056120000}"/>
    <cellStyle name="Percent 2 2 2 3 2 2 2 2 2 2 2" xfId="11935" xr:uid="{2516A743-6EE2-430B-9ACC-287C102EE769}"/>
    <cellStyle name="Percent 2 2 2 3 2 2 2 2 2 3" xfId="9698" xr:uid="{ABDCFA7C-1EF0-45FA-A3E5-969D5038658D}"/>
    <cellStyle name="Percent 2 2 2 3 2 2 2 2 3" xfId="2639" xr:uid="{00000000-0005-0000-0000-000057120000}"/>
    <cellStyle name="Percent 2 2 2 3 2 2 2 2 3 2" xfId="5759" xr:uid="{00000000-0005-0000-0000-000058120000}"/>
    <cellStyle name="Percent 2 2 2 3 2 2 2 2 3 2 2" xfId="11936" xr:uid="{9B42CC6A-3212-4030-84E2-592DE0E82D77}"/>
    <cellStyle name="Percent 2 2 2 3 2 2 2 2 3 3" xfId="8816" xr:uid="{F68DF3B4-692A-408A-8D82-CBB76323B646}"/>
    <cellStyle name="Percent 2 2 2 3 2 2 2 2 4" xfId="4403" xr:uid="{00000000-0005-0000-0000-000059120000}"/>
    <cellStyle name="Percent 2 2 2 3 2 2 2 2 4 2" xfId="10580" xr:uid="{4366032E-9549-416E-82A2-6A41EBB7B9B7}"/>
    <cellStyle name="Percent 2 2 2 3 2 2 2 2 5" xfId="1756" xr:uid="{00000000-0005-0000-0000-00005A120000}"/>
    <cellStyle name="Percent 2 2 2 3 2 2 2 2 5 2" xfId="7933" xr:uid="{5BA71D33-0B27-48DB-AAEC-59FA29A1F5AD}"/>
    <cellStyle name="Percent 2 2 2 3 2 2 2 2 6" xfId="7050" xr:uid="{F5A00F75-2B14-451C-B0EB-E057D1C3A05A}"/>
    <cellStyle name="Percent 2 2 2 3 2 2 2 3" xfId="3080" xr:uid="{00000000-0005-0000-0000-00005B120000}"/>
    <cellStyle name="Percent 2 2 2 3 2 2 2 3 2" xfId="5760" xr:uid="{00000000-0005-0000-0000-00005C120000}"/>
    <cellStyle name="Percent 2 2 2 3 2 2 2 3 2 2" xfId="11937" xr:uid="{42BC2035-31AB-4620-BFD3-1C48490061FD}"/>
    <cellStyle name="Percent 2 2 2 3 2 2 2 3 3" xfId="9257" xr:uid="{A121CB78-6D87-4788-BD1C-B349D40A2BCB}"/>
    <cellStyle name="Percent 2 2 2 3 2 2 2 4" xfId="2198" xr:uid="{00000000-0005-0000-0000-00005D120000}"/>
    <cellStyle name="Percent 2 2 2 3 2 2 2 4 2" xfId="5761" xr:uid="{00000000-0005-0000-0000-00005E120000}"/>
    <cellStyle name="Percent 2 2 2 3 2 2 2 4 2 2" xfId="11938" xr:uid="{3FF42D92-30F7-4C5F-991A-52D398A2ACC5}"/>
    <cellStyle name="Percent 2 2 2 3 2 2 2 4 3" xfId="8375" xr:uid="{CDD7AF81-E7F7-468C-ACDB-7BB286CB2FA6}"/>
    <cellStyle name="Percent 2 2 2 3 2 2 2 5" xfId="3962" xr:uid="{00000000-0005-0000-0000-00005F120000}"/>
    <cellStyle name="Percent 2 2 2 3 2 2 2 5 2" xfId="10139" xr:uid="{A879054E-FA55-4F09-9C04-C70816B8AAA1}"/>
    <cellStyle name="Percent 2 2 2 3 2 2 2 6" xfId="1315" xr:uid="{00000000-0005-0000-0000-000060120000}"/>
    <cellStyle name="Percent 2 2 2 3 2 2 2 6 2" xfId="7492" xr:uid="{09776818-8604-4710-A2FF-6D0AD2095DBE}"/>
    <cellStyle name="Percent 2 2 2 3 2 2 2 7" xfId="6609" xr:uid="{AAC4E4F2-046C-44C6-83FA-C14ABEF0E5BF}"/>
    <cellStyle name="Percent 2 2 2 3 2 2 3" xfId="653" xr:uid="{00000000-0005-0000-0000-000061120000}"/>
    <cellStyle name="Percent 2 2 2 3 2 2 3 2" xfId="3301" xr:uid="{00000000-0005-0000-0000-000062120000}"/>
    <cellStyle name="Percent 2 2 2 3 2 2 3 2 2" xfId="5762" xr:uid="{00000000-0005-0000-0000-000063120000}"/>
    <cellStyle name="Percent 2 2 2 3 2 2 3 2 2 2" xfId="11939" xr:uid="{C7C14E5A-E606-4002-A989-085E86A5B392}"/>
    <cellStyle name="Percent 2 2 2 3 2 2 3 2 3" xfId="9478" xr:uid="{71ED691B-8562-417A-8825-E1754D433584}"/>
    <cellStyle name="Percent 2 2 2 3 2 2 3 3" xfId="2419" xr:uid="{00000000-0005-0000-0000-000064120000}"/>
    <cellStyle name="Percent 2 2 2 3 2 2 3 3 2" xfId="5763" xr:uid="{00000000-0005-0000-0000-000065120000}"/>
    <cellStyle name="Percent 2 2 2 3 2 2 3 3 2 2" xfId="11940" xr:uid="{EEC33CF4-8755-48B9-BBB5-83AD8A2C16E1}"/>
    <cellStyle name="Percent 2 2 2 3 2 2 3 3 3" xfId="8596" xr:uid="{5435B074-D63B-4F5E-BB76-AA2CDA7F720C}"/>
    <cellStyle name="Percent 2 2 2 3 2 2 3 4" xfId="4183" xr:uid="{00000000-0005-0000-0000-000066120000}"/>
    <cellStyle name="Percent 2 2 2 3 2 2 3 4 2" xfId="10360" xr:uid="{FDAD67D6-EA3A-4237-A169-F7F54B9B5C78}"/>
    <cellStyle name="Percent 2 2 2 3 2 2 3 5" xfId="1536" xr:uid="{00000000-0005-0000-0000-000067120000}"/>
    <cellStyle name="Percent 2 2 2 3 2 2 3 5 2" xfId="7713" xr:uid="{45670BFB-445C-4B77-AE29-C7ECCE4E0511}"/>
    <cellStyle name="Percent 2 2 2 3 2 2 3 6" xfId="6830" xr:uid="{99E9630D-57FE-432C-A266-3B28824F9468}"/>
    <cellStyle name="Percent 2 2 2 3 2 2 4" xfId="2860" xr:uid="{00000000-0005-0000-0000-000068120000}"/>
    <cellStyle name="Percent 2 2 2 3 2 2 4 2" xfId="5764" xr:uid="{00000000-0005-0000-0000-000069120000}"/>
    <cellStyle name="Percent 2 2 2 3 2 2 4 2 2" xfId="11941" xr:uid="{9928355A-9963-4DA1-A78A-20E9200DCFC8}"/>
    <cellStyle name="Percent 2 2 2 3 2 2 4 3" xfId="9037" xr:uid="{4301E9AB-D682-4F0B-8E8A-A617ADDEAB43}"/>
    <cellStyle name="Percent 2 2 2 3 2 2 5" xfId="1978" xr:uid="{00000000-0005-0000-0000-00006A120000}"/>
    <cellStyle name="Percent 2 2 2 3 2 2 5 2" xfId="5765" xr:uid="{00000000-0005-0000-0000-00006B120000}"/>
    <cellStyle name="Percent 2 2 2 3 2 2 5 2 2" xfId="11942" xr:uid="{FE027A94-7CC6-4600-9424-39E298BB5002}"/>
    <cellStyle name="Percent 2 2 2 3 2 2 5 3" xfId="8155" xr:uid="{50043150-C412-4C09-9390-7155CA98652D}"/>
    <cellStyle name="Percent 2 2 2 3 2 2 6" xfId="3742" xr:uid="{00000000-0005-0000-0000-00006C120000}"/>
    <cellStyle name="Percent 2 2 2 3 2 2 6 2" xfId="9919" xr:uid="{45DBBABE-EBB0-40CC-879E-7757A869993A}"/>
    <cellStyle name="Percent 2 2 2 3 2 2 7" xfId="1095" xr:uid="{00000000-0005-0000-0000-00006D120000}"/>
    <cellStyle name="Percent 2 2 2 3 2 2 7 2" xfId="7272" xr:uid="{81364244-CE21-4ED1-A50D-2AFB37F50F6F}"/>
    <cellStyle name="Percent 2 2 2 3 2 2 8" xfId="6389" xr:uid="{C7E4038E-CC20-4999-B44A-D8B3459874AB}"/>
    <cellStyle name="Percent 2 2 2 3 2 3" xfId="322" xr:uid="{00000000-0005-0000-0000-00006E120000}"/>
    <cellStyle name="Percent 2 2 2 3 2 3 2" xfId="763" xr:uid="{00000000-0005-0000-0000-00006F120000}"/>
    <cellStyle name="Percent 2 2 2 3 2 3 2 2" xfId="3411" xr:uid="{00000000-0005-0000-0000-000070120000}"/>
    <cellStyle name="Percent 2 2 2 3 2 3 2 2 2" xfId="5766" xr:uid="{00000000-0005-0000-0000-000071120000}"/>
    <cellStyle name="Percent 2 2 2 3 2 3 2 2 2 2" xfId="11943" xr:uid="{2A29E2AB-6948-4B7A-9CE9-69EEF5F10483}"/>
    <cellStyle name="Percent 2 2 2 3 2 3 2 2 3" xfId="9588" xr:uid="{1BF06720-44B5-4A92-8A92-7DE0AB050B28}"/>
    <cellStyle name="Percent 2 2 2 3 2 3 2 3" xfId="2529" xr:uid="{00000000-0005-0000-0000-000072120000}"/>
    <cellStyle name="Percent 2 2 2 3 2 3 2 3 2" xfId="5767" xr:uid="{00000000-0005-0000-0000-000073120000}"/>
    <cellStyle name="Percent 2 2 2 3 2 3 2 3 2 2" xfId="11944" xr:uid="{0A7CE80C-8650-4451-9215-8E0753C233F2}"/>
    <cellStyle name="Percent 2 2 2 3 2 3 2 3 3" xfId="8706" xr:uid="{80EF31D3-5E2D-485A-B1EE-0AAFA2720202}"/>
    <cellStyle name="Percent 2 2 2 3 2 3 2 4" xfId="4293" xr:uid="{00000000-0005-0000-0000-000074120000}"/>
    <cellStyle name="Percent 2 2 2 3 2 3 2 4 2" xfId="10470" xr:uid="{1F52FECC-BAE8-4C64-845B-5A46AD3A0016}"/>
    <cellStyle name="Percent 2 2 2 3 2 3 2 5" xfId="1646" xr:uid="{00000000-0005-0000-0000-000075120000}"/>
    <cellStyle name="Percent 2 2 2 3 2 3 2 5 2" xfId="7823" xr:uid="{032FB89C-91A0-4B68-99AD-20D51B2D3758}"/>
    <cellStyle name="Percent 2 2 2 3 2 3 2 6" xfId="6940" xr:uid="{B141F9AC-E305-4B9A-9766-D98175F9A44B}"/>
    <cellStyle name="Percent 2 2 2 3 2 3 3" xfId="2970" xr:uid="{00000000-0005-0000-0000-000076120000}"/>
    <cellStyle name="Percent 2 2 2 3 2 3 3 2" xfId="5768" xr:uid="{00000000-0005-0000-0000-000077120000}"/>
    <cellStyle name="Percent 2 2 2 3 2 3 3 2 2" xfId="11945" xr:uid="{59423DFE-2204-4F99-B918-5619FEA448CD}"/>
    <cellStyle name="Percent 2 2 2 3 2 3 3 3" xfId="9147" xr:uid="{4DAE5799-380D-4F70-9E2E-7D11294CAD23}"/>
    <cellStyle name="Percent 2 2 2 3 2 3 4" xfId="2088" xr:uid="{00000000-0005-0000-0000-000078120000}"/>
    <cellStyle name="Percent 2 2 2 3 2 3 4 2" xfId="5769" xr:uid="{00000000-0005-0000-0000-000079120000}"/>
    <cellStyle name="Percent 2 2 2 3 2 3 4 2 2" xfId="11946" xr:uid="{597FF48F-3F81-4CA2-8918-A9207C3F9451}"/>
    <cellStyle name="Percent 2 2 2 3 2 3 4 3" xfId="8265" xr:uid="{B2141080-A142-4E97-BEDC-E04AD4085952}"/>
    <cellStyle name="Percent 2 2 2 3 2 3 5" xfId="3852" xr:uid="{00000000-0005-0000-0000-00007A120000}"/>
    <cellStyle name="Percent 2 2 2 3 2 3 5 2" xfId="10029" xr:uid="{0646BA29-2DBE-4524-A4A5-E40D6EEF5156}"/>
    <cellStyle name="Percent 2 2 2 3 2 3 6" xfId="1205" xr:uid="{00000000-0005-0000-0000-00007B120000}"/>
    <cellStyle name="Percent 2 2 2 3 2 3 6 2" xfId="7382" xr:uid="{485BA602-9EFF-466C-9CED-C80900D52727}"/>
    <cellStyle name="Percent 2 2 2 3 2 3 7" xfId="6499" xr:uid="{1F87153F-23D2-417D-92BC-963A7E50A070}"/>
    <cellStyle name="Percent 2 2 2 3 2 4" xfId="543" xr:uid="{00000000-0005-0000-0000-00007C120000}"/>
    <cellStyle name="Percent 2 2 2 3 2 4 2" xfId="3191" xr:uid="{00000000-0005-0000-0000-00007D120000}"/>
    <cellStyle name="Percent 2 2 2 3 2 4 2 2" xfId="5770" xr:uid="{00000000-0005-0000-0000-00007E120000}"/>
    <cellStyle name="Percent 2 2 2 3 2 4 2 2 2" xfId="11947" xr:uid="{0854494C-5265-479A-98FE-BA48D1A2A02E}"/>
    <cellStyle name="Percent 2 2 2 3 2 4 2 3" xfId="9368" xr:uid="{EE0A50F4-C8D0-4B7B-8EF3-50A89B64207D}"/>
    <cellStyle name="Percent 2 2 2 3 2 4 3" xfId="2309" xr:uid="{00000000-0005-0000-0000-00007F120000}"/>
    <cellStyle name="Percent 2 2 2 3 2 4 3 2" xfId="5771" xr:uid="{00000000-0005-0000-0000-000080120000}"/>
    <cellStyle name="Percent 2 2 2 3 2 4 3 2 2" xfId="11948" xr:uid="{A95CD59B-AE9F-42DC-8D19-779E22CC071F}"/>
    <cellStyle name="Percent 2 2 2 3 2 4 3 3" xfId="8486" xr:uid="{55BAE06A-B520-472B-845C-65488E4E2DED}"/>
    <cellStyle name="Percent 2 2 2 3 2 4 4" xfId="4073" xr:uid="{00000000-0005-0000-0000-000081120000}"/>
    <cellStyle name="Percent 2 2 2 3 2 4 4 2" xfId="10250" xr:uid="{9C2B3D23-0BA6-4BFC-A347-5E663F07CCA8}"/>
    <cellStyle name="Percent 2 2 2 3 2 4 5" xfId="1426" xr:uid="{00000000-0005-0000-0000-000082120000}"/>
    <cellStyle name="Percent 2 2 2 3 2 4 5 2" xfId="7603" xr:uid="{F63E5755-5DB5-4A02-847F-42C4F799B0F0}"/>
    <cellStyle name="Percent 2 2 2 3 2 4 6" xfId="6720" xr:uid="{69EF2762-CA57-4A34-8659-E9D9C4D88EFA}"/>
    <cellStyle name="Percent 2 2 2 3 2 5" xfId="2750" xr:uid="{00000000-0005-0000-0000-000083120000}"/>
    <cellStyle name="Percent 2 2 2 3 2 5 2" xfId="5772" xr:uid="{00000000-0005-0000-0000-000084120000}"/>
    <cellStyle name="Percent 2 2 2 3 2 5 2 2" xfId="11949" xr:uid="{67F6E359-6972-4E48-91AD-F242E1C033AF}"/>
    <cellStyle name="Percent 2 2 2 3 2 5 3" xfId="8927" xr:uid="{700EE1A1-141F-4B35-ABA6-E2EDAB4CD855}"/>
    <cellStyle name="Percent 2 2 2 3 2 6" xfId="1868" xr:uid="{00000000-0005-0000-0000-000085120000}"/>
    <cellStyle name="Percent 2 2 2 3 2 6 2" xfId="5773" xr:uid="{00000000-0005-0000-0000-000086120000}"/>
    <cellStyle name="Percent 2 2 2 3 2 6 2 2" xfId="11950" xr:uid="{382A69B4-A7DE-4BD3-AFE6-4622C3051A11}"/>
    <cellStyle name="Percent 2 2 2 3 2 6 3" xfId="8045" xr:uid="{7711757B-179D-402B-944D-71AE6FD1ABA9}"/>
    <cellStyle name="Percent 2 2 2 3 2 7" xfId="3632" xr:uid="{00000000-0005-0000-0000-000087120000}"/>
    <cellStyle name="Percent 2 2 2 3 2 7 2" xfId="9809" xr:uid="{6B7E1D8B-53B3-45B6-A204-748EC19512CF}"/>
    <cellStyle name="Percent 2 2 2 3 2 8" xfId="985" xr:uid="{00000000-0005-0000-0000-000088120000}"/>
    <cellStyle name="Percent 2 2 2 3 2 8 2" xfId="7162" xr:uid="{59EAF294-752A-4129-B945-9FBEA460EB70}"/>
    <cellStyle name="Percent 2 2 2 3 2 9" xfId="6279" xr:uid="{07CCDA5A-8555-4E72-9E20-BB39BB1E764C}"/>
    <cellStyle name="Percent 2 2 2 3 3" xfId="146" xr:uid="{00000000-0005-0000-0000-000089120000}"/>
    <cellStyle name="Percent 2 2 2 3 3 2" xfId="366" xr:uid="{00000000-0005-0000-0000-00008A120000}"/>
    <cellStyle name="Percent 2 2 2 3 3 2 2" xfId="807" xr:uid="{00000000-0005-0000-0000-00008B120000}"/>
    <cellStyle name="Percent 2 2 2 3 3 2 2 2" xfId="3455" xr:uid="{00000000-0005-0000-0000-00008C120000}"/>
    <cellStyle name="Percent 2 2 2 3 3 2 2 2 2" xfId="5774" xr:uid="{00000000-0005-0000-0000-00008D120000}"/>
    <cellStyle name="Percent 2 2 2 3 3 2 2 2 2 2" xfId="11951" xr:uid="{F5868C12-6FF9-487B-8402-D2138CCEB79F}"/>
    <cellStyle name="Percent 2 2 2 3 3 2 2 2 3" xfId="9632" xr:uid="{AFA5DFEB-AF30-4E46-BC25-3CCCB3163004}"/>
    <cellStyle name="Percent 2 2 2 3 3 2 2 3" xfId="2573" xr:uid="{00000000-0005-0000-0000-00008E120000}"/>
    <cellStyle name="Percent 2 2 2 3 3 2 2 3 2" xfId="5775" xr:uid="{00000000-0005-0000-0000-00008F120000}"/>
    <cellStyle name="Percent 2 2 2 3 3 2 2 3 2 2" xfId="11952" xr:uid="{A90A963E-9DFD-4EE3-B95B-6EFA6592C977}"/>
    <cellStyle name="Percent 2 2 2 3 3 2 2 3 3" xfId="8750" xr:uid="{7D58475C-E5E5-4061-8F62-6478B959CC03}"/>
    <cellStyle name="Percent 2 2 2 3 3 2 2 4" xfId="4337" xr:uid="{00000000-0005-0000-0000-000090120000}"/>
    <cellStyle name="Percent 2 2 2 3 3 2 2 4 2" xfId="10514" xr:uid="{A0C01643-10B3-4E83-8278-BF33F490E92B}"/>
    <cellStyle name="Percent 2 2 2 3 3 2 2 5" xfId="1690" xr:uid="{00000000-0005-0000-0000-000091120000}"/>
    <cellStyle name="Percent 2 2 2 3 3 2 2 5 2" xfId="7867" xr:uid="{C433E3A6-5893-43F9-ADFE-D6712D5F4FAB}"/>
    <cellStyle name="Percent 2 2 2 3 3 2 2 6" xfId="6984" xr:uid="{2D7F550C-309D-42D3-8389-BD78AA8934EB}"/>
    <cellStyle name="Percent 2 2 2 3 3 2 3" xfId="3014" xr:uid="{00000000-0005-0000-0000-000092120000}"/>
    <cellStyle name="Percent 2 2 2 3 3 2 3 2" xfId="5776" xr:uid="{00000000-0005-0000-0000-000093120000}"/>
    <cellStyle name="Percent 2 2 2 3 3 2 3 2 2" xfId="11953" xr:uid="{1977785C-4072-4015-AB93-FEA62929EE44}"/>
    <cellStyle name="Percent 2 2 2 3 3 2 3 3" xfId="9191" xr:uid="{BC5319E1-EBE6-4858-9CCF-B513D8A76B7F}"/>
    <cellStyle name="Percent 2 2 2 3 3 2 4" xfId="2132" xr:uid="{00000000-0005-0000-0000-000094120000}"/>
    <cellStyle name="Percent 2 2 2 3 3 2 4 2" xfId="5777" xr:uid="{00000000-0005-0000-0000-000095120000}"/>
    <cellStyle name="Percent 2 2 2 3 3 2 4 2 2" xfId="11954" xr:uid="{9013BB39-2AB2-4003-A833-107CAD93EEC0}"/>
    <cellStyle name="Percent 2 2 2 3 3 2 4 3" xfId="8309" xr:uid="{C1BC4A18-AB7F-44A7-8AAA-AD4906801B47}"/>
    <cellStyle name="Percent 2 2 2 3 3 2 5" xfId="3896" xr:uid="{00000000-0005-0000-0000-000096120000}"/>
    <cellStyle name="Percent 2 2 2 3 3 2 5 2" xfId="10073" xr:uid="{6501A165-86A8-4333-BBD0-A9B3295FF601}"/>
    <cellStyle name="Percent 2 2 2 3 3 2 6" xfId="1249" xr:uid="{00000000-0005-0000-0000-000097120000}"/>
    <cellStyle name="Percent 2 2 2 3 3 2 6 2" xfId="7426" xr:uid="{F72A35B2-0E8F-42E4-979F-4EDCA9DA6DDE}"/>
    <cellStyle name="Percent 2 2 2 3 3 2 7" xfId="6543" xr:uid="{B4CE2F16-CBD9-45CC-9FFF-0171565A8EB6}"/>
    <cellStyle name="Percent 2 2 2 3 3 3" xfId="587" xr:uid="{00000000-0005-0000-0000-000098120000}"/>
    <cellStyle name="Percent 2 2 2 3 3 3 2" xfId="3235" xr:uid="{00000000-0005-0000-0000-000099120000}"/>
    <cellStyle name="Percent 2 2 2 3 3 3 2 2" xfId="5778" xr:uid="{00000000-0005-0000-0000-00009A120000}"/>
    <cellStyle name="Percent 2 2 2 3 3 3 2 2 2" xfId="11955" xr:uid="{58C76543-F2B2-4AC0-BED8-D0EF9AC5CB50}"/>
    <cellStyle name="Percent 2 2 2 3 3 3 2 3" xfId="9412" xr:uid="{1AE868A2-32A3-4061-8B53-9987223FFF38}"/>
    <cellStyle name="Percent 2 2 2 3 3 3 3" xfId="2353" xr:uid="{00000000-0005-0000-0000-00009B120000}"/>
    <cellStyle name="Percent 2 2 2 3 3 3 3 2" xfId="5779" xr:uid="{00000000-0005-0000-0000-00009C120000}"/>
    <cellStyle name="Percent 2 2 2 3 3 3 3 2 2" xfId="11956" xr:uid="{662206C1-1578-4B76-B2A1-7B441429B9FC}"/>
    <cellStyle name="Percent 2 2 2 3 3 3 3 3" xfId="8530" xr:uid="{FEE1061F-63C0-4C75-AFB6-14AF64C8D20D}"/>
    <cellStyle name="Percent 2 2 2 3 3 3 4" xfId="4117" xr:uid="{00000000-0005-0000-0000-00009D120000}"/>
    <cellStyle name="Percent 2 2 2 3 3 3 4 2" xfId="10294" xr:uid="{E7AB4A64-7E22-4B8D-9311-F86B3AB72AFA}"/>
    <cellStyle name="Percent 2 2 2 3 3 3 5" xfId="1470" xr:uid="{00000000-0005-0000-0000-00009E120000}"/>
    <cellStyle name="Percent 2 2 2 3 3 3 5 2" xfId="7647" xr:uid="{C021216B-C5DE-4E2B-B3EE-6C3DC26A4B9E}"/>
    <cellStyle name="Percent 2 2 2 3 3 3 6" xfId="6764" xr:uid="{D2AD766E-00AA-4D31-9833-BDE64BB6C570}"/>
    <cellStyle name="Percent 2 2 2 3 3 4" xfId="2794" xr:uid="{00000000-0005-0000-0000-00009F120000}"/>
    <cellStyle name="Percent 2 2 2 3 3 4 2" xfId="5780" xr:uid="{00000000-0005-0000-0000-0000A0120000}"/>
    <cellStyle name="Percent 2 2 2 3 3 4 2 2" xfId="11957" xr:uid="{298ADC3F-ED5F-445A-A987-9118C140F711}"/>
    <cellStyle name="Percent 2 2 2 3 3 4 3" xfId="8971" xr:uid="{EBE4359B-CF66-46AA-915E-BA1302C63010}"/>
    <cellStyle name="Percent 2 2 2 3 3 5" xfId="1912" xr:uid="{00000000-0005-0000-0000-0000A1120000}"/>
    <cellStyle name="Percent 2 2 2 3 3 5 2" xfId="5781" xr:uid="{00000000-0005-0000-0000-0000A2120000}"/>
    <cellStyle name="Percent 2 2 2 3 3 5 2 2" xfId="11958" xr:uid="{C02CC60B-9A9A-4717-88D0-711E9EF28753}"/>
    <cellStyle name="Percent 2 2 2 3 3 5 3" xfId="8089" xr:uid="{E732A954-FA6E-432C-A718-A6B93BFDD8B0}"/>
    <cellStyle name="Percent 2 2 2 3 3 6" xfId="3676" xr:uid="{00000000-0005-0000-0000-0000A3120000}"/>
    <cellStyle name="Percent 2 2 2 3 3 6 2" xfId="9853" xr:uid="{975B8587-2442-4C5C-A86E-6FC691BEDE7D}"/>
    <cellStyle name="Percent 2 2 2 3 3 7" xfId="1029" xr:uid="{00000000-0005-0000-0000-0000A4120000}"/>
    <cellStyle name="Percent 2 2 2 3 3 7 2" xfId="7206" xr:uid="{C0D29ED2-569F-4DA8-BE43-6866936C7DB4}"/>
    <cellStyle name="Percent 2 2 2 3 3 8" xfId="6323" xr:uid="{33DB8558-8860-422B-9371-9AE64F35AD29}"/>
    <cellStyle name="Percent 2 2 2 3 4" xfId="256" xr:uid="{00000000-0005-0000-0000-0000A5120000}"/>
    <cellStyle name="Percent 2 2 2 3 4 2" xfId="697" xr:uid="{00000000-0005-0000-0000-0000A6120000}"/>
    <cellStyle name="Percent 2 2 2 3 4 2 2" xfId="3345" xr:uid="{00000000-0005-0000-0000-0000A7120000}"/>
    <cellStyle name="Percent 2 2 2 3 4 2 2 2" xfId="5782" xr:uid="{00000000-0005-0000-0000-0000A8120000}"/>
    <cellStyle name="Percent 2 2 2 3 4 2 2 2 2" xfId="11959" xr:uid="{EAC17393-C774-4647-A13F-4540EFB7ED45}"/>
    <cellStyle name="Percent 2 2 2 3 4 2 2 3" xfId="9522" xr:uid="{9A0A3C41-6D47-4BAC-9DB2-7678EA0EA3CE}"/>
    <cellStyle name="Percent 2 2 2 3 4 2 3" xfId="2463" xr:uid="{00000000-0005-0000-0000-0000A9120000}"/>
    <cellStyle name="Percent 2 2 2 3 4 2 3 2" xfId="5783" xr:uid="{00000000-0005-0000-0000-0000AA120000}"/>
    <cellStyle name="Percent 2 2 2 3 4 2 3 2 2" xfId="11960" xr:uid="{E99436F2-72DB-4543-9434-B59BA82F1D80}"/>
    <cellStyle name="Percent 2 2 2 3 4 2 3 3" xfId="8640" xr:uid="{D43C7F1B-2711-43EF-97BC-A37673A9A6BA}"/>
    <cellStyle name="Percent 2 2 2 3 4 2 4" xfId="4227" xr:uid="{00000000-0005-0000-0000-0000AB120000}"/>
    <cellStyle name="Percent 2 2 2 3 4 2 4 2" xfId="10404" xr:uid="{D8077B6A-F819-4B08-89B3-45F13BA9BCF2}"/>
    <cellStyle name="Percent 2 2 2 3 4 2 5" xfId="1580" xr:uid="{00000000-0005-0000-0000-0000AC120000}"/>
    <cellStyle name="Percent 2 2 2 3 4 2 5 2" xfId="7757" xr:uid="{48B1FD6C-D906-4382-8F5F-52942A3D56A4}"/>
    <cellStyle name="Percent 2 2 2 3 4 2 6" xfId="6874" xr:uid="{985120B6-0B1F-435C-AFDA-08780650E310}"/>
    <cellStyle name="Percent 2 2 2 3 4 3" xfId="2904" xr:uid="{00000000-0005-0000-0000-0000AD120000}"/>
    <cellStyle name="Percent 2 2 2 3 4 3 2" xfId="5784" xr:uid="{00000000-0005-0000-0000-0000AE120000}"/>
    <cellStyle name="Percent 2 2 2 3 4 3 2 2" xfId="11961" xr:uid="{4FFBEF3B-6224-4A01-B252-F8F9A404DBA2}"/>
    <cellStyle name="Percent 2 2 2 3 4 3 3" xfId="9081" xr:uid="{60680F5B-5C12-42BD-AA9E-61055FCAE859}"/>
    <cellStyle name="Percent 2 2 2 3 4 4" xfId="2022" xr:uid="{00000000-0005-0000-0000-0000AF120000}"/>
    <cellStyle name="Percent 2 2 2 3 4 4 2" xfId="5785" xr:uid="{00000000-0005-0000-0000-0000B0120000}"/>
    <cellStyle name="Percent 2 2 2 3 4 4 2 2" xfId="11962" xr:uid="{FB4B60E7-51EE-4F9F-9210-D8BFCC94F05B}"/>
    <cellStyle name="Percent 2 2 2 3 4 4 3" xfId="8199" xr:uid="{445F0D67-748B-4C16-B268-2C516F16FF59}"/>
    <cellStyle name="Percent 2 2 2 3 4 5" xfId="3786" xr:uid="{00000000-0005-0000-0000-0000B1120000}"/>
    <cellStyle name="Percent 2 2 2 3 4 5 2" xfId="9963" xr:uid="{35E644F4-20CC-4452-B6EB-4DAAF4AC46CA}"/>
    <cellStyle name="Percent 2 2 2 3 4 6" xfId="1139" xr:uid="{00000000-0005-0000-0000-0000B2120000}"/>
    <cellStyle name="Percent 2 2 2 3 4 6 2" xfId="7316" xr:uid="{A16F545B-53AB-4BD1-9056-700F60012201}"/>
    <cellStyle name="Percent 2 2 2 3 4 7" xfId="6433" xr:uid="{DD723214-A073-4A29-8B05-04E9A70EE3A7}"/>
    <cellStyle name="Percent 2 2 2 3 5" xfId="477" xr:uid="{00000000-0005-0000-0000-0000B3120000}"/>
    <cellStyle name="Percent 2 2 2 3 5 2" xfId="3125" xr:uid="{00000000-0005-0000-0000-0000B4120000}"/>
    <cellStyle name="Percent 2 2 2 3 5 2 2" xfId="5786" xr:uid="{00000000-0005-0000-0000-0000B5120000}"/>
    <cellStyle name="Percent 2 2 2 3 5 2 2 2" xfId="11963" xr:uid="{10221CCE-5A3F-4104-985B-AC078505C94B}"/>
    <cellStyle name="Percent 2 2 2 3 5 2 3" xfId="9302" xr:uid="{B434ABFB-FDFB-42D0-8E1D-47324C1DD2FF}"/>
    <cellStyle name="Percent 2 2 2 3 5 3" xfId="2243" xr:uid="{00000000-0005-0000-0000-0000B6120000}"/>
    <cellStyle name="Percent 2 2 2 3 5 3 2" xfId="5787" xr:uid="{00000000-0005-0000-0000-0000B7120000}"/>
    <cellStyle name="Percent 2 2 2 3 5 3 2 2" xfId="11964" xr:uid="{3297FFE8-562B-4C3B-B754-EE4712B19E9F}"/>
    <cellStyle name="Percent 2 2 2 3 5 3 3" xfId="8420" xr:uid="{33EF1BAA-97A8-4EF0-8EBA-7AFD4940C8FA}"/>
    <cellStyle name="Percent 2 2 2 3 5 4" xfId="4007" xr:uid="{00000000-0005-0000-0000-0000B8120000}"/>
    <cellStyle name="Percent 2 2 2 3 5 4 2" xfId="10184" xr:uid="{6D52B811-922E-452C-B1FA-2B8EA18327CB}"/>
    <cellStyle name="Percent 2 2 2 3 5 5" xfId="1360" xr:uid="{00000000-0005-0000-0000-0000B9120000}"/>
    <cellStyle name="Percent 2 2 2 3 5 5 2" xfId="7537" xr:uid="{D2C9293D-A857-408D-8A43-D65D3BAD5F1E}"/>
    <cellStyle name="Percent 2 2 2 3 5 6" xfId="6654" xr:uid="{6C1255EA-4F40-4DB8-B279-63E0D47B1D29}"/>
    <cellStyle name="Percent 2 2 2 3 6" xfId="2684" xr:uid="{00000000-0005-0000-0000-0000BA120000}"/>
    <cellStyle name="Percent 2 2 2 3 6 2" xfId="5788" xr:uid="{00000000-0005-0000-0000-0000BB120000}"/>
    <cellStyle name="Percent 2 2 2 3 6 2 2" xfId="11965" xr:uid="{71C4C409-D279-46A4-BC1F-E1B38787AF11}"/>
    <cellStyle name="Percent 2 2 2 3 6 3" xfId="8861" xr:uid="{AB8F4458-F0D6-4456-9621-8DA44C3D30E0}"/>
    <cellStyle name="Percent 2 2 2 3 7" xfId="1802" xr:uid="{00000000-0005-0000-0000-0000BC120000}"/>
    <cellStyle name="Percent 2 2 2 3 7 2" xfId="5789" xr:uid="{00000000-0005-0000-0000-0000BD120000}"/>
    <cellStyle name="Percent 2 2 2 3 7 2 2" xfId="11966" xr:uid="{478C4E00-A15B-4C78-8F19-9F85CAD30CC9}"/>
    <cellStyle name="Percent 2 2 2 3 7 3" xfId="7979" xr:uid="{3DB93D85-A975-4DA5-8D39-67CDD026D350}"/>
    <cellStyle name="Percent 2 2 2 3 8" xfId="3566" xr:uid="{00000000-0005-0000-0000-0000BE120000}"/>
    <cellStyle name="Percent 2 2 2 3 8 2" xfId="9743" xr:uid="{610370C3-A384-4AF9-95B9-B8E3929EE0B8}"/>
    <cellStyle name="Percent 2 2 2 3 9" xfId="919" xr:uid="{00000000-0005-0000-0000-0000BF120000}"/>
    <cellStyle name="Percent 2 2 2 3 9 2" xfId="7096" xr:uid="{0B29F939-8917-4EE7-BD8F-500451EA2180}"/>
    <cellStyle name="Percent 2 2 2 4" xfId="42" xr:uid="{00000000-0005-0000-0000-0000C0120000}"/>
    <cellStyle name="Percent 2 2 2 4 10" xfId="6219" xr:uid="{A6662924-3608-493F-B5EF-808F12366D04}"/>
    <cellStyle name="Percent 2 2 2 4 2" xfId="108" xr:uid="{00000000-0005-0000-0000-0000C1120000}"/>
    <cellStyle name="Percent 2 2 2 4 2 2" xfId="218" xr:uid="{00000000-0005-0000-0000-0000C2120000}"/>
    <cellStyle name="Percent 2 2 2 4 2 2 2" xfId="438" xr:uid="{00000000-0005-0000-0000-0000C3120000}"/>
    <cellStyle name="Percent 2 2 2 4 2 2 2 2" xfId="879" xr:uid="{00000000-0005-0000-0000-0000C4120000}"/>
    <cellStyle name="Percent 2 2 2 4 2 2 2 2 2" xfId="3527" xr:uid="{00000000-0005-0000-0000-0000C5120000}"/>
    <cellStyle name="Percent 2 2 2 4 2 2 2 2 2 2" xfId="5790" xr:uid="{00000000-0005-0000-0000-0000C6120000}"/>
    <cellStyle name="Percent 2 2 2 4 2 2 2 2 2 2 2" xfId="11967" xr:uid="{EF84EA1B-82AB-4F15-BFAD-3E0541D9603E}"/>
    <cellStyle name="Percent 2 2 2 4 2 2 2 2 2 3" xfId="9704" xr:uid="{39C1D37A-7968-4B7A-B8E9-833742FD58DC}"/>
    <cellStyle name="Percent 2 2 2 4 2 2 2 2 3" xfId="2645" xr:uid="{00000000-0005-0000-0000-0000C7120000}"/>
    <cellStyle name="Percent 2 2 2 4 2 2 2 2 3 2" xfId="5791" xr:uid="{00000000-0005-0000-0000-0000C8120000}"/>
    <cellStyle name="Percent 2 2 2 4 2 2 2 2 3 2 2" xfId="11968" xr:uid="{0DDE4471-FAAD-4EB8-9366-825D0560DE14}"/>
    <cellStyle name="Percent 2 2 2 4 2 2 2 2 3 3" xfId="8822" xr:uid="{F54B6FF1-5BAC-43BD-AE67-9797D93928F2}"/>
    <cellStyle name="Percent 2 2 2 4 2 2 2 2 4" xfId="4409" xr:uid="{00000000-0005-0000-0000-0000C9120000}"/>
    <cellStyle name="Percent 2 2 2 4 2 2 2 2 4 2" xfId="10586" xr:uid="{298892D8-039E-4BD7-AEDE-F07653062023}"/>
    <cellStyle name="Percent 2 2 2 4 2 2 2 2 5" xfId="1762" xr:uid="{00000000-0005-0000-0000-0000CA120000}"/>
    <cellStyle name="Percent 2 2 2 4 2 2 2 2 5 2" xfId="7939" xr:uid="{B64E201C-4F19-4D50-8109-7305E05C6D7A}"/>
    <cellStyle name="Percent 2 2 2 4 2 2 2 2 6" xfId="7056" xr:uid="{5ED4DEF9-428E-4CF9-9640-912091B5076C}"/>
    <cellStyle name="Percent 2 2 2 4 2 2 2 3" xfId="3086" xr:uid="{00000000-0005-0000-0000-0000CB120000}"/>
    <cellStyle name="Percent 2 2 2 4 2 2 2 3 2" xfId="5792" xr:uid="{00000000-0005-0000-0000-0000CC120000}"/>
    <cellStyle name="Percent 2 2 2 4 2 2 2 3 2 2" xfId="11969" xr:uid="{CC6BC60A-97A5-49F5-9397-CF0251AB8CE3}"/>
    <cellStyle name="Percent 2 2 2 4 2 2 2 3 3" xfId="9263" xr:uid="{F3B814BD-B7EB-4AF2-9A25-7631EF1F0BDC}"/>
    <cellStyle name="Percent 2 2 2 4 2 2 2 4" xfId="2204" xr:uid="{00000000-0005-0000-0000-0000CD120000}"/>
    <cellStyle name="Percent 2 2 2 4 2 2 2 4 2" xfId="5793" xr:uid="{00000000-0005-0000-0000-0000CE120000}"/>
    <cellStyle name="Percent 2 2 2 4 2 2 2 4 2 2" xfId="11970" xr:uid="{16A9A011-4647-48D0-96E9-6DFC46EAD2D8}"/>
    <cellStyle name="Percent 2 2 2 4 2 2 2 4 3" xfId="8381" xr:uid="{C3CCC202-D863-413A-A444-7009DF0DE873}"/>
    <cellStyle name="Percent 2 2 2 4 2 2 2 5" xfId="3968" xr:uid="{00000000-0005-0000-0000-0000CF120000}"/>
    <cellStyle name="Percent 2 2 2 4 2 2 2 5 2" xfId="10145" xr:uid="{35A517BB-36B5-4C55-91F0-2FD5C93E11D0}"/>
    <cellStyle name="Percent 2 2 2 4 2 2 2 6" xfId="1321" xr:uid="{00000000-0005-0000-0000-0000D0120000}"/>
    <cellStyle name="Percent 2 2 2 4 2 2 2 6 2" xfId="7498" xr:uid="{2F44FD18-BDC8-475B-80D4-E4DFCA948F4A}"/>
    <cellStyle name="Percent 2 2 2 4 2 2 2 7" xfId="6615" xr:uid="{253515AF-59C3-4ED9-88BE-1FB83AA2CD5B}"/>
    <cellStyle name="Percent 2 2 2 4 2 2 3" xfId="659" xr:uid="{00000000-0005-0000-0000-0000D1120000}"/>
    <cellStyle name="Percent 2 2 2 4 2 2 3 2" xfId="3307" xr:uid="{00000000-0005-0000-0000-0000D2120000}"/>
    <cellStyle name="Percent 2 2 2 4 2 2 3 2 2" xfId="5794" xr:uid="{00000000-0005-0000-0000-0000D3120000}"/>
    <cellStyle name="Percent 2 2 2 4 2 2 3 2 2 2" xfId="11971" xr:uid="{E1BEB0D0-CCB1-421F-9F3D-46E5A37B0523}"/>
    <cellStyle name="Percent 2 2 2 4 2 2 3 2 3" xfId="9484" xr:uid="{82C22F34-0346-418F-A5B1-CA84F52A5146}"/>
    <cellStyle name="Percent 2 2 2 4 2 2 3 3" xfId="2425" xr:uid="{00000000-0005-0000-0000-0000D4120000}"/>
    <cellStyle name="Percent 2 2 2 4 2 2 3 3 2" xfId="5795" xr:uid="{00000000-0005-0000-0000-0000D5120000}"/>
    <cellStyle name="Percent 2 2 2 4 2 2 3 3 2 2" xfId="11972" xr:uid="{0F2A476F-68E7-44BF-BA4C-0371702C0877}"/>
    <cellStyle name="Percent 2 2 2 4 2 2 3 3 3" xfId="8602" xr:uid="{7D5530ED-7AD3-48F7-A53B-D843D2C502A1}"/>
    <cellStyle name="Percent 2 2 2 4 2 2 3 4" xfId="4189" xr:uid="{00000000-0005-0000-0000-0000D6120000}"/>
    <cellStyle name="Percent 2 2 2 4 2 2 3 4 2" xfId="10366" xr:uid="{D070EC86-D686-498C-B351-82FA35194C93}"/>
    <cellStyle name="Percent 2 2 2 4 2 2 3 5" xfId="1542" xr:uid="{00000000-0005-0000-0000-0000D7120000}"/>
    <cellStyle name="Percent 2 2 2 4 2 2 3 5 2" xfId="7719" xr:uid="{8C35D9B3-AFA8-4476-BCD6-5F7B1F4CB77D}"/>
    <cellStyle name="Percent 2 2 2 4 2 2 3 6" xfId="6836" xr:uid="{F2EFE4CB-22AD-4483-B28E-6EFFE8ECFFDF}"/>
    <cellStyle name="Percent 2 2 2 4 2 2 4" xfId="2866" xr:uid="{00000000-0005-0000-0000-0000D8120000}"/>
    <cellStyle name="Percent 2 2 2 4 2 2 4 2" xfId="5796" xr:uid="{00000000-0005-0000-0000-0000D9120000}"/>
    <cellStyle name="Percent 2 2 2 4 2 2 4 2 2" xfId="11973" xr:uid="{A824DB90-89F5-47D2-AD07-19271720F158}"/>
    <cellStyle name="Percent 2 2 2 4 2 2 4 3" xfId="9043" xr:uid="{5C7343A9-C323-4D1B-8790-3AEEF6096B85}"/>
    <cellStyle name="Percent 2 2 2 4 2 2 5" xfId="1984" xr:uid="{00000000-0005-0000-0000-0000DA120000}"/>
    <cellStyle name="Percent 2 2 2 4 2 2 5 2" xfId="5797" xr:uid="{00000000-0005-0000-0000-0000DB120000}"/>
    <cellStyle name="Percent 2 2 2 4 2 2 5 2 2" xfId="11974" xr:uid="{3DCEAEF4-A812-4294-9FE7-B9D7965216F9}"/>
    <cellStyle name="Percent 2 2 2 4 2 2 5 3" xfId="8161" xr:uid="{EFC1DF66-8A5E-4193-B232-904065A6681B}"/>
    <cellStyle name="Percent 2 2 2 4 2 2 6" xfId="3748" xr:uid="{00000000-0005-0000-0000-0000DC120000}"/>
    <cellStyle name="Percent 2 2 2 4 2 2 6 2" xfId="9925" xr:uid="{0BF9694A-24CB-4401-B392-87CBD843CB4D}"/>
    <cellStyle name="Percent 2 2 2 4 2 2 7" xfId="1101" xr:uid="{00000000-0005-0000-0000-0000DD120000}"/>
    <cellStyle name="Percent 2 2 2 4 2 2 7 2" xfId="7278" xr:uid="{5EE9525A-5B0B-4EE9-90D8-97544083E845}"/>
    <cellStyle name="Percent 2 2 2 4 2 2 8" xfId="6395" xr:uid="{7E090878-E5FC-42B9-B717-5DC4CAF2A699}"/>
    <cellStyle name="Percent 2 2 2 4 2 3" xfId="328" xr:uid="{00000000-0005-0000-0000-0000DE120000}"/>
    <cellStyle name="Percent 2 2 2 4 2 3 2" xfId="769" xr:uid="{00000000-0005-0000-0000-0000DF120000}"/>
    <cellStyle name="Percent 2 2 2 4 2 3 2 2" xfId="3417" xr:uid="{00000000-0005-0000-0000-0000E0120000}"/>
    <cellStyle name="Percent 2 2 2 4 2 3 2 2 2" xfId="5798" xr:uid="{00000000-0005-0000-0000-0000E1120000}"/>
    <cellStyle name="Percent 2 2 2 4 2 3 2 2 2 2" xfId="11975" xr:uid="{43D1C4A9-8561-4251-83D9-1739F213BD79}"/>
    <cellStyle name="Percent 2 2 2 4 2 3 2 2 3" xfId="9594" xr:uid="{501343D7-1299-41CF-8DF2-085875F73436}"/>
    <cellStyle name="Percent 2 2 2 4 2 3 2 3" xfId="2535" xr:uid="{00000000-0005-0000-0000-0000E2120000}"/>
    <cellStyle name="Percent 2 2 2 4 2 3 2 3 2" xfId="5799" xr:uid="{00000000-0005-0000-0000-0000E3120000}"/>
    <cellStyle name="Percent 2 2 2 4 2 3 2 3 2 2" xfId="11976" xr:uid="{312D68D1-3530-42C4-A965-7C2966BC7C0C}"/>
    <cellStyle name="Percent 2 2 2 4 2 3 2 3 3" xfId="8712" xr:uid="{ED2B9FC5-2D3C-450F-A0F6-825B523AD3CA}"/>
    <cellStyle name="Percent 2 2 2 4 2 3 2 4" xfId="4299" xr:uid="{00000000-0005-0000-0000-0000E4120000}"/>
    <cellStyle name="Percent 2 2 2 4 2 3 2 4 2" xfId="10476" xr:uid="{86A59398-556E-451D-B264-035B705B140B}"/>
    <cellStyle name="Percent 2 2 2 4 2 3 2 5" xfId="1652" xr:uid="{00000000-0005-0000-0000-0000E5120000}"/>
    <cellStyle name="Percent 2 2 2 4 2 3 2 5 2" xfId="7829" xr:uid="{6610F0E9-2C14-4AF9-BB9A-B0BDE6DA370A}"/>
    <cellStyle name="Percent 2 2 2 4 2 3 2 6" xfId="6946" xr:uid="{0C57E3A6-687D-4F32-A7B6-D902E178B613}"/>
    <cellStyle name="Percent 2 2 2 4 2 3 3" xfId="2976" xr:uid="{00000000-0005-0000-0000-0000E6120000}"/>
    <cellStyle name="Percent 2 2 2 4 2 3 3 2" xfId="5800" xr:uid="{00000000-0005-0000-0000-0000E7120000}"/>
    <cellStyle name="Percent 2 2 2 4 2 3 3 2 2" xfId="11977" xr:uid="{B6537BFB-AB6A-4BB1-94FD-A18139EDF12F}"/>
    <cellStyle name="Percent 2 2 2 4 2 3 3 3" xfId="9153" xr:uid="{04F61FB1-3FB1-4629-A12A-07A198B28301}"/>
    <cellStyle name="Percent 2 2 2 4 2 3 4" xfId="2094" xr:uid="{00000000-0005-0000-0000-0000E8120000}"/>
    <cellStyle name="Percent 2 2 2 4 2 3 4 2" xfId="5801" xr:uid="{00000000-0005-0000-0000-0000E9120000}"/>
    <cellStyle name="Percent 2 2 2 4 2 3 4 2 2" xfId="11978" xr:uid="{DE71FCDC-832A-4988-B962-05B3461B67B9}"/>
    <cellStyle name="Percent 2 2 2 4 2 3 4 3" xfId="8271" xr:uid="{D74B788D-B2DD-4A7D-A902-EC9CEDB025B3}"/>
    <cellStyle name="Percent 2 2 2 4 2 3 5" xfId="3858" xr:uid="{00000000-0005-0000-0000-0000EA120000}"/>
    <cellStyle name="Percent 2 2 2 4 2 3 5 2" xfId="10035" xr:uid="{482CAAFC-E1CD-4935-B113-EB3782CA904C}"/>
    <cellStyle name="Percent 2 2 2 4 2 3 6" xfId="1211" xr:uid="{00000000-0005-0000-0000-0000EB120000}"/>
    <cellStyle name="Percent 2 2 2 4 2 3 6 2" xfId="7388" xr:uid="{56CD7FDE-77B7-4F76-B8B0-91241D4AAAC5}"/>
    <cellStyle name="Percent 2 2 2 4 2 3 7" xfId="6505" xr:uid="{865D6341-D3AB-4F2E-88FC-0EF5A66E8F51}"/>
    <cellStyle name="Percent 2 2 2 4 2 4" xfId="549" xr:uid="{00000000-0005-0000-0000-0000EC120000}"/>
    <cellStyle name="Percent 2 2 2 4 2 4 2" xfId="3197" xr:uid="{00000000-0005-0000-0000-0000ED120000}"/>
    <cellStyle name="Percent 2 2 2 4 2 4 2 2" xfId="5802" xr:uid="{00000000-0005-0000-0000-0000EE120000}"/>
    <cellStyle name="Percent 2 2 2 4 2 4 2 2 2" xfId="11979" xr:uid="{0826195D-A6B7-45C3-A6E5-EAF623CDCFA7}"/>
    <cellStyle name="Percent 2 2 2 4 2 4 2 3" xfId="9374" xr:uid="{DB72767D-F6DF-43FF-9B0D-A861627A1049}"/>
    <cellStyle name="Percent 2 2 2 4 2 4 3" xfId="2315" xr:uid="{00000000-0005-0000-0000-0000EF120000}"/>
    <cellStyle name="Percent 2 2 2 4 2 4 3 2" xfId="5803" xr:uid="{00000000-0005-0000-0000-0000F0120000}"/>
    <cellStyle name="Percent 2 2 2 4 2 4 3 2 2" xfId="11980" xr:uid="{914479FC-6061-42A8-9955-D546F10CA105}"/>
    <cellStyle name="Percent 2 2 2 4 2 4 3 3" xfId="8492" xr:uid="{967BF578-1ED2-4593-A485-BD9D65EC3A52}"/>
    <cellStyle name="Percent 2 2 2 4 2 4 4" xfId="4079" xr:uid="{00000000-0005-0000-0000-0000F1120000}"/>
    <cellStyle name="Percent 2 2 2 4 2 4 4 2" xfId="10256" xr:uid="{506E4335-3DBB-4252-9F9D-CD1D9E69DDE4}"/>
    <cellStyle name="Percent 2 2 2 4 2 4 5" xfId="1432" xr:uid="{00000000-0005-0000-0000-0000F2120000}"/>
    <cellStyle name="Percent 2 2 2 4 2 4 5 2" xfId="7609" xr:uid="{0DB89472-CE2E-4602-8C03-5AF5FAF11BB6}"/>
    <cellStyle name="Percent 2 2 2 4 2 4 6" xfId="6726" xr:uid="{4D53914B-CF34-4A29-AE85-21ED29EDF0C1}"/>
    <cellStyle name="Percent 2 2 2 4 2 5" xfId="2756" xr:uid="{00000000-0005-0000-0000-0000F3120000}"/>
    <cellStyle name="Percent 2 2 2 4 2 5 2" xfId="5804" xr:uid="{00000000-0005-0000-0000-0000F4120000}"/>
    <cellStyle name="Percent 2 2 2 4 2 5 2 2" xfId="11981" xr:uid="{10A2A615-A037-4D35-A847-D3C265552D24}"/>
    <cellStyle name="Percent 2 2 2 4 2 5 3" xfId="8933" xr:uid="{F7BD3AB3-1FCB-4F00-9C46-A25788DEA4DD}"/>
    <cellStyle name="Percent 2 2 2 4 2 6" xfId="1874" xr:uid="{00000000-0005-0000-0000-0000F5120000}"/>
    <cellStyle name="Percent 2 2 2 4 2 6 2" xfId="5805" xr:uid="{00000000-0005-0000-0000-0000F6120000}"/>
    <cellStyle name="Percent 2 2 2 4 2 6 2 2" xfId="11982" xr:uid="{5F7262EF-B486-4FC2-A542-9B1E35310501}"/>
    <cellStyle name="Percent 2 2 2 4 2 6 3" xfId="8051" xr:uid="{7E2A9830-362A-4838-B967-62EB9CD38BED}"/>
    <cellStyle name="Percent 2 2 2 4 2 7" xfId="3638" xr:uid="{00000000-0005-0000-0000-0000F7120000}"/>
    <cellStyle name="Percent 2 2 2 4 2 7 2" xfId="9815" xr:uid="{CE07CEA6-A6D9-4EE3-89FB-BBE481ECA1B8}"/>
    <cellStyle name="Percent 2 2 2 4 2 8" xfId="991" xr:uid="{00000000-0005-0000-0000-0000F8120000}"/>
    <cellStyle name="Percent 2 2 2 4 2 8 2" xfId="7168" xr:uid="{E8BC305F-22A4-4E2D-94BA-DBC2F9C937DD}"/>
    <cellStyle name="Percent 2 2 2 4 2 9" xfId="6285" xr:uid="{11F5E608-DC27-4ACC-B47A-27996121AE76}"/>
    <cellStyle name="Percent 2 2 2 4 3" xfId="152" xr:uid="{00000000-0005-0000-0000-0000F9120000}"/>
    <cellStyle name="Percent 2 2 2 4 3 2" xfId="372" xr:uid="{00000000-0005-0000-0000-0000FA120000}"/>
    <cellStyle name="Percent 2 2 2 4 3 2 2" xfId="813" xr:uid="{00000000-0005-0000-0000-0000FB120000}"/>
    <cellStyle name="Percent 2 2 2 4 3 2 2 2" xfId="3461" xr:uid="{00000000-0005-0000-0000-0000FC120000}"/>
    <cellStyle name="Percent 2 2 2 4 3 2 2 2 2" xfId="5806" xr:uid="{00000000-0005-0000-0000-0000FD120000}"/>
    <cellStyle name="Percent 2 2 2 4 3 2 2 2 2 2" xfId="11983" xr:uid="{E3E7DA06-2DC9-4C67-A298-39A967DFC08F}"/>
    <cellStyle name="Percent 2 2 2 4 3 2 2 2 3" xfId="9638" xr:uid="{7FAC9EE0-6C0B-483D-B545-5E9CB72E03B2}"/>
    <cellStyle name="Percent 2 2 2 4 3 2 2 3" xfId="2579" xr:uid="{00000000-0005-0000-0000-0000FE120000}"/>
    <cellStyle name="Percent 2 2 2 4 3 2 2 3 2" xfId="5807" xr:uid="{00000000-0005-0000-0000-0000FF120000}"/>
    <cellStyle name="Percent 2 2 2 4 3 2 2 3 2 2" xfId="11984" xr:uid="{CBEA9877-365B-412E-8C1D-8F37CBC92FA3}"/>
    <cellStyle name="Percent 2 2 2 4 3 2 2 3 3" xfId="8756" xr:uid="{6546CC91-F734-4E95-A2FE-CE3549A63337}"/>
    <cellStyle name="Percent 2 2 2 4 3 2 2 4" xfId="4343" xr:uid="{00000000-0005-0000-0000-000000130000}"/>
    <cellStyle name="Percent 2 2 2 4 3 2 2 4 2" xfId="10520" xr:uid="{49A261D4-45BE-4795-878F-3A9F5097020C}"/>
    <cellStyle name="Percent 2 2 2 4 3 2 2 5" xfId="1696" xr:uid="{00000000-0005-0000-0000-000001130000}"/>
    <cellStyle name="Percent 2 2 2 4 3 2 2 5 2" xfId="7873" xr:uid="{C2B54D5E-6E48-4228-8541-A6A93726F64A}"/>
    <cellStyle name="Percent 2 2 2 4 3 2 2 6" xfId="6990" xr:uid="{8F9614B3-74E0-45CA-8D39-F5FBA89AD9DF}"/>
    <cellStyle name="Percent 2 2 2 4 3 2 3" xfId="3020" xr:uid="{00000000-0005-0000-0000-000002130000}"/>
    <cellStyle name="Percent 2 2 2 4 3 2 3 2" xfId="5808" xr:uid="{00000000-0005-0000-0000-000003130000}"/>
    <cellStyle name="Percent 2 2 2 4 3 2 3 2 2" xfId="11985" xr:uid="{FE9C4BB5-A4E3-43D6-9557-A1E75EF1F565}"/>
    <cellStyle name="Percent 2 2 2 4 3 2 3 3" xfId="9197" xr:uid="{B0E1F419-51EB-4309-B83F-8B72BB555DCE}"/>
    <cellStyle name="Percent 2 2 2 4 3 2 4" xfId="2138" xr:uid="{00000000-0005-0000-0000-000004130000}"/>
    <cellStyle name="Percent 2 2 2 4 3 2 4 2" xfId="5809" xr:uid="{00000000-0005-0000-0000-000005130000}"/>
    <cellStyle name="Percent 2 2 2 4 3 2 4 2 2" xfId="11986" xr:uid="{66866A14-BCBC-4A06-AE91-13F6173BE543}"/>
    <cellStyle name="Percent 2 2 2 4 3 2 4 3" xfId="8315" xr:uid="{DDC2721D-B51D-42FC-A454-AE6B500D944A}"/>
    <cellStyle name="Percent 2 2 2 4 3 2 5" xfId="3902" xr:uid="{00000000-0005-0000-0000-000006130000}"/>
    <cellStyle name="Percent 2 2 2 4 3 2 5 2" xfId="10079" xr:uid="{6833A132-40DE-4CCF-BBA6-80C6CC44E03C}"/>
    <cellStyle name="Percent 2 2 2 4 3 2 6" xfId="1255" xr:uid="{00000000-0005-0000-0000-000007130000}"/>
    <cellStyle name="Percent 2 2 2 4 3 2 6 2" xfId="7432" xr:uid="{18F7379F-912B-42F2-ADE7-EEB86A1D61F0}"/>
    <cellStyle name="Percent 2 2 2 4 3 2 7" xfId="6549" xr:uid="{2CD1F686-27EA-4BBD-8C52-D4B004B93556}"/>
    <cellStyle name="Percent 2 2 2 4 3 3" xfId="593" xr:uid="{00000000-0005-0000-0000-000008130000}"/>
    <cellStyle name="Percent 2 2 2 4 3 3 2" xfId="3241" xr:uid="{00000000-0005-0000-0000-000009130000}"/>
    <cellStyle name="Percent 2 2 2 4 3 3 2 2" xfId="5810" xr:uid="{00000000-0005-0000-0000-00000A130000}"/>
    <cellStyle name="Percent 2 2 2 4 3 3 2 2 2" xfId="11987" xr:uid="{36A34A01-34DE-440B-8808-88061A91B236}"/>
    <cellStyle name="Percent 2 2 2 4 3 3 2 3" xfId="9418" xr:uid="{ADDFA1A4-5C1B-4B95-8344-D1E82086D71F}"/>
    <cellStyle name="Percent 2 2 2 4 3 3 3" xfId="2359" xr:uid="{00000000-0005-0000-0000-00000B130000}"/>
    <cellStyle name="Percent 2 2 2 4 3 3 3 2" xfId="5811" xr:uid="{00000000-0005-0000-0000-00000C130000}"/>
    <cellStyle name="Percent 2 2 2 4 3 3 3 2 2" xfId="11988" xr:uid="{E1BD982A-657D-4264-AA16-FF78C343E583}"/>
    <cellStyle name="Percent 2 2 2 4 3 3 3 3" xfId="8536" xr:uid="{D8B6DE82-EBB7-4DA7-BD50-653D2F77467A}"/>
    <cellStyle name="Percent 2 2 2 4 3 3 4" xfId="4123" xr:uid="{00000000-0005-0000-0000-00000D130000}"/>
    <cellStyle name="Percent 2 2 2 4 3 3 4 2" xfId="10300" xr:uid="{225C9499-0907-46AC-A299-0F64D13A7B0A}"/>
    <cellStyle name="Percent 2 2 2 4 3 3 5" xfId="1476" xr:uid="{00000000-0005-0000-0000-00000E130000}"/>
    <cellStyle name="Percent 2 2 2 4 3 3 5 2" xfId="7653" xr:uid="{37870285-9E63-4380-BFAE-F8C889F01F83}"/>
    <cellStyle name="Percent 2 2 2 4 3 3 6" xfId="6770" xr:uid="{5AC82838-5B32-42F3-8582-FFE2CBAEEE0D}"/>
    <cellStyle name="Percent 2 2 2 4 3 4" xfId="2800" xr:uid="{00000000-0005-0000-0000-00000F130000}"/>
    <cellStyle name="Percent 2 2 2 4 3 4 2" xfId="5812" xr:uid="{00000000-0005-0000-0000-000010130000}"/>
    <cellStyle name="Percent 2 2 2 4 3 4 2 2" xfId="11989" xr:uid="{67C5DCFA-1F0D-4D2C-B53F-CBDBAAE27FEB}"/>
    <cellStyle name="Percent 2 2 2 4 3 4 3" xfId="8977" xr:uid="{FBAED9DE-61AF-48F0-8547-33F7127182C8}"/>
    <cellStyle name="Percent 2 2 2 4 3 5" xfId="1918" xr:uid="{00000000-0005-0000-0000-000011130000}"/>
    <cellStyle name="Percent 2 2 2 4 3 5 2" xfId="5813" xr:uid="{00000000-0005-0000-0000-000012130000}"/>
    <cellStyle name="Percent 2 2 2 4 3 5 2 2" xfId="11990" xr:uid="{5CF11A59-FF50-4A50-881D-89A82B5996DC}"/>
    <cellStyle name="Percent 2 2 2 4 3 5 3" xfId="8095" xr:uid="{7E42FB47-16C4-42E1-8D93-FBE421D9F5DC}"/>
    <cellStyle name="Percent 2 2 2 4 3 6" xfId="3682" xr:uid="{00000000-0005-0000-0000-000013130000}"/>
    <cellStyle name="Percent 2 2 2 4 3 6 2" xfId="9859" xr:uid="{81CF6E85-8E5A-4B8F-8B39-B27F83C1E2F0}"/>
    <cellStyle name="Percent 2 2 2 4 3 7" xfId="1035" xr:uid="{00000000-0005-0000-0000-000014130000}"/>
    <cellStyle name="Percent 2 2 2 4 3 7 2" xfId="7212" xr:uid="{40899032-5BC2-4C65-8066-C699CFDABDB3}"/>
    <cellStyle name="Percent 2 2 2 4 3 8" xfId="6329" xr:uid="{F2D1C0B1-1426-4549-BFBA-559191006793}"/>
    <cellStyle name="Percent 2 2 2 4 4" xfId="262" xr:uid="{00000000-0005-0000-0000-000015130000}"/>
    <cellStyle name="Percent 2 2 2 4 4 2" xfId="703" xr:uid="{00000000-0005-0000-0000-000016130000}"/>
    <cellStyle name="Percent 2 2 2 4 4 2 2" xfId="3351" xr:uid="{00000000-0005-0000-0000-000017130000}"/>
    <cellStyle name="Percent 2 2 2 4 4 2 2 2" xfId="5814" xr:uid="{00000000-0005-0000-0000-000018130000}"/>
    <cellStyle name="Percent 2 2 2 4 4 2 2 2 2" xfId="11991" xr:uid="{AD60874F-538B-4054-A298-A22D1E2563C9}"/>
    <cellStyle name="Percent 2 2 2 4 4 2 2 3" xfId="9528" xr:uid="{7A478C60-D773-4101-B5CE-1F984002AE08}"/>
    <cellStyle name="Percent 2 2 2 4 4 2 3" xfId="2469" xr:uid="{00000000-0005-0000-0000-000019130000}"/>
    <cellStyle name="Percent 2 2 2 4 4 2 3 2" xfId="5815" xr:uid="{00000000-0005-0000-0000-00001A130000}"/>
    <cellStyle name="Percent 2 2 2 4 4 2 3 2 2" xfId="11992" xr:uid="{3427B3A5-783F-412B-89E4-3DBDD77E5A05}"/>
    <cellStyle name="Percent 2 2 2 4 4 2 3 3" xfId="8646" xr:uid="{E82DC8DE-3348-4E63-AA1A-E1E5953BFB14}"/>
    <cellStyle name="Percent 2 2 2 4 4 2 4" xfId="4233" xr:uid="{00000000-0005-0000-0000-00001B130000}"/>
    <cellStyle name="Percent 2 2 2 4 4 2 4 2" xfId="10410" xr:uid="{3A7BD6F8-FDE6-43E5-B2E5-1056709774C2}"/>
    <cellStyle name="Percent 2 2 2 4 4 2 5" xfId="1586" xr:uid="{00000000-0005-0000-0000-00001C130000}"/>
    <cellStyle name="Percent 2 2 2 4 4 2 5 2" xfId="7763" xr:uid="{D06EB54B-836A-4AA8-B4AC-F8F96956AD20}"/>
    <cellStyle name="Percent 2 2 2 4 4 2 6" xfId="6880" xr:uid="{AFAAC82B-8A8A-44FD-A3BC-3EEF2DABE5D1}"/>
    <cellStyle name="Percent 2 2 2 4 4 3" xfId="2910" xr:uid="{00000000-0005-0000-0000-00001D130000}"/>
    <cellStyle name="Percent 2 2 2 4 4 3 2" xfId="5816" xr:uid="{00000000-0005-0000-0000-00001E130000}"/>
    <cellStyle name="Percent 2 2 2 4 4 3 2 2" xfId="11993" xr:uid="{39DF8028-EB95-4C33-B066-F4B577A8662B}"/>
    <cellStyle name="Percent 2 2 2 4 4 3 3" xfId="9087" xr:uid="{9291F781-EC63-443F-B097-1EF3FCB27140}"/>
    <cellStyle name="Percent 2 2 2 4 4 4" xfId="2028" xr:uid="{00000000-0005-0000-0000-00001F130000}"/>
    <cellStyle name="Percent 2 2 2 4 4 4 2" xfId="5817" xr:uid="{00000000-0005-0000-0000-000020130000}"/>
    <cellStyle name="Percent 2 2 2 4 4 4 2 2" xfId="11994" xr:uid="{6DB47857-765A-4ED8-8424-3190FDD4B3D5}"/>
    <cellStyle name="Percent 2 2 2 4 4 4 3" xfId="8205" xr:uid="{424F9947-3CA8-4E06-B217-E89EE8CF628D}"/>
    <cellStyle name="Percent 2 2 2 4 4 5" xfId="3792" xr:uid="{00000000-0005-0000-0000-000021130000}"/>
    <cellStyle name="Percent 2 2 2 4 4 5 2" xfId="9969" xr:uid="{22F72C41-F7CC-4933-B254-63BC2AEE67E2}"/>
    <cellStyle name="Percent 2 2 2 4 4 6" xfId="1145" xr:uid="{00000000-0005-0000-0000-000022130000}"/>
    <cellStyle name="Percent 2 2 2 4 4 6 2" xfId="7322" xr:uid="{82304E7E-40CC-4430-8B9A-76CF8B60E4DF}"/>
    <cellStyle name="Percent 2 2 2 4 4 7" xfId="6439" xr:uid="{20E53E86-2320-4D91-8BFC-D02913530229}"/>
    <cellStyle name="Percent 2 2 2 4 5" xfId="483" xr:uid="{00000000-0005-0000-0000-000023130000}"/>
    <cellStyle name="Percent 2 2 2 4 5 2" xfId="3131" xr:uid="{00000000-0005-0000-0000-000024130000}"/>
    <cellStyle name="Percent 2 2 2 4 5 2 2" xfId="5818" xr:uid="{00000000-0005-0000-0000-000025130000}"/>
    <cellStyle name="Percent 2 2 2 4 5 2 2 2" xfId="11995" xr:uid="{2B9F99A2-9AF1-4C76-B89A-DDA18430BB43}"/>
    <cellStyle name="Percent 2 2 2 4 5 2 3" xfId="9308" xr:uid="{379C5141-11F9-4E30-90F2-B802ACFAB8B6}"/>
    <cellStyle name="Percent 2 2 2 4 5 3" xfId="2249" xr:uid="{00000000-0005-0000-0000-000026130000}"/>
    <cellStyle name="Percent 2 2 2 4 5 3 2" xfId="5819" xr:uid="{00000000-0005-0000-0000-000027130000}"/>
    <cellStyle name="Percent 2 2 2 4 5 3 2 2" xfId="11996" xr:uid="{003585D8-3EA0-4D25-8746-E97551AFD746}"/>
    <cellStyle name="Percent 2 2 2 4 5 3 3" xfId="8426" xr:uid="{1811CF31-B619-4041-A9A4-CBA76D55561C}"/>
    <cellStyle name="Percent 2 2 2 4 5 4" xfId="4013" xr:uid="{00000000-0005-0000-0000-000028130000}"/>
    <cellStyle name="Percent 2 2 2 4 5 4 2" xfId="10190" xr:uid="{734C919F-FA5D-418C-B38C-4404E9A9F76D}"/>
    <cellStyle name="Percent 2 2 2 4 5 5" xfId="1366" xr:uid="{00000000-0005-0000-0000-000029130000}"/>
    <cellStyle name="Percent 2 2 2 4 5 5 2" xfId="7543" xr:uid="{0C4AD8AA-3766-4926-92A8-01800A426E4B}"/>
    <cellStyle name="Percent 2 2 2 4 5 6" xfId="6660" xr:uid="{CF50B76E-C206-49A9-B591-F0578548F1CE}"/>
    <cellStyle name="Percent 2 2 2 4 6" xfId="2690" xr:uid="{00000000-0005-0000-0000-00002A130000}"/>
    <cellStyle name="Percent 2 2 2 4 6 2" xfId="5820" xr:uid="{00000000-0005-0000-0000-00002B130000}"/>
    <cellStyle name="Percent 2 2 2 4 6 2 2" xfId="11997" xr:uid="{FD8803E7-D79F-4FBE-A7D7-D96CA72F4E08}"/>
    <cellStyle name="Percent 2 2 2 4 6 3" xfId="8867" xr:uid="{6A2C65DF-275E-4515-BDB2-B92FD65B312A}"/>
    <cellStyle name="Percent 2 2 2 4 7" xfId="1808" xr:uid="{00000000-0005-0000-0000-00002C130000}"/>
    <cellStyle name="Percent 2 2 2 4 7 2" xfId="5821" xr:uid="{00000000-0005-0000-0000-00002D130000}"/>
    <cellStyle name="Percent 2 2 2 4 7 2 2" xfId="11998" xr:uid="{DFA75190-F258-4BB1-B876-D8F22A0CD010}"/>
    <cellStyle name="Percent 2 2 2 4 7 3" xfId="7985" xr:uid="{879C8E10-E9DC-4E45-88C1-80218B3D94EA}"/>
    <cellStyle name="Percent 2 2 2 4 8" xfId="3572" xr:uid="{00000000-0005-0000-0000-00002E130000}"/>
    <cellStyle name="Percent 2 2 2 4 8 2" xfId="9749" xr:uid="{6F8BC372-2C93-45C6-A0D2-5F6478B370C9}"/>
    <cellStyle name="Percent 2 2 2 4 9" xfId="925" xr:uid="{00000000-0005-0000-0000-00002F130000}"/>
    <cellStyle name="Percent 2 2 2 4 9 2" xfId="7102" xr:uid="{23CC2D56-E8B2-408B-B47C-44824512405E}"/>
    <cellStyle name="Percent 2 2 2 5" xfId="48" xr:uid="{00000000-0005-0000-0000-000030130000}"/>
    <cellStyle name="Percent 2 2 2 5 2" xfId="158" xr:uid="{00000000-0005-0000-0000-000031130000}"/>
    <cellStyle name="Percent 2 2 2 5 2 2" xfId="378" xr:uid="{00000000-0005-0000-0000-000032130000}"/>
    <cellStyle name="Percent 2 2 2 5 2 2 2" xfId="819" xr:uid="{00000000-0005-0000-0000-000033130000}"/>
    <cellStyle name="Percent 2 2 2 5 2 2 2 2" xfId="3467" xr:uid="{00000000-0005-0000-0000-000034130000}"/>
    <cellStyle name="Percent 2 2 2 5 2 2 2 2 2" xfId="5822" xr:uid="{00000000-0005-0000-0000-000035130000}"/>
    <cellStyle name="Percent 2 2 2 5 2 2 2 2 2 2" xfId="11999" xr:uid="{5B500307-7232-4CE0-B067-20B978AB7399}"/>
    <cellStyle name="Percent 2 2 2 5 2 2 2 2 3" xfId="9644" xr:uid="{768E4A17-3247-4496-924D-669AC65C6C1E}"/>
    <cellStyle name="Percent 2 2 2 5 2 2 2 3" xfId="2585" xr:uid="{00000000-0005-0000-0000-000036130000}"/>
    <cellStyle name="Percent 2 2 2 5 2 2 2 3 2" xfId="5823" xr:uid="{00000000-0005-0000-0000-000037130000}"/>
    <cellStyle name="Percent 2 2 2 5 2 2 2 3 2 2" xfId="12000" xr:uid="{88C30394-1DB0-46C6-89EF-0F944C99A3FA}"/>
    <cellStyle name="Percent 2 2 2 5 2 2 2 3 3" xfId="8762" xr:uid="{8A864C6B-0A52-4F90-BCA4-714CC20669C3}"/>
    <cellStyle name="Percent 2 2 2 5 2 2 2 4" xfId="4349" xr:uid="{00000000-0005-0000-0000-000038130000}"/>
    <cellStyle name="Percent 2 2 2 5 2 2 2 4 2" xfId="10526" xr:uid="{085A1E19-DDE5-4007-9453-4A10FCE6193D}"/>
    <cellStyle name="Percent 2 2 2 5 2 2 2 5" xfId="1702" xr:uid="{00000000-0005-0000-0000-000039130000}"/>
    <cellStyle name="Percent 2 2 2 5 2 2 2 5 2" xfId="7879" xr:uid="{71613B00-697C-4D95-9AB7-561FE38633D3}"/>
    <cellStyle name="Percent 2 2 2 5 2 2 2 6" xfId="6996" xr:uid="{2FB3414A-6B4C-45B9-9A80-78F9D3EB250F}"/>
    <cellStyle name="Percent 2 2 2 5 2 2 3" xfId="3026" xr:uid="{00000000-0005-0000-0000-00003A130000}"/>
    <cellStyle name="Percent 2 2 2 5 2 2 3 2" xfId="5824" xr:uid="{00000000-0005-0000-0000-00003B130000}"/>
    <cellStyle name="Percent 2 2 2 5 2 2 3 2 2" xfId="12001" xr:uid="{C785DA1E-CCC4-4E28-BAF1-53724CE9155F}"/>
    <cellStyle name="Percent 2 2 2 5 2 2 3 3" xfId="9203" xr:uid="{1961F184-8C4A-4616-B63F-DAD47308BAB6}"/>
    <cellStyle name="Percent 2 2 2 5 2 2 4" xfId="2144" xr:uid="{00000000-0005-0000-0000-00003C130000}"/>
    <cellStyle name="Percent 2 2 2 5 2 2 4 2" xfId="5825" xr:uid="{00000000-0005-0000-0000-00003D130000}"/>
    <cellStyle name="Percent 2 2 2 5 2 2 4 2 2" xfId="12002" xr:uid="{E70180D2-A904-4E52-927F-842E7BE54044}"/>
    <cellStyle name="Percent 2 2 2 5 2 2 4 3" xfId="8321" xr:uid="{60710B77-1786-4264-8DC6-BBE112FCD35B}"/>
    <cellStyle name="Percent 2 2 2 5 2 2 5" xfId="3908" xr:uid="{00000000-0005-0000-0000-00003E130000}"/>
    <cellStyle name="Percent 2 2 2 5 2 2 5 2" xfId="10085" xr:uid="{E183C6AE-AD17-47F8-BEF1-AFC02EEF73E1}"/>
    <cellStyle name="Percent 2 2 2 5 2 2 6" xfId="1261" xr:uid="{00000000-0005-0000-0000-00003F130000}"/>
    <cellStyle name="Percent 2 2 2 5 2 2 6 2" xfId="7438" xr:uid="{0882B994-37F7-46DC-ADDF-AF1676F6DE5D}"/>
    <cellStyle name="Percent 2 2 2 5 2 2 7" xfId="6555" xr:uid="{D9A0420E-5D46-470F-A5E2-9E90548D9E12}"/>
    <cellStyle name="Percent 2 2 2 5 2 3" xfId="599" xr:uid="{00000000-0005-0000-0000-000040130000}"/>
    <cellStyle name="Percent 2 2 2 5 2 3 2" xfId="3247" xr:uid="{00000000-0005-0000-0000-000041130000}"/>
    <cellStyle name="Percent 2 2 2 5 2 3 2 2" xfId="5826" xr:uid="{00000000-0005-0000-0000-000042130000}"/>
    <cellStyle name="Percent 2 2 2 5 2 3 2 2 2" xfId="12003" xr:uid="{38AFB1BF-172F-47AB-87D0-1E75DF7C9E2E}"/>
    <cellStyle name="Percent 2 2 2 5 2 3 2 3" xfId="9424" xr:uid="{C4ED26B7-E578-4B27-8BEE-8F3D3C5F0C60}"/>
    <cellStyle name="Percent 2 2 2 5 2 3 3" xfId="2365" xr:uid="{00000000-0005-0000-0000-000043130000}"/>
    <cellStyle name="Percent 2 2 2 5 2 3 3 2" xfId="5827" xr:uid="{00000000-0005-0000-0000-000044130000}"/>
    <cellStyle name="Percent 2 2 2 5 2 3 3 2 2" xfId="12004" xr:uid="{22D57442-70C3-4364-A2FE-3AC79EFCAEF3}"/>
    <cellStyle name="Percent 2 2 2 5 2 3 3 3" xfId="8542" xr:uid="{A8FB1454-F2ED-41DB-9E32-1A601629BBE1}"/>
    <cellStyle name="Percent 2 2 2 5 2 3 4" xfId="4129" xr:uid="{00000000-0005-0000-0000-000045130000}"/>
    <cellStyle name="Percent 2 2 2 5 2 3 4 2" xfId="10306" xr:uid="{C4CE9132-271B-425E-AC83-08786729F41E}"/>
    <cellStyle name="Percent 2 2 2 5 2 3 5" xfId="1482" xr:uid="{00000000-0005-0000-0000-000046130000}"/>
    <cellStyle name="Percent 2 2 2 5 2 3 5 2" xfId="7659" xr:uid="{0FAF0F79-D7FF-4FD4-9930-9A6AC0ED8469}"/>
    <cellStyle name="Percent 2 2 2 5 2 3 6" xfId="6776" xr:uid="{39211B4B-5526-45E5-B00C-5CE75D1FC677}"/>
    <cellStyle name="Percent 2 2 2 5 2 4" xfId="2806" xr:uid="{00000000-0005-0000-0000-000047130000}"/>
    <cellStyle name="Percent 2 2 2 5 2 4 2" xfId="5828" xr:uid="{00000000-0005-0000-0000-000048130000}"/>
    <cellStyle name="Percent 2 2 2 5 2 4 2 2" xfId="12005" xr:uid="{01EE2E6B-B250-422A-B9CA-700A997F6701}"/>
    <cellStyle name="Percent 2 2 2 5 2 4 3" xfId="8983" xr:uid="{C55B7BAE-968B-41BD-AEB9-727267CEF8DE}"/>
    <cellStyle name="Percent 2 2 2 5 2 5" xfId="1924" xr:uid="{00000000-0005-0000-0000-000049130000}"/>
    <cellStyle name="Percent 2 2 2 5 2 5 2" xfId="5829" xr:uid="{00000000-0005-0000-0000-00004A130000}"/>
    <cellStyle name="Percent 2 2 2 5 2 5 2 2" xfId="12006" xr:uid="{6D0D454F-5202-4BB0-862B-433793DB3BC2}"/>
    <cellStyle name="Percent 2 2 2 5 2 5 3" xfId="8101" xr:uid="{1B4F9635-D911-4681-89FB-05CC742CC03A}"/>
    <cellStyle name="Percent 2 2 2 5 2 6" xfId="3688" xr:uid="{00000000-0005-0000-0000-00004B130000}"/>
    <cellStyle name="Percent 2 2 2 5 2 6 2" xfId="9865" xr:uid="{0BCCDDAF-6C8E-4608-A685-E4CCC627873C}"/>
    <cellStyle name="Percent 2 2 2 5 2 7" xfId="1041" xr:uid="{00000000-0005-0000-0000-00004C130000}"/>
    <cellStyle name="Percent 2 2 2 5 2 7 2" xfId="7218" xr:uid="{7A99F544-10C8-41C9-9688-EBEF31E7852B}"/>
    <cellStyle name="Percent 2 2 2 5 2 8" xfId="6335" xr:uid="{C6821B5A-09DE-4101-B587-68650B2C1092}"/>
    <cellStyle name="Percent 2 2 2 5 3" xfId="268" xr:uid="{00000000-0005-0000-0000-00004D130000}"/>
    <cellStyle name="Percent 2 2 2 5 3 2" xfId="709" xr:uid="{00000000-0005-0000-0000-00004E130000}"/>
    <cellStyle name="Percent 2 2 2 5 3 2 2" xfId="3357" xr:uid="{00000000-0005-0000-0000-00004F130000}"/>
    <cellStyle name="Percent 2 2 2 5 3 2 2 2" xfId="5830" xr:uid="{00000000-0005-0000-0000-000050130000}"/>
    <cellStyle name="Percent 2 2 2 5 3 2 2 2 2" xfId="12007" xr:uid="{3B661FE8-D20A-429E-AE2E-00D9F9F53D7F}"/>
    <cellStyle name="Percent 2 2 2 5 3 2 2 3" xfId="9534" xr:uid="{40B1FF52-ED7D-4131-9FF1-15B6CD3244A2}"/>
    <cellStyle name="Percent 2 2 2 5 3 2 3" xfId="2475" xr:uid="{00000000-0005-0000-0000-000051130000}"/>
    <cellStyle name="Percent 2 2 2 5 3 2 3 2" xfId="5831" xr:uid="{00000000-0005-0000-0000-000052130000}"/>
    <cellStyle name="Percent 2 2 2 5 3 2 3 2 2" xfId="12008" xr:uid="{315F0524-4948-4442-8868-25760FD1E184}"/>
    <cellStyle name="Percent 2 2 2 5 3 2 3 3" xfId="8652" xr:uid="{B7F8D806-4C48-459F-BECA-1033F3582472}"/>
    <cellStyle name="Percent 2 2 2 5 3 2 4" xfId="4239" xr:uid="{00000000-0005-0000-0000-000053130000}"/>
    <cellStyle name="Percent 2 2 2 5 3 2 4 2" xfId="10416" xr:uid="{3943DED2-4277-4BEE-B3A5-72F48D67EA1E}"/>
    <cellStyle name="Percent 2 2 2 5 3 2 5" xfId="1592" xr:uid="{00000000-0005-0000-0000-000054130000}"/>
    <cellStyle name="Percent 2 2 2 5 3 2 5 2" xfId="7769" xr:uid="{4A412FCA-294C-45FE-921C-F4BEFC4ECF73}"/>
    <cellStyle name="Percent 2 2 2 5 3 2 6" xfId="6886" xr:uid="{FD8AF3B4-26B9-4CC0-95C4-D0FB2D749571}"/>
    <cellStyle name="Percent 2 2 2 5 3 3" xfId="2916" xr:uid="{00000000-0005-0000-0000-000055130000}"/>
    <cellStyle name="Percent 2 2 2 5 3 3 2" xfId="5832" xr:uid="{00000000-0005-0000-0000-000056130000}"/>
    <cellStyle name="Percent 2 2 2 5 3 3 2 2" xfId="12009" xr:uid="{D943FCAD-BBB2-4525-94D5-4C2648BD153E}"/>
    <cellStyle name="Percent 2 2 2 5 3 3 3" xfId="9093" xr:uid="{6366CDDB-B86D-4091-A97C-46A57C1D9BEC}"/>
    <cellStyle name="Percent 2 2 2 5 3 4" xfId="2034" xr:uid="{00000000-0005-0000-0000-000057130000}"/>
    <cellStyle name="Percent 2 2 2 5 3 4 2" xfId="5833" xr:uid="{00000000-0005-0000-0000-000058130000}"/>
    <cellStyle name="Percent 2 2 2 5 3 4 2 2" xfId="12010" xr:uid="{FE0D66CD-2932-4085-8BC0-62A13A057647}"/>
    <cellStyle name="Percent 2 2 2 5 3 4 3" xfId="8211" xr:uid="{2D1D1C08-EB15-444F-93E4-5DDA09B548A7}"/>
    <cellStyle name="Percent 2 2 2 5 3 5" xfId="3798" xr:uid="{00000000-0005-0000-0000-000059130000}"/>
    <cellStyle name="Percent 2 2 2 5 3 5 2" xfId="9975" xr:uid="{7EDB6735-EC73-4FD6-B88A-815D58BAD2B9}"/>
    <cellStyle name="Percent 2 2 2 5 3 6" xfId="1151" xr:uid="{00000000-0005-0000-0000-00005A130000}"/>
    <cellStyle name="Percent 2 2 2 5 3 6 2" xfId="7328" xr:uid="{CBE86147-E637-41AB-AC80-22CA82894BAA}"/>
    <cellStyle name="Percent 2 2 2 5 3 7" xfId="6445" xr:uid="{AA9001DF-1CED-4EE0-A3E6-BF6E3E5BDB00}"/>
    <cellStyle name="Percent 2 2 2 5 4" xfId="489" xr:uid="{00000000-0005-0000-0000-00005B130000}"/>
    <cellStyle name="Percent 2 2 2 5 4 2" xfId="3137" xr:uid="{00000000-0005-0000-0000-00005C130000}"/>
    <cellStyle name="Percent 2 2 2 5 4 2 2" xfId="5834" xr:uid="{00000000-0005-0000-0000-00005D130000}"/>
    <cellStyle name="Percent 2 2 2 5 4 2 2 2" xfId="12011" xr:uid="{7AFEF069-5330-475B-A94A-4EB16333BE54}"/>
    <cellStyle name="Percent 2 2 2 5 4 2 3" xfId="9314" xr:uid="{0B8FBE70-7D66-4EFF-81FB-D91DF1790541}"/>
    <cellStyle name="Percent 2 2 2 5 4 3" xfId="2255" xr:uid="{00000000-0005-0000-0000-00005E130000}"/>
    <cellStyle name="Percent 2 2 2 5 4 3 2" xfId="5835" xr:uid="{00000000-0005-0000-0000-00005F130000}"/>
    <cellStyle name="Percent 2 2 2 5 4 3 2 2" xfId="12012" xr:uid="{2CE14E4C-DF02-4B12-886C-B6CE2289FDFA}"/>
    <cellStyle name="Percent 2 2 2 5 4 3 3" xfId="8432" xr:uid="{038FBC21-A871-458C-AB3B-1B65B851F15A}"/>
    <cellStyle name="Percent 2 2 2 5 4 4" xfId="4019" xr:uid="{00000000-0005-0000-0000-000060130000}"/>
    <cellStyle name="Percent 2 2 2 5 4 4 2" xfId="10196" xr:uid="{AA3036B7-C3B3-4C8F-AB66-6D74FEE8A53F}"/>
    <cellStyle name="Percent 2 2 2 5 4 5" xfId="1372" xr:uid="{00000000-0005-0000-0000-000061130000}"/>
    <cellStyle name="Percent 2 2 2 5 4 5 2" xfId="7549" xr:uid="{EB93DB46-08CE-4ED2-980B-15F5FA359930}"/>
    <cellStyle name="Percent 2 2 2 5 4 6" xfId="6666" xr:uid="{17270183-ED9C-43EA-BF97-428A822A1DD4}"/>
    <cellStyle name="Percent 2 2 2 5 5" xfId="2696" xr:uid="{00000000-0005-0000-0000-000062130000}"/>
    <cellStyle name="Percent 2 2 2 5 5 2" xfId="5836" xr:uid="{00000000-0005-0000-0000-000063130000}"/>
    <cellStyle name="Percent 2 2 2 5 5 2 2" xfId="12013" xr:uid="{31F1C399-2379-4D74-AC6C-0EB4A7E729C5}"/>
    <cellStyle name="Percent 2 2 2 5 5 3" xfId="8873" xr:uid="{73E4117D-EE1A-4B12-9D05-CF7DB2AFD5E7}"/>
    <cellStyle name="Percent 2 2 2 5 6" xfId="1814" xr:uid="{00000000-0005-0000-0000-000064130000}"/>
    <cellStyle name="Percent 2 2 2 5 6 2" xfId="5837" xr:uid="{00000000-0005-0000-0000-000065130000}"/>
    <cellStyle name="Percent 2 2 2 5 6 2 2" xfId="12014" xr:uid="{07DEEEB7-6CD2-479D-999A-15A4444E5828}"/>
    <cellStyle name="Percent 2 2 2 5 6 3" xfId="7991" xr:uid="{845D07E3-F43B-469E-9A33-48D009C04506}"/>
    <cellStyle name="Percent 2 2 2 5 7" xfId="3578" xr:uid="{00000000-0005-0000-0000-000066130000}"/>
    <cellStyle name="Percent 2 2 2 5 7 2" xfId="9755" xr:uid="{2122FD94-6138-46B2-AE08-240A0D304843}"/>
    <cellStyle name="Percent 2 2 2 5 8" xfId="931" xr:uid="{00000000-0005-0000-0000-000067130000}"/>
    <cellStyle name="Percent 2 2 2 5 8 2" xfId="7108" xr:uid="{F67C977B-280E-4885-838B-0AB0C186BAD0}"/>
    <cellStyle name="Percent 2 2 2 5 9" xfId="6225" xr:uid="{B71B2C6C-6D2C-4823-AC66-75060350F093}"/>
    <cellStyle name="Percent 2 2 2 6" xfId="64" xr:uid="{00000000-0005-0000-0000-000068130000}"/>
    <cellStyle name="Percent 2 2 2 6 2" xfId="174" xr:uid="{00000000-0005-0000-0000-000069130000}"/>
    <cellStyle name="Percent 2 2 2 6 2 2" xfId="394" xr:uid="{00000000-0005-0000-0000-00006A130000}"/>
    <cellStyle name="Percent 2 2 2 6 2 2 2" xfId="835" xr:uid="{00000000-0005-0000-0000-00006B130000}"/>
    <cellStyle name="Percent 2 2 2 6 2 2 2 2" xfId="3483" xr:uid="{00000000-0005-0000-0000-00006C130000}"/>
    <cellStyle name="Percent 2 2 2 6 2 2 2 2 2" xfId="5838" xr:uid="{00000000-0005-0000-0000-00006D130000}"/>
    <cellStyle name="Percent 2 2 2 6 2 2 2 2 2 2" xfId="12015" xr:uid="{ED3B4F9D-7AC8-48A3-931A-1945B9936CEF}"/>
    <cellStyle name="Percent 2 2 2 6 2 2 2 2 3" xfId="9660" xr:uid="{20246FBF-DE51-4B4A-98D6-650E1DE97755}"/>
    <cellStyle name="Percent 2 2 2 6 2 2 2 3" xfId="2601" xr:uid="{00000000-0005-0000-0000-00006E130000}"/>
    <cellStyle name="Percent 2 2 2 6 2 2 2 3 2" xfId="5839" xr:uid="{00000000-0005-0000-0000-00006F130000}"/>
    <cellStyle name="Percent 2 2 2 6 2 2 2 3 2 2" xfId="12016" xr:uid="{E3D3E887-545E-4987-B619-16307836BAD6}"/>
    <cellStyle name="Percent 2 2 2 6 2 2 2 3 3" xfId="8778" xr:uid="{3DFCC098-2812-47EB-95F6-AE14A10455BC}"/>
    <cellStyle name="Percent 2 2 2 6 2 2 2 4" xfId="4365" xr:uid="{00000000-0005-0000-0000-000070130000}"/>
    <cellStyle name="Percent 2 2 2 6 2 2 2 4 2" xfId="10542" xr:uid="{D53075FF-B584-4162-9FF4-CE492DAC4C28}"/>
    <cellStyle name="Percent 2 2 2 6 2 2 2 5" xfId="1718" xr:uid="{00000000-0005-0000-0000-000071130000}"/>
    <cellStyle name="Percent 2 2 2 6 2 2 2 5 2" xfId="7895" xr:uid="{E6CE1A3F-595F-474E-B43C-21A020DC406B}"/>
    <cellStyle name="Percent 2 2 2 6 2 2 2 6" xfId="7012" xr:uid="{55128B00-8A04-490D-937E-8A80AB2597F5}"/>
    <cellStyle name="Percent 2 2 2 6 2 2 3" xfId="3042" xr:uid="{00000000-0005-0000-0000-000072130000}"/>
    <cellStyle name="Percent 2 2 2 6 2 2 3 2" xfId="5840" xr:uid="{00000000-0005-0000-0000-000073130000}"/>
    <cellStyle name="Percent 2 2 2 6 2 2 3 2 2" xfId="12017" xr:uid="{C81815B4-8899-43BA-A295-E747F6CDF38C}"/>
    <cellStyle name="Percent 2 2 2 6 2 2 3 3" xfId="9219" xr:uid="{61111201-4B5B-4486-AEBC-BAC111FE9516}"/>
    <cellStyle name="Percent 2 2 2 6 2 2 4" xfId="2160" xr:uid="{00000000-0005-0000-0000-000074130000}"/>
    <cellStyle name="Percent 2 2 2 6 2 2 4 2" xfId="5841" xr:uid="{00000000-0005-0000-0000-000075130000}"/>
    <cellStyle name="Percent 2 2 2 6 2 2 4 2 2" xfId="12018" xr:uid="{2BC5E833-6C89-4440-9486-6004F1081901}"/>
    <cellStyle name="Percent 2 2 2 6 2 2 4 3" xfId="8337" xr:uid="{5740693B-DA18-4A90-8D21-E8C055098B6D}"/>
    <cellStyle name="Percent 2 2 2 6 2 2 5" xfId="3924" xr:uid="{00000000-0005-0000-0000-000076130000}"/>
    <cellStyle name="Percent 2 2 2 6 2 2 5 2" xfId="10101" xr:uid="{019E7B17-CC13-42BF-A83F-CB2AF9A0F1D9}"/>
    <cellStyle name="Percent 2 2 2 6 2 2 6" xfId="1277" xr:uid="{00000000-0005-0000-0000-000077130000}"/>
    <cellStyle name="Percent 2 2 2 6 2 2 6 2" xfId="7454" xr:uid="{0974CD77-E9CB-4426-8DCD-9C205A9365A1}"/>
    <cellStyle name="Percent 2 2 2 6 2 2 7" xfId="6571" xr:uid="{7AB2B1AB-02E5-48AB-B428-40C5EF622DBA}"/>
    <cellStyle name="Percent 2 2 2 6 2 3" xfId="615" xr:uid="{00000000-0005-0000-0000-000078130000}"/>
    <cellStyle name="Percent 2 2 2 6 2 3 2" xfId="3263" xr:uid="{00000000-0005-0000-0000-000079130000}"/>
    <cellStyle name="Percent 2 2 2 6 2 3 2 2" xfId="5842" xr:uid="{00000000-0005-0000-0000-00007A130000}"/>
    <cellStyle name="Percent 2 2 2 6 2 3 2 2 2" xfId="12019" xr:uid="{3D3A501F-C3F9-4E3B-908E-9B1F82635C94}"/>
    <cellStyle name="Percent 2 2 2 6 2 3 2 3" xfId="9440" xr:uid="{C1EA231E-0CC1-48B5-AA82-CDED5BAFA3C1}"/>
    <cellStyle name="Percent 2 2 2 6 2 3 3" xfId="2381" xr:uid="{00000000-0005-0000-0000-00007B130000}"/>
    <cellStyle name="Percent 2 2 2 6 2 3 3 2" xfId="5843" xr:uid="{00000000-0005-0000-0000-00007C130000}"/>
    <cellStyle name="Percent 2 2 2 6 2 3 3 2 2" xfId="12020" xr:uid="{11864394-671B-4DC7-8C4D-AAF008AAB2B4}"/>
    <cellStyle name="Percent 2 2 2 6 2 3 3 3" xfId="8558" xr:uid="{D2940015-EE45-4DF1-8847-6E9D130B1177}"/>
    <cellStyle name="Percent 2 2 2 6 2 3 4" xfId="4145" xr:uid="{00000000-0005-0000-0000-00007D130000}"/>
    <cellStyle name="Percent 2 2 2 6 2 3 4 2" xfId="10322" xr:uid="{CA6B58CB-7578-4863-986A-B043E517EEBD}"/>
    <cellStyle name="Percent 2 2 2 6 2 3 5" xfId="1498" xr:uid="{00000000-0005-0000-0000-00007E130000}"/>
    <cellStyle name="Percent 2 2 2 6 2 3 5 2" xfId="7675" xr:uid="{A45DC2BF-18C2-4E54-A9F2-1DEDF518F78D}"/>
    <cellStyle name="Percent 2 2 2 6 2 3 6" xfId="6792" xr:uid="{9E0B5055-2543-40E0-8A6B-057601F45DF9}"/>
    <cellStyle name="Percent 2 2 2 6 2 4" xfId="2822" xr:uid="{00000000-0005-0000-0000-00007F130000}"/>
    <cellStyle name="Percent 2 2 2 6 2 4 2" xfId="5844" xr:uid="{00000000-0005-0000-0000-000080130000}"/>
    <cellStyle name="Percent 2 2 2 6 2 4 2 2" xfId="12021" xr:uid="{62260E06-F1DE-4EA9-A24C-F1E104108149}"/>
    <cellStyle name="Percent 2 2 2 6 2 4 3" xfId="8999" xr:uid="{593D4923-D52B-4215-B08D-B24615A7CA66}"/>
    <cellStyle name="Percent 2 2 2 6 2 5" xfId="1940" xr:uid="{00000000-0005-0000-0000-000081130000}"/>
    <cellStyle name="Percent 2 2 2 6 2 5 2" xfId="5845" xr:uid="{00000000-0005-0000-0000-000082130000}"/>
    <cellStyle name="Percent 2 2 2 6 2 5 2 2" xfId="12022" xr:uid="{3392F9CD-714D-4AAF-80E0-C2F53165A2DA}"/>
    <cellStyle name="Percent 2 2 2 6 2 5 3" xfId="8117" xr:uid="{5F488812-B650-484D-B3B9-9B6AE44726E9}"/>
    <cellStyle name="Percent 2 2 2 6 2 6" xfId="3704" xr:uid="{00000000-0005-0000-0000-000083130000}"/>
    <cellStyle name="Percent 2 2 2 6 2 6 2" xfId="9881" xr:uid="{2C502FB3-141C-47E5-B369-FA16E6C70C95}"/>
    <cellStyle name="Percent 2 2 2 6 2 7" xfId="1057" xr:uid="{00000000-0005-0000-0000-000084130000}"/>
    <cellStyle name="Percent 2 2 2 6 2 7 2" xfId="7234" xr:uid="{EF552BF8-F900-433A-9E99-A3A93BF2ED4E}"/>
    <cellStyle name="Percent 2 2 2 6 2 8" xfId="6351" xr:uid="{5F357362-F6FA-4ABE-8A8E-DC329AFD273F}"/>
    <cellStyle name="Percent 2 2 2 6 3" xfId="284" xr:uid="{00000000-0005-0000-0000-000085130000}"/>
    <cellStyle name="Percent 2 2 2 6 3 2" xfId="725" xr:uid="{00000000-0005-0000-0000-000086130000}"/>
    <cellStyle name="Percent 2 2 2 6 3 2 2" xfId="3373" xr:uid="{00000000-0005-0000-0000-000087130000}"/>
    <cellStyle name="Percent 2 2 2 6 3 2 2 2" xfId="5846" xr:uid="{00000000-0005-0000-0000-000088130000}"/>
    <cellStyle name="Percent 2 2 2 6 3 2 2 2 2" xfId="12023" xr:uid="{CD64B5DD-F6CB-449E-BCD0-B1F8B8866516}"/>
    <cellStyle name="Percent 2 2 2 6 3 2 2 3" xfId="9550" xr:uid="{0860C538-3B92-42CD-81F9-0550A5704E22}"/>
    <cellStyle name="Percent 2 2 2 6 3 2 3" xfId="2491" xr:uid="{00000000-0005-0000-0000-000089130000}"/>
    <cellStyle name="Percent 2 2 2 6 3 2 3 2" xfId="5847" xr:uid="{00000000-0005-0000-0000-00008A130000}"/>
    <cellStyle name="Percent 2 2 2 6 3 2 3 2 2" xfId="12024" xr:uid="{9556B1D7-CE4F-43D7-9517-D667B602ACF7}"/>
    <cellStyle name="Percent 2 2 2 6 3 2 3 3" xfId="8668" xr:uid="{BE6DDD78-69BA-4669-B221-7089E3D2D268}"/>
    <cellStyle name="Percent 2 2 2 6 3 2 4" xfId="4255" xr:uid="{00000000-0005-0000-0000-00008B130000}"/>
    <cellStyle name="Percent 2 2 2 6 3 2 4 2" xfId="10432" xr:uid="{F49875B8-FE41-4866-87DB-01D1436B5DC2}"/>
    <cellStyle name="Percent 2 2 2 6 3 2 5" xfId="1608" xr:uid="{00000000-0005-0000-0000-00008C130000}"/>
    <cellStyle name="Percent 2 2 2 6 3 2 5 2" xfId="7785" xr:uid="{9E73D204-9912-4AF6-BF00-ECDCAAAFDA21}"/>
    <cellStyle name="Percent 2 2 2 6 3 2 6" xfId="6902" xr:uid="{7E7CDA84-D1A9-4355-8717-017A3565B238}"/>
    <cellStyle name="Percent 2 2 2 6 3 3" xfId="2932" xr:uid="{00000000-0005-0000-0000-00008D130000}"/>
    <cellStyle name="Percent 2 2 2 6 3 3 2" xfId="5848" xr:uid="{00000000-0005-0000-0000-00008E130000}"/>
    <cellStyle name="Percent 2 2 2 6 3 3 2 2" xfId="12025" xr:uid="{B6FB9CCD-01E5-45A9-8C14-E0AD9949A06B}"/>
    <cellStyle name="Percent 2 2 2 6 3 3 3" xfId="9109" xr:uid="{E388FE1B-8A5F-423B-9C3F-275ECC4F1676}"/>
    <cellStyle name="Percent 2 2 2 6 3 4" xfId="2050" xr:uid="{00000000-0005-0000-0000-00008F130000}"/>
    <cellStyle name="Percent 2 2 2 6 3 4 2" xfId="5849" xr:uid="{00000000-0005-0000-0000-000090130000}"/>
    <cellStyle name="Percent 2 2 2 6 3 4 2 2" xfId="12026" xr:uid="{41521D37-1674-4177-B705-9C95AFB0C8CE}"/>
    <cellStyle name="Percent 2 2 2 6 3 4 3" xfId="8227" xr:uid="{9B825300-E26D-4C5E-95C7-76F0A4A94A8A}"/>
    <cellStyle name="Percent 2 2 2 6 3 5" xfId="3814" xr:uid="{00000000-0005-0000-0000-000091130000}"/>
    <cellStyle name="Percent 2 2 2 6 3 5 2" xfId="9991" xr:uid="{887FBAC1-9A75-407E-AA0D-648634C867AC}"/>
    <cellStyle name="Percent 2 2 2 6 3 6" xfId="1167" xr:uid="{00000000-0005-0000-0000-000092130000}"/>
    <cellStyle name="Percent 2 2 2 6 3 6 2" xfId="7344" xr:uid="{A70BA2BF-177C-4974-B5EF-667649DE0D10}"/>
    <cellStyle name="Percent 2 2 2 6 3 7" xfId="6461" xr:uid="{E39B5A73-1B13-47A4-9204-23B0F6C6BCE3}"/>
    <cellStyle name="Percent 2 2 2 6 4" xfId="505" xr:uid="{00000000-0005-0000-0000-000093130000}"/>
    <cellStyle name="Percent 2 2 2 6 4 2" xfId="3153" xr:uid="{00000000-0005-0000-0000-000094130000}"/>
    <cellStyle name="Percent 2 2 2 6 4 2 2" xfId="5850" xr:uid="{00000000-0005-0000-0000-000095130000}"/>
    <cellStyle name="Percent 2 2 2 6 4 2 2 2" xfId="12027" xr:uid="{8BE6D970-4B0D-43F3-A72D-1227582970C0}"/>
    <cellStyle name="Percent 2 2 2 6 4 2 3" xfId="9330" xr:uid="{B106DE07-0902-4DDD-BB7C-57FBFC01CF5D}"/>
    <cellStyle name="Percent 2 2 2 6 4 3" xfId="2271" xr:uid="{00000000-0005-0000-0000-000096130000}"/>
    <cellStyle name="Percent 2 2 2 6 4 3 2" xfId="5851" xr:uid="{00000000-0005-0000-0000-000097130000}"/>
    <cellStyle name="Percent 2 2 2 6 4 3 2 2" xfId="12028" xr:uid="{E19A13A1-D590-448D-A1F7-04ED457E9372}"/>
    <cellStyle name="Percent 2 2 2 6 4 3 3" xfId="8448" xr:uid="{716FAF42-D30D-45E7-BA87-C6919ED19422}"/>
    <cellStyle name="Percent 2 2 2 6 4 4" xfId="4035" xr:uid="{00000000-0005-0000-0000-000098130000}"/>
    <cellStyle name="Percent 2 2 2 6 4 4 2" xfId="10212" xr:uid="{25CB368A-10F7-4545-9DA8-D4450F998129}"/>
    <cellStyle name="Percent 2 2 2 6 4 5" xfId="1388" xr:uid="{00000000-0005-0000-0000-000099130000}"/>
    <cellStyle name="Percent 2 2 2 6 4 5 2" xfId="7565" xr:uid="{CBFBFCC7-E13E-46A9-8CBF-F0C18D29D806}"/>
    <cellStyle name="Percent 2 2 2 6 4 6" xfId="6682" xr:uid="{90915F40-B495-48F7-8D46-BC08EB7BFD20}"/>
    <cellStyle name="Percent 2 2 2 6 5" xfId="2712" xr:uid="{00000000-0005-0000-0000-00009A130000}"/>
    <cellStyle name="Percent 2 2 2 6 5 2" xfId="5852" xr:uid="{00000000-0005-0000-0000-00009B130000}"/>
    <cellStyle name="Percent 2 2 2 6 5 2 2" xfId="12029" xr:uid="{58242FE7-8282-4EBF-B939-54B88C1095D8}"/>
    <cellStyle name="Percent 2 2 2 6 5 3" xfId="8889" xr:uid="{14DA5E8F-B367-4E5E-A891-57F476C8DC3B}"/>
    <cellStyle name="Percent 2 2 2 6 6" xfId="1830" xr:uid="{00000000-0005-0000-0000-00009C130000}"/>
    <cellStyle name="Percent 2 2 2 6 6 2" xfId="5853" xr:uid="{00000000-0005-0000-0000-00009D130000}"/>
    <cellStyle name="Percent 2 2 2 6 6 2 2" xfId="12030" xr:uid="{8FDCB235-23C1-4F94-BB87-84CA1BE810FD}"/>
    <cellStyle name="Percent 2 2 2 6 6 3" xfId="8007" xr:uid="{F17BAC21-E788-4EC1-875C-1B6A5DC37B0F}"/>
    <cellStyle name="Percent 2 2 2 6 7" xfId="3594" xr:uid="{00000000-0005-0000-0000-00009E130000}"/>
    <cellStyle name="Percent 2 2 2 6 7 2" xfId="9771" xr:uid="{0D4F19CE-7884-4339-ACCF-5F37CC96B3DE}"/>
    <cellStyle name="Percent 2 2 2 6 8" xfId="947" xr:uid="{00000000-0005-0000-0000-00009F130000}"/>
    <cellStyle name="Percent 2 2 2 6 8 2" xfId="7124" xr:uid="{9E2B81A9-15FF-404B-9983-F64B38990CE7}"/>
    <cellStyle name="Percent 2 2 2 6 9" xfId="6241" xr:uid="{F6C2E209-D13F-4E9C-BB03-D86B1DBBBE52}"/>
    <cellStyle name="Percent 2 2 2 7" xfId="80" xr:uid="{00000000-0005-0000-0000-0000A0130000}"/>
    <cellStyle name="Percent 2 2 2 7 2" xfId="190" xr:uid="{00000000-0005-0000-0000-0000A1130000}"/>
    <cellStyle name="Percent 2 2 2 7 2 2" xfId="410" xr:uid="{00000000-0005-0000-0000-0000A2130000}"/>
    <cellStyle name="Percent 2 2 2 7 2 2 2" xfId="851" xr:uid="{00000000-0005-0000-0000-0000A3130000}"/>
    <cellStyle name="Percent 2 2 2 7 2 2 2 2" xfId="3499" xr:uid="{00000000-0005-0000-0000-0000A4130000}"/>
    <cellStyle name="Percent 2 2 2 7 2 2 2 2 2" xfId="5854" xr:uid="{00000000-0005-0000-0000-0000A5130000}"/>
    <cellStyle name="Percent 2 2 2 7 2 2 2 2 2 2" xfId="12031" xr:uid="{76B32D5F-8054-455E-824E-26E08CB54E07}"/>
    <cellStyle name="Percent 2 2 2 7 2 2 2 2 3" xfId="9676" xr:uid="{92D633B3-C72F-469C-98AD-1D488C9CC395}"/>
    <cellStyle name="Percent 2 2 2 7 2 2 2 3" xfId="2617" xr:uid="{00000000-0005-0000-0000-0000A6130000}"/>
    <cellStyle name="Percent 2 2 2 7 2 2 2 3 2" xfId="5855" xr:uid="{00000000-0005-0000-0000-0000A7130000}"/>
    <cellStyle name="Percent 2 2 2 7 2 2 2 3 2 2" xfId="12032" xr:uid="{A7D4E303-2A80-4403-8281-CE83724A9F51}"/>
    <cellStyle name="Percent 2 2 2 7 2 2 2 3 3" xfId="8794" xr:uid="{027F4FF8-947D-4632-A2BB-F4E88AF0E60A}"/>
    <cellStyle name="Percent 2 2 2 7 2 2 2 4" xfId="4381" xr:uid="{00000000-0005-0000-0000-0000A8130000}"/>
    <cellStyle name="Percent 2 2 2 7 2 2 2 4 2" xfId="10558" xr:uid="{6870AC72-0FF8-4492-B057-A2B3D5FEF52A}"/>
    <cellStyle name="Percent 2 2 2 7 2 2 2 5" xfId="1734" xr:uid="{00000000-0005-0000-0000-0000A9130000}"/>
    <cellStyle name="Percent 2 2 2 7 2 2 2 5 2" xfId="7911" xr:uid="{08275B37-12F1-476F-9C00-3BD23FCBDF59}"/>
    <cellStyle name="Percent 2 2 2 7 2 2 2 6" xfId="7028" xr:uid="{6AB281E5-829F-4B50-895F-F62C106271DC}"/>
    <cellStyle name="Percent 2 2 2 7 2 2 3" xfId="3058" xr:uid="{00000000-0005-0000-0000-0000AA130000}"/>
    <cellStyle name="Percent 2 2 2 7 2 2 3 2" xfId="5856" xr:uid="{00000000-0005-0000-0000-0000AB130000}"/>
    <cellStyle name="Percent 2 2 2 7 2 2 3 2 2" xfId="12033" xr:uid="{1757C3C3-D1B4-4824-8768-D0B81E3F746B}"/>
    <cellStyle name="Percent 2 2 2 7 2 2 3 3" xfId="9235" xr:uid="{39CA9E03-09E6-46F1-903A-9FC47778FBAD}"/>
    <cellStyle name="Percent 2 2 2 7 2 2 4" xfId="2176" xr:uid="{00000000-0005-0000-0000-0000AC130000}"/>
    <cellStyle name="Percent 2 2 2 7 2 2 4 2" xfId="5857" xr:uid="{00000000-0005-0000-0000-0000AD130000}"/>
    <cellStyle name="Percent 2 2 2 7 2 2 4 2 2" xfId="12034" xr:uid="{B27535ED-2267-4AFA-9667-B32634B34669}"/>
    <cellStyle name="Percent 2 2 2 7 2 2 4 3" xfId="8353" xr:uid="{BA447359-494C-4E19-A70A-06DB9B7780E2}"/>
    <cellStyle name="Percent 2 2 2 7 2 2 5" xfId="3940" xr:uid="{00000000-0005-0000-0000-0000AE130000}"/>
    <cellStyle name="Percent 2 2 2 7 2 2 5 2" xfId="10117" xr:uid="{4CA01942-6435-4142-862A-8371D7FC0AA5}"/>
    <cellStyle name="Percent 2 2 2 7 2 2 6" xfId="1293" xr:uid="{00000000-0005-0000-0000-0000AF130000}"/>
    <cellStyle name="Percent 2 2 2 7 2 2 6 2" xfId="7470" xr:uid="{7B038289-C42C-48BB-B366-704366E0773D}"/>
    <cellStyle name="Percent 2 2 2 7 2 2 7" xfId="6587" xr:uid="{325DBE17-BEE4-4E89-BA7B-0C36F8D6A4B1}"/>
    <cellStyle name="Percent 2 2 2 7 2 3" xfId="631" xr:uid="{00000000-0005-0000-0000-0000B0130000}"/>
    <cellStyle name="Percent 2 2 2 7 2 3 2" xfId="3279" xr:uid="{00000000-0005-0000-0000-0000B1130000}"/>
    <cellStyle name="Percent 2 2 2 7 2 3 2 2" xfId="5858" xr:uid="{00000000-0005-0000-0000-0000B2130000}"/>
    <cellStyle name="Percent 2 2 2 7 2 3 2 2 2" xfId="12035" xr:uid="{27FFC9A1-6198-4DCA-A8C1-8605ABC89F2A}"/>
    <cellStyle name="Percent 2 2 2 7 2 3 2 3" xfId="9456" xr:uid="{F046927E-61AD-4729-A8E6-9C23EE98D835}"/>
    <cellStyle name="Percent 2 2 2 7 2 3 3" xfId="2397" xr:uid="{00000000-0005-0000-0000-0000B3130000}"/>
    <cellStyle name="Percent 2 2 2 7 2 3 3 2" xfId="5859" xr:uid="{00000000-0005-0000-0000-0000B4130000}"/>
    <cellStyle name="Percent 2 2 2 7 2 3 3 2 2" xfId="12036" xr:uid="{824C52B2-332E-419B-9503-4E3868D09A1E}"/>
    <cellStyle name="Percent 2 2 2 7 2 3 3 3" xfId="8574" xr:uid="{929026D1-EDE0-4145-8CDD-BD1BD6CC3CC1}"/>
    <cellStyle name="Percent 2 2 2 7 2 3 4" xfId="4161" xr:uid="{00000000-0005-0000-0000-0000B5130000}"/>
    <cellStyle name="Percent 2 2 2 7 2 3 4 2" xfId="10338" xr:uid="{6EEB5380-B2E7-4483-9085-5574177D454B}"/>
    <cellStyle name="Percent 2 2 2 7 2 3 5" xfId="1514" xr:uid="{00000000-0005-0000-0000-0000B6130000}"/>
    <cellStyle name="Percent 2 2 2 7 2 3 5 2" xfId="7691" xr:uid="{D7A4A627-8306-4786-BAB9-BA836BF8C63E}"/>
    <cellStyle name="Percent 2 2 2 7 2 3 6" xfId="6808" xr:uid="{1779CD41-A9E9-4C88-982E-0CE79232FF73}"/>
    <cellStyle name="Percent 2 2 2 7 2 4" xfId="2838" xr:uid="{00000000-0005-0000-0000-0000B7130000}"/>
    <cellStyle name="Percent 2 2 2 7 2 4 2" xfId="5860" xr:uid="{00000000-0005-0000-0000-0000B8130000}"/>
    <cellStyle name="Percent 2 2 2 7 2 4 2 2" xfId="12037" xr:uid="{A4BB6C38-EDDC-4E08-B590-3C7B0D0D0D2C}"/>
    <cellStyle name="Percent 2 2 2 7 2 4 3" xfId="9015" xr:uid="{69C844C3-1199-4F04-BDBB-668268F9DF69}"/>
    <cellStyle name="Percent 2 2 2 7 2 5" xfId="1956" xr:uid="{00000000-0005-0000-0000-0000B9130000}"/>
    <cellStyle name="Percent 2 2 2 7 2 5 2" xfId="5861" xr:uid="{00000000-0005-0000-0000-0000BA130000}"/>
    <cellStyle name="Percent 2 2 2 7 2 5 2 2" xfId="12038" xr:uid="{FA053CFF-D324-4D05-BAB0-0E292D92B5BA}"/>
    <cellStyle name="Percent 2 2 2 7 2 5 3" xfId="8133" xr:uid="{00F941EF-4EA0-4FD4-9B80-18CDF54210F7}"/>
    <cellStyle name="Percent 2 2 2 7 2 6" xfId="3720" xr:uid="{00000000-0005-0000-0000-0000BB130000}"/>
    <cellStyle name="Percent 2 2 2 7 2 6 2" xfId="9897" xr:uid="{4DD94546-7F4F-49C1-BFEE-852483F0B644}"/>
    <cellStyle name="Percent 2 2 2 7 2 7" xfId="1073" xr:uid="{00000000-0005-0000-0000-0000BC130000}"/>
    <cellStyle name="Percent 2 2 2 7 2 7 2" xfId="7250" xr:uid="{897CDB1B-C267-4A54-B1A4-F2ECE9D43096}"/>
    <cellStyle name="Percent 2 2 2 7 2 8" xfId="6367" xr:uid="{191F14AA-CA84-4453-9E61-BED55500F05F}"/>
    <cellStyle name="Percent 2 2 2 7 3" xfId="300" xr:uid="{00000000-0005-0000-0000-0000BD130000}"/>
    <cellStyle name="Percent 2 2 2 7 3 2" xfId="741" xr:uid="{00000000-0005-0000-0000-0000BE130000}"/>
    <cellStyle name="Percent 2 2 2 7 3 2 2" xfId="3389" xr:uid="{00000000-0005-0000-0000-0000BF130000}"/>
    <cellStyle name="Percent 2 2 2 7 3 2 2 2" xfId="5862" xr:uid="{00000000-0005-0000-0000-0000C0130000}"/>
    <cellStyle name="Percent 2 2 2 7 3 2 2 2 2" xfId="12039" xr:uid="{72E2AF57-C9F8-441F-B8FD-B4A940FCEE85}"/>
    <cellStyle name="Percent 2 2 2 7 3 2 2 3" xfId="9566" xr:uid="{32C9B89E-3AC6-447B-AD7F-1268DD43A69D}"/>
    <cellStyle name="Percent 2 2 2 7 3 2 3" xfId="2507" xr:uid="{00000000-0005-0000-0000-0000C1130000}"/>
    <cellStyle name="Percent 2 2 2 7 3 2 3 2" xfId="5863" xr:uid="{00000000-0005-0000-0000-0000C2130000}"/>
    <cellStyle name="Percent 2 2 2 7 3 2 3 2 2" xfId="12040" xr:uid="{0FF18E5B-73F6-49A2-978B-E9B519C0C7AB}"/>
    <cellStyle name="Percent 2 2 2 7 3 2 3 3" xfId="8684" xr:uid="{B2C1265F-1023-4011-A961-475EB1C93DF6}"/>
    <cellStyle name="Percent 2 2 2 7 3 2 4" xfId="4271" xr:uid="{00000000-0005-0000-0000-0000C3130000}"/>
    <cellStyle name="Percent 2 2 2 7 3 2 4 2" xfId="10448" xr:uid="{905B9E80-4A13-43F0-ACE2-87F71DB4E03B}"/>
    <cellStyle name="Percent 2 2 2 7 3 2 5" xfId="1624" xr:uid="{00000000-0005-0000-0000-0000C4130000}"/>
    <cellStyle name="Percent 2 2 2 7 3 2 5 2" xfId="7801" xr:uid="{6E65D7EE-B0A1-462F-A62C-53ACA8BD4726}"/>
    <cellStyle name="Percent 2 2 2 7 3 2 6" xfId="6918" xr:uid="{C624F03C-7940-4D2D-ADE6-2802D02C336B}"/>
    <cellStyle name="Percent 2 2 2 7 3 3" xfId="2948" xr:uid="{00000000-0005-0000-0000-0000C5130000}"/>
    <cellStyle name="Percent 2 2 2 7 3 3 2" xfId="5864" xr:uid="{00000000-0005-0000-0000-0000C6130000}"/>
    <cellStyle name="Percent 2 2 2 7 3 3 2 2" xfId="12041" xr:uid="{8EFB5351-1A0F-4B6A-899D-A10F91C5E1AD}"/>
    <cellStyle name="Percent 2 2 2 7 3 3 3" xfId="9125" xr:uid="{06709B65-F699-437A-BE05-21C2161D7C50}"/>
    <cellStyle name="Percent 2 2 2 7 3 4" xfId="2066" xr:uid="{00000000-0005-0000-0000-0000C7130000}"/>
    <cellStyle name="Percent 2 2 2 7 3 4 2" xfId="5865" xr:uid="{00000000-0005-0000-0000-0000C8130000}"/>
    <cellStyle name="Percent 2 2 2 7 3 4 2 2" xfId="12042" xr:uid="{9A8CF56A-CD62-4964-B27D-5DE4D326C0AF}"/>
    <cellStyle name="Percent 2 2 2 7 3 4 3" xfId="8243" xr:uid="{083FFE20-83CA-4C9E-8F61-EE58B72BB120}"/>
    <cellStyle name="Percent 2 2 2 7 3 5" xfId="3830" xr:uid="{00000000-0005-0000-0000-0000C9130000}"/>
    <cellStyle name="Percent 2 2 2 7 3 5 2" xfId="10007" xr:uid="{E530A5B0-6DA8-4F5A-AFD7-559DB1B59CD7}"/>
    <cellStyle name="Percent 2 2 2 7 3 6" xfId="1183" xr:uid="{00000000-0005-0000-0000-0000CA130000}"/>
    <cellStyle name="Percent 2 2 2 7 3 6 2" xfId="7360" xr:uid="{F932E38E-D5E7-466F-A2C1-2540D19507B6}"/>
    <cellStyle name="Percent 2 2 2 7 3 7" xfId="6477" xr:uid="{D0500ADE-20F7-44EF-818A-1858F9AEA23E}"/>
    <cellStyle name="Percent 2 2 2 7 4" xfId="521" xr:uid="{00000000-0005-0000-0000-0000CB130000}"/>
    <cellStyle name="Percent 2 2 2 7 4 2" xfId="3169" xr:uid="{00000000-0005-0000-0000-0000CC130000}"/>
    <cellStyle name="Percent 2 2 2 7 4 2 2" xfId="5866" xr:uid="{00000000-0005-0000-0000-0000CD130000}"/>
    <cellStyle name="Percent 2 2 2 7 4 2 2 2" xfId="12043" xr:uid="{06875772-3273-4815-B3C4-B15F30104A7D}"/>
    <cellStyle name="Percent 2 2 2 7 4 2 3" xfId="9346" xr:uid="{832ADF25-9838-4D71-9C21-A1C1221402A8}"/>
    <cellStyle name="Percent 2 2 2 7 4 3" xfId="2287" xr:uid="{00000000-0005-0000-0000-0000CE130000}"/>
    <cellStyle name="Percent 2 2 2 7 4 3 2" xfId="5867" xr:uid="{00000000-0005-0000-0000-0000CF130000}"/>
    <cellStyle name="Percent 2 2 2 7 4 3 2 2" xfId="12044" xr:uid="{634F9085-5590-42FE-91CA-B656BFA8CF1E}"/>
    <cellStyle name="Percent 2 2 2 7 4 3 3" xfId="8464" xr:uid="{B13A5833-78FB-4CFE-9B11-405AFE378644}"/>
    <cellStyle name="Percent 2 2 2 7 4 4" xfId="4051" xr:uid="{00000000-0005-0000-0000-0000D0130000}"/>
    <cellStyle name="Percent 2 2 2 7 4 4 2" xfId="10228" xr:uid="{F3F32AAA-2AA5-4B2F-8DC5-1732369531A7}"/>
    <cellStyle name="Percent 2 2 2 7 4 5" xfId="1404" xr:uid="{00000000-0005-0000-0000-0000D1130000}"/>
    <cellStyle name="Percent 2 2 2 7 4 5 2" xfId="7581" xr:uid="{CCB7CE0E-CE45-4BC6-99D5-782CB55374D4}"/>
    <cellStyle name="Percent 2 2 2 7 4 6" xfId="6698" xr:uid="{465B17F4-4A9D-4B0A-95BA-65E96781A566}"/>
    <cellStyle name="Percent 2 2 2 7 5" xfId="2728" xr:uid="{00000000-0005-0000-0000-0000D2130000}"/>
    <cellStyle name="Percent 2 2 2 7 5 2" xfId="5868" xr:uid="{00000000-0005-0000-0000-0000D3130000}"/>
    <cellStyle name="Percent 2 2 2 7 5 2 2" xfId="12045" xr:uid="{B11BAE96-2533-4F05-AF64-5FF961F7B153}"/>
    <cellStyle name="Percent 2 2 2 7 5 3" xfId="8905" xr:uid="{AD553DE3-4ADB-4008-B951-BAF8A81B56F0}"/>
    <cellStyle name="Percent 2 2 2 7 6" xfId="1846" xr:uid="{00000000-0005-0000-0000-0000D4130000}"/>
    <cellStyle name="Percent 2 2 2 7 6 2" xfId="5869" xr:uid="{00000000-0005-0000-0000-0000D5130000}"/>
    <cellStyle name="Percent 2 2 2 7 6 2 2" xfId="12046" xr:uid="{EDF28E59-C67F-4F5E-8C9A-9C3EE32C0999}"/>
    <cellStyle name="Percent 2 2 2 7 6 3" xfId="8023" xr:uid="{82AFABB5-6BB4-4748-87C6-22F1AC0C03C5}"/>
    <cellStyle name="Percent 2 2 2 7 7" xfId="3610" xr:uid="{00000000-0005-0000-0000-0000D6130000}"/>
    <cellStyle name="Percent 2 2 2 7 7 2" xfId="9787" xr:uid="{CAAD8CF9-0E9E-4602-A78C-CE898B0C9048}"/>
    <cellStyle name="Percent 2 2 2 7 8" xfId="963" xr:uid="{00000000-0005-0000-0000-0000D7130000}"/>
    <cellStyle name="Percent 2 2 2 7 8 2" xfId="7140" xr:uid="{F45FAF71-9621-43D0-9C68-4065514C0B0A}"/>
    <cellStyle name="Percent 2 2 2 7 9" xfId="6257" xr:uid="{9DF889FC-B058-4CA6-BDC5-D51ED9E5A582}"/>
    <cellStyle name="Percent 2 2 2 8" xfId="124" xr:uid="{00000000-0005-0000-0000-0000D8130000}"/>
    <cellStyle name="Percent 2 2 2 8 2" xfId="344" xr:uid="{00000000-0005-0000-0000-0000D9130000}"/>
    <cellStyle name="Percent 2 2 2 8 2 2" xfId="785" xr:uid="{00000000-0005-0000-0000-0000DA130000}"/>
    <cellStyle name="Percent 2 2 2 8 2 2 2" xfId="3433" xr:uid="{00000000-0005-0000-0000-0000DB130000}"/>
    <cellStyle name="Percent 2 2 2 8 2 2 2 2" xfId="5870" xr:uid="{00000000-0005-0000-0000-0000DC130000}"/>
    <cellStyle name="Percent 2 2 2 8 2 2 2 2 2" xfId="12047" xr:uid="{372163BA-CB33-44E1-A2E2-077EBC68E1D5}"/>
    <cellStyle name="Percent 2 2 2 8 2 2 2 3" xfId="9610" xr:uid="{15B41DC1-C1A7-44D4-9233-D13E2F6E8A6F}"/>
    <cellStyle name="Percent 2 2 2 8 2 2 3" xfId="2551" xr:uid="{00000000-0005-0000-0000-0000DD130000}"/>
    <cellStyle name="Percent 2 2 2 8 2 2 3 2" xfId="5871" xr:uid="{00000000-0005-0000-0000-0000DE130000}"/>
    <cellStyle name="Percent 2 2 2 8 2 2 3 2 2" xfId="12048" xr:uid="{6BC372D6-7E6D-4674-B81A-8F161DD9CEFE}"/>
    <cellStyle name="Percent 2 2 2 8 2 2 3 3" xfId="8728" xr:uid="{01347635-9F58-4D02-9A8D-F04167D01EFD}"/>
    <cellStyle name="Percent 2 2 2 8 2 2 4" xfId="4315" xr:uid="{00000000-0005-0000-0000-0000DF130000}"/>
    <cellStyle name="Percent 2 2 2 8 2 2 4 2" xfId="10492" xr:uid="{2AEA755D-A930-421E-BFCD-3A7903A538C2}"/>
    <cellStyle name="Percent 2 2 2 8 2 2 5" xfId="1668" xr:uid="{00000000-0005-0000-0000-0000E0130000}"/>
    <cellStyle name="Percent 2 2 2 8 2 2 5 2" xfId="7845" xr:uid="{297391D4-E8EC-4F5D-BC69-3DD4041E3A4F}"/>
    <cellStyle name="Percent 2 2 2 8 2 2 6" xfId="6962" xr:uid="{2919B921-6377-485D-A89C-AB778D867885}"/>
    <cellStyle name="Percent 2 2 2 8 2 3" xfId="2992" xr:uid="{00000000-0005-0000-0000-0000E1130000}"/>
    <cellStyle name="Percent 2 2 2 8 2 3 2" xfId="5872" xr:uid="{00000000-0005-0000-0000-0000E2130000}"/>
    <cellStyle name="Percent 2 2 2 8 2 3 2 2" xfId="12049" xr:uid="{F70C68A1-1C50-42EF-99AA-800D3CD2BF99}"/>
    <cellStyle name="Percent 2 2 2 8 2 3 3" xfId="9169" xr:uid="{82885992-81B2-4F62-AD1B-8338B8FE4386}"/>
    <cellStyle name="Percent 2 2 2 8 2 4" xfId="2110" xr:uid="{00000000-0005-0000-0000-0000E3130000}"/>
    <cellStyle name="Percent 2 2 2 8 2 4 2" xfId="5873" xr:uid="{00000000-0005-0000-0000-0000E4130000}"/>
    <cellStyle name="Percent 2 2 2 8 2 4 2 2" xfId="12050" xr:uid="{862278E4-67C7-4A27-937C-5EA98A3D8D62}"/>
    <cellStyle name="Percent 2 2 2 8 2 4 3" xfId="8287" xr:uid="{BA793C78-1701-4BBF-9571-D9E1337E2DF4}"/>
    <cellStyle name="Percent 2 2 2 8 2 5" xfId="3874" xr:uid="{00000000-0005-0000-0000-0000E5130000}"/>
    <cellStyle name="Percent 2 2 2 8 2 5 2" xfId="10051" xr:uid="{E5378FE1-678D-4119-BF18-3AA7BF150319}"/>
    <cellStyle name="Percent 2 2 2 8 2 6" xfId="1227" xr:uid="{00000000-0005-0000-0000-0000E6130000}"/>
    <cellStyle name="Percent 2 2 2 8 2 6 2" xfId="7404" xr:uid="{A6D28579-8729-48AF-B130-75D86932C349}"/>
    <cellStyle name="Percent 2 2 2 8 2 7" xfId="6521" xr:uid="{F13801D8-555C-4B3F-98AF-E54C3C685097}"/>
    <cellStyle name="Percent 2 2 2 8 3" xfId="565" xr:uid="{00000000-0005-0000-0000-0000E7130000}"/>
    <cellStyle name="Percent 2 2 2 8 3 2" xfId="3213" xr:uid="{00000000-0005-0000-0000-0000E8130000}"/>
    <cellStyle name="Percent 2 2 2 8 3 2 2" xfId="5874" xr:uid="{00000000-0005-0000-0000-0000E9130000}"/>
    <cellStyle name="Percent 2 2 2 8 3 2 2 2" xfId="12051" xr:uid="{45C29F17-55BC-419B-8EEE-9515BF6FCAC6}"/>
    <cellStyle name="Percent 2 2 2 8 3 2 3" xfId="9390" xr:uid="{697810D5-D37E-4667-9360-54878589F580}"/>
    <cellStyle name="Percent 2 2 2 8 3 3" xfId="2331" xr:uid="{00000000-0005-0000-0000-0000EA130000}"/>
    <cellStyle name="Percent 2 2 2 8 3 3 2" xfId="5875" xr:uid="{00000000-0005-0000-0000-0000EB130000}"/>
    <cellStyle name="Percent 2 2 2 8 3 3 2 2" xfId="12052" xr:uid="{265B18C0-CE7B-4884-BA06-5F875EE4ABEF}"/>
    <cellStyle name="Percent 2 2 2 8 3 3 3" xfId="8508" xr:uid="{CADC6601-45B9-4EF0-9EE7-C6917C31C3AE}"/>
    <cellStyle name="Percent 2 2 2 8 3 4" xfId="4095" xr:uid="{00000000-0005-0000-0000-0000EC130000}"/>
    <cellStyle name="Percent 2 2 2 8 3 4 2" xfId="10272" xr:uid="{3DC5CB43-9A11-4598-AFF8-1DF1A77E93B2}"/>
    <cellStyle name="Percent 2 2 2 8 3 5" xfId="1448" xr:uid="{00000000-0005-0000-0000-0000ED130000}"/>
    <cellStyle name="Percent 2 2 2 8 3 5 2" xfId="7625" xr:uid="{022404B8-A116-4CBF-A66F-6A2BDEC9B65C}"/>
    <cellStyle name="Percent 2 2 2 8 3 6" xfId="6742" xr:uid="{1F4CFAC6-4BF6-4498-B08D-995F03907EE7}"/>
    <cellStyle name="Percent 2 2 2 8 4" xfId="2772" xr:uid="{00000000-0005-0000-0000-0000EE130000}"/>
    <cellStyle name="Percent 2 2 2 8 4 2" xfId="5876" xr:uid="{00000000-0005-0000-0000-0000EF130000}"/>
    <cellStyle name="Percent 2 2 2 8 4 2 2" xfId="12053" xr:uid="{C1BB2DC3-6ADE-47A6-B4B7-BA55234BF4F6}"/>
    <cellStyle name="Percent 2 2 2 8 4 3" xfId="8949" xr:uid="{4A0B7ACD-0BC4-4DA3-B3DF-CA964CB3811E}"/>
    <cellStyle name="Percent 2 2 2 8 5" xfId="1890" xr:uid="{00000000-0005-0000-0000-0000F0130000}"/>
    <cellStyle name="Percent 2 2 2 8 5 2" xfId="5877" xr:uid="{00000000-0005-0000-0000-0000F1130000}"/>
    <cellStyle name="Percent 2 2 2 8 5 2 2" xfId="12054" xr:uid="{717B5795-939B-4004-984C-6EFA58E55977}"/>
    <cellStyle name="Percent 2 2 2 8 5 3" xfId="8067" xr:uid="{306DAECE-7147-4676-8381-5ED97BE456FB}"/>
    <cellStyle name="Percent 2 2 2 8 6" xfId="3654" xr:uid="{00000000-0005-0000-0000-0000F2130000}"/>
    <cellStyle name="Percent 2 2 2 8 6 2" xfId="9831" xr:uid="{8B040200-8626-4DAB-B093-921659B24F0A}"/>
    <cellStyle name="Percent 2 2 2 8 7" xfId="1007" xr:uid="{00000000-0005-0000-0000-0000F3130000}"/>
    <cellStyle name="Percent 2 2 2 8 7 2" xfId="7184" xr:uid="{B0A1C5CC-B396-4D8A-A514-F3473DA96EF9}"/>
    <cellStyle name="Percent 2 2 2 8 8" xfId="6301" xr:uid="{CACE15CA-33D3-44DC-BD1F-C72BF4354223}"/>
    <cellStyle name="Percent 2 2 2 9" xfId="234" xr:uid="{00000000-0005-0000-0000-0000F4130000}"/>
    <cellStyle name="Percent 2 2 2 9 2" xfId="675" xr:uid="{00000000-0005-0000-0000-0000F5130000}"/>
    <cellStyle name="Percent 2 2 2 9 2 2" xfId="3323" xr:uid="{00000000-0005-0000-0000-0000F6130000}"/>
    <cellStyle name="Percent 2 2 2 9 2 2 2" xfId="5878" xr:uid="{00000000-0005-0000-0000-0000F7130000}"/>
    <cellStyle name="Percent 2 2 2 9 2 2 2 2" xfId="12055" xr:uid="{B9090A3F-B4D5-4207-9F70-22A4178DE6CB}"/>
    <cellStyle name="Percent 2 2 2 9 2 2 3" xfId="9500" xr:uid="{BF782131-36E6-40B3-AA51-54E7D5378E27}"/>
    <cellStyle name="Percent 2 2 2 9 2 3" xfId="2441" xr:uid="{00000000-0005-0000-0000-0000F8130000}"/>
    <cellStyle name="Percent 2 2 2 9 2 3 2" xfId="5879" xr:uid="{00000000-0005-0000-0000-0000F9130000}"/>
    <cellStyle name="Percent 2 2 2 9 2 3 2 2" xfId="12056" xr:uid="{06CC5D65-4DF1-4832-B791-DA6735DFAB43}"/>
    <cellStyle name="Percent 2 2 2 9 2 3 3" xfId="8618" xr:uid="{9AF3636B-A19D-4B39-9898-DE146D95735E}"/>
    <cellStyle name="Percent 2 2 2 9 2 4" xfId="4205" xr:uid="{00000000-0005-0000-0000-0000FA130000}"/>
    <cellStyle name="Percent 2 2 2 9 2 4 2" xfId="10382" xr:uid="{F4C5014E-A84B-491E-BEE2-0B20A516BFAF}"/>
    <cellStyle name="Percent 2 2 2 9 2 5" xfId="1558" xr:uid="{00000000-0005-0000-0000-0000FB130000}"/>
    <cellStyle name="Percent 2 2 2 9 2 5 2" xfId="7735" xr:uid="{B5AB6717-055A-4301-89AD-620C4DD208E0}"/>
    <cellStyle name="Percent 2 2 2 9 2 6" xfId="6852" xr:uid="{AA68C843-40AB-4FCF-8151-9CA667D9F2AF}"/>
    <cellStyle name="Percent 2 2 2 9 3" xfId="2882" xr:uid="{00000000-0005-0000-0000-0000FC130000}"/>
    <cellStyle name="Percent 2 2 2 9 3 2" xfId="5880" xr:uid="{00000000-0005-0000-0000-0000FD130000}"/>
    <cellStyle name="Percent 2 2 2 9 3 2 2" xfId="12057" xr:uid="{19181B29-E92A-4007-8FE9-C0C56658D564}"/>
    <cellStyle name="Percent 2 2 2 9 3 3" xfId="9059" xr:uid="{57B208D1-5F98-41EC-838C-4561292CB715}"/>
    <cellStyle name="Percent 2 2 2 9 4" xfId="2000" xr:uid="{00000000-0005-0000-0000-0000FE130000}"/>
    <cellStyle name="Percent 2 2 2 9 4 2" xfId="5881" xr:uid="{00000000-0005-0000-0000-0000FF130000}"/>
    <cellStyle name="Percent 2 2 2 9 4 2 2" xfId="12058" xr:uid="{EAB06E36-118E-4FD2-BA3E-ABBFF4A7F0E9}"/>
    <cellStyle name="Percent 2 2 2 9 4 3" xfId="8177" xr:uid="{26985D93-33E9-4BF4-970D-D4641C3243F2}"/>
    <cellStyle name="Percent 2 2 2 9 5" xfId="3764" xr:uid="{00000000-0005-0000-0000-000000140000}"/>
    <cellStyle name="Percent 2 2 2 9 5 2" xfId="9941" xr:uid="{F0D4C307-9883-42DF-8896-AFFC0410CDA6}"/>
    <cellStyle name="Percent 2 2 2 9 6" xfId="1117" xr:uid="{00000000-0005-0000-0000-000001140000}"/>
    <cellStyle name="Percent 2 2 2 9 6 2" xfId="7294" xr:uid="{0E81F952-ADED-4E3A-A9CF-6D54A15E59EA}"/>
    <cellStyle name="Percent 2 2 2 9 7" xfId="6411" xr:uid="{579D8FDB-AD13-4E8E-B526-86FDA5F11C67}"/>
    <cellStyle name="Percent 2 2 3" xfId="18" xr:uid="{00000000-0005-0000-0000-000002140000}"/>
    <cellStyle name="Percent 2 2 3 10" xfId="3548" xr:uid="{00000000-0005-0000-0000-000003140000}"/>
    <cellStyle name="Percent 2 2 3 10 2" xfId="9725" xr:uid="{F7DF847B-B4E0-476A-A85F-D6523EB03852}"/>
    <cellStyle name="Percent 2 2 3 11" xfId="901" xr:uid="{00000000-0005-0000-0000-000004140000}"/>
    <cellStyle name="Percent 2 2 3 11 2" xfId="7078" xr:uid="{86CC57F5-44DC-4082-9694-DE70A26BD742}"/>
    <cellStyle name="Percent 2 2 3 12" xfId="6195" xr:uid="{DE81D81C-403B-419C-8066-826E5C030FB9}"/>
    <cellStyle name="Percent 2 2 3 2" xfId="52" xr:uid="{00000000-0005-0000-0000-000005140000}"/>
    <cellStyle name="Percent 2 2 3 2 2" xfId="162" xr:uid="{00000000-0005-0000-0000-000006140000}"/>
    <cellStyle name="Percent 2 2 3 2 2 2" xfId="382" xr:uid="{00000000-0005-0000-0000-000007140000}"/>
    <cellStyle name="Percent 2 2 3 2 2 2 2" xfId="823" xr:uid="{00000000-0005-0000-0000-000008140000}"/>
    <cellStyle name="Percent 2 2 3 2 2 2 2 2" xfId="3471" xr:uid="{00000000-0005-0000-0000-000009140000}"/>
    <cellStyle name="Percent 2 2 3 2 2 2 2 2 2" xfId="5882" xr:uid="{00000000-0005-0000-0000-00000A140000}"/>
    <cellStyle name="Percent 2 2 3 2 2 2 2 2 2 2" xfId="12059" xr:uid="{39528028-56A8-476C-8FCD-6407958B16B3}"/>
    <cellStyle name="Percent 2 2 3 2 2 2 2 2 3" xfId="9648" xr:uid="{A9DDD9B5-6793-4767-BBCE-4E6F70FBCE0E}"/>
    <cellStyle name="Percent 2 2 3 2 2 2 2 3" xfId="2589" xr:uid="{00000000-0005-0000-0000-00000B140000}"/>
    <cellStyle name="Percent 2 2 3 2 2 2 2 3 2" xfId="5883" xr:uid="{00000000-0005-0000-0000-00000C140000}"/>
    <cellStyle name="Percent 2 2 3 2 2 2 2 3 2 2" xfId="12060" xr:uid="{CE0FACF1-8A23-4895-BC5E-6032227B828D}"/>
    <cellStyle name="Percent 2 2 3 2 2 2 2 3 3" xfId="8766" xr:uid="{AC8779D8-3C15-4D87-9AAC-793B029D2521}"/>
    <cellStyle name="Percent 2 2 3 2 2 2 2 4" xfId="4353" xr:uid="{00000000-0005-0000-0000-00000D140000}"/>
    <cellStyle name="Percent 2 2 3 2 2 2 2 4 2" xfId="10530" xr:uid="{0A3C2E6B-CB3F-432D-8AAA-71B3D4132E51}"/>
    <cellStyle name="Percent 2 2 3 2 2 2 2 5" xfId="1706" xr:uid="{00000000-0005-0000-0000-00000E140000}"/>
    <cellStyle name="Percent 2 2 3 2 2 2 2 5 2" xfId="7883" xr:uid="{54DC130D-9C0A-4AEB-83B0-43114484FBFE}"/>
    <cellStyle name="Percent 2 2 3 2 2 2 2 6" xfId="7000" xr:uid="{58CE57E9-EBED-415A-A237-B4B975EED9A8}"/>
    <cellStyle name="Percent 2 2 3 2 2 2 3" xfId="3030" xr:uid="{00000000-0005-0000-0000-00000F140000}"/>
    <cellStyle name="Percent 2 2 3 2 2 2 3 2" xfId="5884" xr:uid="{00000000-0005-0000-0000-000010140000}"/>
    <cellStyle name="Percent 2 2 3 2 2 2 3 2 2" xfId="12061" xr:uid="{2515DE8B-692D-43B0-BB4F-3497713A5122}"/>
    <cellStyle name="Percent 2 2 3 2 2 2 3 3" xfId="9207" xr:uid="{B30BD142-6AED-43BC-AC6B-11C568C2064F}"/>
    <cellStyle name="Percent 2 2 3 2 2 2 4" xfId="2148" xr:uid="{00000000-0005-0000-0000-000011140000}"/>
    <cellStyle name="Percent 2 2 3 2 2 2 4 2" xfId="5885" xr:uid="{00000000-0005-0000-0000-000012140000}"/>
    <cellStyle name="Percent 2 2 3 2 2 2 4 2 2" xfId="12062" xr:uid="{F154D3CC-81CD-42D1-A975-C92BFAA7789C}"/>
    <cellStyle name="Percent 2 2 3 2 2 2 4 3" xfId="8325" xr:uid="{DB563159-EE55-4E3D-9B34-F2FE15F540C0}"/>
    <cellStyle name="Percent 2 2 3 2 2 2 5" xfId="3912" xr:uid="{00000000-0005-0000-0000-000013140000}"/>
    <cellStyle name="Percent 2 2 3 2 2 2 5 2" xfId="10089" xr:uid="{BC0EF1DC-1152-4788-A612-193F123E86E9}"/>
    <cellStyle name="Percent 2 2 3 2 2 2 6" xfId="1265" xr:uid="{00000000-0005-0000-0000-000014140000}"/>
    <cellStyle name="Percent 2 2 3 2 2 2 6 2" xfId="7442" xr:uid="{78BC69DC-E317-41B4-AE9D-FBD4BCE14F54}"/>
    <cellStyle name="Percent 2 2 3 2 2 2 7" xfId="6559" xr:uid="{5AEC2940-8C3F-4C2F-8B96-A15E0FEB9EAF}"/>
    <cellStyle name="Percent 2 2 3 2 2 3" xfId="603" xr:uid="{00000000-0005-0000-0000-000015140000}"/>
    <cellStyle name="Percent 2 2 3 2 2 3 2" xfId="3251" xr:uid="{00000000-0005-0000-0000-000016140000}"/>
    <cellStyle name="Percent 2 2 3 2 2 3 2 2" xfId="5886" xr:uid="{00000000-0005-0000-0000-000017140000}"/>
    <cellStyle name="Percent 2 2 3 2 2 3 2 2 2" xfId="12063" xr:uid="{868B1D55-2C07-4FEC-8A13-380033E210CF}"/>
    <cellStyle name="Percent 2 2 3 2 2 3 2 3" xfId="9428" xr:uid="{FCFC091D-430B-475F-AF90-A021C2168B02}"/>
    <cellStyle name="Percent 2 2 3 2 2 3 3" xfId="2369" xr:uid="{00000000-0005-0000-0000-000018140000}"/>
    <cellStyle name="Percent 2 2 3 2 2 3 3 2" xfId="5887" xr:uid="{00000000-0005-0000-0000-000019140000}"/>
    <cellStyle name="Percent 2 2 3 2 2 3 3 2 2" xfId="12064" xr:uid="{BEE721D4-45B4-4933-B0B4-5CBEE4FF66BF}"/>
    <cellStyle name="Percent 2 2 3 2 2 3 3 3" xfId="8546" xr:uid="{B842A1C5-F61F-4174-926C-3D1C553957DE}"/>
    <cellStyle name="Percent 2 2 3 2 2 3 4" xfId="4133" xr:uid="{00000000-0005-0000-0000-00001A140000}"/>
    <cellStyle name="Percent 2 2 3 2 2 3 4 2" xfId="10310" xr:uid="{59225AFC-931A-46D5-B1E1-21EC1235CB76}"/>
    <cellStyle name="Percent 2 2 3 2 2 3 5" xfId="1486" xr:uid="{00000000-0005-0000-0000-00001B140000}"/>
    <cellStyle name="Percent 2 2 3 2 2 3 5 2" xfId="7663" xr:uid="{D313605A-CB39-468E-AD8C-5C1ADDC06A23}"/>
    <cellStyle name="Percent 2 2 3 2 2 3 6" xfId="6780" xr:uid="{4B9F2742-E88C-47CF-999C-01D15D79E8B0}"/>
    <cellStyle name="Percent 2 2 3 2 2 4" xfId="2810" xr:uid="{00000000-0005-0000-0000-00001C140000}"/>
    <cellStyle name="Percent 2 2 3 2 2 4 2" xfId="5888" xr:uid="{00000000-0005-0000-0000-00001D140000}"/>
    <cellStyle name="Percent 2 2 3 2 2 4 2 2" xfId="12065" xr:uid="{4AB65668-518B-4C68-BBA3-66E51D37AE80}"/>
    <cellStyle name="Percent 2 2 3 2 2 4 3" xfId="8987" xr:uid="{70D74E0F-6F22-4BB1-8824-693F6C9DF802}"/>
    <cellStyle name="Percent 2 2 3 2 2 5" xfId="1928" xr:uid="{00000000-0005-0000-0000-00001E140000}"/>
    <cellStyle name="Percent 2 2 3 2 2 5 2" xfId="5889" xr:uid="{00000000-0005-0000-0000-00001F140000}"/>
    <cellStyle name="Percent 2 2 3 2 2 5 2 2" xfId="12066" xr:uid="{5BE36351-9F41-4E53-8178-3D424B7EC92C}"/>
    <cellStyle name="Percent 2 2 3 2 2 5 3" xfId="8105" xr:uid="{490C3F07-E8AC-46CE-B335-2C5E0CE2ACFD}"/>
    <cellStyle name="Percent 2 2 3 2 2 6" xfId="3692" xr:uid="{00000000-0005-0000-0000-000020140000}"/>
    <cellStyle name="Percent 2 2 3 2 2 6 2" xfId="9869" xr:uid="{31201581-6E05-4586-BDD0-16FF08169475}"/>
    <cellStyle name="Percent 2 2 3 2 2 7" xfId="1045" xr:uid="{00000000-0005-0000-0000-000021140000}"/>
    <cellStyle name="Percent 2 2 3 2 2 7 2" xfId="7222" xr:uid="{22096808-6142-4E06-B12F-69543133B71B}"/>
    <cellStyle name="Percent 2 2 3 2 2 8" xfId="6339" xr:uid="{71A37DAC-A90C-43D1-8919-BBEE1936F56E}"/>
    <cellStyle name="Percent 2 2 3 2 3" xfId="272" xr:uid="{00000000-0005-0000-0000-000022140000}"/>
    <cellStyle name="Percent 2 2 3 2 3 2" xfId="713" xr:uid="{00000000-0005-0000-0000-000023140000}"/>
    <cellStyle name="Percent 2 2 3 2 3 2 2" xfId="3361" xr:uid="{00000000-0005-0000-0000-000024140000}"/>
    <cellStyle name="Percent 2 2 3 2 3 2 2 2" xfId="5890" xr:uid="{00000000-0005-0000-0000-000025140000}"/>
    <cellStyle name="Percent 2 2 3 2 3 2 2 2 2" xfId="12067" xr:uid="{8FC4464A-CFB4-43D0-919A-5DB6913C8075}"/>
    <cellStyle name="Percent 2 2 3 2 3 2 2 3" xfId="9538" xr:uid="{67E2F8F8-B579-4996-B65D-666042DFB995}"/>
    <cellStyle name="Percent 2 2 3 2 3 2 3" xfId="2479" xr:uid="{00000000-0005-0000-0000-000026140000}"/>
    <cellStyle name="Percent 2 2 3 2 3 2 3 2" xfId="5891" xr:uid="{00000000-0005-0000-0000-000027140000}"/>
    <cellStyle name="Percent 2 2 3 2 3 2 3 2 2" xfId="12068" xr:uid="{100DD423-ECD0-4021-9F8C-16959E0EE474}"/>
    <cellStyle name="Percent 2 2 3 2 3 2 3 3" xfId="8656" xr:uid="{D723CA02-6EB7-4E7F-B873-8B4805782A03}"/>
    <cellStyle name="Percent 2 2 3 2 3 2 4" xfId="4243" xr:uid="{00000000-0005-0000-0000-000028140000}"/>
    <cellStyle name="Percent 2 2 3 2 3 2 4 2" xfId="10420" xr:uid="{D3D9FA09-5585-4ECB-AC20-8F80DB92A839}"/>
    <cellStyle name="Percent 2 2 3 2 3 2 5" xfId="1596" xr:uid="{00000000-0005-0000-0000-000029140000}"/>
    <cellStyle name="Percent 2 2 3 2 3 2 5 2" xfId="7773" xr:uid="{9A3998AF-53EC-4DDE-A250-C051A017B641}"/>
    <cellStyle name="Percent 2 2 3 2 3 2 6" xfId="6890" xr:uid="{0FBBC13F-5E55-4759-AEE7-3EF24F78A740}"/>
    <cellStyle name="Percent 2 2 3 2 3 3" xfId="2920" xr:uid="{00000000-0005-0000-0000-00002A140000}"/>
    <cellStyle name="Percent 2 2 3 2 3 3 2" xfId="5892" xr:uid="{00000000-0005-0000-0000-00002B140000}"/>
    <cellStyle name="Percent 2 2 3 2 3 3 2 2" xfId="12069" xr:uid="{C50F0685-B43C-4059-8ACF-7ED2B1779EAA}"/>
    <cellStyle name="Percent 2 2 3 2 3 3 3" xfId="9097" xr:uid="{1C3C785E-87CB-4B66-BFA8-F5BB5DAE7D9B}"/>
    <cellStyle name="Percent 2 2 3 2 3 4" xfId="2038" xr:uid="{00000000-0005-0000-0000-00002C140000}"/>
    <cellStyle name="Percent 2 2 3 2 3 4 2" xfId="5893" xr:uid="{00000000-0005-0000-0000-00002D140000}"/>
    <cellStyle name="Percent 2 2 3 2 3 4 2 2" xfId="12070" xr:uid="{30AA9A9E-596F-4EAA-985F-A66F99A1809A}"/>
    <cellStyle name="Percent 2 2 3 2 3 4 3" xfId="8215" xr:uid="{C1674D3E-1D97-4D2E-A8B0-FA796B3EF0A4}"/>
    <cellStyle name="Percent 2 2 3 2 3 5" xfId="3802" xr:uid="{00000000-0005-0000-0000-00002E140000}"/>
    <cellStyle name="Percent 2 2 3 2 3 5 2" xfId="9979" xr:uid="{DC670477-B9CA-4D2B-9CA7-1F88915A4B99}"/>
    <cellStyle name="Percent 2 2 3 2 3 6" xfId="1155" xr:uid="{00000000-0005-0000-0000-00002F140000}"/>
    <cellStyle name="Percent 2 2 3 2 3 6 2" xfId="7332" xr:uid="{C8ED2C98-70F8-440A-A051-1920CCFB88D0}"/>
    <cellStyle name="Percent 2 2 3 2 3 7" xfId="6449" xr:uid="{8F9889C9-5EC1-4D8A-945D-C3B5A7D3C11D}"/>
    <cellStyle name="Percent 2 2 3 2 4" xfId="493" xr:uid="{00000000-0005-0000-0000-000030140000}"/>
    <cellStyle name="Percent 2 2 3 2 4 2" xfId="3141" xr:uid="{00000000-0005-0000-0000-000031140000}"/>
    <cellStyle name="Percent 2 2 3 2 4 2 2" xfId="5894" xr:uid="{00000000-0005-0000-0000-000032140000}"/>
    <cellStyle name="Percent 2 2 3 2 4 2 2 2" xfId="12071" xr:uid="{212908CD-167F-463D-99CA-FBCE17666F98}"/>
    <cellStyle name="Percent 2 2 3 2 4 2 3" xfId="9318" xr:uid="{BF5226E4-3621-42C3-8856-FAC389065760}"/>
    <cellStyle name="Percent 2 2 3 2 4 3" xfId="2259" xr:uid="{00000000-0005-0000-0000-000033140000}"/>
    <cellStyle name="Percent 2 2 3 2 4 3 2" xfId="5895" xr:uid="{00000000-0005-0000-0000-000034140000}"/>
    <cellStyle name="Percent 2 2 3 2 4 3 2 2" xfId="12072" xr:uid="{62D9D976-A849-4873-8ABF-E3E8B13F64C0}"/>
    <cellStyle name="Percent 2 2 3 2 4 3 3" xfId="8436" xr:uid="{8F44D5E4-F504-41D9-A250-A1AA3D879CE0}"/>
    <cellStyle name="Percent 2 2 3 2 4 4" xfId="4023" xr:uid="{00000000-0005-0000-0000-000035140000}"/>
    <cellStyle name="Percent 2 2 3 2 4 4 2" xfId="10200" xr:uid="{7B25324E-71C1-4C9E-AB17-0B0D1009A858}"/>
    <cellStyle name="Percent 2 2 3 2 4 5" xfId="1376" xr:uid="{00000000-0005-0000-0000-000036140000}"/>
    <cellStyle name="Percent 2 2 3 2 4 5 2" xfId="7553" xr:uid="{59D6FC11-1E44-4722-B9FD-BEAB4624045F}"/>
    <cellStyle name="Percent 2 2 3 2 4 6" xfId="6670" xr:uid="{DDD76980-16B3-482C-875D-84AB82067E8B}"/>
    <cellStyle name="Percent 2 2 3 2 5" xfId="2700" xr:uid="{00000000-0005-0000-0000-000037140000}"/>
    <cellStyle name="Percent 2 2 3 2 5 2" xfId="5896" xr:uid="{00000000-0005-0000-0000-000038140000}"/>
    <cellStyle name="Percent 2 2 3 2 5 2 2" xfId="12073" xr:uid="{21F07CEE-C726-4BEF-A359-C983F5EEDA5A}"/>
    <cellStyle name="Percent 2 2 3 2 5 3" xfId="8877" xr:uid="{866A8EC0-3A97-49D7-B0B8-2F0D45110761}"/>
    <cellStyle name="Percent 2 2 3 2 6" xfId="1818" xr:uid="{00000000-0005-0000-0000-000039140000}"/>
    <cellStyle name="Percent 2 2 3 2 6 2" xfId="5897" xr:uid="{00000000-0005-0000-0000-00003A140000}"/>
    <cellStyle name="Percent 2 2 3 2 6 2 2" xfId="12074" xr:uid="{4472A44D-2960-401D-B6B7-F84569A288B0}"/>
    <cellStyle name="Percent 2 2 3 2 6 3" xfId="7995" xr:uid="{597D35C7-8EE4-4303-80E0-976B206B4269}"/>
    <cellStyle name="Percent 2 2 3 2 7" xfId="3582" xr:uid="{00000000-0005-0000-0000-00003B140000}"/>
    <cellStyle name="Percent 2 2 3 2 7 2" xfId="9759" xr:uid="{587A10F7-003A-4E3C-BDA6-FECF33A8D132}"/>
    <cellStyle name="Percent 2 2 3 2 8" xfId="935" xr:uid="{00000000-0005-0000-0000-00003C140000}"/>
    <cellStyle name="Percent 2 2 3 2 8 2" xfId="7112" xr:uid="{60861896-06B0-4FD7-A0C5-47CDABCEC3B4}"/>
    <cellStyle name="Percent 2 2 3 2 9" xfId="6229" xr:uid="{EAB341F3-0340-4AE2-BF2C-AA9F7F23CC8E}"/>
    <cellStyle name="Percent 2 2 3 3" xfId="68" xr:uid="{00000000-0005-0000-0000-00003D140000}"/>
    <cellStyle name="Percent 2 2 3 3 2" xfId="178" xr:uid="{00000000-0005-0000-0000-00003E140000}"/>
    <cellStyle name="Percent 2 2 3 3 2 2" xfId="398" xr:uid="{00000000-0005-0000-0000-00003F140000}"/>
    <cellStyle name="Percent 2 2 3 3 2 2 2" xfId="839" xr:uid="{00000000-0005-0000-0000-000040140000}"/>
    <cellStyle name="Percent 2 2 3 3 2 2 2 2" xfId="3487" xr:uid="{00000000-0005-0000-0000-000041140000}"/>
    <cellStyle name="Percent 2 2 3 3 2 2 2 2 2" xfId="5898" xr:uid="{00000000-0005-0000-0000-000042140000}"/>
    <cellStyle name="Percent 2 2 3 3 2 2 2 2 2 2" xfId="12075" xr:uid="{8253FCD6-DE38-43C9-8852-9C7AF63E131A}"/>
    <cellStyle name="Percent 2 2 3 3 2 2 2 2 3" xfId="9664" xr:uid="{0ED2C9BF-E073-4C32-A174-3F52080CF397}"/>
    <cellStyle name="Percent 2 2 3 3 2 2 2 3" xfId="2605" xr:uid="{00000000-0005-0000-0000-000043140000}"/>
    <cellStyle name="Percent 2 2 3 3 2 2 2 3 2" xfId="5899" xr:uid="{00000000-0005-0000-0000-000044140000}"/>
    <cellStyle name="Percent 2 2 3 3 2 2 2 3 2 2" xfId="12076" xr:uid="{0D728E9D-ACE6-4E53-B200-26C1CB38D521}"/>
    <cellStyle name="Percent 2 2 3 3 2 2 2 3 3" xfId="8782" xr:uid="{4D4E787E-8890-40B7-B11F-5023D768E19B}"/>
    <cellStyle name="Percent 2 2 3 3 2 2 2 4" xfId="4369" xr:uid="{00000000-0005-0000-0000-000045140000}"/>
    <cellStyle name="Percent 2 2 3 3 2 2 2 4 2" xfId="10546" xr:uid="{C6F78139-26F5-4373-B2A7-AD6A2BC9DAB7}"/>
    <cellStyle name="Percent 2 2 3 3 2 2 2 5" xfId="1722" xr:uid="{00000000-0005-0000-0000-000046140000}"/>
    <cellStyle name="Percent 2 2 3 3 2 2 2 5 2" xfId="7899" xr:uid="{8F40D97B-1901-45B2-A759-88D24A9DF90C}"/>
    <cellStyle name="Percent 2 2 3 3 2 2 2 6" xfId="7016" xr:uid="{4AAF181D-C3BB-4C8A-88F0-89EAF73B7164}"/>
    <cellStyle name="Percent 2 2 3 3 2 2 3" xfId="3046" xr:uid="{00000000-0005-0000-0000-000047140000}"/>
    <cellStyle name="Percent 2 2 3 3 2 2 3 2" xfId="5900" xr:uid="{00000000-0005-0000-0000-000048140000}"/>
    <cellStyle name="Percent 2 2 3 3 2 2 3 2 2" xfId="12077" xr:uid="{C15FD1DE-4256-4274-A2D8-4148C0C5E5B8}"/>
    <cellStyle name="Percent 2 2 3 3 2 2 3 3" xfId="9223" xr:uid="{45E3DAFB-B637-4E05-98A3-D6CAB9E72F9B}"/>
    <cellStyle name="Percent 2 2 3 3 2 2 4" xfId="2164" xr:uid="{00000000-0005-0000-0000-000049140000}"/>
    <cellStyle name="Percent 2 2 3 3 2 2 4 2" xfId="5901" xr:uid="{00000000-0005-0000-0000-00004A140000}"/>
    <cellStyle name="Percent 2 2 3 3 2 2 4 2 2" xfId="12078" xr:uid="{A5E9535A-0122-417B-8A30-152C57170F33}"/>
    <cellStyle name="Percent 2 2 3 3 2 2 4 3" xfId="8341" xr:uid="{C86FFE40-3911-4EA8-8B2B-659277784608}"/>
    <cellStyle name="Percent 2 2 3 3 2 2 5" xfId="3928" xr:uid="{00000000-0005-0000-0000-00004B140000}"/>
    <cellStyle name="Percent 2 2 3 3 2 2 5 2" xfId="10105" xr:uid="{39F6F58C-FAD7-41F6-9F12-DEAC5B5E5005}"/>
    <cellStyle name="Percent 2 2 3 3 2 2 6" xfId="1281" xr:uid="{00000000-0005-0000-0000-00004C140000}"/>
    <cellStyle name="Percent 2 2 3 3 2 2 6 2" xfId="7458" xr:uid="{11CDD3AC-9B6C-49DA-AF80-CB3B049B59F4}"/>
    <cellStyle name="Percent 2 2 3 3 2 2 7" xfId="6575" xr:uid="{CD29DE15-B432-4AF0-A330-811DD08901BB}"/>
    <cellStyle name="Percent 2 2 3 3 2 3" xfId="619" xr:uid="{00000000-0005-0000-0000-00004D140000}"/>
    <cellStyle name="Percent 2 2 3 3 2 3 2" xfId="3267" xr:uid="{00000000-0005-0000-0000-00004E140000}"/>
    <cellStyle name="Percent 2 2 3 3 2 3 2 2" xfId="5902" xr:uid="{00000000-0005-0000-0000-00004F140000}"/>
    <cellStyle name="Percent 2 2 3 3 2 3 2 2 2" xfId="12079" xr:uid="{BB0AECF6-5556-4719-A988-BD8C562ED97A}"/>
    <cellStyle name="Percent 2 2 3 3 2 3 2 3" xfId="9444" xr:uid="{3F812F17-251B-4A29-AB3F-3CA0C453B9C2}"/>
    <cellStyle name="Percent 2 2 3 3 2 3 3" xfId="2385" xr:uid="{00000000-0005-0000-0000-000050140000}"/>
    <cellStyle name="Percent 2 2 3 3 2 3 3 2" xfId="5903" xr:uid="{00000000-0005-0000-0000-000051140000}"/>
    <cellStyle name="Percent 2 2 3 3 2 3 3 2 2" xfId="12080" xr:uid="{51714706-CC0E-44B4-9733-87231BA243E6}"/>
    <cellStyle name="Percent 2 2 3 3 2 3 3 3" xfId="8562" xr:uid="{66CFAE1A-C3EE-491C-AB8B-EDEF894EDD56}"/>
    <cellStyle name="Percent 2 2 3 3 2 3 4" xfId="4149" xr:uid="{00000000-0005-0000-0000-000052140000}"/>
    <cellStyle name="Percent 2 2 3 3 2 3 4 2" xfId="10326" xr:uid="{E78FC66F-1512-4624-8670-01B50A69D4B3}"/>
    <cellStyle name="Percent 2 2 3 3 2 3 5" xfId="1502" xr:uid="{00000000-0005-0000-0000-000053140000}"/>
    <cellStyle name="Percent 2 2 3 3 2 3 5 2" xfId="7679" xr:uid="{B725035F-29EE-41FF-8786-E85FF6EED633}"/>
    <cellStyle name="Percent 2 2 3 3 2 3 6" xfId="6796" xr:uid="{1DC5A746-162B-4500-A58D-DE22109265C2}"/>
    <cellStyle name="Percent 2 2 3 3 2 4" xfId="2826" xr:uid="{00000000-0005-0000-0000-000054140000}"/>
    <cellStyle name="Percent 2 2 3 3 2 4 2" xfId="5904" xr:uid="{00000000-0005-0000-0000-000055140000}"/>
    <cellStyle name="Percent 2 2 3 3 2 4 2 2" xfId="12081" xr:uid="{59601000-0F32-4632-9CB9-3EC77A065E31}"/>
    <cellStyle name="Percent 2 2 3 3 2 4 3" xfId="9003" xr:uid="{2468638C-EED1-42E0-ACBE-D9E8F06CC66C}"/>
    <cellStyle name="Percent 2 2 3 3 2 5" xfId="1944" xr:uid="{00000000-0005-0000-0000-000056140000}"/>
    <cellStyle name="Percent 2 2 3 3 2 5 2" xfId="5905" xr:uid="{00000000-0005-0000-0000-000057140000}"/>
    <cellStyle name="Percent 2 2 3 3 2 5 2 2" xfId="12082" xr:uid="{C987ABF3-5D95-4520-B7CA-78A6BA316D52}"/>
    <cellStyle name="Percent 2 2 3 3 2 5 3" xfId="8121" xr:uid="{0FE69ACD-81D2-4AC6-86CB-E2165D5ACB58}"/>
    <cellStyle name="Percent 2 2 3 3 2 6" xfId="3708" xr:uid="{00000000-0005-0000-0000-000058140000}"/>
    <cellStyle name="Percent 2 2 3 3 2 6 2" xfId="9885" xr:uid="{E68C2560-6569-4C27-8154-4D552452E0D9}"/>
    <cellStyle name="Percent 2 2 3 3 2 7" xfId="1061" xr:uid="{00000000-0005-0000-0000-000059140000}"/>
    <cellStyle name="Percent 2 2 3 3 2 7 2" xfId="7238" xr:uid="{B3109DA8-F587-4388-930F-47C8090FAA4B}"/>
    <cellStyle name="Percent 2 2 3 3 2 8" xfId="6355" xr:uid="{DAF98387-C9F5-4307-8677-3AC76B5718B2}"/>
    <cellStyle name="Percent 2 2 3 3 3" xfId="288" xr:uid="{00000000-0005-0000-0000-00005A140000}"/>
    <cellStyle name="Percent 2 2 3 3 3 2" xfId="729" xr:uid="{00000000-0005-0000-0000-00005B140000}"/>
    <cellStyle name="Percent 2 2 3 3 3 2 2" xfId="3377" xr:uid="{00000000-0005-0000-0000-00005C140000}"/>
    <cellStyle name="Percent 2 2 3 3 3 2 2 2" xfId="5906" xr:uid="{00000000-0005-0000-0000-00005D140000}"/>
    <cellStyle name="Percent 2 2 3 3 3 2 2 2 2" xfId="12083" xr:uid="{0E0D26D8-5EA5-45EC-BCD6-1E10769B80BF}"/>
    <cellStyle name="Percent 2 2 3 3 3 2 2 3" xfId="9554" xr:uid="{BA048E11-D610-42A9-8187-911629B5F9C6}"/>
    <cellStyle name="Percent 2 2 3 3 3 2 3" xfId="2495" xr:uid="{00000000-0005-0000-0000-00005E140000}"/>
    <cellStyle name="Percent 2 2 3 3 3 2 3 2" xfId="5907" xr:uid="{00000000-0005-0000-0000-00005F140000}"/>
    <cellStyle name="Percent 2 2 3 3 3 2 3 2 2" xfId="12084" xr:uid="{0EA9A687-8C5C-4839-B0E3-7CCA2817625B}"/>
    <cellStyle name="Percent 2 2 3 3 3 2 3 3" xfId="8672" xr:uid="{A94FD38D-4027-467E-992A-34E7513343A5}"/>
    <cellStyle name="Percent 2 2 3 3 3 2 4" xfId="4259" xr:uid="{00000000-0005-0000-0000-000060140000}"/>
    <cellStyle name="Percent 2 2 3 3 3 2 4 2" xfId="10436" xr:uid="{B9AEBCE8-0929-4DD9-A82A-6754850329FC}"/>
    <cellStyle name="Percent 2 2 3 3 3 2 5" xfId="1612" xr:uid="{00000000-0005-0000-0000-000061140000}"/>
    <cellStyle name="Percent 2 2 3 3 3 2 5 2" xfId="7789" xr:uid="{AB35F3E6-4EFA-4234-8C8A-299D04353056}"/>
    <cellStyle name="Percent 2 2 3 3 3 2 6" xfId="6906" xr:uid="{975E29E7-8C18-41E4-92C9-56D5CEBF165D}"/>
    <cellStyle name="Percent 2 2 3 3 3 3" xfId="2936" xr:uid="{00000000-0005-0000-0000-000062140000}"/>
    <cellStyle name="Percent 2 2 3 3 3 3 2" xfId="5908" xr:uid="{00000000-0005-0000-0000-000063140000}"/>
    <cellStyle name="Percent 2 2 3 3 3 3 2 2" xfId="12085" xr:uid="{89367D9A-A8FD-4084-A705-08807FBC8ED3}"/>
    <cellStyle name="Percent 2 2 3 3 3 3 3" xfId="9113" xr:uid="{3F314FBC-CE8A-4473-AFED-025A3743323E}"/>
    <cellStyle name="Percent 2 2 3 3 3 4" xfId="2054" xr:uid="{00000000-0005-0000-0000-000064140000}"/>
    <cellStyle name="Percent 2 2 3 3 3 4 2" xfId="5909" xr:uid="{00000000-0005-0000-0000-000065140000}"/>
    <cellStyle name="Percent 2 2 3 3 3 4 2 2" xfId="12086" xr:uid="{D65B5185-DF7C-468E-9A3B-9A5E1E6842FC}"/>
    <cellStyle name="Percent 2 2 3 3 3 4 3" xfId="8231" xr:uid="{278034B5-BFA0-4BAC-A6A0-61A1B89C7110}"/>
    <cellStyle name="Percent 2 2 3 3 3 5" xfId="3818" xr:uid="{00000000-0005-0000-0000-000066140000}"/>
    <cellStyle name="Percent 2 2 3 3 3 5 2" xfId="9995" xr:uid="{301173BF-0282-4FAC-8A6A-E25E5E59A4DC}"/>
    <cellStyle name="Percent 2 2 3 3 3 6" xfId="1171" xr:uid="{00000000-0005-0000-0000-000067140000}"/>
    <cellStyle name="Percent 2 2 3 3 3 6 2" xfId="7348" xr:uid="{63277C71-C1D4-4376-A77A-E3EB8B121455}"/>
    <cellStyle name="Percent 2 2 3 3 3 7" xfId="6465" xr:uid="{AFDF434F-8826-4885-9BC0-5FD08AB53D2A}"/>
    <cellStyle name="Percent 2 2 3 3 4" xfId="509" xr:uid="{00000000-0005-0000-0000-000068140000}"/>
    <cellStyle name="Percent 2 2 3 3 4 2" xfId="3157" xr:uid="{00000000-0005-0000-0000-000069140000}"/>
    <cellStyle name="Percent 2 2 3 3 4 2 2" xfId="5910" xr:uid="{00000000-0005-0000-0000-00006A140000}"/>
    <cellStyle name="Percent 2 2 3 3 4 2 2 2" xfId="12087" xr:uid="{4476E857-21AA-48C6-951B-A760ADE77B48}"/>
    <cellStyle name="Percent 2 2 3 3 4 2 3" xfId="9334" xr:uid="{01885358-A48F-49AD-8558-C41BE809D40E}"/>
    <cellStyle name="Percent 2 2 3 3 4 3" xfId="2275" xr:uid="{00000000-0005-0000-0000-00006B140000}"/>
    <cellStyle name="Percent 2 2 3 3 4 3 2" xfId="5911" xr:uid="{00000000-0005-0000-0000-00006C140000}"/>
    <cellStyle name="Percent 2 2 3 3 4 3 2 2" xfId="12088" xr:uid="{D5967577-71C7-4B74-B1B0-AF4F883108C1}"/>
    <cellStyle name="Percent 2 2 3 3 4 3 3" xfId="8452" xr:uid="{865499A9-9A9E-4860-B40A-65F372C0D2F7}"/>
    <cellStyle name="Percent 2 2 3 3 4 4" xfId="4039" xr:uid="{00000000-0005-0000-0000-00006D140000}"/>
    <cellStyle name="Percent 2 2 3 3 4 4 2" xfId="10216" xr:uid="{F50E5A57-80A2-49F7-88D3-25E2088F35C1}"/>
    <cellStyle name="Percent 2 2 3 3 4 5" xfId="1392" xr:uid="{00000000-0005-0000-0000-00006E140000}"/>
    <cellStyle name="Percent 2 2 3 3 4 5 2" xfId="7569" xr:uid="{C5E221F7-5D76-4D56-A291-034EFC183E25}"/>
    <cellStyle name="Percent 2 2 3 3 4 6" xfId="6686" xr:uid="{B9D2789C-5E27-4D12-9239-04F2CBCCE4E1}"/>
    <cellStyle name="Percent 2 2 3 3 5" xfId="2716" xr:uid="{00000000-0005-0000-0000-00006F140000}"/>
    <cellStyle name="Percent 2 2 3 3 5 2" xfId="5912" xr:uid="{00000000-0005-0000-0000-000070140000}"/>
    <cellStyle name="Percent 2 2 3 3 5 2 2" xfId="12089" xr:uid="{4F19173A-F604-4947-9963-A689318C4838}"/>
    <cellStyle name="Percent 2 2 3 3 5 3" xfId="8893" xr:uid="{1BA143AA-0E29-46A7-8DE0-DA57E6E0EBA6}"/>
    <cellStyle name="Percent 2 2 3 3 6" xfId="1834" xr:uid="{00000000-0005-0000-0000-000071140000}"/>
    <cellStyle name="Percent 2 2 3 3 6 2" xfId="5913" xr:uid="{00000000-0005-0000-0000-000072140000}"/>
    <cellStyle name="Percent 2 2 3 3 6 2 2" xfId="12090" xr:uid="{0C514339-5AF5-4630-B8C7-F1B8B88944C3}"/>
    <cellStyle name="Percent 2 2 3 3 6 3" xfId="8011" xr:uid="{83E25E24-1D23-4340-AF75-01597CC8006C}"/>
    <cellStyle name="Percent 2 2 3 3 7" xfId="3598" xr:uid="{00000000-0005-0000-0000-000073140000}"/>
    <cellStyle name="Percent 2 2 3 3 7 2" xfId="9775" xr:uid="{5F3E3EB8-2BDF-47A9-AE0D-A991B1F9F4D7}"/>
    <cellStyle name="Percent 2 2 3 3 8" xfId="951" xr:uid="{00000000-0005-0000-0000-000074140000}"/>
    <cellStyle name="Percent 2 2 3 3 8 2" xfId="7128" xr:uid="{084C12BD-042B-4C74-B1F0-4A84124F63F3}"/>
    <cellStyle name="Percent 2 2 3 3 9" xfId="6245" xr:uid="{28B5864E-C197-4EA4-9CD7-49F7B80EAAE3}"/>
    <cellStyle name="Percent 2 2 3 4" xfId="84" xr:uid="{00000000-0005-0000-0000-000075140000}"/>
    <cellStyle name="Percent 2 2 3 4 2" xfId="194" xr:uid="{00000000-0005-0000-0000-000076140000}"/>
    <cellStyle name="Percent 2 2 3 4 2 2" xfId="414" xr:uid="{00000000-0005-0000-0000-000077140000}"/>
    <cellStyle name="Percent 2 2 3 4 2 2 2" xfId="855" xr:uid="{00000000-0005-0000-0000-000078140000}"/>
    <cellStyle name="Percent 2 2 3 4 2 2 2 2" xfId="3503" xr:uid="{00000000-0005-0000-0000-000079140000}"/>
    <cellStyle name="Percent 2 2 3 4 2 2 2 2 2" xfId="5914" xr:uid="{00000000-0005-0000-0000-00007A140000}"/>
    <cellStyle name="Percent 2 2 3 4 2 2 2 2 2 2" xfId="12091" xr:uid="{6F163529-BFA1-47AD-9F22-6C3C18ACA3A9}"/>
    <cellStyle name="Percent 2 2 3 4 2 2 2 2 3" xfId="9680" xr:uid="{87765FBD-6414-438F-8652-CF2CAC19B907}"/>
    <cellStyle name="Percent 2 2 3 4 2 2 2 3" xfId="2621" xr:uid="{00000000-0005-0000-0000-00007B140000}"/>
    <cellStyle name="Percent 2 2 3 4 2 2 2 3 2" xfId="5915" xr:uid="{00000000-0005-0000-0000-00007C140000}"/>
    <cellStyle name="Percent 2 2 3 4 2 2 2 3 2 2" xfId="12092" xr:uid="{E9BB82C2-1D83-4EF0-8AE7-8C25B7454528}"/>
    <cellStyle name="Percent 2 2 3 4 2 2 2 3 3" xfId="8798" xr:uid="{98C78876-93B4-4B26-BE49-92472B43C4DB}"/>
    <cellStyle name="Percent 2 2 3 4 2 2 2 4" xfId="4385" xr:uid="{00000000-0005-0000-0000-00007D140000}"/>
    <cellStyle name="Percent 2 2 3 4 2 2 2 4 2" xfId="10562" xr:uid="{A5662952-49F6-4D45-9C87-4B6AA5709C32}"/>
    <cellStyle name="Percent 2 2 3 4 2 2 2 5" xfId="1738" xr:uid="{00000000-0005-0000-0000-00007E140000}"/>
    <cellStyle name="Percent 2 2 3 4 2 2 2 5 2" xfId="7915" xr:uid="{AC759D51-FDF3-4E6A-8FBD-FA5A2EB52BEF}"/>
    <cellStyle name="Percent 2 2 3 4 2 2 2 6" xfId="7032" xr:uid="{B898D089-D720-44AD-AD73-E8B51B8C24E8}"/>
    <cellStyle name="Percent 2 2 3 4 2 2 3" xfId="3062" xr:uid="{00000000-0005-0000-0000-00007F140000}"/>
    <cellStyle name="Percent 2 2 3 4 2 2 3 2" xfId="5916" xr:uid="{00000000-0005-0000-0000-000080140000}"/>
    <cellStyle name="Percent 2 2 3 4 2 2 3 2 2" xfId="12093" xr:uid="{B2F3EB4B-6EFD-402C-9D4E-5AC49A450095}"/>
    <cellStyle name="Percent 2 2 3 4 2 2 3 3" xfId="9239" xr:uid="{0C4921E0-4963-420D-862A-A53AA6B3F69B}"/>
    <cellStyle name="Percent 2 2 3 4 2 2 4" xfId="2180" xr:uid="{00000000-0005-0000-0000-000081140000}"/>
    <cellStyle name="Percent 2 2 3 4 2 2 4 2" xfId="5917" xr:uid="{00000000-0005-0000-0000-000082140000}"/>
    <cellStyle name="Percent 2 2 3 4 2 2 4 2 2" xfId="12094" xr:uid="{158C0091-0BDA-47CC-9CEA-99F0BD59B514}"/>
    <cellStyle name="Percent 2 2 3 4 2 2 4 3" xfId="8357" xr:uid="{6ACAE9FB-3C2B-455E-A30A-2EA5D38330EF}"/>
    <cellStyle name="Percent 2 2 3 4 2 2 5" xfId="3944" xr:uid="{00000000-0005-0000-0000-000083140000}"/>
    <cellStyle name="Percent 2 2 3 4 2 2 5 2" xfId="10121" xr:uid="{CE9DC344-D12C-4B02-8B64-A2E0794D926B}"/>
    <cellStyle name="Percent 2 2 3 4 2 2 6" xfId="1297" xr:uid="{00000000-0005-0000-0000-000084140000}"/>
    <cellStyle name="Percent 2 2 3 4 2 2 6 2" xfId="7474" xr:uid="{59DFC020-471A-4E13-A0B3-1856C6D2DEB3}"/>
    <cellStyle name="Percent 2 2 3 4 2 2 7" xfId="6591" xr:uid="{6DFB660C-02A5-436B-AC26-03B1E94CB494}"/>
    <cellStyle name="Percent 2 2 3 4 2 3" xfId="635" xr:uid="{00000000-0005-0000-0000-000085140000}"/>
    <cellStyle name="Percent 2 2 3 4 2 3 2" xfId="3283" xr:uid="{00000000-0005-0000-0000-000086140000}"/>
    <cellStyle name="Percent 2 2 3 4 2 3 2 2" xfId="5918" xr:uid="{00000000-0005-0000-0000-000087140000}"/>
    <cellStyle name="Percent 2 2 3 4 2 3 2 2 2" xfId="12095" xr:uid="{136155EF-3B70-443C-84E9-D917FFF8C4F5}"/>
    <cellStyle name="Percent 2 2 3 4 2 3 2 3" xfId="9460" xr:uid="{E071B001-08A2-4487-8D5A-A6795BB43ED5}"/>
    <cellStyle name="Percent 2 2 3 4 2 3 3" xfId="2401" xr:uid="{00000000-0005-0000-0000-000088140000}"/>
    <cellStyle name="Percent 2 2 3 4 2 3 3 2" xfId="5919" xr:uid="{00000000-0005-0000-0000-000089140000}"/>
    <cellStyle name="Percent 2 2 3 4 2 3 3 2 2" xfId="12096" xr:uid="{220667EF-1A20-4F96-B4C8-515FE4F6035E}"/>
    <cellStyle name="Percent 2 2 3 4 2 3 3 3" xfId="8578" xr:uid="{91B523B7-B696-4399-97BB-FAFA14E46685}"/>
    <cellStyle name="Percent 2 2 3 4 2 3 4" xfId="4165" xr:uid="{00000000-0005-0000-0000-00008A140000}"/>
    <cellStyle name="Percent 2 2 3 4 2 3 4 2" xfId="10342" xr:uid="{E918B338-7C1D-47AB-BA33-655BAFB1965C}"/>
    <cellStyle name="Percent 2 2 3 4 2 3 5" xfId="1518" xr:uid="{00000000-0005-0000-0000-00008B140000}"/>
    <cellStyle name="Percent 2 2 3 4 2 3 5 2" xfId="7695" xr:uid="{48D4B195-06F9-4E57-8D87-9A42CA1DA4DF}"/>
    <cellStyle name="Percent 2 2 3 4 2 3 6" xfId="6812" xr:uid="{188DA0FE-C564-40DD-866E-63B54269740D}"/>
    <cellStyle name="Percent 2 2 3 4 2 4" xfId="2842" xr:uid="{00000000-0005-0000-0000-00008C140000}"/>
    <cellStyle name="Percent 2 2 3 4 2 4 2" xfId="5920" xr:uid="{00000000-0005-0000-0000-00008D140000}"/>
    <cellStyle name="Percent 2 2 3 4 2 4 2 2" xfId="12097" xr:uid="{FB02369E-4CEB-4789-9A3D-CB95950A55A4}"/>
    <cellStyle name="Percent 2 2 3 4 2 4 3" xfId="9019" xr:uid="{615574A7-57B1-4625-B86F-592A8B09708C}"/>
    <cellStyle name="Percent 2 2 3 4 2 5" xfId="1960" xr:uid="{00000000-0005-0000-0000-00008E140000}"/>
    <cellStyle name="Percent 2 2 3 4 2 5 2" xfId="5921" xr:uid="{00000000-0005-0000-0000-00008F140000}"/>
    <cellStyle name="Percent 2 2 3 4 2 5 2 2" xfId="12098" xr:uid="{0EADD8DC-1901-4970-AEC6-E02C6EEB44F8}"/>
    <cellStyle name="Percent 2 2 3 4 2 5 3" xfId="8137" xr:uid="{522F23CD-5F72-4AC1-99F9-C29198B2EC47}"/>
    <cellStyle name="Percent 2 2 3 4 2 6" xfId="3724" xr:uid="{00000000-0005-0000-0000-000090140000}"/>
    <cellStyle name="Percent 2 2 3 4 2 6 2" xfId="9901" xr:uid="{EE7A58B0-7D0B-466C-9822-9DF5DA52208F}"/>
    <cellStyle name="Percent 2 2 3 4 2 7" xfId="1077" xr:uid="{00000000-0005-0000-0000-000091140000}"/>
    <cellStyle name="Percent 2 2 3 4 2 7 2" xfId="7254" xr:uid="{78EFD833-41CB-4A81-8AC4-A36AACD2A4EB}"/>
    <cellStyle name="Percent 2 2 3 4 2 8" xfId="6371" xr:uid="{43769C2D-FAC3-4A8C-890C-3D1BC93E9C50}"/>
    <cellStyle name="Percent 2 2 3 4 3" xfId="304" xr:uid="{00000000-0005-0000-0000-000092140000}"/>
    <cellStyle name="Percent 2 2 3 4 3 2" xfId="745" xr:uid="{00000000-0005-0000-0000-000093140000}"/>
    <cellStyle name="Percent 2 2 3 4 3 2 2" xfId="3393" xr:uid="{00000000-0005-0000-0000-000094140000}"/>
    <cellStyle name="Percent 2 2 3 4 3 2 2 2" xfId="5922" xr:uid="{00000000-0005-0000-0000-000095140000}"/>
    <cellStyle name="Percent 2 2 3 4 3 2 2 2 2" xfId="12099" xr:uid="{1CA20BFE-D09C-4F9F-8EEE-F8FA74E00F64}"/>
    <cellStyle name="Percent 2 2 3 4 3 2 2 3" xfId="9570" xr:uid="{43780E5D-91E4-4B81-AD8E-4F5B1CFFFA64}"/>
    <cellStyle name="Percent 2 2 3 4 3 2 3" xfId="2511" xr:uid="{00000000-0005-0000-0000-000096140000}"/>
    <cellStyle name="Percent 2 2 3 4 3 2 3 2" xfId="5923" xr:uid="{00000000-0005-0000-0000-000097140000}"/>
    <cellStyle name="Percent 2 2 3 4 3 2 3 2 2" xfId="12100" xr:uid="{57FBB3D5-9351-41FE-9A11-C543381AE7ED}"/>
    <cellStyle name="Percent 2 2 3 4 3 2 3 3" xfId="8688" xr:uid="{8F74E946-B41C-4747-8F15-27502C827995}"/>
    <cellStyle name="Percent 2 2 3 4 3 2 4" xfId="4275" xr:uid="{00000000-0005-0000-0000-000098140000}"/>
    <cellStyle name="Percent 2 2 3 4 3 2 4 2" xfId="10452" xr:uid="{9EB4174D-1047-4072-A342-99828841D26B}"/>
    <cellStyle name="Percent 2 2 3 4 3 2 5" xfId="1628" xr:uid="{00000000-0005-0000-0000-000099140000}"/>
    <cellStyle name="Percent 2 2 3 4 3 2 5 2" xfId="7805" xr:uid="{CD6B34E8-0A1E-492B-A18D-F4FCFBC9FF1F}"/>
    <cellStyle name="Percent 2 2 3 4 3 2 6" xfId="6922" xr:uid="{C8EB3075-9550-4B1A-81D1-CBDEBEF4503D}"/>
    <cellStyle name="Percent 2 2 3 4 3 3" xfId="2952" xr:uid="{00000000-0005-0000-0000-00009A140000}"/>
    <cellStyle name="Percent 2 2 3 4 3 3 2" xfId="5924" xr:uid="{00000000-0005-0000-0000-00009B140000}"/>
    <cellStyle name="Percent 2 2 3 4 3 3 2 2" xfId="12101" xr:uid="{0D372E4F-08FD-4A21-A594-5F32BB925C5F}"/>
    <cellStyle name="Percent 2 2 3 4 3 3 3" xfId="9129" xr:uid="{3C43760D-F4AB-4579-A47E-A69C31767378}"/>
    <cellStyle name="Percent 2 2 3 4 3 4" xfId="2070" xr:uid="{00000000-0005-0000-0000-00009C140000}"/>
    <cellStyle name="Percent 2 2 3 4 3 4 2" xfId="5925" xr:uid="{00000000-0005-0000-0000-00009D140000}"/>
    <cellStyle name="Percent 2 2 3 4 3 4 2 2" xfId="12102" xr:uid="{18AEC099-C3BC-46B6-B879-DD0CA71052AE}"/>
    <cellStyle name="Percent 2 2 3 4 3 4 3" xfId="8247" xr:uid="{CD8D7C9F-AE5E-4A1A-B20A-6A008D06588F}"/>
    <cellStyle name="Percent 2 2 3 4 3 5" xfId="3834" xr:uid="{00000000-0005-0000-0000-00009E140000}"/>
    <cellStyle name="Percent 2 2 3 4 3 5 2" xfId="10011" xr:uid="{D2CE907C-0B4F-4B20-BFE6-F0B389B1C819}"/>
    <cellStyle name="Percent 2 2 3 4 3 6" xfId="1187" xr:uid="{00000000-0005-0000-0000-00009F140000}"/>
    <cellStyle name="Percent 2 2 3 4 3 6 2" xfId="7364" xr:uid="{7D8A9CFA-A32A-45EE-987E-D57D8D8E84F6}"/>
    <cellStyle name="Percent 2 2 3 4 3 7" xfId="6481" xr:uid="{10B448B8-8B9C-442C-9752-7D8AE5CDB283}"/>
    <cellStyle name="Percent 2 2 3 4 4" xfId="525" xr:uid="{00000000-0005-0000-0000-0000A0140000}"/>
    <cellStyle name="Percent 2 2 3 4 4 2" xfId="3173" xr:uid="{00000000-0005-0000-0000-0000A1140000}"/>
    <cellStyle name="Percent 2 2 3 4 4 2 2" xfId="5926" xr:uid="{00000000-0005-0000-0000-0000A2140000}"/>
    <cellStyle name="Percent 2 2 3 4 4 2 2 2" xfId="12103" xr:uid="{74F20D17-351C-47D0-9C65-6C5B2FEE5191}"/>
    <cellStyle name="Percent 2 2 3 4 4 2 3" xfId="9350" xr:uid="{B8B77A81-CA06-4574-9EB7-1A454567DB60}"/>
    <cellStyle name="Percent 2 2 3 4 4 3" xfId="2291" xr:uid="{00000000-0005-0000-0000-0000A3140000}"/>
    <cellStyle name="Percent 2 2 3 4 4 3 2" xfId="5927" xr:uid="{00000000-0005-0000-0000-0000A4140000}"/>
    <cellStyle name="Percent 2 2 3 4 4 3 2 2" xfId="12104" xr:uid="{D50A075B-9ADF-4A2F-8DE6-7530374DDC53}"/>
    <cellStyle name="Percent 2 2 3 4 4 3 3" xfId="8468" xr:uid="{EA16E233-E4F5-41C0-BCC1-3151A5122DE2}"/>
    <cellStyle name="Percent 2 2 3 4 4 4" xfId="4055" xr:uid="{00000000-0005-0000-0000-0000A5140000}"/>
    <cellStyle name="Percent 2 2 3 4 4 4 2" xfId="10232" xr:uid="{E79F963F-D9FA-4F3A-B061-209A7E11200F}"/>
    <cellStyle name="Percent 2 2 3 4 4 5" xfId="1408" xr:uid="{00000000-0005-0000-0000-0000A6140000}"/>
    <cellStyle name="Percent 2 2 3 4 4 5 2" xfId="7585" xr:uid="{B9F78B32-39CF-443E-8054-5D89EB533F09}"/>
    <cellStyle name="Percent 2 2 3 4 4 6" xfId="6702" xr:uid="{E548965D-CDCB-42DE-B112-D363AD5BE4B7}"/>
    <cellStyle name="Percent 2 2 3 4 5" xfId="2732" xr:uid="{00000000-0005-0000-0000-0000A7140000}"/>
    <cellStyle name="Percent 2 2 3 4 5 2" xfId="5928" xr:uid="{00000000-0005-0000-0000-0000A8140000}"/>
    <cellStyle name="Percent 2 2 3 4 5 2 2" xfId="12105" xr:uid="{DB54810D-849C-424E-B233-BD5F19D23B30}"/>
    <cellStyle name="Percent 2 2 3 4 5 3" xfId="8909" xr:uid="{5503F391-F7B6-44AF-9F7D-F22D0946FE34}"/>
    <cellStyle name="Percent 2 2 3 4 6" xfId="1850" xr:uid="{00000000-0005-0000-0000-0000A9140000}"/>
    <cellStyle name="Percent 2 2 3 4 6 2" xfId="5929" xr:uid="{00000000-0005-0000-0000-0000AA140000}"/>
    <cellStyle name="Percent 2 2 3 4 6 2 2" xfId="12106" xr:uid="{8356F6D6-5B8F-41AA-93C2-FE01CF086086}"/>
    <cellStyle name="Percent 2 2 3 4 6 3" xfId="8027" xr:uid="{0918825D-6F88-4B49-BFCA-14F3C67B3269}"/>
    <cellStyle name="Percent 2 2 3 4 7" xfId="3614" xr:uid="{00000000-0005-0000-0000-0000AB140000}"/>
    <cellStyle name="Percent 2 2 3 4 7 2" xfId="9791" xr:uid="{1D7C5D6B-F6A9-41D6-96D3-679BC1994928}"/>
    <cellStyle name="Percent 2 2 3 4 8" xfId="967" xr:uid="{00000000-0005-0000-0000-0000AC140000}"/>
    <cellStyle name="Percent 2 2 3 4 8 2" xfId="7144" xr:uid="{781D3481-6590-493E-8F41-7392BCA23A04}"/>
    <cellStyle name="Percent 2 2 3 4 9" xfId="6261" xr:uid="{7D0C0C9E-7160-41FB-940C-814DB29B7B0F}"/>
    <cellStyle name="Percent 2 2 3 5" xfId="128" xr:uid="{00000000-0005-0000-0000-0000AD140000}"/>
    <cellStyle name="Percent 2 2 3 5 2" xfId="348" xr:uid="{00000000-0005-0000-0000-0000AE140000}"/>
    <cellStyle name="Percent 2 2 3 5 2 2" xfId="789" xr:uid="{00000000-0005-0000-0000-0000AF140000}"/>
    <cellStyle name="Percent 2 2 3 5 2 2 2" xfId="3437" xr:uid="{00000000-0005-0000-0000-0000B0140000}"/>
    <cellStyle name="Percent 2 2 3 5 2 2 2 2" xfId="5930" xr:uid="{00000000-0005-0000-0000-0000B1140000}"/>
    <cellStyle name="Percent 2 2 3 5 2 2 2 2 2" xfId="12107" xr:uid="{7C8AACF0-9F9C-4C61-A997-539AC341170A}"/>
    <cellStyle name="Percent 2 2 3 5 2 2 2 3" xfId="9614" xr:uid="{31CEA273-FFB8-49CE-A63D-B38692EBA34F}"/>
    <cellStyle name="Percent 2 2 3 5 2 2 3" xfId="2555" xr:uid="{00000000-0005-0000-0000-0000B2140000}"/>
    <cellStyle name="Percent 2 2 3 5 2 2 3 2" xfId="5931" xr:uid="{00000000-0005-0000-0000-0000B3140000}"/>
    <cellStyle name="Percent 2 2 3 5 2 2 3 2 2" xfId="12108" xr:uid="{4EFE8679-A713-4161-B301-7C98867CB750}"/>
    <cellStyle name="Percent 2 2 3 5 2 2 3 3" xfId="8732" xr:uid="{8697A623-75DF-46F6-BDF9-10D3619CF7AA}"/>
    <cellStyle name="Percent 2 2 3 5 2 2 4" xfId="4319" xr:uid="{00000000-0005-0000-0000-0000B4140000}"/>
    <cellStyle name="Percent 2 2 3 5 2 2 4 2" xfId="10496" xr:uid="{6F2DA12C-8CD9-4731-9F92-ED54430B812C}"/>
    <cellStyle name="Percent 2 2 3 5 2 2 5" xfId="1672" xr:uid="{00000000-0005-0000-0000-0000B5140000}"/>
    <cellStyle name="Percent 2 2 3 5 2 2 5 2" xfId="7849" xr:uid="{E92D2D1F-07F4-4225-AA5C-A75D7807F831}"/>
    <cellStyle name="Percent 2 2 3 5 2 2 6" xfId="6966" xr:uid="{06468044-CD51-420F-9BA9-221316C3D093}"/>
    <cellStyle name="Percent 2 2 3 5 2 3" xfId="2996" xr:uid="{00000000-0005-0000-0000-0000B6140000}"/>
    <cellStyle name="Percent 2 2 3 5 2 3 2" xfId="5932" xr:uid="{00000000-0005-0000-0000-0000B7140000}"/>
    <cellStyle name="Percent 2 2 3 5 2 3 2 2" xfId="12109" xr:uid="{0B7735C1-C7C9-4CA1-BB89-66863EDBAC3C}"/>
    <cellStyle name="Percent 2 2 3 5 2 3 3" xfId="9173" xr:uid="{BBEC3FF7-B376-414A-9C87-C01283F9D1E8}"/>
    <cellStyle name="Percent 2 2 3 5 2 4" xfId="2114" xr:uid="{00000000-0005-0000-0000-0000B8140000}"/>
    <cellStyle name="Percent 2 2 3 5 2 4 2" xfId="5933" xr:uid="{00000000-0005-0000-0000-0000B9140000}"/>
    <cellStyle name="Percent 2 2 3 5 2 4 2 2" xfId="12110" xr:uid="{BD59F50A-AF8B-4B3E-8068-773B0F9243CF}"/>
    <cellStyle name="Percent 2 2 3 5 2 4 3" xfId="8291" xr:uid="{CBACB5F4-E24D-43F9-9C28-0565935F12A7}"/>
    <cellStyle name="Percent 2 2 3 5 2 5" xfId="3878" xr:uid="{00000000-0005-0000-0000-0000BA140000}"/>
    <cellStyle name="Percent 2 2 3 5 2 5 2" xfId="10055" xr:uid="{524E1F9A-E39B-4159-AAC0-EC3AABE19777}"/>
    <cellStyle name="Percent 2 2 3 5 2 6" xfId="1231" xr:uid="{00000000-0005-0000-0000-0000BB140000}"/>
    <cellStyle name="Percent 2 2 3 5 2 6 2" xfId="7408" xr:uid="{4FC22C82-6ABA-4504-827B-FB055853789C}"/>
    <cellStyle name="Percent 2 2 3 5 2 7" xfId="6525" xr:uid="{3A63CB1D-B0C9-46D5-9AA1-90E9A64ABF83}"/>
    <cellStyle name="Percent 2 2 3 5 3" xfId="569" xr:uid="{00000000-0005-0000-0000-0000BC140000}"/>
    <cellStyle name="Percent 2 2 3 5 3 2" xfId="3217" xr:uid="{00000000-0005-0000-0000-0000BD140000}"/>
    <cellStyle name="Percent 2 2 3 5 3 2 2" xfId="5934" xr:uid="{00000000-0005-0000-0000-0000BE140000}"/>
    <cellStyle name="Percent 2 2 3 5 3 2 2 2" xfId="12111" xr:uid="{8B80AD6A-8132-49EF-A756-A4D595404844}"/>
    <cellStyle name="Percent 2 2 3 5 3 2 3" xfId="9394" xr:uid="{01E05116-841C-416F-980F-A0AF0BD10020}"/>
    <cellStyle name="Percent 2 2 3 5 3 3" xfId="2335" xr:uid="{00000000-0005-0000-0000-0000BF140000}"/>
    <cellStyle name="Percent 2 2 3 5 3 3 2" xfId="5935" xr:uid="{00000000-0005-0000-0000-0000C0140000}"/>
    <cellStyle name="Percent 2 2 3 5 3 3 2 2" xfId="12112" xr:uid="{358AEBB3-F6DE-44C2-8FFE-A4891EC457F5}"/>
    <cellStyle name="Percent 2 2 3 5 3 3 3" xfId="8512" xr:uid="{56BE2827-2F56-4D9D-BE91-3937475B2A76}"/>
    <cellStyle name="Percent 2 2 3 5 3 4" xfId="4099" xr:uid="{00000000-0005-0000-0000-0000C1140000}"/>
    <cellStyle name="Percent 2 2 3 5 3 4 2" xfId="10276" xr:uid="{2F7061C7-E0BE-4F70-BCD3-31E11748C989}"/>
    <cellStyle name="Percent 2 2 3 5 3 5" xfId="1452" xr:uid="{00000000-0005-0000-0000-0000C2140000}"/>
    <cellStyle name="Percent 2 2 3 5 3 5 2" xfId="7629" xr:uid="{A967B324-2D0D-47B7-8DEB-54C066EF8C1C}"/>
    <cellStyle name="Percent 2 2 3 5 3 6" xfId="6746" xr:uid="{766464B8-870D-4ED1-B959-749E8FB7B90C}"/>
    <cellStyle name="Percent 2 2 3 5 4" xfId="2776" xr:uid="{00000000-0005-0000-0000-0000C3140000}"/>
    <cellStyle name="Percent 2 2 3 5 4 2" xfId="5936" xr:uid="{00000000-0005-0000-0000-0000C4140000}"/>
    <cellStyle name="Percent 2 2 3 5 4 2 2" xfId="12113" xr:uid="{42F02CD6-3297-4F9F-9DC6-7FB29D07AC49}"/>
    <cellStyle name="Percent 2 2 3 5 4 3" xfId="8953" xr:uid="{D85A52A6-22E1-4D95-8547-4D84CCF66ED9}"/>
    <cellStyle name="Percent 2 2 3 5 5" xfId="1894" xr:uid="{00000000-0005-0000-0000-0000C5140000}"/>
    <cellStyle name="Percent 2 2 3 5 5 2" xfId="5937" xr:uid="{00000000-0005-0000-0000-0000C6140000}"/>
    <cellStyle name="Percent 2 2 3 5 5 2 2" xfId="12114" xr:uid="{817A689B-08A2-47FF-B34F-39693E466DCF}"/>
    <cellStyle name="Percent 2 2 3 5 5 3" xfId="8071" xr:uid="{0AC87165-171B-46CC-93BF-C47C8574B281}"/>
    <cellStyle name="Percent 2 2 3 5 6" xfId="3658" xr:uid="{00000000-0005-0000-0000-0000C7140000}"/>
    <cellStyle name="Percent 2 2 3 5 6 2" xfId="9835" xr:uid="{E4AE6C24-F82D-433F-B09D-BF75251E1A5B}"/>
    <cellStyle name="Percent 2 2 3 5 7" xfId="1011" xr:uid="{00000000-0005-0000-0000-0000C8140000}"/>
    <cellStyle name="Percent 2 2 3 5 7 2" xfId="7188" xr:uid="{9662F433-AB1A-4D32-94B2-2529069464FC}"/>
    <cellStyle name="Percent 2 2 3 5 8" xfId="6305" xr:uid="{C7E0130B-4A50-4380-9A51-4E4C22DAD9C4}"/>
    <cellStyle name="Percent 2 2 3 6" xfId="238" xr:uid="{00000000-0005-0000-0000-0000C9140000}"/>
    <cellStyle name="Percent 2 2 3 6 2" xfId="679" xr:uid="{00000000-0005-0000-0000-0000CA140000}"/>
    <cellStyle name="Percent 2 2 3 6 2 2" xfId="3327" xr:uid="{00000000-0005-0000-0000-0000CB140000}"/>
    <cellStyle name="Percent 2 2 3 6 2 2 2" xfId="5938" xr:uid="{00000000-0005-0000-0000-0000CC140000}"/>
    <cellStyle name="Percent 2 2 3 6 2 2 2 2" xfId="12115" xr:uid="{4DCADD92-1544-4E62-A352-A128456E0A7C}"/>
    <cellStyle name="Percent 2 2 3 6 2 2 3" xfId="9504" xr:uid="{0DBA5BF9-D709-4FD1-BDEF-BF2EEEFF29EA}"/>
    <cellStyle name="Percent 2 2 3 6 2 3" xfId="2445" xr:uid="{00000000-0005-0000-0000-0000CD140000}"/>
    <cellStyle name="Percent 2 2 3 6 2 3 2" xfId="5939" xr:uid="{00000000-0005-0000-0000-0000CE140000}"/>
    <cellStyle name="Percent 2 2 3 6 2 3 2 2" xfId="12116" xr:uid="{AB38A425-4FB5-4A2D-82EC-33A8F98A56BC}"/>
    <cellStyle name="Percent 2 2 3 6 2 3 3" xfId="8622" xr:uid="{83623D89-BF4A-48AE-800A-46D47062E0C9}"/>
    <cellStyle name="Percent 2 2 3 6 2 4" xfId="4209" xr:uid="{00000000-0005-0000-0000-0000CF140000}"/>
    <cellStyle name="Percent 2 2 3 6 2 4 2" xfId="10386" xr:uid="{C6AD0967-AED6-444B-9684-000F5DF29DAC}"/>
    <cellStyle name="Percent 2 2 3 6 2 5" xfId="1562" xr:uid="{00000000-0005-0000-0000-0000D0140000}"/>
    <cellStyle name="Percent 2 2 3 6 2 5 2" xfId="7739" xr:uid="{87106ED4-C94B-4F5C-9EC0-7032867F6B49}"/>
    <cellStyle name="Percent 2 2 3 6 2 6" xfId="6856" xr:uid="{44E18290-0E8C-4508-AEC2-3D45B1619801}"/>
    <cellStyle name="Percent 2 2 3 6 3" xfId="2886" xr:uid="{00000000-0005-0000-0000-0000D1140000}"/>
    <cellStyle name="Percent 2 2 3 6 3 2" xfId="5940" xr:uid="{00000000-0005-0000-0000-0000D2140000}"/>
    <cellStyle name="Percent 2 2 3 6 3 2 2" xfId="12117" xr:uid="{CEB31AE5-93A9-4890-87C1-87DF5E935E0B}"/>
    <cellStyle name="Percent 2 2 3 6 3 3" xfId="9063" xr:uid="{6330187E-EDC1-4AA0-B8D1-F6313427E5EA}"/>
    <cellStyle name="Percent 2 2 3 6 4" xfId="2004" xr:uid="{00000000-0005-0000-0000-0000D3140000}"/>
    <cellStyle name="Percent 2 2 3 6 4 2" xfId="5941" xr:uid="{00000000-0005-0000-0000-0000D4140000}"/>
    <cellStyle name="Percent 2 2 3 6 4 2 2" xfId="12118" xr:uid="{BD0DAB41-32B3-4CB9-8FFE-04381B39BBC6}"/>
    <cellStyle name="Percent 2 2 3 6 4 3" xfId="8181" xr:uid="{FC4AC061-7DE8-4887-A21D-8CE334D72CDC}"/>
    <cellStyle name="Percent 2 2 3 6 5" xfId="3768" xr:uid="{00000000-0005-0000-0000-0000D5140000}"/>
    <cellStyle name="Percent 2 2 3 6 5 2" xfId="9945" xr:uid="{2F7D1481-5632-489A-B526-C0F35FD8013D}"/>
    <cellStyle name="Percent 2 2 3 6 6" xfId="1121" xr:uid="{00000000-0005-0000-0000-0000D6140000}"/>
    <cellStyle name="Percent 2 2 3 6 6 2" xfId="7298" xr:uid="{58ADF128-47FA-40A8-A705-E133FC231519}"/>
    <cellStyle name="Percent 2 2 3 6 7" xfId="6415" xr:uid="{466DCEAE-D616-40DA-9193-8E4BB791DF40}"/>
    <cellStyle name="Percent 2 2 3 7" xfId="459" xr:uid="{00000000-0005-0000-0000-0000D7140000}"/>
    <cellStyle name="Percent 2 2 3 7 2" xfId="3107" xr:uid="{00000000-0005-0000-0000-0000D8140000}"/>
    <cellStyle name="Percent 2 2 3 7 2 2" xfId="5942" xr:uid="{00000000-0005-0000-0000-0000D9140000}"/>
    <cellStyle name="Percent 2 2 3 7 2 2 2" xfId="12119" xr:uid="{41D98829-2EB2-428D-A499-DB1E40FC557A}"/>
    <cellStyle name="Percent 2 2 3 7 2 3" xfId="9284" xr:uid="{FC6FF035-1053-440F-890B-8040D74D9BFE}"/>
    <cellStyle name="Percent 2 2 3 7 3" xfId="2225" xr:uid="{00000000-0005-0000-0000-0000DA140000}"/>
    <cellStyle name="Percent 2 2 3 7 3 2" xfId="5943" xr:uid="{00000000-0005-0000-0000-0000DB140000}"/>
    <cellStyle name="Percent 2 2 3 7 3 2 2" xfId="12120" xr:uid="{0C38F387-BAA5-45C9-8A42-1FD142116594}"/>
    <cellStyle name="Percent 2 2 3 7 3 3" xfId="8402" xr:uid="{ABC3CD35-993C-4407-AA0D-D8759582666A}"/>
    <cellStyle name="Percent 2 2 3 7 4" xfId="3989" xr:uid="{00000000-0005-0000-0000-0000DC140000}"/>
    <cellStyle name="Percent 2 2 3 7 4 2" xfId="10166" xr:uid="{DF7BF194-B722-42FF-8CCA-E215952698C2}"/>
    <cellStyle name="Percent 2 2 3 7 5" xfId="1342" xr:uid="{00000000-0005-0000-0000-0000DD140000}"/>
    <cellStyle name="Percent 2 2 3 7 5 2" xfId="7519" xr:uid="{BFC7B476-96F8-4A0C-800A-4710F5933C8C}"/>
    <cellStyle name="Percent 2 2 3 7 6" xfId="6636" xr:uid="{414F805B-0354-424C-90E2-7990AA406C3C}"/>
    <cellStyle name="Percent 2 2 3 8" xfId="2666" xr:uid="{00000000-0005-0000-0000-0000DE140000}"/>
    <cellStyle name="Percent 2 2 3 8 2" xfId="5944" xr:uid="{00000000-0005-0000-0000-0000DF140000}"/>
    <cellStyle name="Percent 2 2 3 8 2 2" xfId="12121" xr:uid="{1A1472D9-CB92-4D11-A43A-A03B505CF2E1}"/>
    <cellStyle name="Percent 2 2 3 8 3" xfId="8843" xr:uid="{C4E8DB2D-6980-4B6D-A327-FC4000D5C9D9}"/>
    <cellStyle name="Percent 2 2 3 9" xfId="1784" xr:uid="{00000000-0005-0000-0000-0000E0140000}"/>
    <cellStyle name="Percent 2 2 3 9 2" xfId="5945" xr:uid="{00000000-0005-0000-0000-0000E1140000}"/>
    <cellStyle name="Percent 2 2 3 9 2 2" xfId="12122" xr:uid="{C9F0B629-B9D7-419F-B1C5-8A5D708316E7}"/>
    <cellStyle name="Percent 2 2 3 9 3" xfId="7961" xr:uid="{2BCA656D-B64B-4719-B62E-C31FCDED08D1}"/>
    <cellStyle name="Percent 2 2 4" xfId="21" xr:uid="{00000000-0005-0000-0000-0000E2140000}"/>
    <cellStyle name="Percent 2 2 4 10" xfId="3551" xr:uid="{00000000-0005-0000-0000-0000E3140000}"/>
    <cellStyle name="Percent 2 2 4 10 2" xfId="9728" xr:uid="{26399007-4356-43D7-8E41-433945ACCCD8}"/>
    <cellStyle name="Percent 2 2 4 11" xfId="904" xr:uid="{00000000-0005-0000-0000-0000E4140000}"/>
    <cellStyle name="Percent 2 2 4 11 2" xfId="7081" xr:uid="{EF6A749D-F134-4480-AD7E-4AFDCE40AB1E}"/>
    <cellStyle name="Percent 2 2 4 12" xfId="6198" xr:uid="{8E8A4450-93D7-41D6-9466-B06488B5F86C}"/>
    <cellStyle name="Percent 2 2 4 2" xfId="55" xr:uid="{00000000-0005-0000-0000-0000E5140000}"/>
    <cellStyle name="Percent 2 2 4 2 2" xfId="165" xr:uid="{00000000-0005-0000-0000-0000E6140000}"/>
    <cellStyle name="Percent 2 2 4 2 2 2" xfId="385" xr:uid="{00000000-0005-0000-0000-0000E7140000}"/>
    <cellStyle name="Percent 2 2 4 2 2 2 2" xfId="826" xr:uid="{00000000-0005-0000-0000-0000E8140000}"/>
    <cellStyle name="Percent 2 2 4 2 2 2 2 2" xfId="3474" xr:uid="{00000000-0005-0000-0000-0000E9140000}"/>
    <cellStyle name="Percent 2 2 4 2 2 2 2 2 2" xfId="5946" xr:uid="{00000000-0005-0000-0000-0000EA140000}"/>
    <cellStyle name="Percent 2 2 4 2 2 2 2 2 2 2" xfId="12123" xr:uid="{91067425-E63C-4330-9547-F66B3AD4F1ED}"/>
    <cellStyle name="Percent 2 2 4 2 2 2 2 2 3" xfId="9651" xr:uid="{60F947F3-B5B8-46F1-8AEB-9ECD7D113F64}"/>
    <cellStyle name="Percent 2 2 4 2 2 2 2 3" xfId="2592" xr:uid="{00000000-0005-0000-0000-0000EB140000}"/>
    <cellStyle name="Percent 2 2 4 2 2 2 2 3 2" xfId="5947" xr:uid="{00000000-0005-0000-0000-0000EC140000}"/>
    <cellStyle name="Percent 2 2 4 2 2 2 2 3 2 2" xfId="12124" xr:uid="{9251CB31-C11C-4AD8-8DA1-BF916F3BE3A2}"/>
    <cellStyle name="Percent 2 2 4 2 2 2 2 3 3" xfId="8769" xr:uid="{C156405F-7EB5-4979-86F1-23489B1A39D5}"/>
    <cellStyle name="Percent 2 2 4 2 2 2 2 4" xfId="4356" xr:uid="{00000000-0005-0000-0000-0000ED140000}"/>
    <cellStyle name="Percent 2 2 4 2 2 2 2 4 2" xfId="10533" xr:uid="{4682CC3C-4B0B-484E-9539-374F525702D4}"/>
    <cellStyle name="Percent 2 2 4 2 2 2 2 5" xfId="1709" xr:uid="{00000000-0005-0000-0000-0000EE140000}"/>
    <cellStyle name="Percent 2 2 4 2 2 2 2 5 2" xfId="7886" xr:uid="{8DDD8939-26E1-43FC-BC3A-AC93AEEEA3F8}"/>
    <cellStyle name="Percent 2 2 4 2 2 2 2 6" xfId="7003" xr:uid="{7A032146-C41D-4B84-A0AF-6EF36AA21416}"/>
    <cellStyle name="Percent 2 2 4 2 2 2 3" xfId="3033" xr:uid="{00000000-0005-0000-0000-0000EF140000}"/>
    <cellStyle name="Percent 2 2 4 2 2 2 3 2" xfId="5948" xr:uid="{00000000-0005-0000-0000-0000F0140000}"/>
    <cellStyle name="Percent 2 2 4 2 2 2 3 2 2" xfId="12125" xr:uid="{C6BBD949-867B-4B82-91FC-D05C2B13F77E}"/>
    <cellStyle name="Percent 2 2 4 2 2 2 3 3" xfId="9210" xr:uid="{5B1315E1-8B81-4655-BC88-642EECE459D3}"/>
    <cellStyle name="Percent 2 2 4 2 2 2 4" xfId="2151" xr:uid="{00000000-0005-0000-0000-0000F1140000}"/>
    <cellStyle name="Percent 2 2 4 2 2 2 4 2" xfId="5949" xr:uid="{00000000-0005-0000-0000-0000F2140000}"/>
    <cellStyle name="Percent 2 2 4 2 2 2 4 2 2" xfId="12126" xr:uid="{1726B9B0-6276-4A3D-8F59-40D0E96EE4A4}"/>
    <cellStyle name="Percent 2 2 4 2 2 2 4 3" xfId="8328" xr:uid="{48ECB258-B520-4742-BE17-CD8E7C2DF211}"/>
    <cellStyle name="Percent 2 2 4 2 2 2 5" xfId="3915" xr:uid="{00000000-0005-0000-0000-0000F3140000}"/>
    <cellStyle name="Percent 2 2 4 2 2 2 5 2" xfId="10092" xr:uid="{3D93B726-8F3F-4821-95D7-8DF3D63FDE1F}"/>
    <cellStyle name="Percent 2 2 4 2 2 2 6" xfId="1268" xr:uid="{00000000-0005-0000-0000-0000F4140000}"/>
    <cellStyle name="Percent 2 2 4 2 2 2 6 2" xfId="7445" xr:uid="{66C226D2-7F4E-4DBC-8AF4-6E0D3C586528}"/>
    <cellStyle name="Percent 2 2 4 2 2 2 7" xfId="6562" xr:uid="{9652B0D7-EF04-4FC5-A51B-40C63DED9E92}"/>
    <cellStyle name="Percent 2 2 4 2 2 3" xfId="606" xr:uid="{00000000-0005-0000-0000-0000F5140000}"/>
    <cellStyle name="Percent 2 2 4 2 2 3 2" xfId="3254" xr:uid="{00000000-0005-0000-0000-0000F6140000}"/>
    <cellStyle name="Percent 2 2 4 2 2 3 2 2" xfId="5950" xr:uid="{00000000-0005-0000-0000-0000F7140000}"/>
    <cellStyle name="Percent 2 2 4 2 2 3 2 2 2" xfId="12127" xr:uid="{4AEFE2D4-B5F6-4DBE-A752-3E8B41771E79}"/>
    <cellStyle name="Percent 2 2 4 2 2 3 2 3" xfId="9431" xr:uid="{003CEEF8-17E2-4919-A3C7-AA6415167F21}"/>
    <cellStyle name="Percent 2 2 4 2 2 3 3" xfId="2372" xr:uid="{00000000-0005-0000-0000-0000F8140000}"/>
    <cellStyle name="Percent 2 2 4 2 2 3 3 2" xfId="5951" xr:uid="{00000000-0005-0000-0000-0000F9140000}"/>
    <cellStyle name="Percent 2 2 4 2 2 3 3 2 2" xfId="12128" xr:uid="{285516E0-0516-4FE0-A91A-A121C70AE92E}"/>
    <cellStyle name="Percent 2 2 4 2 2 3 3 3" xfId="8549" xr:uid="{2DCB8686-0442-4A00-98B7-4E7FDEA08DDD}"/>
    <cellStyle name="Percent 2 2 4 2 2 3 4" xfId="4136" xr:uid="{00000000-0005-0000-0000-0000FA140000}"/>
    <cellStyle name="Percent 2 2 4 2 2 3 4 2" xfId="10313" xr:uid="{73254228-B8B1-491B-9EAB-983167BFFE29}"/>
    <cellStyle name="Percent 2 2 4 2 2 3 5" xfId="1489" xr:uid="{00000000-0005-0000-0000-0000FB140000}"/>
    <cellStyle name="Percent 2 2 4 2 2 3 5 2" xfId="7666" xr:uid="{F8FB8290-FA69-4285-8EFA-70DA0B93F767}"/>
    <cellStyle name="Percent 2 2 4 2 2 3 6" xfId="6783" xr:uid="{F29B83B2-FD9C-4AC4-AB1F-8F15BE8EF752}"/>
    <cellStyle name="Percent 2 2 4 2 2 4" xfId="2813" xr:uid="{00000000-0005-0000-0000-0000FC140000}"/>
    <cellStyle name="Percent 2 2 4 2 2 4 2" xfId="5952" xr:uid="{00000000-0005-0000-0000-0000FD140000}"/>
    <cellStyle name="Percent 2 2 4 2 2 4 2 2" xfId="12129" xr:uid="{64359B67-A10F-4E78-9FBA-D22B1F5495D6}"/>
    <cellStyle name="Percent 2 2 4 2 2 4 3" xfId="8990" xr:uid="{A95777F0-2FA4-403C-B27F-82130331A671}"/>
    <cellStyle name="Percent 2 2 4 2 2 5" xfId="1931" xr:uid="{00000000-0005-0000-0000-0000FE140000}"/>
    <cellStyle name="Percent 2 2 4 2 2 5 2" xfId="5953" xr:uid="{00000000-0005-0000-0000-0000FF140000}"/>
    <cellStyle name="Percent 2 2 4 2 2 5 2 2" xfId="12130" xr:uid="{2DFC829E-29E9-419A-AD65-EF665EB22FE7}"/>
    <cellStyle name="Percent 2 2 4 2 2 5 3" xfId="8108" xr:uid="{22365F4F-36BC-4CF1-9CF3-F6BB8AD2E4A2}"/>
    <cellStyle name="Percent 2 2 4 2 2 6" xfId="3695" xr:uid="{00000000-0005-0000-0000-000000150000}"/>
    <cellStyle name="Percent 2 2 4 2 2 6 2" xfId="9872" xr:uid="{28C88657-75D7-4EC0-A0B3-2275893034DA}"/>
    <cellStyle name="Percent 2 2 4 2 2 7" xfId="1048" xr:uid="{00000000-0005-0000-0000-000001150000}"/>
    <cellStyle name="Percent 2 2 4 2 2 7 2" xfId="7225" xr:uid="{39D530E1-1BAA-466E-BA49-5AB862D2B961}"/>
    <cellStyle name="Percent 2 2 4 2 2 8" xfId="6342" xr:uid="{64C1D11B-BAF3-4C3B-BEF0-45A42F5D6068}"/>
    <cellStyle name="Percent 2 2 4 2 3" xfId="275" xr:uid="{00000000-0005-0000-0000-000002150000}"/>
    <cellStyle name="Percent 2 2 4 2 3 2" xfId="716" xr:uid="{00000000-0005-0000-0000-000003150000}"/>
    <cellStyle name="Percent 2 2 4 2 3 2 2" xfId="3364" xr:uid="{00000000-0005-0000-0000-000004150000}"/>
    <cellStyle name="Percent 2 2 4 2 3 2 2 2" xfId="5954" xr:uid="{00000000-0005-0000-0000-000005150000}"/>
    <cellStyle name="Percent 2 2 4 2 3 2 2 2 2" xfId="12131" xr:uid="{0BFE01ED-E003-49F8-A740-FEA0C37B20FF}"/>
    <cellStyle name="Percent 2 2 4 2 3 2 2 3" xfId="9541" xr:uid="{E0418CB0-7943-49E8-840F-3714C173D929}"/>
    <cellStyle name="Percent 2 2 4 2 3 2 3" xfId="2482" xr:uid="{00000000-0005-0000-0000-000006150000}"/>
    <cellStyle name="Percent 2 2 4 2 3 2 3 2" xfId="5955" xr:uid="{00000000-0005-0000-0000-000007150000}"/>
    <cellStyle name="Percent 2 2 4 2 3 2 3 2 2" xfId="12132" xr:uid="{F72468D3-37D0-4031-8C82-4B0361ABDEF3}"/>
    <cellStyle name="Percent 2 2 4 2 3 2 3 3" xfId="8659" xr:uid="{BE5BC7D2-E502-487F-94BF-8383647C682E}"/>
    <cellStyle name="Percent 2 2 4 2 3 2 4" xfId="4246" xr:uid="{00000000-0005-0000-0000-000008150000}"/>
    <cellStyle name="Percent 2 2 4 2 3 2 4 2" xfId="10423" xr:uid="{4736BF81-C85D-4239-B0ED-14EE9AD51C31}"/>
    <cellStyle name="Percent 2 2 4 2 3 2 5" xfId="1599" xr:uid="{00000000-0005-0000-0000-000009150000}"/>
    <cellStyle name="Percent 2 2 4 2 3 2 5 2" xfId="7776" xr:uid="{855F342A-E562-4B30-8AAA-A2244D5AEB3B}"/>
    <cellStyle name="Percent 2 2 4 2 3 2 6" xfId="6893" xr:uid="{8852656F-CDC3-47CF-94DB-D10E03BE1CB1}"/>
    <cellStyle name="Percent 2 2 4 2 3 3" xfId="2923" xr:uid="{00000000-0005-0000-0000-00000A150000}"/>
    <cellStyle name="Percent 2 2 4 2 3 3 2" xfId="5956" xr:uid="{00000000-0005-0000-0000-00000B150000}"/>
    <cellStyle name="Percent 2 2 4 2 3 3 2 2" xfId="12133" xr:uid="{A08F22AF-CE5F-434D-8D54-F479B7357C88}"/>
    <cellStyle name="Percent 2 2 4 2 3 3 3" xfId="9100" xr:uid="{91579B36-FD49-4576-9E1B-9AA0EF162790}"/>
    <cellStyle name="Percent 2 2 4 2 3 4" xfId="2041" xr:uid="{00000000-0005-0000-0000-00000C150000}"/>
    <cellStyle name="Percent 2 2 4 2 3 4 2" xfId="5957" xr:uid="{00000000-0005-0000-0000-00000D150000}"/>
    <cellStyle name="Percent 2 2 4 2 3 4 2 2" xfId="12134" xr:uid="{D96F470A-103F-4458-9C96-6A94D2B944BC}"/>
    <cellStyle name="Percent 2 2 4 2 3 4 3" xfId="8218" xr:uid="{1613C1A9-E49C-4720-8176-E280CFD836BF}"/>
    <cellStyle name="Percent 2 2 4 2 3 5" xfId="3805" xr:uid="{00000000-0005-0000-0000-00000E150000}"/>
    <cellStyle name="Percent 2 2 4 2 3 5 2" xfId="9982" xr:uid="{C25BDD8E-2AD5-4F05-A6B7-E2A288FE16B3}"/>
    <cellStyle name="Percent 2 2 4 2 3 6" xfId="1158" xr:uid="{00000000-0005-0000-0000-00000F150000}"/>
    <cellStyle name="Percent 2 2 4 2 3 6 2" xfId="7335" xr:uid="{BD195A3F-C2B5-4570-A25E-09DF978DA780}"/>
    <cellStyle name="Percent 2 2 4 2 3 7" xfId="6452" xr:uid="{60A1F951-EF78-4C2A-A59F-C7E9017CB6CF}"/>
    <cellStyle name="Percent 2 2 4 2 4" xfId="496" xr:uid="{00000000-0005-0000-0000-000010150000}"/>
    <cellStyle name="Percent 2 2 4 2 4 2" xfId="3144" xr:uid="{00000000-0005-0000-0000-000011150000}"/>
    <cellStyle name="Percent 2 2 4 2 4 2 2" xfId="5958" xr:uid="{00000000-0005-0000-0000-000012150000}"/>
    <cellStyle name="Percent 2 2 4 2 4 2 2 2" xfId="12135" xr:uid="{1C399EA7-112F-4EA2-B599-F3AD33AD8765}"/>
    <cellStyle name="Percent 2 2 4 2 4 2 3" xfId="9321" xr:uid="{3BEF8C66-2FB4-45FC-A569-F20D967247E1}"/>
    <cellStyle name="Percent 2 2 4 2 4 3" xfId="2262" xr:uid="{00000000-0005-0000-0000-000013150000}"/>
    <cellStyle name="Percent 2 2 4 2 4 3 2" xfId="5959" xr:uid="{00000000-0005-0000-0000-000014150000}"/>
    <cellStyle name="Percent 2 2 4 2 4 3 2 2" xfId="12136" xr:uid="{CFBA230B-AB4C-4621-A309-16614FD665EF}"/>
    <cellStyle name="Percent 2 2 4 2 4 3 3" xfId="8439" xr:uid="{A61274C1-BDD2-4588-B01A-2398128ED5F4}"/>
    <cellStyle name="Percent 2 2 4 2 4 4" xfId="4026" xr:uid="{00000000-0005-0000-0000-000015150000}"/>
    <cellStyle name="Percent 2 2 4 2 4 4 2" xfId="10203" xr:uid="{6336C6CF-56B0-4F3A-8368-B8B2590E66AA}"/>
    <cellStyle name="Percent 2 2 4 2 4 5" xfId="1379" xr:uid="{00000000-0005-0000-0000-000016150000}"/>
    <cellStyle name="Percent 2 2 4 2 4 5 2" xfId="7556" xr:uid="{B615904A-0FF2-47BA-A767-44862FFEC2A3}"/>
    <cellStyle name="Percent 2 2 4 2 4 6" xfId="6673" xr:uid="{AE6240ED-6F50-41B3-9CB0-CC0457B30030}"/>
    <cellStyle name="Percent 2 2 4 2 5" xfId="2703" xr:uid="{00000000-0005-0000-0000-000017150000}"/>
    <cellStyle name="Percent 2 2 4 2 5 2" xfId="5960" xr:uid="{00000000-0005-0000-0000-000018150000}"/>
    <cellStyle name="Percent 2 2 4 2 5 2 2" xfId="12137" xr:uid="{42E06F66-681B-42D2-A109-F727D01126E2}"/>
    <cellStyle name="Percent 2 2 4 2 5 3" xfId="8880" xr:uid="{5E1AA652-2ECD-4535-85B0-220F42A8FE18}"/>
    <cellStyle name="Percent 2 2 4 2 6" xfId="1821" xr:uid="{00000000-0005-0000-0000-000019150000}"/>
    <cellStyle name="Percent 2 2 4 2 6 2" xfId="5961" xr:uid="{00000000-0005-0000-0000-00001A150000}"/>
    <cellStyle name="Percent 2 2 4 2 6 2 2" xfId="12138" xr:uid="{42AD9D2F-AF4E-4294-9658-FE45723384C3}"/>
    <cellStyle name="Percent 2 2 4 2 6 3" xfId="7998" xr:uid="{93919202-AE46-482E-AE2F-4D743EA7E176}"/>
    <cellStyle name="Percent 2 2 4 2 7" xfId="3585" xr:uid="{00000000-0005-0000-0000-00001B150000}"/>
    <cellStyle name="Percent 2 2 4 2 7 2" xfId="9762" xr:uid="{EFF4693D-AC80-42A4-BB35-9D0BA3EF086B}"/>
    <cellStyle name="Percent 2 2 4 2 8" xfId="938" xr:uid="{00000000-0005-0000-0000-00001C150000}"/>
    <cellStyle name="Percent 2 2 4 2 8 2" xfId="7115" xr:uid="{7B64F5C1-0F9C-4481-BF1B-EAEEBA25093F}"/>
    <cellStyle name="Percent 2 2 4 2 9" xfId="6232" xr:uid="{A62E279F-E282-4E68-9D76-9451725A54EC}"/>
    <cellStyle name="Percent 2 2 4 3" xfId="71" xr:uid="{00000000-0005-0000-0000-00001D150000}"/>
    <cellStyle name="Percent 2 2 4 3 2" xfId="181" xr:uid="{00000000-0005-0000-0000-00001E150000}"/>
    <cellStyle name="Percent 2 2 4 3 2 2" xfId="401" xr:uid="{00000000-0005-0000-0000-00001F150000}"/>
    <cellStyle name="Percent 2 2 4 3 2 2 2" xfId="842" xr:uid="{00000000-0005-0000-0000-000020150000}"/>
    <cellStyle name="Percent 2 2 4 3 2 2 2 2" xfId="3490" xr:uid="{00000000-0005-0000-0000-000021150000}"/>
    <cellStyle name="Percent 2 2 4 3 2 2 2 2 2" xfId="5962" xr:uid="{00000000-0005-0000-0000-000022150000}"/>
    <cellStyle name="Percent 2 2 4 3 2 2 2 2 2 2" xfId="12139" xr:uid="{135B0E81-262F-4F62-979D-CD0A0F4B8095}"/>
    <cellStyle name="Percent 2 2 4 3 2 2 2 2 3" xfId="9667" xr:uid="{7A58FE1D-961D-4538-94F0-5529DA757607}"/>
    <cellStyle name="Percent 2 2 4 3 2 2 2 3" xfId="2608" xr:uid="{00000000-0005-0000-0000-000023150000}"/>
    <cellStyle name="Percent 2 2 4 3 2 2 2 3 2" xfId="5963" xr:uid="{00000000-0005-0000-0000-000024150000}"/>
    <cellStyle name="Percent 2 2 4 3 2 2 2 3 2 2" xfId="12140" xr:uid="{89602A5A-6C70-46CF-8609-A5B053798891}"/>
    <cellStyle name="Percent 2 2 4 3 2 2 2 3 3" xfId="8785" xr:uid="{79AC11FC-B745-4916-9E78-5142F9EC019A}"/>
    <cellStyle name="Percent 2 2 4 3 2 2 2 4" xfId="4372" xr:uid="{00000000-0005-0000-0000-000025150000}"/>
    <cellStyle name="Percent 2 2 4 3 2 2 2 4 2" xfId="10549" xr:uid="{3308B65D-4B4C-4120-A4FB-C4B1CFDC080A}"/>
    <cellStyle name="Percent 2 2 4 3 2 2 2 5" xfId="1725" xr:uid="{00000000-0005-0000-0000-000026150000}"/>
    <cellStyle name="Percent 2 2 4 3 2 2 2 5 2" xfId="7902" xr:uid="{2BA591B3-5725-470D-926F-35C3AB7C33A8}"/>
    <cellStyle name="Percent 2 2 4 3 2 2 2 6" xfId="7019" xr:uid="{7770653C-0DE2-4641-8D61-89EF0A331133}"/>
    <cellStyle name="Percent 2 2 4 3 2 2 3" xfId="3049" xr:uid="{00000000-0005-0000-0000-000027150000}"/>
    <cellStyle name="Percent 2 2 4 3 2 2 3 2" xfId="5964" xr:uid="{00000000-0005-0000-0000-000028150000}"/>
    <cellStyle name="Percent 2 2 4 3 2 2 3 2 2" xfId="12141" xr:uid="{9D620723-9EF2-4A73-A4A0-6B0D53FEA6A2}"/>
    <cellStyle name="Percent 2 2 4 3 2 2 3 3" xfId="9226" xr:uid="{B6514191-1821-4D4A-8C3A-32171BE7CF7A}"/>
    <cellStyle name="Percent 2 2 4 3 2 2 4" xfId="2167" xr:uid="{00000000-0005-0000-0000-000029150000}"/>
    <cellStyle name="Percent 2 2 4 3 2 2 4 2" xfId="5965" xr:uid="{00000000-0005-0000-0000-00002A150000}"/>
    <cellStyle name="Percent 2 2 4 3 2 2 4 2 2" xfId="12142" xr:uid="{B00AFC60-8D60-46AC-9162-B4AA729DCF8F}"/>
    <cellStyle name="Percent 2 2 4 3 2 2 4 3" xfId="8344" xr:uid="{58D914D0-8FD0-4589-871A-E1CEFF29B727}"/>
    <cellStyle name="Percent 2 2 4 3 2 2 5" xfId="3931" xr:uid="{00000000-0005-0000-0000-00002B150000}"/>
    <cellStyle name="Percent 2 2 4 3 2 2 5 2" xfId="10108" xr:uid="{A2F70E0B-1EC8-4873-99A6-99611AD6CE24}"/>
    <cellStyle name="Percent 2 2 4 3 2 2 6" xfId="1284" xr:uid="{00000000-0005-0000-0000-00002C150000}"/>
    <cellStyle name="Percent 2 2 4 3 2 2 6 2" xfId="7461" xr:uid="{FB3ED2FF-C92C-4B44-BAD1-10BFBDBC168A}"/>
    <cellStyle name="Percent 2 2 4 3 2 2 7" xfId="6578" xr:uid="{00F97DB1-67E2-4BE0-8700-9990EC72585F}"/>
    <cellStyle name="Percent 2 2 4 3 2 3" xfId="622" xr:uid="{00000000-0005-0000-0000-00002D150000}"/>
    <cellStyle name="Percent 2 2 4 3 2 3 2" xfId="3270" xr:uid="{00000000-0005-0000-0000-00002E150000}"/>
    <cellStyle name="Percent 2 2 4 3 2 3 2 2" xfId="5966" xr:uid="{00000000-0005-0000-0000-00002F150000}"/>
    <cellStyle name="Percent 2 2 4 3 2 3 2 2 2" xfId="12143" xr:uid="{B340C966-F8A3-44E0-82BA-94098FBF1A86}"/>
    <cellStyle name="Percent 2 2 4 3 2 3 2 3" xfId="9447" xr:uid="{96719969-6406-4C16-8584-4736B715A0D1}"/>
    <cellStyle name="Percent 2 2 4 3 2 3 3" xfId="2388" xr:uid="{00000000-0005-0000-0000-000030150000}"/>
    <cellStyle name="Percent 2 2 4 3 2 3 3 2" xfId="5967" xr:uid="{00000000-0005-0000-0000-000031150000}"/>
    <cellStyle name="Percent 2 2 4 3 2 3 3 2 2" xfId="12144" xr:uid="{BA632FA8-F3FA-4AB7-8CAA-CB83D99BBF59}"/>
    <cellStyle name="Percent 2 2 4 3 2 3 3 3" xfId="8565" xr:uid="{9F5F59EE-626D-43E8-8F84-F406C8B33FCE}"/>
    <cellStyle name="Percent 2 2 4 3 2 3 4" xfId="4152" xr:uid="{00000000-0005-0000-0000-000032150000}"/>
    <cellStyle name="Percent 2 2 4 3 2 3 4 2" xfId="10329" xr:uid="{5AB0A569-BEA2-423E-B74C-EF24DC90BB50}"/>
    <cellStyle name="Percent 2 2 4 3 2 3 5" xfId="1505" xr:uid="{00000000-0005-0000-0000-000033150000}"/>
    <cellStyle name="Percent 2 2 4 3 2 3 5 2" xfId="7682" xr:uid="{DE2741F0-1A07-4A23-889E-4139F4AFF7AA}"/>
    <cellStyle name="Percent 2 2 4 3 2 3 6" xfId="6799" xr:uid="{ADC1658E-60AE-4AD9-8077-32B9050E83E1}"/>
    <cellStyle name="Percent 2 2 4 3 2 4" xfId="2829" xr:uid="{00000000-0005-0000-0000-000034150000}"/>
    <cellStyle name="Percent 2 2 4 3 2 4 2" xfId="5968" xr:uid="{00000000-0005-0000-0000-000035150000}"/>
    <cellStyle name="Percent 2 2 4 3 2 4 2 2" xfId="12145" xr:uid="{44B29EEE-9659-40C4-91B7-0EF29755CCA0}"/>
    <cellStyle name="Percent 2 2 4 3 2 4 3" xfId="9006" xr:uid="{4E21E2B0-386E-4F45-B7CE-70AF28B90A82}"/>
    <cellStyle name="Percent 2 2 4 3 2 5" xfId="1947" xr:uid="{00000000-0005-0000-0000-000036150000}"/>
    <cellStyle name="Percent 2 2 4 3 2 5 2" xfId="5969" xr:uid="{00000000-0005-0000-0000-000037150000}"/>
    <cellStyle name="Percent 2 2 4 3 2 5 2 2" xfId="12146" xr:uid="{DBE2C7B7-5986-41EE-A664-39B683F4E027}"/>
    <cellStyle name="Percent 2 2 4 3 2 5 3" xfId="8124" xr:uid="{E066814E-FAAB-4B74-95F1-96D6F94F0420}"/>
    <cellStyle name="Percent 2 2 4 3 2 6" xfId="3711" xr:uid="{00000000-0005-0000-0000-000038150000}"/>
    <cellStyle name="Percent 2 2 4 3 2 6 2" xfId="9888" xr:uid="{4051D857-2817-4BDC-9878-75D56D5EBCE4}"/>
    <cellStyle name="Percent 2 2 4 3 2 7" xfId="1064" xr:uid="{00000000-0005-0000-0000-000039150000}"/>
    <cellStyle name="Percent 2 2 4 3 2 7 2" xfId="7241" xr:uid="{F9EF7347-0E8E-436D-BC8C-252E48AAC445}"/>
    <cellStyle name="Percent 2 2 4 3 2 8" xfId="6358" xr:uid="{ADE1BC5D-FB5A-4AB1-9CD8-A80523F8B25B}"/>
    <cellStyle name="Percent 2 2 4 3 3" xfId="291" xr:uid="{00000000-0005-0000-0000-00003A150000}"/>
    <cellStyle name="Percent 2 2 4 3 3 2" xfId="732" xr:uid="{00000000-0005-0000-0000-00003B150000}"/>
    <cellStyle name="Percent 2 2 4 3 3 2 2" xfId="3380" xr:uid="{00000000-0005-0000-0000-00003C150000}"/>
    <cellStyle name="Percent 2 2 4 3 3 2 2 2" xfId="5970" xr:uid="{00000000-0005-0000-0000-00003D150000}"/>
    <cellStyle name="Percent 2 2 4 3 3 2 2 2 2" xfId="12147" xr:uid="{AEBC46B1-E036-4F4E-ADF0-04454A3E96EE}"/>
    <cellStyle name="Percent 2 2 4 3 3 2 2 3" xfId="9557" xr:uid="{5C033897-708B-4EA6-B303-C80BC9FFB610}"/>
    <cellStyle name="Percent 2 2 4 3 3 2 3" xfId="2498" xr:uid="{00000000-0005-0000-0000-00003E150000}"/>
    <cellStyle name="Percent 2 2 4 3 3 2 3 2" xfId="5971" xr:uid="{00000000-0005-0000-0000-00003F150000}"/>
    <cellStyle name="Percent 2 2 4 3 3 2 3 2 2" xfId="12148" xr:uid="{7D12A73E-9343-437B-B409-59E646D9AF2F}"/>
    <cellStyle name="Percent 2 2 4 3 3 2 3 3" xfId="8675" xr:uid="{4AD32E76-F51C-41E7-AE65-5FE8800924F4}"/>
    <cellStyle name="Percent 2 2 4 3 3 2 4" xfId="4262" xr:uid="{00000000-0005-0000-0000-000040150000}"/>
    <cellStyle name="Percent 2 2 4 3 3 2 4 2" xfId="10439" xr:uid="{F11161CD-CC71-400E-8A8E-28D470D2B261}"/>
    <cellStyle name="Percent 2 2 4 3 3 2 5" xfId="1615" xr:uid="{00000000-0005-0000-0000-000041150000}"/>
    <cellStyle name="Percent 2 2 4 3 3 2 5 2" xfId="7792" xr:uid="{88FFF258-3AE4-49D2-8738-C812F2B38C5D}"/>
    <cellStyle name="Percent 2 2 4 3 3 2 6" xfId="6909" xr:uid="{3BA217B1-513B-47E4-A3A6-84B831BAF1D7}"/>
    <cellStyle name="Percent 2 2 4 3 3 3" xfId="2939" xr:uid="{00000000-0005-0000-0000-000042150000}"/>
    <cellStyle name="Percent 2 2 4 3 3 3 2" xfId="5972" xr:uid="{00000000-0005-0000-0000-000043150000}"/>
    <cellStyle name="Percent 2 2 4 3 3 3 2 2" xfId="12149" xr:uid="{2E3D555F-31A5-4650-A6BF-1E7EF624A2AA}"/>
    <cellStyle name="Percent 2 2 4 3 3 3 3" xfId="9116" xr:uid="{1276FBE8-B09C-4DF2-A1DB-C080051C3DDB}"/>
    <cellStyle name="Percent 2 2 4 3 3 4" xfId="2057" xr:uid="{00000000-0005-0000-0000-000044150000}"/>
    <cellStyle name="Percent 2 2 4 3 3 4 2" xfId="5973" xr:uid="{00000000-0005-0000-0000-000045150000}"/>
    <cellStyle name="Percent 2 2 4 3 3 4 2 2" xfId="12150" xr:uid="{C3E24F24-4654-43D3-B05C-988A28591784}"/>
    <cellStyle name="Percent 2 2 4 3 3 4 3" xfId="8234" xr:uid="{7FDC5F2B-2080-4A08-A25D-404DE823110B}"/>
    <cellStyle name="Percent 2 2 4 3 3 5" xfId="3821" xr:uid="{00000000-0005-0000-0000-000046150000}"/>
    <cellStyle name="Percent 2 2 4 3 3 5 2" xfId="9998" xr:uid="{B1EAB993-B302-4607-B8C5-223BAF36142A}"/>
    <cellStyle name="Percent 2 2 4 3 3 6" xfId="1174" xr:uid="{00000000-0005-0000-0000-000047150000}"/>
    <cellStyle name="Percent 2 2 4 3 3 6 2" xfId="7351" xr:uid="{1FBB1498-1459-4F3D-B8C9-E4E6B2D01DD3}"/>
    <cellStyle name="Percent 2 2 4 3 3 7" xfId="6468" xr:uid="{3F34FB4C-CD4D-41BE-833F-D80EBE9FD2AF}"/>
    <cellStyle name="Percent 2 2 4 3 4" xfId="512" xr:uid="{00000000-0005-0000-0000-000048150000}"/>
    <cellStyle name="Percent 2 2 4 3 4 2" xfId="3160" xr:uid="{00000000-0005-0000-0000-000049150000}"/>
    <cellStyle name="Percent 2 2 4 3 4 2 2" xfId="5974" xr:uid="{00000000-0005-0000-0000-00004A150000}"/>
    <cellStyle name="Percent 2 2 4 3 4 2 2 2" xfId="12151" xr:uid="{BDCE4A30-C922-441B-9283-F5A05372A798}"/>
    <cellStyle name="Percent 2 2 4 3 4 2 3" xfId="9337" xr:uid="{66427A42-5B9A-4EC1-9E28-CBB0384F7D89}"/>
    <cellStyle name="Percent 2 2 4 3 4 3" xfId="2278" xr:uid="{00000000-0005-0000-0000-00004B150000}"/>
    <cellStyle name="Percent 2 2 4 3 4 3 2" xfId="5975" xr:uid="{00000000-0005-0000-0000-00004C150000}"/>
    <cellStyle name="Percent 2 2 4 3 4 3 2 2" xfId="12152" xr:uid="{3E896F66-FDB8-458C-B7A9-72FA9048552B}"/>
    <cellStyle name="Percent 2 2 4 3 4 3 3" xfId="8455" xr:uid="{01677A4C-2EFC-407D-B42E-B9BF37257CD3}"/>
    <cellStyle name="Percent 2 2 4 3 4 4" xfId="4042" xr:uid="{00000000-0005-0000-0000-00004D150000}"/>
    <cellStyle name="Percent 2 2 4 3 4 4 2" xfId="10219" xr:uid="{B6EC8BE1-3B4F-4CEA-BB4C-2B87D898927D}"/>
    <cellStyle name="Percent 2 2 4 3 4 5" xfId="1395" xr:uid="{00000000-0005-0000-0000-00004E150000}"/>
    <cellStyle name="Percent 2 2 4 3 4 5 2" xfId="7572" xr:uid="{B6AFC4C2-44FC-4630-9784-95C0670E5649}"/>
    <cellStyle name="Percent 2 2 4 3 4 6" xfId="6689" xr:uid="{2C540FF9-FA0D-40E2-8FC0-F094FDABB3E5}"/>
    <cellStyle name="Percent 2 2 4 3 5" xfId="2719" xr:uid="{00000000-0005-0000-0000-00004F150000}"/>
    <cellStyle name="Percent 2 2 4 3 5 2" xfId="5976" xr:uid="{00000000-0005-0000-0000-000050150000}"/>
    <cellStyle name="Percent 2 2 4 3 5 2 2" xfId="12153" xr:uid="{5638BD7F-1810-449C-8011-4193B85B34BB}"/>
    <cellStyle name="Percent 2 2 4 3 5 3" xfId="8896" xr:uid="{C3A70A1D-ED31-4B8F-90BD-F4BB1395B21B}"/>
    <cellStyle name="Percent 2 2 4 3 6" xfId="1837" xr:uid="{00000000-0005-0000-0000-000051150000}"/>
    <cellStyle name="Percent 2 2 4 3 6 2" xfId="5977" xr:uid="{00000000-0005-0000-0000-000052150000}"/>
    <cellStyle name="Percent 2 2 4 3 6 2 2" xfId="12154" xr:uid="{D4C70875-9E00-48B0-AF0E-09155892FAA8}"/>
    <cellStyle name="Percent 2 2 4 3 6 3" xfId="8014" xr:uid="{5A972ACA-927E-4471-8B40-CAEF36A4AEEC}"/>
    <cellStyle name="Percent 2 2 4 3 7" xfId="3601" xr:uid="{00000000-0005-0000-0000-000053150000}"/>
    <cellStyle name="Percent 2 2 4 3 7 2" xfId="9778" xr:uid="{29131D3C-F636-4F37-BEED-B88D3F59DB14}"/>
    <cellStyle name="Percent 2 2 4 3 8" xfId="954" xr:uid="{00000000-0005-0000-0000-000054150000}"/>
    <cellStyle name="Percent 2 2 4 3 8 2" xfId="7131" xr:uid="{F17F8FB7-E540-410F-A866-0FB074F2915E}"/>
    <cellStyle name="Percent 2 2 4 3 9" xfId="6248" xr:uid="{F35ABF04-BF21-4FA5-A5E1-0325E4E6AB01}"/>
    <cellStyle name="Percent 2 2 4 4" xfId="87" xr:uid="{00000000-0005-0000-0000-000055150000}"/>
    <cellStyle name="Percent 2 2 4 4 2" xfId="197" xr:uid="{00000000-0005-0000-0000-000056150000}"/>
    <cellStyle name="Percent 2 2 4 4 2 2" xfId="417" xr:uid="{00000000-0005-0000-0000-000057150000}"/>
    <cellStyle name="Percent 2 2 4 4 2 2 2" xfId="858" xr:uid="{00000000-0005-0000-0000-000058150000}"/>
    <cellStyle name="Percent 2 2 4 4 2 2 2 2" xfId="3506" xr:uid="{00000000-0005-0000-0000-000059150000}"/>
    <cellStyle name="Percent 2 2 4 4 2 2 2 2 2" xfId="5978" xr:uid="{00000000-0005-0000-0000-00005A150000}"/>
    <cellStyle name="Percent 2 2 4 4 2 2 2 2 2 2" xfId="12155" xr:uid="{024BCE17-7446-4AF0-AD2D-2D9BD274480E}"/>
    <cellStyle name="Percent 2 2 4 4 2 2 2 2 3" xfId="9683" xr:uid="{008608EE-1B7D-4F2B-906D-1B8A82158166}"/>
    <cellStyle name="Percent 2 2 4 4 2 2 2 3" xfId="2624" xr:uid="{00000000-0005-0000-0000-00005B150000}"/>
    <cellStyle name="Percent 2 2 4 4 2 2 2 3 2" xfId="5979" xr:uid="{00000000-0005-0000-0000-00005C150000}"/>
    <cellStyle name="Percent 2 2 4 4 2 2 2 3 2 2" xfId="12156" xr:uid="{CC79F376-1528-4D61-A7C3-C0961954AA35}"/>
    <cellStyle name="Percent 2 2 4 4 2 2 2 3 3" xfId="8801" xr:uid="{711BC2AB-5848-484D-A23A-D8F3F3F5BD9E}"/>
    <cellStyle name="Percent 2 2 4 4 2 2 2 4" xfId="4388" xr:uid="{00000000-0005-0000-0000-00005D150000}"/>
    <cellStyle name="Percent 2 2 4 4 2 2 2 4 2" xfId="10565" xr:uid="{C05EC234-F4C2-4E40-BA27-59F0894E11E2}"/>
    <cellStyle name="Percent 2 2 4 4 2 2 2 5" xfId="1741" xr:uid="{00000000-0005-0000-0000-00005E150000}"/>
    <cellStyle name="Percent 2 2 4 4 2 2 2 5 2" xfId="7918" xr:uid="{4574F79B-65C4-46DF-9CFA-DB5410D8A04B}"/>
    <cellStyle name="Percent 2 2 4 4 2 2 2 6" xfId="7035" xr:uid="{D9B20BD7-50A3-4D3B-AAF9-4DCC3241F91E}"/>
    <cellStyle name="Percent 2 2 4 4 2 2 3" xfId="3065" xr:uid="{00000000-0005-0000-0000-00005F150000}"/>
    <cellStyle name="Percent 2 2 4 4 2 2 3 2" xfId="5980" xr:uid="{00000000-0005-0000-0000-000060150000}"/>
    <cellStyle name="Percent 2 2 4 4 2 2 3 2 2" xfId="12157" xr:uid="{F903C3E8-1D15-47BA-AF4F-BD83F26A3BB1}"/>
    <cellStyle name="Percent 2 2 4 4 2 2 3 3" xfId="9242" xr:uid="{7F99F92D-6387-4E45-BAB2-4335C11FDC41}"/>
    <cellStyle name="Percent 2 2 4 4 2 2 4" xfId="2183" xr:uid="{00000000-0005-0000-0000-000061150000}"/>
    <cellStyle name="Percent 2 2 4 4 2 2 4 2" xfId="5981" xr:uid="{00000000-0005-0000-0000-000062150000}"/>
    <cellStyle name="Percent 2 2 4 4 2 2 4 2 2" xfId="12158" xr:uid="{FF9A9B0E-69F2-4C69-BF64-382A0235EFBD}"/>
    <cellStyle name="Percent 2 2 4 4 2 2 4 3" xfId="8360" xr:uid="{743BF2C6-F9CC-4C78-810C-61CACC620E86}"/>
    <cellStyle name="Percent 2 2 4 4 2 2 5" xfId="3947" xr:uid="{00000000-0005-0000-0000-000063150000}"/>
    <cellStyle name="Percent 2 2 4 4 2 2 5 2" xfId="10124" xr:uid="{2765A99E-4680-410D-BAF6-F4D86796A49B}"/>
    <cellStyle name="Percent 2 2 4 4 2 2 6" xfId="1300" xr:uid="{00000000-0005-0000-0000-000064150000}"/>
    <cellStyle name="Percent 2 2 4 4 2 2 6 2" xfId="7477" xr:uid="{817FE127-B9BF-4B42-871A-5D746F78D491}"/>
    <cellStyle name="Percent 2 2 4 4 2 2 7" xfId="6594" xr:uid="{9DB90E7E-CA0D-43F8-BD33-57532DC1EC41}"/>
    <cellStyle name="Percent 2 2 4 4 2 3" xfId="638" xr:uid="{00000000-0005-0000-0000-000065150000}"/>
    <cellStyle name="Percent 2 2 4 4 2 3 2" xfId="3286" xr:uid="{00000000-0005-0000-0000-000066150000}"/>
    <cellStyle name="Percent 2 2 4 4 2 3 2 2" xfId="5982" xr:uid="{00000000-0005-0000-0000-000067150000}"/>
    <cellStyle name="Percent 2 2 4 4 2 3 2 2 2" xfId="12159" xr:uid="{EE25DAE2-9FE7-4AC0-875C-C6F0FBA9F894}"/>
    <cellStyle name="Percent 2 2 4 4 2 3 2 3" xfId="9463" xr:uid="{1D196521-1511-4597-A99F-F79D49DD6D2A}"/>
    <cellStyle name="Percent 2 2 4 4 2 3 3" xfId="2404" xr:uid="{00000000-0005-0000-0000-000068150000}"/>
    <cellStyle name="Percent 2 2 4 4 2 3 3 2" xfId="5983" xr:uid="{00000000-0005-0000-0000-000069150000}"/>
    <cellStyle name="Percent 2 2 4 4 2 3 3 2 2" xfId="12160" xr:uid="{EDE06F0D-013F-499B-837B-8611D47B300C}"/>
    <cellStyle name="Percent 2 2 4 4 2 3 3 3" xfId="8581" xr:uid="{51704B17-BE60-43B2-BDB6-CAA825836AF3}"/>
    <cellStyle name="Percent 2 2 4 4 2 3 4" xfId="4168" xr:uid="{00000000-0005-0000-0000-00006A150000}"/>
    <cellStyle name="Percent 2 2 4 4 2 3 4 2" xfId="10345" xr:uid="{1803EA25-2C3E-4022-A60A-9C3BF9D68082}"/>
    <cellStyle name="Percent 2 2 4 4 2 3 5" xfId="1521" xr:uid="{00000000-0005-0000-0000-00006B150000}"/>
    <cellStyle name="Percent 2 2 4 4 2 3 5 2" xfId="7698" xr:uid="{F73C52C6-9EA8-4F58-B1CE-6907FA996702}"/>
    <cellStyle name="Percent 2 2 4 4 2 3 6" xfId="6815" xr:uid="{47A04E3B-AA1F-484C-86E7-CC955FF008E8}"/>
    <cellStyle name="Percent 2 2 4 4 2 4" xfId="2845" xr:uid="{00000000-0005-0000-0000-00006C150000}"/>
    <cellStyle name="Percent 2 2 4 4 2 4 2" xfId="5984" xr:uid="{00000000-0005-0000-0000-00006D150000}"/>
    <cellStyle name="Percent 2 2 4 4 2 4 2 2" xfId="12161" xr:uid="{F132E825-7C62-4C91-8D3B-7968F50D73E1}"/>
    <cellStyle name="Percent 2 2 4 4 2 4 3" xfId="9022" xr:uid="{5E244015-E205-4D73-AE5E-F374C80DE3EF}"/>
    <cellStyle name="Percent 2 2 4 4 2 5" xfId="1963" xr:uid="{00000000-0005-0000-0000-00006E150000}"/>
    <cellStyle name="Percent 2 2 4 4 2 5 2" xfId="5985" xr:uid="{00000000-0005-0000-0000-00006F150000}"/>
    <cellStyle name="Percent 2 2 4 4 2 5 2 2" xfId="12162" xr:uid="{FFCAFF66-D583-41F2-9908-734A95013894}"/>
    <cellStyle name="Percent 2 2 4 4 2 5 3" xfId="8140" xr:uid="{BB1D3099-4F1E-4693-BDD2-24F80B58496A}"/>
    <cellStyle name="Percent 2 2 4 4 2 6" xfId="3727" xr:uid="{00000000-0005-0000-0000-000070150000}"/>
    <cellStyle name="Percent 2 2 4 4 2 6 2" xfId="9904" xr:uid="{C7C0E158-29D8-4A69-94D8-51F767B90AD7}"/>
    <cellStyle name="Percent 2 2 4 4 2 7" xfId="1080" xr:uid="{00000000-0005-0000-0000-000071150000}"/>
    <cellStyle name="Percent 2 2 4 4 2 7 2" xfId="7257" xr:uid="{F5FAC208-80FE-4949-AAAA-5CA84C6A2275}"/>
    <cellStyle name="Percent 2 2 4 4 2 8" xfId="6374" xr:uid="{98F1D456-ED14-49A0-8766-F45E841D1E1D}"/>
    <cellStyle name="Percent 2 2 4 4 3" xfId="307" xr:uid="{00000000-0005-0000-0000-000072150000}"/>
    <cellStyle name="Percent 2 2 4 4 3 2" xfId="748" xr:uid="{00000000-0005-0000-0000-000073150000}"/>
    <cellStyle name="Percent 2 2 4 4 3 2 2" xfId="3396" xr:uid="{00000000-0005-0000-0000-000074150000}"/>
    <cellStyle name="Percent 2 2 4 4 3 2 2 2" xfId="5986" xr:uid="{00000000-0005-0000-0000-000075150000}"/>
    <cellStyle name="Percent 2 2 4 4 3 2 2 2 2" xfId="12163" xr:uid="{F4D88FB2-E694-4DA2-8B18-4FB1936F6CF1}"/>
    <cellStyle name="Percent 2 2 4 4 3 2 2 3" xfId="9573" xr:uid="{D6F72745-9FE9-47A3-AE58-87891839FEFA}"/>
    <cellStyle name="Percent 2 2 4 4 3 2 3" xfId="2514" xr:uid="{00000000-0005-0000-0000-000076150000}"/>
    <cellStyle name="Percent 2 2 4 4 3 2 3 2" xfId="5987" xr:uid="{00000000-0005-0000-0000-000077150000}"/>
    <cellStyle name="Percent 2 2 4 4 3 2 3 2 2" xfId="12164" xr:uid="{41596E44-A146-4811-83A3-41926ED6F5B0}"/>
    <cellStyle name="Percent 2 2 4 4 3 2 3 3" xfId="8691" xr:uid="{23D35F68-6C2B-4000-9DC5-AA5EAD2BDBD3}"/>
    <cellStyle name="Percent 2 2 4 4 3 2 4" xfId="4278" xr:uid="{00000000-0005-0000-0000-000078150000}"/>
    <cellStyle name="Percent 2 2 4 4 3 2 4 2" xfId="10455" xr:uid="{D4561B3E-A99A-4FD1-922D-81858203E56D}"/>
    <cellStyle name="Percent 2 2 4 4 3 2 5" xfId="1631" xr:uid="{00000000-0005-0000-0000-000079150000}"/>
    <cellStyle name="Percent 2 2 4 4 3 2 5 2" xfId="7808" xr:uid="{501B00F1-6D92-470A-B779-804B96C4462B}"/>
    <cellStyle name="Percent 2 2 4 4 3 2 6" xfId="6925" xr:uid="{32966C67-CFF2-4333-973F-2C662BE12350}"/>
    <cellStyle name="Percent 2 2 4 4 3 3" xfId="2955" xr:uid="{00000000-0005-0000-0000-00007A150000}"/>
    <cellStyle name="Percent 2 2 4 4 3 3 2" xfId="5988" xr:uid="{00000000-0005-0000-0000-00007B150000}"/>
    <cellStyle name="Percent 2 2 4 4 3 3 2 2" xfId="12165" xr:uid="{F70949C4-E1DE-44FC-AF05-453B857DEF23}"/>
    <cellStyle name="Percent 2 2 4 4 3 3 3" xfId="9132" xr:uid="{F3A0B2A5-7FA7-43C0-9B94-F3B0B9DD5DDA}"/>
    <cellStyle name="Percent 2 2 4 4 3 4" xfId="2073" xr:uid="{00000000-0005-0000-0000-00007C150000}"/>
    <cellStyle name="Percent 2 2 4 4 3 4 2" xfId="5989" xr:uid="{00000000-0005-0000-0000-00007D150000}"/>
    <cellStyle name="Percent 2 2 4 4 3 4 2 2" xfId="12166" xr:uid="{5DA95D64-33AB-49B7-BF75-B30AC0B6809E}"/>
    <cellStyle name="Percent 2 2 4 4 3 4 3" xfId="8250" xr:uid="{4561E184-F564-4876-9BB3-BEC4F6949C2A}"/>
    <cellStyle name="Percent 2 2 4 4 3 5" xfId="3837" xr:uid="{00000000-0005-0000-0000-00007E150000}"/>
    <cellStyle name="Percent 2 2 4 4 3 5 2" xfId="10014" xr:uid="{449CC926-A0E3-41B6-BCAB-787E18E00D53}"/>
    <cellStyle name="Percent 2 2 4 4 3 6" xfId="1190" xr:uid="{00000000-0005-0000-0000-00007F150000}"/>
    <cellStyle name="Percent 2 2 4 4 3 6 2" xfId="7367" xr:uid="{DDA7E400-2077-49CD-B5EA-B5354BB1C008}"/>
    <cellStyle name="Percent 2 2 4 4 3 7" xfId="6484" xr:uid="{9F996694-1C2F-4DB4-865D-29549CE12EE8}"/>
    <cellStyle name="Percent 2 2 4 4 4" xfId="528" xr:uid="{00000000-0005-0000-0000-000080150000}"/>
    <cellStyle name="Percent 2 2 4 4 4 2" xfId="3176" xr:uid="{00000000-0005-0000-0000-000081150000}"/>
    <cellStyle name="Percent 2 2 4 4 4 2 2" xfId="5990" xr:uid="{00000000-0005-0000-0000-000082150000}"/>
    <cellStyle name="Percent 2 2 4 4 4 2 2 2" xfId="12167" xr:uid="{9860F2DC-A5E0-43D7-8862-74CB63C63012}"/>
    <cellStyle name="Percent 2 2 4 4 4 2 3" xfId="9353" xr:uid="{4FC19848-2246-46EF-A9A6-091FC622AE93}"/>
    <cellStyle name="Percent 2 2 4 4 4 3" xfId="2294" xr:uid="{00000000-0005-0000-0000-000083150000}"/>
    <cellStyle name="Percent 2 2 4 4 4 3 2" xfId="5991" xr:uid="{00000000-0005-0000-0000-000084150000}"/>
    <cellStyle name="Percent 2 2 4 4 4 3 2 2" xfId="12168" xr:uid="{B745D122-F86A-4339-A079-8662757DD2FA}"/>
    <cellStyle name="Percent 2 2 4 4 4 3 3" xfId="8471" xr:uid="{8CD4BA1D-3B0F-4579-B1C5-F844A755E140}"/>
    <cellStyle name="Percent 2 2 4 4 4 4" xfId="4058" xr:uid="{00000000-0005-0000-0000-000085150000}"/>
    <cellStyle name="Percent 2 2 4 4 4 4 2" xfId="10235" xr:uid="{4CB210A3-44DE-435F-ABC6-A82966979068}"/>
    <cellStyle name="Percent 2 2 4 4 4 5" xfId="1411" xr:uid="{00000000-0005-0000-0000-000086150000}"/>
    <cellStyle name="Percent 2 2 4 4 4 5 2" xfId="7588" xr:uid="{3F1B894D-85E2-4A60-9438-1A112BE4D585}"/>
    <cellStyle name="Percent 2 2 4 4 4 6" xfId="6705" xr:uid="{9CB2FE4D-938A-426A-BFDA-6A0EC2AFFAA9}"/>
    <cellStyle name="Percent 2 2 4 4 5" xfId="2735" xr:uid="{00000000-0005-0000-0000-000087150000}"/>
    <cellStyle name="Percent 2 2 4 4 5 2" xfId="5992" xr:uid="{00000000-0005-0000-0000-000088150000}"/>
    <cellStyle name="Percent 2 2 4 4 5 2 2" xfId="12169" xr:uid="{25E22F17-A50C-4BBD-A446-C893FA6BF084}"/>
    <cellStyle name="Percent 2 2 4 4 5 3" xfId="8912" xr:uid="{EFBD000D-561C-4147-A14C-185FD230F553}"/>
    <cellStyle name="Percent 2 2 4 4 6" xfId="1853" xr:uid="{00000000-0005-0000-0000-000089150000}"/>
    <cellStyle name="Percent 2 2 4 4 6 2" xfId="5993" xr:uid="{00000000-0005-0000-0000-00008A150000}"/>
    <cellStyle name="Percent 2 2 4 4 6 2 2" xfId="12170" xr:uid="{E299D5BA-B1E0-4888-ACFF-603B5375E446}"/>
    <cellStyle name="Percent 2 2 4 4 6 3" xfId="8030" xr:uid="{BD08EB9D-2F9F-4479-AC2D-B12A1466778C}"/>
    <cellStyle name="Percent 2 2 4 4 7" xfId="3617" xr:uid="{00000000-0005-0000-0000-00008B150000}"/>
    <cellStyle name="Percent 2 2 4 4 7 2" xfId="9794" xr:uid="{682700DF-84BE-48DE-BCE8-FF9E63EF4F06}"/>
    <cellStyle name="Percent 2 2 4 4 8" xfId="970" xr:uid="{00000000-0005-0000-0000-00008C150000}"/>
    <cellStyle name="Percent 2 2 4 4 8 2" xfId="7147" xr:uid="{D71D6FC1-6B94-41A3-B2B9-495631760513}"/>
    <cellStyle name="Percent 2 2 4 4 9" xfId="6264" xr:uid="{4195E662-CC0B-49D4-8E24-6F0AA19A7A04}"/>
    <cellStyle name="Percent 2 2 4 5" xfId="131" xr:uid="{00000000-0005-0000-0000-00008D150000}"/>
    <cellStyle name="Percent 2 2 4 5 2" xfId="351" xr:uid="{00000000-0005-0000-0000-00008E150000}"/>
    <cellStyle name="Percent 2 2 4 5 2 2" xfId="792" xr:uid="{00000000-0005-0000-0000-00008F150000}"/>
    <cellStyle name="Percent 2 2 4 5 2 2 2" xfId="3440" xr:uid="{00000000-0005-0000-0000-000090150000}"/>
    <cellStyle name="Percent 2 2 4 5 2 2 2 2" xfId="5994" xr:uid="{00000000-0005-0000-0000-000091150000}"/>
    <cellStyle name="Percent 2 2 4 5 2 2 2 2 2" xfId="12171" xr:uid="{3110189F-4B37-49C6-9EAA-D7A73F0BA1AD}"/>
    <cellStyle name="Percent 2 2 4 5 2 2 2 3" xfId="9617" xr:uid="{C1D423AA-36EB-4E23-B374-9F001024EBDF}"/>
    <cellStyle name="Percent 2 2 4 5 2 2 3" xfId="2558" xr:uid="{00000000-0005-0000-0000-000092150000}"/>
    <cellStyle name="Percent 2 2 4 5 2 2 3 2" xfId="5995" xr:uid="{00000000-0005-0000-0000-000093150000}"/>
    <cellStyle name="Percent 2 2 4 5 2 2 3 2 2" xfId="12172" xr:uid="{ADD499BA-D5F6-4997-A050-0E3C65ED491D}"/>
    <cellStyle name="Percent 2 2 4 5 2 2 3 3" xfId="8735" xr:uid="{0968AB78-9A41-4B6F-823D-AEDE4F5FB46A}"/>
    <cellStyle name="Percent 2 2 4 5 2 2 4" xfId="4322" xr:uid="{00000000-0005-0000-0000-000094150000}"/>
    <cellStyle name="Percent 2 2 4 5 2 2 4 2" xfId="10499" xr:uid="{920BB82C-C2BA-45E1-A3F7-47CB5C723867}"/>
    <cellStyle name="Percent 2 2 4 5 2 2 5" xfId="1675" xr:uid="{00000000-0005-0000-0000-000095150000}"/>
    <cellStyle name="Percent 2 2 4 5 2 2 5 2" xfId="7852" xr:uid="{7185B9E9-0805-4981-AC65-C1E49AFB3637}"/>
    <cellStyle name="Percent 2 2 4 5 2 2 6" xfId="6969" xr:uid="{64A5319A-3A06-4046-9308-AE84F601FD27}"/>
    <cellStyle name="Percent 2 2 4 5 2 3" xfId="2999" xr:uid="{00000000-0005-0000-0000-000096150000}"/>
    <cellStyle name="Percent 2 2 4 5 2 3 2" xfId="5996" xr:uid="{00000000-0005-0000-0000-000097150000}"/>
    <cellStyle name="Percent 2 2 4 5 2 3 2 2" xfId="12173" xr:uid="{53F0087C-596E-44A1-812B-5E48AC4117E6}"/>
    <cellStyle name="Percent 2 2 4 5 2 3 3" xfId="9176" xr:uid="{6111F8E5-4576-413F-9AF4-9261031797F8}"/>
    <cellStyle name="Percent 2 2 4 5 2 4" xfId="2117" xr:uid="{00000000-0005-0000-0000-000098150000}"/>
    <cellStyle name="Percent 2 2 4 5 2 4 2" xfId="5997" xr:uid="{00000000-0005-0000-0000-000099150000}"/>
    <cellStyle name="Percent 2 2 4 5 2 4 2 2" xfId="12174" xr:uid="{8DAEF3E9-3254-42F4-919C-528F723AF3D8}"/>
    <cellStyle name="Percent 2 2 4 5 2 4 3" xfId="8294" xr:uid="{85E14737-BEFE-411A-ACF1-63ABD53E5973}"/>
    <cellStyle name="Percent 2 2 4 5 2 5" xfId="3881" xr:uid="{00000000-0005-0000-0000-00009A150000}"/>
    <cellStyle name="Percent 2 2 4 5 2 5 2" xfId="10058" xr:uid="{92089C18-072D-46B1-8747-726009CF7D10}"/>
    <cellStyle name="Percent 2 2 4 5 2 6" xfId="1234" xr:uid="{00000000-0005-0000-0000-00009B150000}"/>
    <cellStyle name="Percent 2 2 4 5 2 6 2" xfId="7411" xr:uid="{CA183DF2-6FD2-493A-9648-595079D14039}"/>
    <cellStyle name="Percent 2 2 4 5 2 7" xfId="6528" xr:uid="{425988BD-3B37-4C14-8686-862CC77D3342}"/>
    <cellStyle name="Percent 2 2 4 5 3" xfId="572" xr:uid="{00000000-0005-0000-0000-00009C150000}"/>
    <cellStyle name="Percent 2 2 4 5 3 2" xfId="3220" xr:uid="{00000000-0005-0000-0000-00009D150000}"/>
    <cellStyle name="Percent 2 2 4 5 3 2 2" xfId="5998" xr:uid="{00000000-0005-0000-0000-00009E150000}"/>
    <cellStyle name="Percent 2 2 4 5 3 2 2 2" xfId="12175" xr:uid="{CB3E7281-F1CA-4406-8FA7-E132B7D40686}"/>
    <cellStyle name="Percent 2 2 4 5 3 2 3" xfId="9397" xr:uid="{00187AED-213E-470D-A5AE-422819E3BFB5}"/>
    <cellStyle name="Percent 2 2 4 5 3 3" xfId="2338" xr:uid="{00000000-0005-0000-0000-00009F150000}"/>
    <cellStyle name="Percent 2 2 4 5 3 3 2" xfId="5999" xr:uid="{00000000-0005-0000-0000-0000A0150000}"/>
    <cellStyle name="Percent 2 2 4 5 3 3 2 2" xfId="12176" xr:uid="{86F90152-783E-4D2B-AD86-1075C5BBD065}"/>
    <cellStyle name="Percent 2 2 4 5 3 3 3" xfId="8515" xr:uid="{D17ED852-D707-423F-8B0E-92691471DE35}"/>
    <cellStyle name="Percent 2 2 4 5 3 4" xfId="4102" xr:uid="{00000000-0005-0000-0000-0000A1150000}"/>
    <cellStyle name="Percent 2 2 4 5 3 4 2" xfId="10279" xr:uid="{AC8BF44B-FE88-4461-8511-8E9902BBC965}"/>
    <cellStyle name="Percent 2 2 4 5 3 5" xfId="1455" xr:uid="{00000000-0005-0000-0000-0000A2150000}"/>
    <cellStyle name="Percent 2 2 4 5 3 5 2" xfId="7632" xr:uid="{7AD4AB4E-640A-49BA-A2AB-BA6CD7566E87}"/>
    <cellStyle name="Percent 2 2 4 5 3 6" xfId="6749" xr:uid="{50BD4FA0-8198-43DE-85BD-A88A56D647FE}"/>
    <cellStyle name="Percent 2 2 4 5 4" xfId="2779" xr:uid="{00000000-0005-0000-0000-0000A3150000}"/>
    <cellStyle name="Percent 2 2 4 5 4 2" xfId="6000" xr:uid="{00000000-0005-0000-0000-0000A4150000}"/>
    <cellStyle name="Percent 2 2 4 5 4 2 2" xfId="12177" xr:uid="{24AB6266-8C2A-4755-A493-FC1D643C46C1}"/>
    <cellStyle name="Percent 2 2 4 5 4 3" xfId="8956" xr:uid="{A266524F-6FA8-46B1-A4E3-5CE740DD38F6}"/>
    <cellStyle name="Percent 2 2 4 5 5" xfId="1897" xr:uid="{00000000-0005-0000-0000-0000A5150000}"/>
    <cellStyle name="Percent 2 2 4 5 5 2" xfId="6001" xr:uid="{00000000-0005-0000-0000-0000A6150000}"/>
    <cellStyle name="Percent 2 2 4 5 5 2 2" xfId="12178" xr:uid="{040F9E2F-D543-4C2D-AAED-DA55946F6627}"/>
    <cellStyle name="Percent 2 2 4 5 5 3" xfId="8074" xr:uid="{2F39287A-546F-4902-9962-622AD4078FED}"/>
    <cellStyle name="Percent 2 2 4 5 6" xfId="3661" xr:uid="{00000000-0005-0000-0000-0000A7150000}"/>
    <cellStyle name="Percent 2 2 4 5 6 2" xfId="9838" xr:uid="{DC2F1123-99C8-449A-B0F8-46511B3CA46D}"/>
    <cellStyle name="Percent 2 2 4 5 7" xfId="1014" xr:uid="{00000000-0005-0000-0000-0000A8150000}"/>
    <cellStyle name="Percent 2 2 4 5 7 2" xfId="7191" xr:uid="{1259DC14-CD1B-4E68-A277-AAE61E250C39}"/>
    <cellStyle name="Percent 2 2 4 5 8" xfId="6308" xr:uid="{985C6AD5-92A6-4236-B679-91E4A1ED33B6}"/>
    <cellStyle name="Percent 2 2 4 6" xfId="241" xr:uid="{00000000-0005-0000-0000-0000A9150000}"/>
    <cellStyle name="Percent 2 2 4 6 2" xfId="682" xr:uid="{00000000-0005-0000-0000-0000AA150000}"/>
    <cellStyle name="Percent 2 2 4 6 2 2" xfId="3330" xr:uid="{00000000-0005-0000-0000-0000AB150000}"/>
    <cellStyle name="Percent 2 2 4 6 2 2 2" xfId="6002" xr:uid="{00000000-0005-0000-0000-0000AC150000}"/>
    <cellStyle name="Percent 2 2 4 6 2 2 2 2" xfId="12179" xr:uid="{5EAF4E5B-A232-4EE2-B217-5F8959EB7B6D}"/>
    <cellStyle name="Percent 2 2 4 6 2 2 3" xfId="9507" xr:uid="{6759AC19-68FE-4362-9ECB-A59D767829FA}"/>
    <cellStyle name="Percent 2 2 4 6 2 3" xfId="2448" xr:uid="{00000000-0005-0000-0000-0000AD150000}"/>
    <cellStyle name="Percent 2 2 4 6 2 3 2" xfId="6003" xr:uid="{00000000-0005-0000-0000-0000AE150000}"/>
    <cellStyle name="Percent 2 2 4 6 2 3 2 2" xfId="12180" xr:uid="{C21BA9E7-31C6-4781-B11F-75B60A9E3057}"/>
    <cellStyle name="Percent 2 2 4 6 2 3 3" xfId="8625" xr:uid="{9BA35B7F-81CB-4AEE-8141-BE3778D88DEE}"/>
    <cellStyle name="Percent 2 2 4 6 2 4" xfId="4212" xr:uid="{00000000-0005-0000-0000-0000AF150000}"/>
    <cellStyle name="Percent 2 2 4 6 2 4 2" xfId="10389" xr:uid="{F131B522-CD38-4D70-BDF2-7975BC7C9738}"/>
    <cellStyle name="Percent 2 2 4 6 2 5" xfId="1565" xr:uid="{00000000-0005-0000-0000-0000B0150000}"/>
    <cellStyle name="Percent 2 2 4 6 2 5 2" xfId="7742" xr:uid="{FCDC2E77-844B-4080-B558-584037055648}"/>
    <cellStyle name="Percent 2 2 4 6 2 6" xfId="6859" xr:uid="{B788A99A-6F49-4CB0-B9B2-214FCB641970}"/>
    <cellStyle name="Percent 2 2 4 6 3" xfId="2889" xr:uid="{00000000-0005-0000-0000-0000B1150000}"/>
    <cellStyle name="Percent 2 2 4 6 3 2" xfId="6004" xr:uid="{00000000-0005-0000-0000-0000B2150000}"/>
    <cellStyle name="Percent 2 2 4 6 3 2 2" xfId="12181" xr:uid="{F9D026F1-36A2-4CAA-97D3-1792F379881D}"/>
    <cellStyle name="Percent 2 2 4 6 3 3" xfId="9066" xr:uid="{E35375AE-E340-4463-B78C-02028BB2F022}"/>
    <cellStyle name="Percent 2 2 4 6 4" xfId="2007" xr:uid="{00000000-0005-0000-0000-0000B3150000}"/>
    <cellStyle name="Percent 2 2 4 6 4 2" xfId="6005" xr:uid="{00000000-0005-0000-0000-0000B4150000}"/>
    <cellStyle name="Percent 2 2 4 6 4 2 2" xfId="12182" xr:uid="{50451C4C-867E-46C5-B7F6-275BCF84538A}"/>
    <cellStyle name="Percent 2 2 4 6 4 3" xfId="8184" xr:uid="{97023AB1-E4CC-4833-9222-946FBCF26F83}"/>
    <cellStyle name="Percent 2 2 4 6 5" xfId="3771" xr:uid="{00000000-0005-0000-0000-0000B5150000}"/>
    <cellStyle name="Percent 2 2 4 6 5 2" xfId="9948" xr:uid="{4ADDB7FE-066F-4D98-9CCE-84B33742D43B}"/>
    <cellStyle name="Percent 2 2 4 6 6" xfId="1124" xr:uid="{00000000-0005-0000-0000-0000B6150000}"/>
    <cellStyle name="Percent 2 2 4 6 6 2" xfId="7301" xr:uid="{0146FD78-E7D7-42B8-BA91-EC30C6AED16F}"/>
    <cellStyle name="Percent 2 2 4 6 7" xfId="6418" xr:uid="{A51AC5DE-419C-46AA-8083-3778C65538B5}"/>
    <cellStyle name="Percent 2 2 4 7" xfId="462" xr:uid="{00000000-0005-0000-0000-0000B7150000}"/>
    <cellStyle name="Percent 2 2 4 7 2" xfId="3110" xr:uid="{00000000-0005-0000-0000-0000B8150000}"/>
    <cellStyle name="Percent 2 2 4 7 2 2" xfId="6006" xr:uid="{00000000-0005-0000-0000-0000B9150000}"/>
    <cellStyle name="Percent 2 2 4 7 2 2 2" xfId="12183" xr:uid="{28E1D2DD-98C9-4D89-BD82-3459AFFF8E4E}"/>
    <cellStyle name="Percent 2 2 4 7 2 3" xfId="9287" xr:uid="{07AAC05A-91A4-42DA-BFA7-ACF1B579A443}"/>
    <cellStyle name="Percent 2 2 4 7 3" xfId="2228" xr:uid="{00000000-0005-0000-0000-0000BA150000}"/>
    <cellStyle name="Percent 2 2 4 7 3 2" xfId="6007" xr:uid="{00000000-0005-0000-0000-0000BB150000}"/>
    <cellStyle name="Percent 2 2 4 7 3 2 2" xfId="12184" xr:uid="{FA86C9E8-9C86-48A2-847D-067F07807C78}"/>
    <cellStyle name="Percent 2 2 4 7 3 3" xfId="8405" xr:uid="{76C0C2EC-2A91-4D3F-8F38-E3B6366B839E}"/>
    <cellStyle name="Percent 2 2 4 7 4" xfId="3992" xr:uid="{00000000-0005-0000-0000-0000BC150000}"/>
    <cellStyle name="Percent 2 2 4 7 4 2" xfId="10169" xr:uid="{E06FF8AB-AC83-4434-B35A-2154DACD8B56}"/>
    <cellStyle name="Percent 2 2 4 7 5" xfId="1345" xr:uid="{00000000-0005-0000-0000-0000BD150000}"/>
    <cellStyle name="Percent 2 2 4 7 5 2" xfId="7522" xr:uid="{F6E7BD86-0C40-4D25-8FAA-9EB7A04396C1}"/>
    <cellStyle name="Percent 2 2 4 7 6" xfId="6639" xr:uid="{2F8A9D66-F780-4D93-8997-C49EBEFA2783}"/>
    <cellStyle name="Percent 2 2 4 8" xfId="2669" xr:uid="{00000000-0005-0000-0000-0000BE150000}"/>
    <cellStyle name="Percent 2 2 4 8 2" xfId="6008" xr:uid="{00000000-0005-0000-0000-0000BF150000}"/>
    <cellStyle name="Percent 2 2 4 8 2 2" xfId="12185" xr:uid="{F566C55D-DDB2-4914-877D-D7227A78BF02}"/>
    <cellStyle name="Percent 2 2 4 8 3" xfId="8846" xr:uid="{A2F25EFF-C4E5-4D15-B145-D9E0164ECCA6}"/>
    <cellStyle name="Percent 2 2 4 9" xfId="1787" xr:uid="{00000000-0005-0000-0000-0000C0150000}"/>
    <cellStyle name="Percent 2 2 4 9 2" xfId="6009" xr:uid="{00000000-0005-0000-0000-0000C1150000}"/>
    <cellStyle name="Percent 2 2 4 9 2 2" xfId="12186" xr:uid="{6DDA0624-2276-4EEA-B003-D00125644CD6}"/>
    <cellStyle name="Percent 2 2 4 9 3" xfId="7964" xr:uid="{C945BAFE-0A9F-40B4-B1CD-2D2B0C7CFD88}"/>
    <cellStyle name="Percent 2 2 5" xfId="24" xr:uid="{00000000-0005-0000-0000-0000C2150000}"/>
    <cellStyle name="Percent 2 2 5 10" xfId="3554" xr:uid="{00000000-0005-0000-0000-0000C3150000}"/>
    <cellStyle name="Percent 2 2 5 10 2" xfId="9731" xr:uid="{6ED8106A-DEF3-4514-B589-2E80325DEC4B}"/>
    <cellStyle name="Percent 2 2 5 11" xfId="907" xr:uid="{00000000-0005-0000-0000-0000C4150000}"/>
    <cellStyle name="Percent 2 2 5 11 2" xfId="7084" xr:uid="{56F571BF-9613-4617-9776-710B5F7A4045}"/>
    <cellStyle name="Percent 2 2 5 12" xfId="6201" xr:uid="{E19E25A0-D2E5-4643-9448-6DD32E4B93B8}"/>
    <cellStyle name="Percent 2 2 5 2" xfId="58" xr:uid="{00000000-0005-0000-0000-0000C5150000}"/>
    <cellStyle name="Percent 2 2 5 2 2" xfId="168" xr:uid="{00000000-0005-0000-0000-0000C6150000}"/>
    <cellStyle name="Percent 2 2 5 2 2 2" xfId="388" xr:uid="{00000000-0005-0000-0000-0000C7150000}"/>
    <cellStyle name="Percent 2 2 5 2 2 2 2" xfId="829" xr:uid="{00000000-0005-0000-0000-0000C8150000}"/>
    <cellStyle name="Percent 2 2 5 2 2 2 2 2" xfId="3477" xr:uid="{00000000-0005-0000-0000-0000C9150000}"/>
    <cellStyle name="Percent 2 2 5 2 2 2 2 2 2" xfId="6010" xr:uid="{00000000-0005-0000-0000-0000CA150000}"/>
    <cellStyle name="Percent 2 2 5 2 2 2 2 2 2 2" xfId="12187" xr:uid="{CB39B251-C890-4912-A6E8-F3F3535EF004}"/>
    <cellStyle name="Percent 2 2 5 2 2 2 2 2 3" xfId="9654" xr:uid="{51CE4DE9-3BE0-4EF0-8F83-A6CDC4CD3BCB}"/>
    <cellStyle name="Percent 2 2 5 2 2 2 2 3" xfId="2595" xr:uid="{00000000-0005-0000-0000-0000CB150000}"/>
    <cellStyle name="Percent 2 2 5 2 2 2 2 3 2" xfId="6011" xr:uid="{00000000-0005-0000-0000-0000CC150000}"/>
    <cellStyle name="Percent 2 2 5 2 2 2 2 3 2 2" xfId="12188" xr:uid="{62E6CC1B-960E-4861-A861-53889BF90E7B}"/>
    <cellStyle name="Percent 2 2 5 2 2 2 2 3 3" xfId="8772" xr:uid="{828D4EB2-5B14-4462-91F6-C7A6E85872E1}"/>
    <cellStyle name="Percent 2 2 5 2 2 2 2 4" xfId="4359" xr:uid="{00000000-0005-0000-0000-0000CD150000}"/>
    <cellStyle name="Percent 2 2 5 2 2 2 2 4 2" xfId="10536" xr:uid="{0E619E20-B27A-43D6-AEEF-CA8B987E53D8}"/>
    <cellStyle name="Percent 2 2 5 2 2 2 2 5" xfId="1712" xr:uid="{00000000-0005-0000-0000-0000CE150000}"/>
    <cellStyle name="Percent 2 2 5 2 2 2 2 5 2" xfId="7889" xr:uid="{F99DB3D6-45F1-41C2-BCCC-07366B01B6FD}"/>
    <cellStyle name="Percent 2 2 5 2 2 2 2 6" xfId="7006" xr:uid="{A642AF8E-D67C-444C-82FC-4FBECB13ACB1}"/>
    <cellStyle name="Percent 2 2 5 2 2 2 3" xfId="3036" xr:uid="{00000000-0005-0000-0000-0000CF150000}"/>
    <cellStyle name="Percent 2 2 5 2 2 2 3 2" xfId="6012" xr:uid="{00000000-0005-0000-0000-0000D0150000}"/>
    <cellStyle name="Percent 2 2 5 2 2 2 3 2 2" xfId="12189" xr:uid="{B00941A3-038C-4EEB-9944-690B1215B724}"/>
    <cellStyle name="Percent 2 2 5 2 2 2 3 3" xfId="9213" xr:uid="{AF57517A-9CC5-4060-85FC-5EFBC3C34367}"/>
    <cellStyle name="Percent 2 2 5 2 2 2 4" xfId="2154" xr:uid="{00000000-0005-0000-0000-0000D1150000}"/>
    <cellStyle name="Percent 2 2 5 2 2 2 4 2" xfId="6013" xr:uid="{00000000-0005-0000-0000-0000D2150000}"/>
    <cellStyle name="Percent 2 2 5 2 2 2 4 2 2" xfId="12190" xr:uid="{67B51129-99CE-4D2C-8BBE-3D56008B9470}"/>
    <cellStyle name="Percent 2 2 5 2 2 2 4 3" xfId="8331" xr:uid="{A364A88D-F1FC-4167-9602-DC08AC11DCF4}"/>
    <cellStyle name="Percent 2 2 5 2 2 2 5" xfId="3918" xr:uid="{00000000-0005-0000-0000-0000D3150000}"/>
    <cellStyle name="Percent 2 2 5 2 2 2 5 2" xfId="10095" xr:uid="{106E0A31-1D0C-4A47-9A91-823C466AC14E}"/>
    <cellStyle name="Percent 2 2 5 2 2 2 6" xfId="1271" xr:uid="{00000000-0005-0000-0000-0000D4150000}"/>
    <cellStyle name="Percent 2 2 5 2 2 2 6 2" xfId="7448" xr:uid="{4B1D4103-27AF-403B-A668-658C61B15443}"/>
    <cellStyle name="Percent 2 2 5 2 2 2 7" xfId="6565" xr:uid="{998E723B-2C6D-4FE4-8D1F-2BDD63D63889}"/>
    <cellStyle name="Percent 2 2 5 2 2 3" xfId="609" xr:uid="{00000000-0005-0000-0000-0000D5150000}"/>
    <cellStyle name="Percent 2 2 5 2 2 3 2" xfId="3257" xr:uid="{00000000-0005-0000-0000-0000D6150000}"/>
    <cellStyle name="Percent 2 2 5 2 2 3 2 2" xfId="6014" xr:uid="{00000000-0005-0000-0000-0000D7150000}"/>
    <cellStyle name="Percent 2 2 5 2 2 3 2 2 2" xfId="12191" xr:uid="{109FEF3B-8427-447E-B840-EEC2003AB158}"/>
    <cellStyle name="Percent 2 2 5 2 2 3 2 3" xfId="9434" xr:uid="{DB1AC594-1DD5-4DCD-AA51-D9A9BB3C1474}"/>
    <cellStyle name="Percent 2 2 5 2 2 3 3" xfId="2375" xr:uid="{00000000-0005-0000-0000-0000D8150000}"/>
    <cellStyle name="Percent 2 2 5 2 2 3 3 2" xfId="6015" xr:uid="{00000000-0005-0000-0000-0000D9150000}"/>
    <cellStyle name="Percent 2 2 5 2 2 3 3 2 2" xfId="12192" xr:uid="{0B1F4A37-46E3-413C-AE35-AA2B4CE2D1E4}"/>
    <cellStyle name="Percent 2 2 5 2 2 3 3 3" xfId="8552" xr:uid="{3F4E1BB3-89B8-4DAF-8DA1-7A38BB71FAE1}"/>
    <cellStyle name="Percent 2 2 5 2 2 3 4" xfId="4139" xr:uid="{00000000-0005-0000-0000-0000DA150000}"/>
    <cellStyle name="Percent 2 2 5 2 2 3 4 2" xfId="10316" xr:uid="{D4B1772D-BB8C-4FB1-8294-5C2DA9FC7A7B}"/>
    <cellStyle name="Percent 2 2 5 2 2 3 5" xfId="1492" xr:uid="{00000000-0005-0000-0000-0000DB150000}"/>
    <cellStyle name="Percent 2 2 5 2 2 3 5 2" xfId="7669" xr:uid="{A541D111-8FE7-4470-A1DE-347D50B9A1F2}"/>
    <cellStyle name="Percent 2 2 5 2 2 3 6" xfId="6786" xr:uid="{B55F94B2-794E-4B1C-85E6-E4D850F21111}"/>
    <cellStyle name="Percent 2 2 5 2 2 4" xfId="2816" xr:uid="{00000000-0005-0000-0000-0000DC150000}"/>
    <cellStyle name="Percent 2 2 5 2 2 4 2" xfId="6016" xr:uid="{00000000-0005-0000-0000-0000DD150000}"/>
    <cellStyle name="Percent 2 2 5 2 2 4 2 2" xfId="12193" xr:uid="{B44D8696-B04D-48C1-A5DB-BEDCD3B71830}"/>
    <cellStyle name="Percent 2 2 5 2 2 4 3" xfId="8993" xr:uid="{76C38B94-4D2B-4615-89A6-4D41B891B7A6}"/>
    <cellStyle name="Percent 2 2 5 2 2 5" xfId="1934" xr:uid="{00000000-0005-0000-0000-0000DE150000}"/>
    <cellStyle name="Percent 2 2 5 2 2 5 2" xfId="6017" xr:uid="{00000000-0005-0000-0000-0000DF150000}"/>
    <cellStyle name="Percent 2 2 5 2 2 5 2 2" xfId="12194" xr:uid="{8AF8225D-8614-4313-A33C-32A4C2B79BDC}"/>
    <cellStyle name="Percent 2 2 5 2 2 5 3" xfId="8111" xr:uid="{FE840C66-1E94-4D72-99E7-251B768E24FA}"/>
    <cellStyle name="Percent 2 2 5 2 2 6" xfId="3698" xr:uid="{00000000-0005-0000-0000-0000E0150000}"/>
    <cellStyle name="Percent 2 2 5 2 2 6 2" xfId="9875" xr:uid="{F5D2EAA5-3C3A-4ECE-91FF-A35EAA880621}"/>
    <cellStyle name="Percent 2 2 5 2 2 7" xfId="1051" xr:uid="{00000000-0005-0000-0000-0000E1150000}"/>
    <cellStyle name="Percent 2 2 5 2 2 7 2" xfId="7228" xr:uid="{1968AB93-72C9-4F05-9F60-99BD191AC912}"/>
    <cellStyle name="Percent 2 2 5 2 2 8" xfId="6345" xr:uid="{24F849FA-D46A-473C-AACF-9172B52EF0AB}"/>
    <cellStyle name="Percent 2 2 5 2 3" xfId="278" xr:uid="{00000000-0005-0000-0000-0000E2150000}"/>
    <cellStyle name="Percent 2 2 5 2 3 2" xfId="719" xr:uid="{00000000-0005-0000-0000-0000E3150000}"/>
    <cellStyle name="Percent 2 2 5 2 3 2 2" xfId="3367" xr:uid="{00000000-0005-0000-0000-0000E4150000}"/>
    <cellStyle name="Percent 2 2 5 2 3 2 2 2" xfId="6018" xr:uid="{00000000-0005-0000-0000-0000E5150000}"/>
    <cellStyle name="Percent 2 2 5 2 3 2 2 2 2" xfId="12195" xr:uid="{F2F255FB-7FC3-4A8B-8CAC-8F6F602B4B62}"/>
    <cellStyle name="Percent 2 2 5 2 3 2 2 3" xfId="9544" xr:uid="{0B55DC8C-A605-4E53-8CB1-E0D35106E147}"/>
    <cellStyle name="Percent 2 2 5 2 3 2 3" xfId="2485" xr:uid="{00000000-0005-0000-0000-0000E6150000}"/>
    <cellStyle name="Percent 2 2 5 2 3 2 3 2" xfId="6019" xr:uid="{00000000-0005-0000-0000-0000E7150000}"/>
    <cellStyle name="Percent 2 2 5 2 3 2 3 2 2" xfId="12196" xr:uid="{800C10EB-226E-4D7E-A781-59A6C5FC4AE7}"/>
    <cellStyle name="Percent 2 2 5 2 3 2 3 3" xfId="8662" xr:uid="{322004F9-F394-4981-86AB-A7BF140AA478}"/>
    <cellStyle name="Percent 2 2 5 2 3 2 4" xfId="4249" xr:uid="{00000000-0005-0000-0000-0000E8150000}"/>
    <cellStyle name="Percent 2 2 5 2 3 2 4 2" xfId="10426" xr:uid="{97F438C2-FA15-443A-A63D-8B62D0518CE1}"/>
    <cellStyle name="Percent 2 2 5 2 3 2 5" xfId="1602" xr:uid="{00000000-0005-0000-0000-0000E9150000}"/>
    <cellStyle name="Percent 2 2 5 2 3 2 5 2" xfId="7779" xr:uid="{16DF5C4D-9D64-46DE-ABA4-426A54F4CD2D}"/>
    <cellStyle name="Percent 2 2 5 2 3 2 6" xfId="6896" xr:uid="{72840A59-C87C-4F0E-956C-22870F9DD55B}"/>
    <cellStyle name="Percent 2 2 5 2 3 3" xfId="2926" xr:uid="{00000000-0005-0000-0000-0000EA150000}"/>
    <cellStyle name="Percent 2 2 5 2 3 3 2" xfId="6020" xr:uid="{00000000-0005-0000-0000-0000EB150000}"/>
    <cellStyle name="Percent 2 2 5 2 3 3 2 2" xfId="12197" xr:uid="{0FEDD2F1-6881-46C7-B626-AD022CDFFC8E}"/>
    <cellStyle name="Percent 2 2 5 2 3 3 3" xfId="9103" xr:uid="{426C498E-89C1-4B49-A623-7C7FD75264FA}"/>
    <cellStyle name="Percent 2 2 5 2 3 4" xfId="2044" xr:uid="{00000000-0005-0000-0000-0000EC150000}"/>
    <cellStyle name="Percent 2 2 5 2 3 4 2" xfId="6021" xr:uid="{00000000-0005-0000-0000-0000ED150000}"/>
    <cellStyle name="Percent 2 2 5 2 3 4 2 2" xfId="12198" xr:uid="{243BBE1F-E816-4BE5-A796-E3E4F82B0565}"/>
    <cellStyle name="Percent 2 2 5 2 3 4 3" xfId="8221" xr:uid="{C1ADBFE1-9979-47B5-B61A-1171B35D00B8}"/>
    <cellStyle name="Percent 2 2 5 2 3 5" xfId="3808" xr:uid="{00000000-0005-0000-0000-0000EE150000}"/>
    <cellStyle name="Percent 2 2 5 2 3 5 2" xfId="9985" xr:uid="{440F436D-26D0-4FDD-AB37-0C6E6DE15E33}"/>
    <cellStyle name="Percent 2 2 5 2 3 6" xfId="1161" xr:uid="{00000000-0005-0000-0000-0000EF150000}"/>
    <cellStyle name="Percent 2 2 5 2 3 6 2" xfId="7338" xr:uid="{0938DD0A-A8F1-4540-A115-6E04E99D7511}"/>
    <cellStyle name="Percent 2 2 5 2 3 7" xfId="6455" xr:uid="{D1B515BB-EC07-4628-9345-8F77D0C67A72}"/>
    <cellStyle name="Percent 2 2 5 2 4" xfId="499" xr:uid="{00000000-0005-0000-0000-0000F0150000}"/>
    <cellStyle name="Percent 2 2 5 2 4 2" xfId="3147" xr:uid="{00000000-0005-0000-0000-0000F1150000}"/>
    <cellStyle name="Percent 2 2 5 2 4 2 2" xfId="6022" xr:uid="{00000000-0005-0000-0000-0000F2150000}"/>
    <cellStyle name="Percent 2 2 5 2 4 2 2 2" xfId="12199" xr:uid="{0A32D89C-DB43-4A61-8638-9D7C2A26064E}"/>
    <cellStyle name="Percent 2 2 5 2 4 2 3" xfId="9324" xr:uid="{9AB5C941-E55A-4EB4-B5E4-740808B9365F}"/>
    <cellStyle name="Percent 2 2 5 2 4 3" xfId="2265" xr:uid="{00000000-0005-0000-0000-0000F3150000}"/>
    <cellStyle name="Percent 2 2 5 2 4 3 2" xfId="6023" xr:uid="{00000000-0005-0000-0000-0000F4150000}"/>
    <cellStyle name="Percent 2 2 5 2 4 3 2 2" xfId="12200" xr:uid="{431B2717-E5A6-42C3-8D83-19F41B08527D}"/>
    <cellStyle name="Percent 2 2 5 2 4 3 3" xfId="8442" xr:uid="{C171A45A-999C-47CE-9690-382D4D397660}"/>
    <cellStyle name="Percent 2 2 5 2 4 4" xfId="4029" xr:uid="{00000000-0005-0000-0000-0000F5150000}"/>
    <cellStyle name="Percent 2 2 5 2 4 4 2" xfId="10206" xr:uid="{2EC37A3C-C236-424A-A38D-246D739603F5}"/>
    <cellStyle name="Percent 2 2 5 2 4 5" xfId="1382" xr:uid="{00000000-0005-0000-0000-0000F6150000}"/>
    <cellStyle name="Percent 2 2 5 2 4 5 2" xfId="7559" xr:uid="{507D33D4-DB28-4B33-A784-D84C3DA4F175}"/>
    <cellStyle name="Percent 2 2 5 2 4 6" xfId="6676" xr:uid="{AF8405F3-15D4-412D-85D4-0AED357BE6AF}"/>
    <cellStyle name="Percent 2 2 5 2 5" xfId="2706" xr:uid="{00000000-0005-0000-0000-0000F7150000}"/>
    <cellStyle name="Percent 2 2 5 2 5 2" xfId="6024" xr:uid="{00000000-0005-0000-0000-0000F8150000}"/>
    <cellStyle name="Percent 2 2 5 2 5 2 2" xfId="12201" xr:uid="{FD653E34-44F7-42EB-9F4C-0005B11C3017}"/>
    <cellStyle name="Percent 2 2 5 2 5 3" xfId="8883" xr:uid="{E45B8085-BDD2-428D-86E9-0E516BBE6832}"/>
    <cellStyle name="Percent 2 2 5 2 6" xfId="1824" xr:uid="{00000000-0005-0000-0000-0000F9150000}"/>
    <cellStyle name="Percent 2 2 5 2 6 2" xfId="6025" xr:uid="{00000000-0005-0000-0000-0000FA150000}"/>
    <cellStyle name="Percent 2 2 5 2 6 2 2" xfId="12202" xr:uid="{3ABA8831-DDBB-4FAC-A0C3-1D9992C682A4}"/>
    <cellStyle name="Percent 2 2 5 2 6 3" xfId="8001" xr:uid="{4452846C-D4AF-4504-84BD-DEC1F6C6A849}"/>
    <cellStyle name="Percent 2 2 5 2 7" xfId="3588" xr:uid="{00000000-0005-0000-0000-0000FB150000}"/>
    <cellStyle name="Percent 2 2 5 2 7 2" xfId="9765" xr:uid="{7FE801D2-0FD6-4035-8680-3587E14FCA94}"/>
    <cellStyle name="Percent 2 2 5 2 8" xfId="941" xr:uid="{00000000-0005-0000-0000-0000FC150000}"/>
    <cellStyle name="Percent 2 2 5 2 8 2" xfId="7118" xr:uid="{F83B20D7-8DC3-4EA7-81BB-89BC56FD8FBA}"/>
    <cellStyle name="Percent 2 2 5 2 9" xfId="6235" xr:uid="{E76FDE4A-F979-413E-B5A0-EC624E7D6D98}"/>
    <cellStyle name="Percent 2 2 5 3" xfId="74" xr:uid="{00000000-0005-0000-0000-0000FD150000}"/>
    <cellStyle name="Percent 2 2 5 3 2" xfId="184" xr:uid="{00000000-0005-0000-0000-0000FE150000}"/>
    <cellStyle name="Percent 2 2 5 3 2 2" xfId="404" xr:uid="{00000000-0005-0000-0000-0000FF150000}"/>
    <cellStyle name="Percent 2 2 5 3 2 2 2" xfId="845" xr:uid="{00000000-0005-0000-0000-000000160000}"/>
    <cellStyle name="Percent 2 2 5 3 2 2 2 2" xfId="3493" xr:uid="{00000000-0005-0000-0000-000001160000}"/>
    <cellStyle name="Percent 2 2 5 3 2 2 2 2 2" xfId="6026" xr:uid="{00000000-0005-0000-0000-000002160000}"/>
    <cellStyle name="Percent 2 2 5 3 2 2 2 2 2 2" xfId="12203" xr:uid="{0BEEEE2B-33D0-4584-9226-A3F34493E084}"/>
    <cellStyle name="Percent 2 2 5 3 2 2 2 2 3" xfId="9670" xr:uid="{F2BC7C43-CCA9-4697-9DA0-9152D900E32C}"/>
    <cellStyle name="Percent 2 2 5 3 2 2 2 3" xfId="2611" xr:uid="{00000000-0005-0000-0000-000003160000}"/>
    <cellStyle name="Percent 2 2 5 3 2 2 2 3 2" xfId="6027" xr:uid="{00000000-0005-0000-0000-000004160000}"/>
    <cellStyle name="Percent 2 2 5 3 2 2 2 3 2 2" xfId="12204" xr:uid="{161000A0-79B8-4347-8E82-BF0D58520A04}"/>
    <cellStyle name="Percent 2 2 5 3 2 2 2 3 3" xfId="8788" xr:uid="{9FE78359-D4B2-4FE5-8C11-892007966ACE}"/>
    <cellStyle name="Percent 2 2 5 3 2 2 2 4" xfId="4375" xr:uid="{00000000-0005-0000-0000-000005160000}"/>
    <cellStyle name="Percent 2 2 5 3 2 2 2 4 2" xfId="10552" xr:uid="{F5F587B2-5E00-40F9-BF98-BB81D5D9F0B8}"/>
    <cellStyle name="Percent 2 2 5 3 2 2 2 5" xfId="1728" xr:uid="{00000000-0005-0000-0000-000006160000}"/>
    <cellStyle name="Percent 2 2 5 3 2 2 2 5 2" xfId="7905" xr:uid="{EA1D6ED1-38EC-4CEB-9E15-ED3D0D5D0459}"/>
    <cellStyle name="Percent 2 2 5 3 2 2 2 6" xfId="7022" xr:uid="{CD99BF35-EAF0-40F7-A51C-56E2C2FCC14E}"/>
    <cellStyle name="Percent 2 2 5 3 2 2 3" xfId="3052" xr:uid="{00000000-0005-0000-0000-000007160000}"/>
    <cellStyle name="Percent 2 2 5 3 2 2 3 2" xfId="6028" xr:uid="{00000000-0005-0000-0000-000008160000}"/>
    <cellStyle name="Percent 2 2 5 3 2 2 3 2 2" xfId="12205" xr:uid="{74EC3BA4-F7D2-4FE4-AB0B-9879E191E2D8}"/>
    <cellStyle name="Percent 2 2 5 3 2 2 3 3" xfId="9229" xr:uid="{588E17D0-B81F-4DB4-A457-8F3EEC77B28A}"/>
    <cellStyle name="Percent 2 2 5 3 2 2 4" xfId="2170" xr:uid="{00000000-0005-0000-0000-000009160000}"/>
    <cellStyle name="Percent 2 2 5 3 2 2 4 2" xfId="6029" xr:uid="{00000000-0005-0000-0000-00000A160000}"/>
    <cellStyle name="Percent 2 2 5 3 2 2 4 2 2" xfId="12206" xr:uid="{28A1928C-4514-4892-A0D8-A065863D8F34}"/>
    <cellStyle name="Percent 2 2 5 3 2 2 4 3" xfId="8347" xr:uid="{1BD19FEC-9F4B-4718-B4E0-7F5CA2D6FBBC}"/>
    <cellStyle name="Percent 2 2 5 3 2 2 5" xfId="3934" xr:uid="{00000000-0005-0000-0000-00000B160000}"/>
    <cellStyle name="Percent 2 2 5 3 2 2 5 2" xfId="10111" xr:uid="{04EAEFE1-7149-424A-B034-621A9E04FF0F}"/>
    <cellStyle name="Percent 2 2 5 3 2 2 6" xfId="1287" xr:uid="{00000000-0005-0000-0000-00000C160000}"/>
    <cellStyle name="Percent 2 2 5 3 2 2 6 2" xfId="7464" xr:uid="{CA2EE524-BFEC-437A-A2B6-424BD4B5E232}"/>
    <cellStyle name="Percent 2 2 5 3 2 2 7" xfId="6581" xr:uid="{CB4273BE-BCC9-4757-AFE7-64BDB9E6CFF3}"/>
    <cellStyle name="Percent 2 2 5 3 2 3" xfId="625" xr:uid="{00000000-0005-0000-0000-00000D160000}"/>
    <cellStyle name="Percent 2 2 5 3 2 3 2" xfId="3273" xr:uid="{00000000-0005-0000-0000-00000E160000}"/>
    <cellStyle name="Percent 2 2 5 3 2 3 2 2" xfId="6030" xr:uid="{00000000-0005-0000-0000-00000F160000}"/>
    <cellStyle name="Percent 2 2 5 3 2 3 2 2 2" xfId="12207" xr:uid="{DF0FB034-724B-40A8-8598-54D1B1BDF7B2}"/>
    <cellStyle name="Percent 2 2 5 3 2 3 2 3" xfId="9450" xr:uid="{E88B2EA0-30AC-4395-86FE-735CA497ACC0}"/>
    <cellStyle name="Percent 2 2 5 3 2 3 3" xfId="2391" xr:uid="{00000000-0005-0000-0000-000010160000}"/>
    <cellStyle name="Percent 2 2 5 3 2 3 3 2" xfId="6031" xr:uid="{00000000-0005-0000-0000-000011160000}"/>
    <cellStyle name="Percent 2 2 5 3 2 3 3 2 2" xfId="12208" xr:uid="{FDD20DA6-052F-40CF-82C1-E729F98B0124}"/>
    <cellStyle name="Percent 2 2 5 3 2 3 3 3" xfId="8568" xr:uid="{377FD765-E172-4412-A23F-791AD5156F0C}"/>
    <cellStyle name="Percent 2 2 5 3 2 3 4" xfId="4155" xr:uid="{00000000-0005-0000-0000-000012160000}"/>
    <cellStyle name="Percent 2 2 5 3 2 3 4 2" xfId="10332" xr:uid="{058C60DF-5B9C-448C-8028-E8C38B5C38FB}"/>
    <cellStyle name="Percent 2 2 5 3 2 3 5" xfId="1508" xr:uid="{00000000-0005-0000-0000-000013160000}"/>
    <cellStyle name="Percent 2 2 5 3 2 3 5 2" xfId="7685" xr:uid="{46D43FF7-3F48-46B7-B5CD-D4F7299FC487}"/>
    <cellStyle name="Percent 2 2 5 3 2 3 6" xfId="6802" xr:uid="{0D43D514-6887-48A0-A3DB-F3E9B93EC4C1}"/>
    <cellStyle name="Percent 2 2 5 3 2 4" xfId="2832" xr:uid="{00000000-0005-0000-0000-000014160000}"/>
    <cellStyle name="Percent 2 2 5 3 2 4 2" xfId="6032" xr:uid="{00000000-0005-0000-0000-000015160000}"/>
    <cellStyle name="Percent 2 2 5 3 2 4 2 2" xfId="12209" xr:uid="{B43658AD-0B35-45E4-8BF5-7403CAFEA05E}"/>
    <cellStyle name="Percent 2 2 5 3 2 4 3" xfId="9009" xr:uid="{993033FC-2713-4516-9AAD-ECB29AD1A72A}"/>
    <cellStyle name="Percent 2 2 5 3 2 5" xfId="1950" xr:uid="{00000000-0005-0000-0000-000016160000}"/>
    <cellStyle name="Percent 2 2 5 3 2 5 2" xfId="6033" xr:uid="{00000000-0005-0000-0000-000017160000}"/>
    <cellStyle name="Percent 2 2 5 3 2 5 2 2" xfId="12210" xr:uid="{F83E6AF5-18B9-493E-B1F9-D3393E4C5C40}"/>
    <cellStyle name="Percent 2 2 5 3 2 5 3" xfId="8127" xr:uid="{77BF3605-47C1-4D64-A049-31A0C5656328}"/>
    <cellStyle name="Percent 2 2 5 3 2 6" xfId="3714" xr:uid="{00000000-0005-0000-0000-000018160000}"/>
    <cellStyle name="Percent 2 2 5 3 2 6 2" xfId="9891" xr:uid="{10D06BD8-3E8E-4A34-835A-A2FF99746FAB}"/>
    <cellStyle name="Percent 2 2 5 3 2 7" xfId="1067" xr:uid="{00000000-0005-0000-0000-000019160000}"/>
    <cellStyle name="Percent 2 2 5 3 2 7 2" xfId="7244" xr:uid="{3EB0EFDF-F144-4347-AAF7-E0854A7349E3}"/>
    <cellStyle name="Percent 2 2 5 3 2 8" xfId="6361" xr:uid="{7826B668-39CA-417E-B964-6540AD6D9F76}"/>
    <cellStyle name="Percent 2 2 5 3 3" xfId="294" xr:uid="{00000000-0005-0000-0000-00001A160000}"/>
    <cellStyle name="Percent 2 2 5 3 3 2" xfId="735" xr:uid="{00000000-0005-0000-0000-00001B160000}"/>
    <cellStyle name="Percent 2 2 5 3 3 2 2" xfId="3383" xr:uid="{00000000-0005-0000-0000-00001C160000}"/>
    <cellStyle name="Percent 2 2 5 3 3 2 2 2" xfId="6034" xr:uid="{00000000-0005-0000-0000-00001D160000}"/>
    <cellStyle name="Percent 2 2 5 3 3 2 2 2 2" xfId="12211" xr:uid="{021DB28C-943E-47CF-B90D-624C76BA63DD}"/>
    <cellStyle name="Percent 2 2 5 3 3 2 2 3" xfId="9560" xr:uid="{C2FA2CD6-0821-454B-8888-EB5A0FF6DC62}"/>
    <cellStyle name="Percent 2 2 5 3 3 2 3" xfId="2501" xr:uid="{00000000-0005-0000-0000-00001E160000}"/>
    <cellStyle name="Percent 2 2 5 3 3 2 3 2" xfId="6035" xr:uid="{00000000-0005-0000-0000-00001F160000}"/>
    <cellStyle name="Percent 2 2 5 3 3 2 3 2 2" xfId="12212" xr:uid="{0342092E-8331-4A03-9B97-4FDBAFDF6103}"/>
    <cellStyle name="Percent 2 2 5 3 3 2 3 3" xfId="8678" xr:uid="{4C566EEE-C3C6-4931-AB90-F299F14A76AC}"/>
    <cellStyle name="Percent 2 2 5 3 3 2 4" xfId="4265" xr:uid="{00000000-0005-0000-0000-000020160000}"/>
    <cellStyle name="Percent 2 2 5 3 3 2 4 2" xfId="10442" xr:uid="{6DD1BF2A-BD65-4D5E-B56E-B7B98D9E9577}"/>
    <cellStyle name="Percent 2 2 5 3 3 2 5" xfId="1618" xr:uid="{00000000-0005-0000-0000-000021160000}"/>
    <cellStyle name="Percent 2 2 5 3 3 2 5 2" xfId="7795" xr:uid="{9CB847E4-C1ED-4F27-BD29-AD8305D94DB2}"/>
    <cellStyle name="Percent 2 2 5 3 3 2 6" xfId="6912" xr:uid="{0A1EA92D-1FB9-4A49-AF65-EB8534CADC32}"/>
    <cellStyle name="Percent 2 2 5 3 3 3" xfId="2942" xr:uid="{00000000-0005-0000-0000-000022160000}"/>
    <cellStyle name="Percent 2 2 5 3 3 3 2" xfId="6036" xr:uid="{00000000-0005-0000-0000-000023160000}"/>
    <cellStyle name="Percent 2 2 5 3 3 3 2 2" xfId="12213" xr:uid="{3F543A73-3BD7-4AF4-963C-5111D8091123}"/>
    <cellStyle name="Percent 2 2 5 3 3 3 3" xfId="9119" xr:uid="{D30DF962-52CB-44DA-A64B-17FC8DC224A3}"/>
    <cellStyle name="Percent 2 2 5 3 3 4" xfId="2060" xr:uid="{00000000-0005-0000-0000-000024160000}"/>
    <cellStyle name="Percent 2 2 5 3 3 4 2" xfId="6037" xr:uid="{00000000-0005-0000-0000-000025160000}"/>
    <cellStyle name="Percent 2 2 5 3 3 4 2 2" xfId="12214" xr:uid="{A3D24B56-E0AA-492B-831D-6EA93C5D23C4}"/>
    <cellStyle name="Percent 2 2 5 3 3 4 3" xfId="8237" xr:uid="{85949B06-0C3B-46C9-AE11-AD61A784317B}"/>
    <cellStyle name="Percent 2 2 5 3 3 5" xfId="3824" xr:uid="{00000000-0005-0000-0000-000026160000}"/>
    <cellStyle name="Percent 2 2 5 3 3 5 2" xfId="10001" xr:uid="{5D00AF32-1D82-48BE-A82A-B3C1BFA70945}"/>
    <cellStyle name="Percent 2 2 5 3 3 6" xfId="1177" xr:uid="{00000000-0005-0000-0000-000027160000}"/>
    <cellStyle name="Percent 2 2 5 3 3 6 2" xfId="7354" xr:uid="{1DC8F6FB-520F-4244-A174-7B1FBD75737C}"/>
    <cellStyle name="Percent 2 2 5 3 3 7" xfId="6471" xr:uid="{B6AF5DB2-37C1-48E7-956D-246021BDCF30}"/>
    <cellStyle name="Percent 2 2 5 3 4" xfId="515" xr:uid="{00000000-0005-0000-0000-000028160000}"/>
    <cellStyle name="Percent 2 2 5 3 4 2" xfId="3163" xr:uid="{00000000-0005-0000-0000-000029160000}"/>
    <cellStyle name="Percent 2 2 5 3 4 2 2" xfId="6038" xr:uid="{00000000-0005-0000-0000-00002A160000}"/>
    <cellStyle name="Percent 2 2 5 3 4 2 2 2" xfId="12215" xr:uid="{76C5358E-0422-4E8A-A6BD-43A39AA08A9B}"/>
    <cellStyle name="Percent 2 2 5 3 4 2 3" xfId="9340" xr:uid="{F12BC142-7B8A-4B91-BAB2-F62962766E98}"/>
    <cellStyle name="Percent 2 2 5 3 4 3" xfId="2281" xr:uid="{00000000-0005-0000-0000-00002B160000}"/>
    <cellStyle name="Percent 2 2 5 3 4 3 2" xfId="6039" xr:uid="{00000000-0005-0000-0000-00002C160000}"/>
    <cellStyle name="Percent 2 2 5 3 4 3 2 2" xfId="12216" xr:uid="{5522C964-AE8D-4CF6-93D4-29DE5EF2244C}"/>
    <cellStyle name="Percent 2 2 5 3 4 3 3" xfId="8458" xr:uid="{ECB8C9CE-C665-4217-AFB8-2FF5365EBA48}"/>
    <cellStyle name="Percent 2 2 5 3 4 4" xfId="4045" xr:uid="{00000000-0005-0000-0000-00002D160000}"/>
    <cellStyle name="Percent 2 2 5 3 4 4 2" xfId="10222" xr:uid="{6F5830AF-7E2B-4F81-A33F-FC54707074F1}"/>
    <cellStyle name="Percent 2 2 5 3 4 5" xfId="1398" xr:uid="{00000000-0005-0000-0000-00002E160000}"/>
    <cellStyle name="Percent 2 2 5 3 4 5 2" xfId="7575" xr:uid="{52716918-9C08-43B9-A815-04E7E018783E}"/>
    <cellStyle name="Percent 2 2 5 3 4 6" xfId="6692" xr:uid="{92C0F5A9-8D81-454C-9B8D-20CEEFC44251}"/>
    <cellStyle name="Percent 2 2 5 3 5" xfId="2722" xr:uid="{00000000-0005-0000-0000-00002F160000}"/>
    <cellStyle name="Percent 2 2 5 3 5 2" xfId="6040" xr:uid="{00000000-0005-0000-0000-000030160000}"/>
    <cellStyle name="Percent 2 2 5 3 5 2 2" xfId="12217" xr:uid="{A2D46FC3-E765-4CF8-96D5-C9C59ED79B69}"/>
    <cellStyle name="Percent 2 2 5 3 5 3" xfId="8899" xr:uid="{6EB78B0D-C25A-4E63-8848-ABD8A13AB8AD}"/>
    <cellStyle name="Percent 2 2 5 3 6" xfId="1840" xr:uid="{00000000-0005-0000-0000-000031160000}"/>
    <cellStyle name="Percent 2 2 5 3 6 2" xfId="6041" xr:uid="{00000000-0005-0000-0000-000032160000}"/>
    <cellStyle name="Percent 2 2 5 3 6 2 2" xfId="12218" xr:uid="{430A1A1E-F359-4053-8638-A2A4CC9467CE}"/>
    <cellStyle name="Percent 2 2 5 3 6 3" xfId="8017" xr:uid="{539847F2-E95E-4056-9D94-369971C27917}"/>
    <cellStyle name="Percent 2 2 5 3 7" xfId="3604" xr:uid="{00000000-0005-0000-0000-000033160000}"/>
    <cellStyle name="Percent 2 2 5 3 7 2" xfId="9781" xr:uid="{D216C3B9-0B5A-4AA3-9BE4-60A0B6DF5983}"/>
    <cellStyle name="Percent 2 2 5 3 8" xfId="957" xr:uid="{00000000-0005-0000-0000-000034160000}"/>
    <cellStyle name="Percent 2 2 5 3 8 2" xfId="7134" xr:uid="{3646B593-09DE-481D-BAEC-650FCC015976}"/>
    <cellStyle name="Percent 2 2 5 3 9" xfId="6251" xr:uid="{9E264F23-71AB-4F89-AC2D-B2B90787995F}"/>
    <cellStyle name="Percent 2 2 5 4" xfId="90" xr:uid="{00000000-0005-0000-0000-000035160000}"/>
    <cellStyle name="Percent 2 2 5 4 2" xfId="200" xr:uid="{00000000-0005-0000-0000-000036160000}"/>
    <cellStyle name="Percent 2 2 5 4 2 2" xfId="420" xr:uid="{00000000-0005-0000-0000-000037160000}"/>
    <cellStyle name="Percent 2 2 5 4 2 2 2" xfId="861" xr:uid="{00000000-0005-0000-0000-000038160000}"/>
    <cellStyle name="Percent 2 2 5 4 2 2 2 2" xfId="3509" xr:uid="{00000000-0005-0000-0000-000039160000}"/>
    <cellStyle name="Percent 2 2 5 4 2 2 2 2 2" xfId="6042" xr:uid="{00000000-0005-0000-0000-00003A160000}"/>
    <cellStyle name="Percent 2 2 5 4 2 2 2 2 2 2" xfId="12219" xr:uid="{11027213-96E0-4880-84BF-43E990C800C3}"/>
    <cellStyle name="Percent 2 2 5 4 2 2 2 2 3" xfId="9686" xr:uid="{9DDB3D57-982C-4ECA-9A80-8DB09F7570C9}"/>
    <cellStyle name="Percent 2 2 5 4 2 2 2 3" xfId="2627" xr:uid="{00000000-0005-0000-0000-00003B160000}"/>
    <cellStyle name="Percent 2 2 5 4 2 2 2 3 2" xfId="6043" xr:uid="{00000000-0005-0000-0000-00003C160000}"/>
    <cellStyle name="Percent 2 2 5 4 2 2 2 3 2 2" xfId="12220" xr:uid="{A2BDB165-E671-4075-B59C-AE4FBC1BA278}"/>
    <cellStyle name="Percent 2 2 5 4 2 2 2 3 3" xfId="8804" xr:uid="{BCB3DB61-1966-48AA-B0D0-1283397F4B21}"/>
    <cellStyle name="Percent 2 2 5 4 2 2 2 4" xfId="4391" xr:uid="{00000000-0005-0000-0000-00003D160000}"/>
    <cellStyle name="Percent 2 2 5 4 2 2 2 4 2" xfId="10568" xr:uid="{73997B64-69C5-49E8-955D-BF904425338E}"/>
    <cellStyle name="Percent 2 2 5 4 2 2 2 5" xfId="1744" xr:uid="{00000000-0005-0000-0000-00003E160000}"/>
    <cellStyle name="Percent 2 2 5 4 2 2 2 5 2" xfId="7921" xr:uid="{2E57D4C0-08EC-4DA8-A329-9BD885833B43}"/>
    <cellStyle name="Percent 2 2 5 4 2 2 2 6" xfId="7038" xr:uid="{321A9822-CA7E-4936-B876-3237E10F8665}"/>
    <cellStyle name="Percent 2 2 5 4 2 2 3" xfId="3068" xr:uid="{00000000-0005-0000-0000-00003F160000}"/>
    <cellStyle name="Percent 2 2 5 4 2 2 3 2" xfId="6044" xr:uid="{00000000-0005-0000-0000-000040160000}"/>
    <cellStyle name="Percent 2 2 5 4 2 2 3 2 2" xfId="12221" xr:uid="{F3C62534-5683-42A1-BB1E-8193E82BD801}"/>
    <cellStyle name="Percent 2 2 5 4 2 2 3 3" xfId="9245" xr:uid="{B00D0DAA-BC21-4CB4-BAD2-BFFD1D7C9E78}"/>
    <cellStyle name="Percent 2 2 5 4 2 2 4" xfId="2186" xr:uid="{00000000-0005-0000-0000-000041160000}"/>
    <cellStyle name="Percent 2 2 5 4 2 2 4 2" xfId="6045" xr:uid="{00000000-0005-0000-0000-000042160000}"/>
    <cellStyle name="Percent 2 2 5 4 2 2 4 2 2" xfId="12222" xr:uid="{0342E7A4-25C1-4ABB-A550-E677AFDDF434}"/>
    <cellStyle name="Percent 2 2 5 4 2 2 4 3" xfId="8363" xr:uid="{A282A9B7-F219-48FB-B63E-1179F95A994D}"/>
    <cellStyle name="Percent 2 2 5 4 2 2 5" xfId="3950" xr:uid="{00000000-0005-0000-0000-000043160000}"/>
    <cellStyle name="Percent 2 2 5 4 2 2 5 2" xfId="10127" xr:uid="{B47FE934-863B-4AA3-8B1E-94E4A05F4545}"/>
    <cellStyle name="Percent 2 2 5 4 2 2 6" xfId="1303" xr:uid="{00000000-0005-0000-0000-000044160000}"/>
    <cellStyle name="Percent 2 2 5 4 2 2 6 2" xfId="7480" xr:uid="{5C8A8102-0B8C-4151-9F22-94F2E7575BC7}"/>
    <cellStyle name="Percent 2 2 5 4 2 2 7" xfId="6597" xr:uid="{B216AA40-B9ED-4EA1-AFFC-F4F723AB57A9}"/>
    <cellStyle name="Percent 2 2 5 4 2 3" xfId="641" xr:uid="{00000000-0005-0000-0000-000045160000}"/>
    <cellStyle name="Percent 2 2 5 4 2 3 2" xfId="3289" xr:uid="{00000000-0005-0000-0000-000046160000}"/>
    <cellStyle name="Percent 2 2 5 4 2 3 2 2" xfId="6046" xr:uid="{00000000-0005-0000-0000-000047160000}"/>
    <cellStyle name="Percent 2 2 5 4 2 3 2 2 2" xfId="12223" xr:uid="{2EED5E7C-1DB9-4A76-863E-5EDB13571687}"/>
    <cellStyle name="Percent 2 2 5 4 2 3 2 3" xfId="9466" xr:uid="{FC52E0D5-FFBA-48D8-AE38-CEFCFD97E6BF}"/>
    <cellStyle name="Percent 2 2 5 4 2 3 3" xfId="2407" xr:uid="{00000000-0005-0000-0000-000048160000}"/>
    <cellStyle name="Percent 2 2 5 4 2 3 3 2" xfId="6047" xr:uid="{00000000-0005-0000-0000-000049160000}"/>
    <cellStyle name="Percent 2 2 5 4 2 3 3 2 2" xfId="12224" xr:uid="{6A25EA65-BF6F-4804-96DA-9472E481E8D6}"/>
    <cellStyle name="Percent 2 2 5 4 2 3 3 3" xfId="8584" xr:uid="{33CF8D5E-3CE5-4671-92DE-DE7F8B27ABA9}"/>
    <cellStyle name="Percent 2 2 5 4 2 3 4" xfId="4171" xr:uid="{00000000-0005-0000-0000-00004A160000}"/>
    <cellStyle name="Percent 2 2 5 4 2 3 4 2" xfId="10348" xr:uid="{7C723FE1-7D78-4006-B7CA-CBCAB4035AF5}"/>
    <cellStyle name="Percent 2 2 5 4 2 3 5" xfId="1524" xr:uid="{00000000-0005-0000-0000-00004B160000}"/>
    <cellStyle name="Percent 2 2 5 4 2 3 5 2" xfId="7701" xr:uid="{D5876CC2-5722-45C0-9045-7B0243BAC519}"/>
    <cellStyle name="Percent 2 2 5 4 2 3 6" xfId="6818" xr:uid="{4AECD5F8-5DD2-473A-9AC1-9B926DAED1AB}"/>
    <cellStyle name="Percent 2 2 5 4 2 4" xfId="2848" xr:uid="{00000000-0005-0000-0000-00004C160000}"/>
    <cellStyle name="Percent 2 2 5 4 2 4 2" xfId="6048" xr:uid="{00000000-0005-0000-0000-00004D160000}"/>
    <cellStyle name="Percent 2 2 5 4 2 4 2 2" xfId="12225" xr:uid="{4102A004-3A69-4C6F-BEC0-8F90F0A1BC21}"/>
    <cellStyle name="Percent 2 2 5 4 2 4 3" xfId="9025" xr:uid="{ABDB28DF-E39E-4BEC-8A35-C27FA763D6BE}"/>
    <cellStyle name="Percent 2 2 5 4 2 5" xfId="1966" xr:uid="{00000000-0005-0000-0000-00004E160000}"/>
    <cellStyle name="Percent 2 2 5 4 2 5 2" xfId="6049" xr:uid="{00000000-0005-0000-0000-00004F160000}"/>
    <cellStyle name="Percent 2 2 5 4 2 5 2 2" xfId="12226" xr:uid="{C64876CC-08F1-4A49-B007-7AEC3934F3AA}"/>
    <cellStyle name="Percent 2 2 5 4 2 5 3" xfId="8143" xr:uid="{0B3A53E6-BDC5-4E57-97A7-99445B93080A}"/>
    <cellStyle name="Percent 2 2 5 4 2 6" xfId="3730" xr:uid="{00000000-0005-0000-0000-000050160000}"/>
    <cellStyle name="Percent 2 2 5 4 2 6 2" xfId="9907" xr:uid="{E8419F67-1A55-4499-92CD-11DD82BDD10E}"/>
    <cellStyle name="Percent 2 2 5 4 2 7" xfId="1083" xr:uid="{00000000-0005-0000-0000-000051160000}"/>
    <cellStyle name="Percent 2 2 5 4 2 7 2" xfId="7260" xr:uid="{2CB8F3FA-B6DF-488B-9B0B-F7F66538E039}"/>
    <cellStyle name="Percent 2 2 5 4 2 8" xfId="6377" xr:uid="{8ECADF97-5741-4757-92AE-FBE41AB265CC}"/>
    <cellStyle name="Percent 2 2 5 4 3" xfId="310" xr:uid="{00000000-0005-0000-0000-000052160000}"/>
    <cellStyle name="Percent 2 2 5 4 3 2" xfId="751" xr:uid="{00000000-0005-0000-0000-000053160000}"/>
    <cellStyle name="Percent 2 2 5 4 3 2 2" xfId="3399" xr:uid="{00000000-0005-0000-0000-000054160000}"/>
    <cellStyle name="Percent 2 2 5 4 3 2 2 2" xfId="6050" xr:uid="{00000000-0005-0000-0000-000055160000}"/>
    <cellStyle name="Percent 2 2 5 4 3 2 2 2 2" xfId="12227" xr:uid="{6BA0B117-F77D-4A88-863C-C435ACA247FB}"/>
    <cellStyle name="Percent 2 2 5 4 3 2 2 3" xfId="9576" xr:uid="{FE4974D2-7DD4-427F-BD50-9FFAE4D6A062}"/>
    <cellStyle name="Percent 2 2 5 4 3 2 3" xfId="2517" xr:uid="{00000000-0005-0000-0000-000056160000}"/>
    <cellStyle name="Percent 2 2 5 4 3 2 3 2" xfId="6051" xr:uid="{00000000-0005-0000-0000-000057160000}"/>
    <cellStyle name="Percent 2 2 5 4 3 2 3 2 2" xfId="12228" xr:uid="{BB2C7AA7-309F-4A8B-97AD-24F230EF87DA}"/>
    <cellStyle name="Percent 2 2 5 4 3 2 3 3" xfId="8694" xr:uid="{34E53D79-4811-4D30-96A1-0F4DF2844AAD}"/>
    <cellStyle name="Percent 2 2 5 4 3 2 4" xfId="4281" xr:uid="{00000000-0005-0000-0000-000058160000}"/>
    <cellStyle name="Percent 2 2 5 4 3 2 4 2" xfId="10458" xr:uid="{F0C59716-1B05-41B8-A507-41A367AC9D6C}"/>
    <cellStyle name="Percent 2 2 5 4 3 2 5" xfId="1634" xr:uid="{00000000-0005-0000-0000-000059160000}"/>
    <cellStyle name="Percent 2 2 5 4 3 2 5 2" xfId="7811" xr:uid="{12080C7B-8F4B-45BE-8149-FF87189883E1}"/>
    <cellStyle name="Percent 2 2 5 4 3 2 6" xfId="6928" xr:uid="{2286C409-3395-4D5B-868B-0164786C21DE}"/>
    <cellStyle name="Percent 2 2 5 4 3 3" xfId="2958" xr:uid="{00000000-0005-0000-0000-00005A160000}"/>
    <cellStyle name="Percent 2 2 5 4 3 3 2" xfId="6052" xr:uid="{00000000-0005-0000-0000-00005B160000}"/>
    <cellStyle name="Percent 2 2 5 4 3 3 2 2" xfId="12229" xr:uid="{463D7602-4C08-4F99-9CB8-2497C9E619C4}"/>
    <cellStyle name="Percent 2 2 5 4 3 3 3" xfId="9135" xr:uid="{AD70A47C-8E33-4352-93D0-0926EB41A889}"/>
    <cellStyle name="Percent 2 2 5 4 3 4" xfId="2076" xr:uid="{00000000-0005-0000-0000-00005C160000}"/>
    <cellStyle name="Percent 2 2 5 4 3 4 2" xfId="6053" xr:uid="{00000000-0005-0000-0000-00005D160000}"/>
    <cellStyle name="Percent 2 2 5 4 3 4 2 2" xfId="12230" xr:uid="{859DB838-DD55-4847-BF44-295B88842ECD}"/>
    <cellStyle name="Percent 2 2 5 4 3 4 3" xfId="8253" xr:uid="{5372DD46-61BC-49F9-B944-1D316652D9FF}"/>
    <cellStyle name="Percent 2 2 5 4 3 5" xfId="3840" xr:uid="{00000000-0005-0000-0000-00005E160000}"/>
    <cellStyle name="Percent 2 2 5 4 3 5 2" xfId="10017" xr:uid="{45B1DB0E-3723-4E3A-98A0-82D7C0327382}"/>
    <cellStyle name="Percent 2 2 5 4 3 6" xfId="1193" xr:uid="{00000000-0005-0000-0000-00005F160000}"/>
    <cellStyle name="Percent 2 2 5 4 3 6 2" xfId="7370" xr:uid="{A7E5F71C-C2E1-4F7E-9B97-E6C845A28EC1}"/>
    <cellStyle name="Percent 2 2 5 4 3 7" xfId="6487" xr:uid="{534AF185-D948-4E67-A90E-4FB467D91A8C}"/>
    <cellStyle name="Percent 2 2 5 4 4" xfId="531" xr:uid="{00000000-0005-0000-0000-000060160000}"/>
    <cellStyle name="Percent 2 2 5 4 4 2" xfId="3179" xr:uid="{00000000-0005-0000-0000-000061160000}"/>
    <cellStyle name="Percent 2 2 5 4 4 2 2" xfId="6054" xr:uid="{00000000-0005-0000-0000-000062160000}"/>
    <cellStyle name="Percent 2 2 5 4 4 2 2 2" xfId="12231" xr:uid="{6135D2AB-2059-402A-A5D4-33C00A963E8E}"/>
    <cellStyle name="Percent 2 2 5 4 4 2 3" xfId="9356" xr:uid="{044AB6E7-6A4F-484F-9700-54F7DF214DD4}"/>
    <cellStyle name="Percent 2 2 5 4 4 3" xfId="2297" xr:uid="{00000000-0005-0000-0000-000063160000}"/>
    <cellStyle name="Percent 2 2 5 4 4 3 2" xfId="6055" xr:uid="{00000000-0005-0000-0000-000064160000}"/>
    <cellStyle name="Percent 2 2 5 4 4 3 2 2" xfId="12232" xr:uid="{9BEE7248-81DC-4936-A53E-BBC6EC4F8AFD}"/>
    <cellStyle name="Percent 2 2 5 4 4 3 3" xfId="8474" xr:uid="{F52B2168-042B-483E-B4FF-6037044FA0A2}"/>
    <cellStyle name="Percent 2 2 5 4 4 4" xfId="4061" xr:uid="{00000000-0005-0000-0000-000065160000}"/>
    <cellStyle name="Percent 2 2 5 4 4 4 2" xfId="10238" xr:uid="{01FC2FD8-5EB6-4088-AE7D-34547090B09B}"/>
    <cellStyle name="Percent 2 2 5 4 4 5" xfId="1414" xr:uid="{00000000-0005-0000-0000-000066160000}"/>
    <cellStyle name="Percent 2 2 5 4 4 5 2" xfId="7591" xr:uid="{906B9241-2FE3-47CF-9D78-C0715DF869C4}"/>
    <cellStyle name="Percent 2 2 5 4 4 6" xfId="6708" xr:uid="{746EF8E7-B1CD-4DF5-894F-EA264F2FF8C5}"/>
    <cellStyle name="Percent 2 2 5 4 5" xfId="2738" xr:uid="{00000000-0005-0000-0000-000067160000}"/>
    <cellStyle name="Percent 2 2 5 4 5 2" xfId="6056" xr:uid="{00000000-0005-0000-0000-000068160000}"/>
    <cellStyle name="Percent 2 2 5 4 5 2 2" xfId="12233" xr:uid="{7E643ECE-9B57-494E-A356-11CEF5C5B971}"/>
    <cellStyle name="Percent 2 2 5 4 5 3" xfId="8915" xr:uid="{DC37DD54-D1BE-4770-BA5F-482FC12EAE35}"/>
    <cellStyle name="Percent 2 2 5 4 6" xfId="1856" xr:uid="{00000000-0005-0000-0000-000069160000}"/>
    <cellStyle name="Percent 2 2 5 4 6 2" xfId="6057" xr:uid="{00000000-0005-0000-0000-00006A160000}"/>
    <cellStyle name="Percent 2 2 5 4 6 2 2" xfId="12234" xr:uid="{99689CCB-BF77-429F-8D4A-671412562BDD}"/>
    <cellStyle name="Percent 2 2 5 4 6 3" xfId="8033" xr:uid="{CA8FFAA9-9851-446D-8326-108FF0BF4358}"/>
    <cellStyle name="Percent 2 2 5 4 7" xfId="3620" xr:uid="{00000000-0005-0000-0000-00006B160000}"/>
    <cellStyle name="Percent 2 2 5 4 7 2" xfId="9797" xr:uid="{AA0AD943-BA75-47EF-95FE-350874EFD26C}"/>
    <cellStyle name="Percent 2 2 5 4 8" xfId="973" xr:uid="{00000000-0005-0000-0000-00006C160000}"/>
    <cellStyle name="Percent 2 2 5 4 8 2" xfId="7150" xr:uid="{80D4A41E-9A1F-42A0-8262-26110734DB0F}"/>
    <cellStyle name="Percent 2 2 5 4 9" xfId="6267" xr:uid="{00028A0C-F344-4C8D-9C5B-D56CBAC46A02}"/>
    <cellStyle name="Percent 2 2 5 5" xfId="134" xr:uid="{00000000-0005-0000-0000-00006D160000}"/>
    <cellStyle name="Percent 2 2 5 5 2" xfId="354" xr:uid="{00000000-0005-0000-0000-00006E160000}"/>
    <cellStyle name="Percent 2 2 5 5 2 2" xfId="795" xr:uid="{00000000-0005-0000-0000-00006F160000}"/>
    <cellStyle name="Percent 2 2 5 5 2 2 2" xfId="3443" xr:uid="{00000000-0005-0000-0000-000070160000}"/>
    <cellStyle name="Percent 2 2 5 5 2 2 2 2" xfId="6058" xr:uid="{00000000-0005-0000-0000-000071160000}"/>
    <cellStyle name="Percent 2 2 5 5 2 2 2 2 2" xfId="12235" xr:uid="{F564A4A7-24AA-4BAB-BAAF-AC6875F8BB07}"/>
    <cellStyle name="Percent 2 2 5 5 2 2 2 3" xfId="9620" xr:uid="{E7652ABC-6C93-4F72-928F-765C09E85EFF}"/>
    <cellStyle name="Percent 2 2 5 5 2 2 3" xfId="2561" xr:uid="{00000000-0005-0000-0000-000072160000}"/>
    <cellStyle name="Percent 2 2 5 5 2 2 3 2" xfId="6059" xr:uid="{00000000-0005-0000-0000-000073160000}"/>
    <cellStyle name="Percent 2 2 5 5 2 2 3 2 2" xfId="12236" xr:uid="{2C849F04-3D58-4919-A96E-5F2BB390D9A2}"/>
    <cellStyle name="Percent 2 2 5 5 2 2 3 3" xfId="8738" xr:uid="{AAAC5547-FF8A-4816-971E-232ECE565386}"/>
    <cellStyle name="Percent 2 2 5 5 2 2 4" xfId="4325" xr:uid="{00000000-0005-0000-0000-000074160000}"/>
    <cellStyle name="Percent 2 2 5 5 2 2 4 2" xfId="10502" xr:uid="{5246F79F-AB50-4AEC-A546-A73F7A0AACED}"/>
    <cellStyle name="Percent 2 2 5 5 2 2 5" xfId="1678" xr:uid="{00000000-0005-0000-0000-000075160000}"/>
    <cellStyle name="Percent 2 2 5 5 2 2 5 2" xfId="7855" xr:uid="{3864683A-2FCF-40CB-80AF-0B52460E967E}"/>
    <cellStyle name="Percent 2 2 5 5 2 2 6" xfId="6972" xr:uid="{F8E65793-47CB-48A9-A155-A8CA1E794E04}"/>
    <cellStyle name="Percent 2 2 5 5 2 3" xfId="3002" xr:uid="{00000000-0005-0000-0000-000076160000}"/>
    <cellStyle name="Percent 2 2 5 5 2 3 2" xfId="6060" xr:uid="{00000000-0005-0000-0000-000077160000}"/>
    <cellStyle name="Percent 2 2 5 5 2 3 2 2" xfId="12237" xr:uid="{F0BA33A3-0612-4EEB-98AA-6751E08999F5}"/>
    <cellStyle name="Percent 2 2 5 5 2 3 3" xfId="9179" xr:uid="{07CBC0C5-8A9F-46E6-A3A8-4693DC27CD6B}"/>
    <cellStyle name="Percent 2 2 5 5 2 4" xfId="2120" xr:uid="{00000000-0005-0000-0000-000078160000}"/>
    <cellStyle name="Percent 2 2 5 5 2 4 2" xfId="6061" xr:uid="{00000000-0005-0000-0000-000079160000}"/>
    <cellStyle name="Percent 2 2 5 5 2 4 2 2" xfId="12238" xr:uid="{F4178A4A-ACBF-4204-BC35-EE2E0C9C3F11}"/>
    <cellStyle name="Percent 2 2 5 5 2 4 3" xfId="8297" xr:uid="{44D8F5DD-9AC5-45CE-9C60-4D08A7990732}"/>
    <cellStyle name="Percent 2 2 5 5 2 5" xfId="3884" xr:uid="{00000000-0005-0000-0000-00007A160000}"/>
    <cellStyle name="Percent 2 2 5 5 2 5 2" xfId="10061" xr:uid="{B380E295-079B-4132-AB46-B4ECD4110CEC}"/>
    <cellStyle name="Percent 2 2 5 5 2 6" xfId="1237" xr:uid="{00000000-0005-0000-0000-00007B160000}"/>
    <cellStyle name="Percent 2 2 5 5 2 6 2" xfId="7414" xr:uid="{A202AE84-016B-4028-8330-F6B2F651E43D}"/>
    <cellStyle name="Percent 2 2 5 5 2 7" xfId="6531" xr:uid="{1C90C696-B101-490D-9A14-D9C8CDB42589}"/>
    <cellStyle name="Percent 2 2 5 5 3" xfId="575" xr:uid="{00000000-0005-0000-0000-00007C160000}"/>
    <cellStyle name="Percent 2 2 5 5 3 2" xfId="3223" xr:uid="{00000000-0005-0000-0000-00007D160000}"/>
    <cellStyle name="Percent 2 2 5 5 3 2 2" xfId="6062" xr:uid="{00000000-0005-0000-0000-00007E160000}"/>
    <cellStyle name="Percent 2 2 5 5 3 2 2 2" xfId="12239" xr:uid="{4B350788-84ED-4AE1-936D-2AB7430DDF85}"/>
    <cellStyle name="Percent 2 2 5 5 3 2 3" xfId="9400" xr:uid="{E4C39BCB-393C-4706-B03F-68F048750E93}"/>
    <cellStyle name="Percent 2 2 5 5 3 3" xfId="2341" xr:uid="{00000000-0005-0000-0000-00007F160000}"/>
    <cellStyle name="Percent 2 2 5 5 3 3 2" xfId="6063" xr:uid="{00000000-0005-0000-0000-000080160000}"/>
    <cellStyle name="Percent 2 2 5 5 3 3 2 2" xfId="12240" xr:uid="{1713FB94-C186-4256-AB6F-160BBD0CA7EA}"/>
    <cellStyle name="Percent 2 2 5 5 3 3 3" xfId="8518" xr:uid="{0B874B64-4156-4167-808F-C6D109E85BF7}"/>
    <cellStyle name="Percent 2 2 5 5 3 4" xfId="4105" xr:uid="{00000000-0005-0000-0000-000081160000}"/>
    <cellStyle name="Percent 2 2 5 5 3 4 2" xfId="10282" xr:uid="{D5ED26AB-051E-4448-A6E2-11EA6DD46504}"/>
    <cellStyle name="Percent 2 2 5 5 3 5" xfId="1458" xr:uid="{00000000-0005-0000-0000-000082160000}"/>
    <cellStyle name="Percent 2 2 5 5 3 5 2" xfId="7635" xr:uid="{B341B583-1247-48F0-9187-FBA08E50D91F}"/>
    <cellStyle name="Percent 2 2 5 5 3 6" xfId="6752" xr:uid="{286BF247-10BD-45D8-8190-E43440B50462}"/>
    <cellStyle name="Percent 2 2 5 5 4" xfId="2782" xr:uid="{00000000-0005-0000-0000-000083160000}"/>
    <cellStyle name="Percent 2 2 5 5 4 2" xfId="6064" xr:uid="{00000000-0005-0000-0000-000084160000}"/>
    <cellStyle name="Percent 2 2 5 5 4 2 2" xfId="12241" xr:uid="{ABE65121-D8F5-45E5-8ABB-7DE0BC177CC5}"/>
    <cellStyle name="Percent 2 2 5 5 4 3" xfId="8959" xr:uid="{94FF0549-751B-4BC0-9B42-A4167EA11822}"/>
    <cellStyle name="Percent 2 2 5 5 5" xfId="1900" xr:uid="{00000000-0005-0000-0000-000085160000}"/>
    <cellStyle name="Percent 2 2 5 5 5 2" xfId="6065" xr:uid="{00000000-0005-0000-0000-000086160000}"/>
    <cellStyle name="Percent 2 2 5 5 5 2 2" xfId="12242" xr:uid="{9A1A1CBA-42FE-41DE-9925-6BE61A234B80}"/>
    <cellStyle name="Percent 2 2 5 5 5 3" xfId="8077" xr:uid="{6C89A192-73BB-44CB-B407-081DC4757EA2}"/>
    <cellStyle name="Percent 2 2 5 5 6" xfId="3664" xr:uid="{00000000-0005-0000-0000-000087160000}"/>
    <cellStyle name="Percent 2 2 5 5 6 2" xfId="9841" xr:uid="{8D08F5AF-A437-4992-850D-67734D581799}"/>
    <cellStyle name="Percent 2 2 5 5 7" xfId="1017" xr:uid="{00000000-0005-0000-0000-000088160000}"/>
    <cellStyle name="Percent 2 2 5 5 7 2" xfId="7194" xr:uid="{4959F750-4FED-4205-8B24-216E04E250B5}"/>
    <cellStyle name="Percent 2 2 5 5 8" xfId="6311" xr:uid="{24404C4A-4349-4CC0-A956-88869C8AD476}"/>
    <cellStyle name="Percent 2 2 5 6" xfId="244" xr:uid="{00000000-0005-0000-0000-000089160000}"/>
    <cellStyle name="Percent 2 2 5 6 2" xfId="685" xr:uid="{00000000-0005-0000-0000-00008A160000}"/>
    <cellStyle name="Percent 2 2 5 6 2 2" xfId="3333" xr:uid="{00000000-0005-0000-0000-00008B160000}"/>
    <cellStyle name="Percent 2 2 5 6 2 2 2" xfId="6066" xr:uid="{00000000-0005-0000-0000-00008C160000}"/>
    <cellStyle name="Percent 2 2 5 6 2 2 2 2" xfId="12243" xr:uid="{B288B3AE-E3E8-40EA-87CD-C7E9C9EB7F4C}"/>
    <cellStyle name="Percent 2 2 5 6 2 2 3" xfId="9510" xr:uid="{EB67D753-6C18-4512-A428-95CBA4E6A564}"/>
    <cellStyle name="Percent 2 2 5 6 2 3" xfId="2451" xr:uid="{00000000-0005-0000-0000-00008D160000}"/>
    <cellStyle name="Percent 2 2 5 6 2 3 2" xfId="6067" xr:uid="{00000000-0005-0000-0000-00008E160000}"/>
    <cellStyle name="Percent 2 2 5 6 2 3 2 2" xfId="12244" xr:uid="{741DE41C-E443-4D04-A78E-DFD2C6DF42FB}"/>
    <cellStyle name="Percent 2 2 5 6 2 3 3" xfId="8628" xr:uid="{BB1CA4D7-8BBE-49C5-BED8-636F5B88951F}"/>
    <cellStyle name="Percent 2 2 5 6 2 4" xfId="4215" xr:uid="{00000000-0005-0000-0000-00008F160000}"/>
    <cellStyle name="Percent 2 2 5 6 2 4 2" xfId="10392" xr:uid="{59447B5F-F2F7-4778-A5B3-4D2E4D0D466F}"/>
    <cellStyle name="Percent 2 2 5 6 2 5" xfId="1568" xr:uid="{00000000-0005-0000-0000-000090160000}"/>
    <cellStyle name="Percent 2 2 5 6 2 5 2" xfId="7745" xr:uid="{3FB59EEC-85B4-43DC-9FA1-3C337C07E943}"/>
    <cellStyle name="Percent 2 2 5 6 2 6" xfId="6862" xr:uid="{451F36CE-835F-4F21-ACC1-5A9DA943A9E7}"/>
    <cellStyle name="Percent 2 2 5 6 3" xfId="2892" xr:uid="{00000000-0005-0000-0000-000091160000}"/>
    <cellStyle name="Percent 2 2 5 6 3 2" xfId="6068" xr:uid="{00000000-0005-0000-0000-000092160000}"/>
    <cellStyle name="Percent 2 2 5 6 3 2 2" xfId="12245" xr:uid="{0A2CF676-0F51-44F2-9AC2-BF75D6B950F0}"/>
    <cellStyle name="Percent 2 2 5 6 3 3" xfId="9069" xr:uid="{06E0EBDC-6BF6-4F3C-BB79-4EFE93C0F46F}"/>
    <cellStyle name="Percent 2 2 5 6 4" xfId="2010" xr:uid="{00000000-0005-0000-0000-000093160000}"/>
    <cellStyle name="Percent 2 2 5 6 4 2" xfId="6069" xr:uid="{00000000-0005-0000-0000-000094160000}"/>
    <cellStyle name="Percent 2 2 5 6 4 2 2" xfId="12246" xr:uid="{31010AE5-FCAA-4C78-9037-6B9AEA79413A}"/>
    <cellStyle name="Percent 2 2 5 6 4 3" xfId="8187" xr:uid="{DA677D0B-AFF5-464E-B73F-74092B6F4C87}"/>
    <cellStyle name="Percent 2 2 5 6 5" xfId="3774" xr:uid="{00000000-0005-0000-0000-000095160000}"/>
    <cellStyle name="Percent 2 2 5 6 5 2" xfId="9951" xr:uid="{810C41B7-E87C-46C1-AF04-76E66FA5E45D}"/>
    <cellStyle name="Percent 2 2 5 6 6" xfId="1127" xr:uid="{00000000-0005-0000-0000-000096160000}"/>
    <cellStyle name="Percent 2 2 5 6 6 2" xfId="7304" xr:uid="{2788BC1D-CFAF-47A7-800B-11740B54FD26}"/>
    <cellStyle name="Percent 2 2 5 6 7" xfId="6421" xr:uid="{C175B09E-B8B5-4D8A-804F-47F5F7255DB4}"/>
    <cellStyle name="Percent 2 2 5 7" xfId="465" xr:uid="{00000000-0005-0000-0000-000097160000}"/>
    <cellStyle name="Percent 2 2 5 7 2" xfId="3113" xr:uid="{00000000-0005-0000-0000-000098160000}"/>
    <cellStyle name="Percent 2 2 5 7 2 2" xfId="6070" xr:uid="{00000000-0005-0000-0000-000099160000}"/>
    <cellStyle name="Percent 2 2 5 7 2 2 2" xfId="12247" xr:uid="{8A4545FC-E943-41D1-823A-80EF58226CF8}"/>
    <cellStyle name="Percent 2 2 5 7 2 3" xfId="9290" xr:uid="{3FA19156-F87B-45E3-ADA1-D754C60DAC5C}"/>
    <cellStyle name="Percent 2 2 5 7 3" xfId="2231" xr:uid="{00000000-0005-0000-0000-00009A160000}"/>
    <cellStyle name="Percent 2 2 5 7 3 2" xfId="6071" xr:uid="{00000000-0005-0000-0000-00009B160000}"/>
    <cellStyle name="Percent 2 2 5 7 3 2 2" xfId="12248" xr:uid="{287DC0E7-30B8-4404-AC06-389645D8FEFD}"/>
    <cellStyle name="Percent 2 2 5 7 3 3" xfId="8408" xr:uid="{334815BF-04D4-47F9-9749-5E938F0149FE}"/>
    <cellStyle name="Percent 2 2 5 7 4" xfId="3995" xr:uid="{00000000-0005-0000-0000-00009C160000}"/>
    <cellStyle name="Percent 2 2 5 7 4 2" xfId="10172" xr:uid="{9A0A0E72-11F1-4238-B593-5CD94E81CC39}"/>
    <cellStyle name="Percent 2 2 5 7 5" xfId="1348" xr:uid="{00000000-0005-0000-0000-00009D160000}"/>
    <cellStyle name="Percent 2 2 5 7 5 2" xfId="7525" xr:uid="{679FD801-AC72-4BA4-97D7-37A922BC5FB0}"/>
    <cellStyle name="Percent 2 2 5 7 6" xfId="6642" xr:uid="{627FC8AF-23CE-4C70-BD23-02E2AA8F0A5B}"/>
    <cellStyle name="Percent 2 2 5 8" xfId="2672" xr:uid="{00000000-0005-0000-0000-00009E160000}"/>
    <cellStyle name="Percent 2 2 5 8 2" xfId="6072" xr:uid="{00000000-0005-0000-0000-00009F160000}"/>
    <cellStyle name="Percent 2 2 5 8 2 2" xfId="12249" xr:uid="{690641A0-1B61-4E6D-AFAD-9D5FD2908711}"/>
    <cellStyle name="Percent 2 2 5 8 3" xfId="8849" xr:uid="{597EDA75-D499-4FC9-A2D9-0369CB39D2D9}"/>
    <cellStyle name="Percent 2 2 5 9" xfId="1790" xr:uid="{00000000-0005-0000-0000-0000A0160000}"/>
    <cellStyle name="Percent 2 2 5 9 2" xfId="6073" xr:uid="{00000000-0005-0000-0000-0000A1160000}"/>
    <cellStyle name="Percent 2 2 5 9 2 2" xfId="12250" xr:uid="{988D1A40-879F-4F6F-9C0D-CBB513FD4E08}"/>
    <cellStyle name="Percent 2 2 5 9 3" xfId="7967" xr:uid="{C366F9C5-09DB-4FD6-BB9F-92364A57E54F}"/>
    <cellStyle name="Percent 2 2 6" xfId="27" xr:uid="{00000000-0005-0000-0000-0000A2160000}"/>
    <cellStyle name="Percent 2 2 6 10" xfId="6204" xr:uid="{4D2F6B15-7C48-4190-924D-7A07659E17E9}"/>
    <cellStyle name="Percent 2 2 6 2" xfId="93" xr:uid="{00000000-0005-0000-0000-0000A3160000}"/>
    <cellStyle name="Percent 2 2 6 2 2" xfId="203" xr:uid="{00000000-0005-0000-0000-0000A4160000}"/>
    <cellStyle name="Percent 2 2 6 2 2 2" xfId="423" xr:uid="{00000000-0005-0000-0000-0000A5160000}"/>
    <cellStyle name="Percent 2 2 6 2 2 2 2" xfId="864" xr:uid="{00000000-0005-0000-0000-0000A6160000}"/>
    <cellStyle name="Percent 2 2 6 2 2 2 2 2" xfId="3512" xr:uid="{00000000-0005-0000-0000-0000A7160000}"/>
    <cellStyle name="Percent 2 2 6 2 2 2 2 2 2" xfId="6074" xr:uid="{00000000-0005-0000-0000-0000A8160000}"/>
    <cellStyle name="Percent 2 2 6 2 2 2 2 2 2 2" xfId="12251" xr:uid="{2B52AC9F-8DB0-48D3-9856-E53370E9CFA5}"/>
    <cellStyle name="Percent 2 2 6 2 2 2 2 2 3" xfId="9689" xr:uid="{C8A8876B-42C8-4554-99DC-B7BF06A29405}"/>
    <cellStyle name="Percent 2 2 6 2 2 2 2 3" xfId="2630" xr:uid="{00000000-0005-0000-0000-0000A9160000}"/>
    <cellStyle name="Percent 2 2 6 2 2 2 2 3 2" xfId="6075" xr:uid="{00000000-0005-0000-0000-0000AA160000}"/>
    <cellStyle name="Percent 2 2 6 2 2 2 2 3 2 2" xfId="12252" xr:uid="{5687F9B6-5C3F-4DC2-A81B-0D8767EE21BC}"/>
    <cellStyle name="Percent 2 2 6 2 2 2 2 3 3" xfId="8807" xr:uid="{4CBA2245-1715-4754-B5D1-7CD5FEDF7072}"/>
    <cellStyle name="Percent 2 2 6 2 2 2 2 4" xfId="4394" xr:uid="{00000000-0005-0000-0000-0000AB160000}"/>
    <cellStyle name="Percent 2 2 6 2 2 2 2 4 2" xfId="10571" xr:uid="{22888560-E7CC-47D9-B521-8976E01456D9}"/>
    <cellStyle name="Percent 2 2 6 2 2 2 2 5" xfId="1747" xr:uid="{00000000-0005-0000-0000-0000AC160000}"/>
    <cellStyle name="Percent 2 2 6 2 2 2 2 5 2" xfId="7924" xr:uid="{66077A24-A734-4A99-A08D-88C261735725}"/>
    <cellStyle name="Percent 2 2 6 2 2 2 2 6" xfId="7041" xr:uid="{D9137683-F5DA-4339-97CD-3E9F41CC79BD}"/>
    <cellStyle name="Percent 2 2 6 2 2 2 3" xfId="3071" xr:uid="{00000000-0005-0000-0000-0000AD160000}"/>
    <cellStyle name="Percent 2 2 6 2 2 2 3 2" xfId="6076" xr:uid="{00000000-0005-0000-0000-0000AE160000}"/>
    <cellStyle name="Percent 2 2 6 2 2 2 3 2 2" xfId="12253" xr:uid="{89E64FFC-3906-4426-BC94-6AF03F21446E}"/>
    <cellStyle name="Percent 2 2 6 2 2 2 3 3" xfId="9248" xr:uid="{E5FF1CA2-705D-46B4-919C-5FDBFE5B51AC}"/>
    <cellStyle name="Percent 2 2 6 2 2 2 4" xfId="2189" xr:uid="{00000000-0005-0000-0000-0000AF160000}"/>
    <cellStyle name="Percent 2 2 6 2 2 2 4 2" xfId="6077" xr:uid="{00000000-0005-0000-0000-0000B0160000}"/>
    <cellStyle name="Percent 2 2 6 2 2 2 4 2 2" xfId="12254" xr:uid="{6BCCAE51-6710-4EDA-821E-E76D1E035037}"/>
    <cellStyle name="Percent 2 2 6 2 2 2 4 3" xfId="8366" xr:uid="{73D5895A-DA96-42EE-A0A8-B078A0B4335D}"/>
    <cellStyle name="Percent 2 2 6 2 2 2 5" xfId="3953" xr:uid="{00000000-0005-0000-0000-0000B1160000}"/>
    <cellStyle name="Percent 2 2 6 2 2 2 5 2" xfId="10130" xr:uid="{EFA5CD9C-B300-498F-94A7-0EDEFAB59082}"/>
    <cellStyle name="Percent 2 2 6 2 2 2 6" xfId="1306" xr:uid="{00000000-0005-0000-0000-0000B2160000}"/>
    <cellStyle name="Percent 2 2 6 2 2 2 6 2" xfId="7483" xr:uid="{B04E9463-A843-46AF-BC77-53F32EE42CF6}"/>
    <cellStyle name="Percent 2 2 6 2 2 2 7" xfId="6600" xr:uid="{FDE2173F-7F39-43EB-862D-949A93802F56}"/>
    <cellStyle name="Percent 2 2 6 2 2 3" xfId="644" xr:uid="{00000000-0005-0000-0000-0000B3160000}"/>
    <cellStyle name="Percent 2 2 6 2 2 3 2" xfId="3292" xr:uid="{00000000-0005-0000-0000-0000B4160000}"/>
    <cellStyle name="Percent 2 2 6 2 2 3 2 2" xfId="6078" xr:uid="{00000000-0005-0000-0000-0000B5160000}"/>
    <cellStyle name="Percent 2 2 6 2 2 3 2 2 2" xfId="12255" xr:uid="{84BE35DF-557D-4366-9A87-552EB85B5AAD}"/>
    <cellStyle name="Percent 2 2 6 2 2 3 2 3" xfId="9469" xr:uid="{BBE868EF-E87F-4E3C-9F76-C1694D5036B0}"/>
    <cellStyle name="Percent 2 2 6 2 2 3 3" xfId="2410" xr:uid="{00000000-0005-0000-0000-0000B6160000}"/>
    <cellStyle name="Percent 2 2 6 2 2 3 3 2" xfId="6079" xr:uid="{00000000-0005-0000-0000-0000B7160000}"/>
    <cellStyle name="Percent 2 2 6 2 2 3 3 2 2" xfId="12256" xr:uid="{EEEEF54C-17EF-4D76-AC8C-C4B0EE587EAA}"/>
    <cellStyle name="Percent 2 2 6 2 2 3 3 3" xfId="8587" xr:uid="{CBC1129D-4B8B-4D12-9449-9BCB20F99351}"/>
    <cellStyle name="Percent 2 2 6 2 2 3 4" xfId="4174" xr:uid="{00000000-0005-0000-0000-0000B8160000}"/>
    <cellStyle name="Percent 2 2 6 2 2 3 4 2" xfId="10351" xr:uid="{6C8CE5E1-E110-4AE6-9D7F-56B603869753}"/>
    <cellStyle name="Percent 2 2 6 2 2 3 5" xfId="1527" xr:uid="{00000000-0005-0000-0000-0000B9160000}"/>
    <cellStyle name="Percent 2 2 6 2 2 3 5 2" xfId="7704" xr:uid="{859B3DE5-3173-4E8D-AF1B-922BB617689E}"/>
    <cellStyle name="Percent 2 2 6 2 2 3 6" xfId="6821" xr:uid="{1797FD07-1318-472A-8FF1-22EF44F72BDA}"/>
    <cellStyle name="Percent 2 2 6 2 2 4" xfId="2851" xr:uid="{00000000-0005-0000-0000-0000BA160000}"/>
    <cellStyle name="Percent 2 2 6 2 2 4 2" xfId="6080" xr:uid="{00000000-0005-0000-0000-0000BB160000}"/>
    <cellStyle name="Percent 2 2 6 2 2 4 2 2" xfId="12257" xr:uid="{266D183D-D8DE-4DBC-9DFE-F9395DB0E802}"/>
    <cellStyle name="Percent 2 2 6 2 2 4 3" xfId="9028" xr:uid="{227EC1B2-E01D-48A4-A37B-9526677A6E27}"/>
    <cellStyle name="Percent 2 2 6 2 2 5" xfId="1969" xr:uid="{00000000-0005-0000-0000-0000BC160000}"/>
    <cellStyle name="Percent 2 2 6 2 2 5 2" xfId="6081" xr:uid="{00000000-0005-0000-0000-0000BD160000}"/>
    <cellStyle name="Percent 2 2 6 2 2 5 2 2" xfId="12258" xr:uid="{FD41F02C-A530-42D6-91A9-0F27F628F277}"/>
    <cellStyle name="Percent 2 2 6 2 2 5 3" xfId="8146" xr:uid="{0E4416AE-23AF-4BA8-845F-D83EDA0ECBFB}"/>
    <cellStyle name="Percent 2 2 6 2 2 6" xfId="3733" xr:uid="{00000000-0005-0000-0000-0000BE160000}"/>
    <cellStyle name="Percent 2 2 6 2 2 6 2" xfId="9910" xr:uid="{F0358F76-CB7F-4DF2-9E16-FFA8B9CF1746}"/>
    <cellStyle name="Percent 2 2 6 2 2 7" xfId="1086" xr:uid="{00000000-0005-0000-0000-0000BF160000}"/>
    <cellStyle name="Percent 2 2 6 2 2 7 2" xfId="7263" xr:uid="{9DC1E63E-A891-4347-B301-73B91F343F19}"/>
    <cellStyle name="Percent 2 2 6 2 2 8" xfId="6380" xr:uid="{8811D2DA-1DFB-4340-9DC9-B78BC17F52F6}"/>
    <cellStyle name="Percent 2 2 6 2 3" xfId="313" xr:uid="{00000000-0005-0000-0000-0000C0160000}"/>
    <cellStyle name="Percent 2 2 6 2 3 2" xfId="754" xr:uid="{00000000-0005-0000-0000-0000C1160000}"/>
    <cellStyle name="Percent 2 2 6 2 3 2 2" xfId="3402" xr:uid="{00000000-0005-0000-0000-0000C2160000}"/>
    <cellStyle name="Percent 2 2 6 2 3 2 2 2" xfId="6082" xr:uid="{00000000-0005-0000-0000-0000C3160000}"/>
    <cellStyle name="Percent 2 2 6 2 3 2 2 2 2" xfId="12259" xr:uid="{9D2D89D5-7D42-49D4-8906-42CDCD9A93F3}"/>
    <cellStyle name="Percent 2 2 6 2 3 2 2 3" xfId="9579" xr:uid="{F4181D5D-714B-4ADD-A532-F034A3F3FBE7}"/>
    <cellStyle name="Percent 2 2 6 2 3 2 3" xfId="2520" xr:uid="{00000000-0005-0000-0000-0000C4160000}"/>
    <cellStyle name="Percent 2 2 6 2 3 2 3 2" xfId="6083" xr:uid="{00000000-0005-0000-0000-0000C5160000}"/>
    <cellStyle name="Percent 2 2 6 2 3 2 3 2 2" xfId="12260" xr:uid="{59AFFD83-8161-435B-8666-C2BD8C7CBA34}"/>
    <cellStyle name="Percent 2 2 6 2 3 2 3 3" xfId="8697" xr:uid="{F2CB7F61-CDDE-49D0-BF87-4BA193B95B0C}"/>
    <cellStyle name="Percent 2 2 6 2 3 2 4" xfId="4284" xr:uid="{00000000-0005-0000-0000-0000C6160000}"/>
    <cellStyle name="Percent 2 2 6 2 3 2 4 2" xfId="10461" xr:uid="{5DBA9D0C-1E8A-4B2D-914B-96CD05F53A03}"/>
    <cellStyle name="Percent 2 2 6 2 3 2 5" xfId="1637" xr:uid="{00000000-0005-0000-0000-0000C7160000}"/>
    <cellStyle name="Percent 2 2 6 2 3 2 5 2" xfId="7814" xr:uid="{E9129735-FBE7-40CD-8781-4BA9D03B9EE3}"/>
    <cellStyle name="Percent 2 2 6 2 3 2 6" xfId="6931" xr:uid="{73CC3296-8042-48AB-BF57-5DA57D98C639}"/>
    <cellStyle name="Percent 2 2 6 2 3 3" xfId="2961" xr:uid="{00000000-0005-0000-0000-0000C8160000}"/>
    <cellStyle name="Percent 2 2 6 2 3 3 2" xfId="6084" xr:uid="{00000000-0005-0000-0000-0000C9160000}"/>
    <cellStyle name="Percent 2 2 6 2 3 3 2 2" xfId="12261" xr:uid="{589D3E70-28C1-441B-B922-508E329F189D}"/>
    <cellStyle name="Percent 2 2 6 2 3 3 3" xfId="9138" xr:uid="{1CA70013-B6D9-4583-8D4E-B4BEFA77E4F7}"/>
    <cellStyle name="Percent 2 2 6 2 3 4" xfId="2079" xr:uid="{00000000-0005-0000-0000-0000CA160000}"/>
    <cellStyle name="Percent 2 2 6 2 3 4 2" xfId="6085" xr:uid="{00000000-0005-0000-0000-0000CB160000}"/>
    <cellStyle name="Percent 2 2 6 2 3 4 2 2" xfId="12262" xr:uid="{7DEFA570-8FB2-4411-99F7-0570AD5EF126}"/>
    <cellStyle name="Percent 2 2 6 2 3 4 3" xfId="8256" xr:uid="{98B5900A-6BA2-41B2-B7D5-823F3A9D26DE}"/>
    <cellStyle name="Percent 2 2 6 2 3 5" xfId="3843" xr:uid="{00000000-0005-0000-0000-0000CC160000}"/>
    <cellStyle name="Percent 2 2 6 2 3 5 2" xfId="10020" xr:uid="{8E6500E2-D326-43A8-AB66-C3D937B266FB}"/>
    <cellStyle name="Percent 2 2 6 2 3 6" xfId="1196" xr:uid="{00000000-0005-0000-0000-0000CD160000}"/>
    <cellStyle name="Percent 2 2 6 2 3 6 2" xfId="7373" xr:uid="{4AD90465-31B2-4E66-8C67-A517A8709F43}"/>
    <cellStyle name="Percent 2 2 6 2 3 7" xfId="6490" xr:uid="{A8031F9B-48D3-4220-96E4-EBE5FC709E7A}"/>
    <cellStyle name="Percent 2 2 6 2 4" xfId="534" xr:uid="{00000000-0005-0000-0000-0000CE160000}"/>
    <cellStyle name="Percent 2 2 6 2 4 2" xfId="3182" xr:uid="{00000000-0005-0000-0000-0000CF160000}"/>
    <cellStyle name="Percent 2 2 6 2 4 2 2" xfId="6086" xr:uid="{00000000-0005-0000-0000-0000D0160000}"/>
    <cellStyle name="Percent 2 2 6 2 4 2 2 2" xfId="12263" xr:uid="{9E98918E-27B7-41A8-B95B-D650AE751703}"/>
    <cellStyle name="Percent 2 2 6 2 4 2 3" xfId="9359" xr:uid="{A06EB813-AB7D-436B-9757-BF54E3BE4301}"/>
    <cellStyle name="Percent 2 2 6 2 4 3" xfId="2300" xr:uid="{00000000-0005-0000-0000-0000D1160000}"/>
    <cellStyle name="Percent 2 2 6 2 4 3 2" xfId="6087" xr:uid="{00000000-0005-0000-0000-0000D2160000}"/>
    <cellStyle name="Percent 2 2 6 2 4 3 2 2" xfId="12264" xr:uid="{9BCB6317-0777-45A3-AC1C-9A1B420C4D28}"/>
    <cellStyle name="Percent 2 2 6 2 4 3 3" xfId="8477" xr:uid="{A8763356-5039-465E-A6E4-A69EB5E7C6D3}"/>
    <cellStyle name="Percent 2 2 6 2 4 4" xfId="4064" xr:uid="{00000000-0005-0000-0000-0000D3160000}"/>
    <cellStyle name="Percent 2 2 6 2 4 4 2" xfId="10241" xr:uid="{4C3AD72A-4CFF-4BDF-A998-81E941F99BA5}"/>
    <cellStyle name="Percent 2 2 6 2 4 5" xfId="1417" xr:uid="{00000000-0005-0000-0000-0000D4160000}"/>
    <cellStyle name="Percent 2 2 6 2 4 5 2" xfId="7594" xr:uid="{67650E46-FA0B-4613-87BC-39D7A6CAF416}"/>
    <cellStyle name="Percent 2 2 6 2 4 6" xfId="6711" xr:uid="{372D8BE6-B969-4E6A-800C-177884DD13EC}"/>
    <cellStyle name="Percent 2 2 6 2 5" xfId="2741" xr:uid="{00000000-0005-0000-0000-0000D5160000}"/>
    <cellStyle name="Percent 2 2 6 2 5 2" xfId="6088" xr:uid="{00000000-0005-0000-0000-0000D6160000}"/>
    <cellStyle name="Percent 2 2 6 2 5 2 2" xfId="12265" xr:uid="{B6DEC6FB-2838-4641-BBF6-70648B7A8BC7}"/>
    <cellStyle name="Percent 2 2 6 2 5 3" xfId="8918" xr:uid="{CAF6346E-7D31-49E4-A904-9643A63FBA0F}"/>
    <cellStyle name="Percent 2 2 6 2 6" xfId="1859" xr:uid="{00000000-0005-0000-0000-0000D7160000}"/>
    <cellStyle name="Percent 2 2 6 2 6 2" xfId="6089" xr:uid="{00000000-0005-0000-0000-0000D8160000}"/>
    <cellStyle name="Percent 2 2 6 2 6 2 2" xfId="12266" xr:uid="{FA686B8F-E178-4244-9E4A-C4030E059C1E}"/>
    <cellStyle name="Percent 2 2 6 2 6 3" xfId="8036" xr:uid="{926B9755-F110-44C0-9353-B2410944764D}"/>
    <cellStyle name="Percent 2 2 6 2 7" xfId="3623" xr:uid="{00000000-0005-0000-0000-0000D9160000}"/>
    <cellStyle name="Percent 2 2 6 2 7 2" xfId="9800" xr:uid="{4C2F6F45-1CA1-45F2-B759-03D724EA17CC}"/>
    <cellStyle name="Percent 2 2 6 2 8" xfId="976" xr:uid="{00000000-0005-0000-0000-0000DA160000}"/>
    <cellStyle name="Percent 2 2 6 2 8 2" xfId="7153" xr:uid="{F90E8C74-B865-41F6-A180-ABB99D7C7643}"/>
    <cellStyle name="Percent 2 2 6 2 9" xfId="6270" xr:uid="{A1553AC2-5828-4576-8F67-B4824999D190}"/>
    <cellStyle name="Percent 2 2 6 3" xfId="137" xr:uid="{00000000-0005-0000-0000-0000DB160000}"/>
    <cellStyle name="Percent 2 2 6 3 2" xfId="357" xr:uid="{00000000-0005-0000-0000-0000DC160000}"/>
    <cellStyle name="Percent 2 2 6 3 2 2" xfId="798" xr:uid="{00000000-0005-0000-0000-0000DD160000}"/>
    <cellStyle name="Percent 2 2 6 3 2 2 2" xfId="3446" xr:uid="{00000000-0005-0000-0000-0000DE160000}"/>
    <cellStyle name="Percent 2 2 6 3 2 2 2 2" xfId="6090" xr:uid="{00000000-0005-0000-0000-0000DF160000}"/>
    <cellStyle name="Percent 2 2 6 3 2 2 2 2 2" xfId="12267" xr:uid="{A787019F-A5FB-4D25-8DD3-F4A7C6260B5C}"/>
    <cellStyle name="Percent 2 2 6 3 2 2 2 3" xfId="9623" xr:uid="{D3E93915-8282-41B7-ADEC-ADAE4C748411}"/>
    <cellStyle name="Percent 2 2 6 3 2 2 3" xfId="2564" xr:uid="{00000000-0005-0000-0000-0000E0160000}"/>
    <cellStyle name="Percent 2 2 6 3 2 2 3 2" xfId="6091" xr:uid="{00000000-0005-0000-0000-0000E1160000}"/>
    <cellStyle name="Percent 2 2 6 3 2 2 3 2 2" xfId="12268" xr:uid="{8FE38358-F6C9-4921-ACEA-BC266A383A76}"/>
    <cellStyle name="Percent 2 2 6 3 2 2 3 3" xfId="8741" xr:uid="{42A62FE1-03EF-411C-9607-2004A8E68300}"/>
    <cellStyle name="Percent 2 2 6 3 2 2 4" xfId="4328" xr:uid="{00000000-0005-0000-0000-0000E2160000}"/>
    <cellStyle name="Percent 2 2 6 3 2 2 4 2" xfId="10505" xr:uid="{B3B2182B-DA22-4E08-9CAE-625F2C8829DF}"/>
    <cellStyle name="Percent 2 2 6 3 2 2 5" xfId="1681" xr:uid="{00000000-0005-0000-0000-0000E3160000}"/>
    <cellStyle name="Percent 2 2 6 3 2 2 5 2" xfId="7858" xr:uid="{26C996F3-462F-4489-A749-87F7C8461430}"/>
    <cellStyle name="Percent 2 2 6 3 2 2 6" xfId="6975" xr:uid="{C499CE48-56EC-4675-83EB-734EE83BD2E1}"/>
    <cellStyle name="Percent 2 2 6 3 2 3" xfId="3005" xr:uid="{00000000-0005-0000-0000-0000E4160000}"/>
    <cellStyle name="Percent 2 2 6 3 2 3 2" xfId="6092" xr:uid="{00000000-0005-0000-0000-0000E5160000}"/>
    <cellStyle name="Percent 2 2 6 3 2 3 2 2" xfId="12269" xr:uid="{A1EBB81E-E40F-4104-A8DF-C9955BAD48A5}"/>
    <cellStyle name="Percent 2 2 6 3 2 3 3" xfId="9182" xr:uid="{9AA233CD-3A89-49D6-9AFE-89B7BF2F4DA4}"/>
    <cellStyle name="Percent 2 2 6 3 2 4" xfId="2123" xr:uid="{00000000-0005-0000-0000-0000E6160000}"/>
    <cellStyle name="Percent 2 2 6 3 2 4 2" xfId="6093" xr:uid="{00000000-0005-0000-0000-0000E7160000}"/>
    <cellStyle name="Percent 2 2 6 3 2 4 2 2" xfId="12270" xr:uid="{3B787A9D-0BFD-4328-A2D2-EF11008106DB}"/>
    <cellStyle name="Percent 2 2 6 3 2 4 3" xfId="8300" xr:uid="{E3F1E90B-1B4F-433F-94A4-490970612F49}"/>
    <cellStyle name="Percent 2 2 6 3 2 5" xfId="3887" xr:uid="{00000000-0005-0000-0000-0000E8160000}"/>
    <cellStyle name="Percent 2 2 6 3 2 5 2" xfId="10064" xr:uid="{4A3DCAEC-44F6-428C-A61A-2860130BABA0}"/>
    <cellStyle name="Percent 2 2 6 3 2 6" xfId="1240" xr:uid="{00000000-0005-0000-0000-0000E9160000}"/>
    <cellStyle name="Percent 2 2 6 3 2 6 2" xfId="7417" xr:uid="{1BE7FAEE-A3FB-4C34-A8F4-36636C0DE4F6}"/>
    <cellStyle name="Percent 2 2 6 3 2 7" xfId="6534" xr:uid="{B29961F1-C7C8-40FF-AE17-B34A0E516D9C}"/>
    <cellStyle name="Percent 2 2 6 3 3" xfId="578" xr:uid="{00000000-0005-0000-0000-0000EA160000}"/>
    <cellStyle name="Percent 2 2 6 3 3 2" xfId="3226" xr:uid="{00000000-0005-0000-0000-0000EB160000}"/>
    <cellStyle name="Percent 2 2 6 3 3 2 2" xfId="6094" xr:uid="{00000000-0005-0000-0000-0000EC160000}"/>
    <cellStyle name="Percent 2 2 6 3 3 2 2 2" xfId="12271" xr:uid="{7D2B4C71-A06C-4D88-A257-BF5359E3F66A}"/>
    <cellStyle name="Percent 2 2 6 3 3 2 3" xfId="9403" xr:uid="{51E49A94-1377-408B-81DB-F4E2D98825B6}"/>
    <cellStyle name="Percent 2 2 6 3 3 3" xfId="2344" xr:uid="{00000000-0005-0000-0000-0000ED160000}"/>
    <cellStyle name="Percent 2 2 6 3 3 3 2" xfId="6095" xr:uid="{00000000-0005-0000-0000-0000EE160000}"/>
    <cellStyle name="Percent 2 2 6 3 3 3 2 2" xfId="12272" xr:uid="{013F6FCE-5060-4CDC-801D-F36B4EBDB88E}"/>
    <cellStyle name="Percent 2 2 6 3 3 3 3" xfId="8521" xr:uid="{05028B5E-5560-4A1E-9D56-63167147E33F}"/>
    <cellStyle name="Percent 2 2 6 3 3 4" xfId="4108" xr:uid="{00000000-0005-0000-0000-0000EF160000}"/>
    <cellStyle name="Percent 2 2 6 3 3 4 2" xfId="10285" xr:uid="{71E4CC43-1D0E-4BDF-9CE9-8A1DCFCA28A3}"/>
    <cellStyle name="Percent 2 2 6 3 3 5" xfId="1461" xr:uid="{00000000-0005-0000-0000-0000F0160000}"/>
    <cellStyle name="Percent 2 2 6 3 3 5 2" xfId="7638" xr:uid="{A1AFB2F8-09BE-4A3B-B1A1-66A0783427D5}"/>
    <cellStyle name="Percent 2 2 6 3 3 6" xfId="6755" xr:uid="{3E8CA55D-E99F-4607-BA58-2BB04C75CBB2}"/>
    <cellStyle name="Percent 2 2 6 3 4" xfId="2785" xr:uid="{00000000-0005-0000-0000-0000F1160000}"/>
    <cellStyle name="Percent 2 2 6 3 4 2" xfId="6096" xr:uid="{00000000-0005-0000-0000-0000F2160000}"/>
    <cellStyle name="Percent 2 2 6 3 4 2 2" xfId="12273" xr:uid="{615897B2-D705-4AD8-8E98-132195F3E159}"/>
    <cellStyle name="Percent 2 2 6 3 4 3" xfId="8962" xr:uid="{46962219-1BDB-4E6E-AA00-AF364F3EB14A}"/>
    <cellStyle name="Percent 2 2 6 3 5" xfId="1903" xr:uid="{00000000-0005-0000-0000-0000F3160000}"/>
    <cellStyle name="Percent 2 2 6 3 5 2" xfId="6097" xr:uid="{00000000-0005-0000-0000-0000F4160000}"/>
    <cellStyle name="Percent 2 2 6 3 5 2 2" xfId="12274" xr:uid="{A8BA7CBF-A5CC-4C3D-9E98-4AFBB54BDC28}"/>
    <cellStyle name="Percent 2 2 6 3 5 3" xfId="8080" xr:uid="{8EF1F560-77D6-498D-9420-0AF448830CAA}"/>
    <cellStyle name="Percent 2 2 6 3 6" xfId="3667" xr:uid="{00000000-0005-0000-0000-0000F5160000}"/>
    <cellStyle name="Percent 2 2 6 3 6 2" xfId="9844" xr:uid="{087BB590-BF3C-4865-912B-F01E337CAC15}"/>
    <cellStyle name="Percent 2 2 6 3 7" xfId="1020" xr:uid="{00000000-0005-0000-0000-0000F6160000}"/>
    <cellStyle name="Percent 2 2 6 3 7 2" xfId="7197" xr:uid="{27927C43-64CB-460C-90B3-49F9D2E2361F}"/>
    <cellStyle name="Percent 2 2 6 3 8" xfId="6314" xr:uid="{63958842-3086-43FE-9159-82B09BFA0DF3}"/>
    <cellStyle name="Percent 2 2 6 4" xfId="247" xr:uid="{00000000-0005-0000-0000-0000F7160000}"/>
    <cellStyle name="Percent 2 2 6 4 2" xfId="688" xr:uid="{00000000-0005-0000-0000-0000F8160000}"/>
    <cellStyle name="Percent 2 2 6 4 2 2" xfId="3336" xr:uid="{00000000-0005-0000-0000-0000F9160000}"/>
    <cellStyle name="Percent 2 2 6 4 2 2 2" xfId="6098" xr:uid="{00000000-0005-0000-0000-0000FA160000}"/>
    <cellStyle name="Percent 2 2 6 4 2 2 2 2" xfId="12275" xr:uid="{39DBE6D2-A9A6-4766-9BAD-9F13753D2F5E}"/>
    <cellStyle name="Percent 2 2 6 4 2 2 3" xfId="9513" xr:uid="{42A21EFF-3CE5-49A1-B6D4-6630DC46242B}"/>
    <cellStyle name="Percent 2 2 6 4 2 3" xfId="2454" xr:uid="{00000000-0005-0000-0000-0000FB160000}"/>
    <cellStyle name="Percent 2 2 6 4 2 3 2" xfId="6099" xr:uid="{00000000-0005-0000-0000-0000FC160000}"/>
    <cellStyle name="Percent 2 2 6 4 2 3 2 2" xfId="12276" xr:uid="{98C8C336-3203-4CC7-A160-BC8EE1ED446E}"/>
    <cellStyle name="Percent 2 2 6 4 2 3 3" xfId="8631" xr:uid="{581E1B42-1E1D-4C2B-8685-1ED57CF1BAFF}"/>
    <cellStyle name="Percent 2 2 6 4 2 4" xfId="4218" xr:uid="{00000000-0005-0000-0000-0000FD160000}"/>
    <cellStyle name="Percent 2 2 6 4 2 4 2" xfId="10395" xr:uid="{3F9CF1BB-ABD0-405E-ACCE-120C876311F3}"/>
    <cellStyle name="Percent 2 2 6 4 2 5" xfId="1571" xr:uid="{00000000-0005-0000-0000-0000FE160000}"/>
    <cellStyle name="Percent 2 2 6 4 2 5 2" xfId="7748" xr:uid="{022A9A45-88D3-4570-B46B-4D88519612AC}"/>
    <cellStyle name="Percent 2 2 6 4 2 6" xfId="6865" xr:uid="{0E449ACD-BD50-4659-AE2C-E5988799E4B0}"/>
    <cellStyle name="Percent 2 2 6 4 3" xfId="2895" xr:uid="{00000000-0005-0000-0000-0000FF160000}"/>
    <cellStyle name="Percent 2 2 6 4 3 2" xfId="6100" xr:uid="{00000000-0005-0000-0000-000000170000}"/>
    <cellStyle name="Percent 2 2 6 4 3 2 2" xfId="12277" xr:uid="{2F6C6D67-3956-4730-93B1-D4C41C6FA78E}"/>
    <cellStyle name="Percent 2 2 6 4 3 3" xfId="9072" xr:uid="{974247A1-AC24-4273-82F4-538BCC7D8181}"/>
    <cellStyle name="Percent 2 2 6 4 4" xfId="2013" xr:uid="{00000000-0005-0000-0000-000001170000}"/>
    <cellStyle name="Percent 2 2 6 4 4 2" xfId="6101" xr:uid="{00000000-0005-0000-0000-000002170000}"/>
    <cellStyle name="Percent 2 2 6 4 4 2 2" xfId="12278" xr:uid="{ED456A2F-585C-4FDC-8B86-C2079407F5D6}"/>
    <cellStyle name="Percent 2 2 6 4 4 3" xfId="8190" xr:uid="{70467906-2D5D-40F2-BA96-5379A2718D32}"/>
    <cellStyle name="Percent 2 2 6 4 5" xfId="3777" xr:uid="{00000000-0005-0000-0000-000003170000}"/>
    <cellStyle name="Percent 2 2 6 4 5 2" xfId="9954" xr:uid="{6832C0CC-CA03-4944-B91E-7312FFF6BEF9}"/>
    <cellStyle name="Percent 2 2 6 4 6" xfId="1130" xr:uid="{00000000-0005-0000-0000-000004170000}"/>
    <cellStyle name="Percent 2 2 6 4 6 2" xfId="7307" xr:uid="{A032C13D-B3EB-4481-8BD0-F9C9214F5B8F}"/>
    <cellStyle name="Percent 2 2 6 4 7" xfId="6424" xr:uid="{09F3B905-C88C-41A2-99DF-FBE338291DF3}"/>
    <cellStyle name="Percent 2 2 6 5" xfId="468" xr:uid="{00000000-0005-0000-0000-000005170000}"/>
    <cellStyle name="Percent 2 2 6 5 2" xfId="3116" xr:uid="{00000000-0005-0000-0000-000006170000}"/>
    <cellStyle name="Percent 2 2 6 5 2 2" xfId="6102" xr:uid="{00000000-0005-0000-0000-000007170000}"/>
    <cellStyle name="Percent 2 2 6 5 2 2 2" xfId="12279" xr:uid="{B9E67D46-3014-458B-B883-2A7AD63A5CD1}"/>
    <cellStyle name="Percent 2 2 6 5 2 3" xfId="9293" xr:uid="{8CDE7829-CC5A-43F6-A7A7-8511846046CD}"/>
    <cellStyle name="Percent 2 2 6 5 3" xfId="2234" xr:uid="{00000000-0005-0000-0000-000008170000}"/>
    <cellStyle name="Percent 2 2 6 5 3 2" xfId="6103" xr:uid="{00000000-0005-0000-0000-000009170000}"/>
    <cellStyle name="Percent 2 2 6 5 3 2 2" xfId="12280" xr:uid="{BE2D7A60-D514-42B3-BC7B-E3773032F301}"/>
    <cellStyle name="Percent 2 2 6 5 3 3" xfId="8411" xr:uid="{938D9E11-561F-48B4-8C10-592F131BBE44}"/>
    <cellStyle name="Percent 2 2 6 5 4" xfId="3998" xr:uid="{00000000-0005-0000-0000-00000A170000}"/>
    <cellStyle name="Percent 2 2 6 5 4 2" xfId="10175" xr:uid="{C88DFE6A-A112-40FA-900E-245F61E95B57}"/>
    <cellStyle name="Percent 2 2 6 5 5" xfId="1351" xr:uid="{00000000-0005-0000-0000-00000B170000}"/>
    <cellStyle name="Percent 2 2 6 5 5 2" xfId="7528" xr:uid="{704F7E80-9F6D-4A11-A90B-C436B485955F}"/>
    <cellStyle name="Percent 2 2 6 5 6" xfId="6645" xr:uid="{8CF90058-7752-4271-887A-AF599E84D4F5}"/>
    <cellStyle name="Percent 2 2 6 6" xfId="2675" xr:uid="{00000000-0005-0000-0000-00000C170000}"/>
    <cellStyle name="Percent 2 2 6 6 2" xfId="6104" xr:uid="{00000000-0005-0000-0000-00000D170000}"/>
    <cellStyle name="Percent 2 2 6 6 2 2" xfId="12281" xr:uid="{5EB992B2-A5D2-46FA-A216-6E64A931CB72}"/>
    <cellStyle name="Percent 2 2 6 6 3" xfId="8852" xr:uid="{D959DACC-6675-4365-B54A-A8D0B1087AAF}"/>
    <cellStyle name="Percent 2 2 6 7" xfId="1793" xr:uid="{00000000-0005-0000-0000-00000E170000}"/>
    <cellStyle name="Percent 2 2 6 7 2" xfId="6105" xr:uid="{00000000-0005-0000-0000-00000F170000}"/>
    <cellStyle name="Percent 2 2 6 7 2 2" xfId="12282" xr:uid="{48B21B2B-E3B2-4D39-99B5-FDBFC4DE9B26}"/>
    <cellStyle name="Percent 2 2 6 7 3" xfId="7970" xr:uid="{FEE2709E-45AF-48B5-9954-76830EABF88D}"/>
    <cellStyle name="Percent 2 2 6 8" xfId="3557" xr:uid="{00000000-0005-0000-0000-000010170000}"/>
    <cellStyle name="Percent 2 2 6 8 2" xfId="9734" xr:uid="{DBA92712-1B0F-4C64-9941-AD6E3563AA53}"/>
    <cellStyle name="Percent 2 2 6 9" xfId="910" xr:uid="{00000000-0005-0000-0000-000011170000}"/>
    <cellStyle name="Percent 2 2 6 9 2" xfId="7087" xr:uid="{13D1AA79-3B93-4F6A-A4EF-E337F06EB9B3}"/>
    <cellStyle name="Percent 2 2 7" xfId="33" xr:uid="{00000000-0005-0000-0000-000012170000}"/>
    <cellStyle name="Percent 2 2 7 10" xfId="6210" xr:uid="{37817A76-C4AE-4C65-B009-111FC864FFA0}"/>
    <cellStyle name="Percent 2 2 7 2" xfId="99" xr:uid="{00000000-0005-0000-0000-000013170000}"/>
    <cellStyle name="Percent 2 2 7 2 2" xfId="209" xr:uid="{00000000-0005-0000-0000-000014170000}"/>
    <cellStyle name="Percent 2 2 7 2 2 2" xfId="429" xr:uid="{00000000-0005-0000-0000-000015170000}"/>
    <cellStyle name="Percent 2 2 7 2 2 2 2" xfId="870" xr:uid="{00000000-0005-0000-0000-000016170000}"/>
    <cellStyle name="Percent 2 2 7 2 2 2 2 2" xfId="3518" xr:uid="{00000000-0005-0000-0000-000017170000}"/>
    <cellStyle name="Percent 2 2 7 2 2 2 2 2 2" xfId="6106" xr:uid="{00000000-0005-0000-0000-000018170000}"/>
    <cellStyle name="Percent 2 2 7 2 2 2 2 2 2 2" xfId="12283" xr:uid="{86A8D6F9-BE95-4CF7-A86A-4A9CD2FFC9F4}"/>
    <cellStyle name="Percent 2 2 7 2 2 2 2 2 3" xfId="9695" xr:uid="{1811C6A3-6AF0-48B2-A976-E1A9B56FE453}"/>
    <cellStyle name="Percent 2 2 7 2 2 2 2 3" xfId="2636" xr:uid="{00000000-0005-0000-0000-000019170000}"/>
    <cellStyle name="Percent 2 2 7 2 2 2 2 3 2" xfId="6107" xr:uid="{00000000-0005-0000-0000-00001A170000}"/>
    <cellStyle name="Percent 2 2 7 2 2 2 2 3 2 2" xfId="12284" xr:uid="{BC32DC53-5EAD-4D61-BB5B-001960451014}"/>
    <cellStyle name="Percent 2 2 7 2 2 2 2 3 3" xfId="8813" xr:uid="{FEEDE74E-C46B-41B1-8D35-A637695D7A1B}"/>
    <cellStyle name="Percent 2 2 7 2 2 2 2 4" xfId="4400" xr:uid="{00000000-0005-0000-0000-00001B170000}"/>
    <cellStyle name="Percent 2 2 7 2 2 2 2 4 2" xfId="10577" xr:uid="{649C61A6-1730-46C7-98A1-A5B9E4144152}"/>
    <cellStyle name="Percent 2 2 7 2 2 2 2 5" xfId="1753" xr:uid="{00000000-0005-0000-0000-00001C170000}"/>
    <cellStyle name="Percent 2 2 7 2 2 2 2 5 2" xfId="7930" xr:uid="{9B938C4A-2FA6-43E2-9AA8-B73DB6EDB683}"/>
    <cellStyle name="Percent 2 2 7 2 2 2 2 6" xfId="7047" xr:uid="{917782E3-31C9-4F09-A906-9E7BEFB864B3}"/>
    <cellStyle name="Percent 2 2 7 2 2 2 3" xfId="3077" xr:uid="{00000000-0005-0000-0000-00001D170000}"/>
    <cellStyle name="Percent 2 2 7 2 2 2 3 2" xfId="6108" xr:uid="{00000000-0005-0000-0000-00001E170000}"/>
    <cellStyle name="Percent 2 2 7 2 2 2 3 2 2" xfId="12285" xr:uid="{F74B2B76-D6E9-47AF-88E4-DFFBC985DCDB}"/>
    <cellStyle name="Percent 2 2 7 2 2 2 3 3" xfId="9254" xr:uid="{45C89336-0BE6-487B-AF97-B85ABC3F85AE}"/>
    <cellStyle name="Percent 2 2 7 2 2 2 4" xfId="2195" xr:uid="{00000000-0005-0000-0000-00001F170000}"/>
    <cellStyle name="Percent 2 2 7 2 2 2 4 2" xfId="6109" xr:uid="{00000000-0005-0000-0000-000020170000}"/>
    <cellStyle name="Percent 2 2 7 2 2 2 4 2 2" xfId="12286" xr:uid="{81614C63-33A3-4480-BF77-8508466A99AF}"/>
    <cellStyle name="Percent 2 2 7 2 2 2 4 3" xfId="8372" xr:uid="{A28F5416-DC1B-41F4-8FAC-4EEDB448ABE2}"/>
    <cellStyle name="Percent 2 2 7 2 2 2 5" xfId="3959" xr:uid="{00000000-0005-0000-0000-000021170000}"/>
    <cellStyle name="Percent 2 2 7 2 2 2 5 2" xfId="10136" xr:uid="{959D47E7-D53F-4BCD-9492-5B925A9DDC5D}"/>
    <cellStyle name="Percent 2 2 7 2 2 2 6" xfId="1312" xr:uid="{00000000-0005-0000-0000-000022170000}"/>
    <cellStyle name="Percent 2 2 7 2 2 2 6 2" xfId="7489" xr:uid="{A4F61567-D705-40EE-903B-798BDA4178A7}"/>
    <cellStyle name="Percent 2 2 7 2 2 2 7" xfId="6606" xr:uid="{D905C3CE-85AA-4187-915C-387C0605E1B4}"/>
    <cellStyle name="Percent 2 2 7 2 2 3" xfId="650" xr:uid="{00000000-0005-0000-0000-000023170000}"/>
    <cellStyle name="Percent 2 2 7 2 2 3 2" xfId="3298" xr:uid="{00000000-0005-0000-0000-000024170000}"/>
    <cellStyle name="Percent 2 2 7 2 2 3 2 2" xfId="6110" xr:uid="{00000000-0005-0000-0000-000025170000}"/>
    <cellStyle name="Percent 2 2 7 2 2 3 2 2 2" xfId="12287" xr:uid="{CA655D20-9D58-460C-8DFD-40DE8710D037}"/>
    <cellStyle name="Percent 2 2 7 2 2 3 2 3" xfId="9475" xr:uid="{4B82B55B-9DAF-46BA-AAE1-2DDD72A2DB21}"/>
    <cellStyle name="Percent 2 2 7 2 2 3 3" xfId="2416" xr:uid="{00000000-0005-0000-0000-000026170000}"/>
    <cellStyle name="Percent 2 2 7 2 2 3 3 2" xfId="6111" xr:uid="{00000000-0005-0000-0000-000027170000}"/>
    <cellStyle name="Percent 2 2 7 2 2 3 3 2 2" xfId="12288" xr:uid="{85E061F1-1C38-4291-B7E0-C5645C87F433}"/>
    <cellStyle name="Percent 2 2 7 2 2 3 3 3" xfId="8593" xr:uid="{EA4F7C61-7DBB-4417-A7B5-EF58665B8759}"/>
    <cellStyle name="Percent 2 2 7 2 2 3 4" xfId="4180" xr:uid="{00000000-0005-0000-0000-000028170000}"/>
    <cellStyle name="Percent 2 2 7 2 2 3 4 2" xfId="10357" xr:uid="{1BD909FA-3130-435E-958E-56E851316FE3}"/>
    <cellStyle name="Percent 2 2 7 2 2 3 5" xfId="1533" xr:uid="{00000000-0005-0000-0000-000029170000}"/>
    <cellStyle name="Percent 2 2 7 2 2 3 5 2" xfId="7710" xr:uid="{85C05CFB-8C20-4973-BCDD-741A23DE882C}"/>
    <cellStyle name="Percent 2 2 7 2 2 3 6" xfId="6827" xr:uid="{8BA2E159-E3D1-477F-9C33-D6B9393A89E6}"/>
    <cellStyle name="Percent 2 2 7 2 2 4" xfId="2857" xr:uid="{00000000-0005-0000-0000-00002A170000}"/>
    <cellStyle name="Percent 2 2 7 2 2 4 2" xfId="6112" xr:uid="{00000000-0005-0000-0000-00002B170000}"/>
    <cellStyle name="Percent 2 2 7 2 2 4 2 2" xfId="12289" xr:uid="{F529C64B-61A2-4D06-A09F-474286EB6009}"/>
    <cellStyle name="Percent 2 2 7 2 2 4 3" xfId="9034" xr:uid="{722B4B0C-9E86-4EC4-9F75-9F4FF5E73D42}"/>
    <cellStyle name="Percent 2 2 7 2 2 5" xfId="1975" xr:uid="{00000000-0005-0000-0000-00002C170000}"/>
    <cellStyle name="Percent 2 2 7 2 2 5 2" xfId="6113" xr:uid="{00000000-0005-0000-0000-00002D170000}"/>
    <cellStyle name="Percent 2 2 7 2 2 5 2 2" xfId="12290" xr:uid="{1CFF6C4B-C9EE-4F1D-BD35-981ECF305B7D}"/>
    <cellStyle name="Percent 2 2 7 2 2 5 3" xfId="8152" xr:uid="{F545EFE0-72F2-4FE0-8EB8-6710F7EFCA3F}"/>
    <cellStyle name="Percent 2 2 7 2 2 6" xfId="3739" xr:uid="{00000000-0005-0000-0000-00002E170000}"/>
    <cellStyle name="Percent 2 2 7 2 2 6 2" xfId="9916" xr:uid="{166590CF-DCA5-4326-BB25-BE182C37DA6C}"/>
    <cellStyle name="Percent 2 2 7 2 2 7" xfId="1092" xr:uid="{00000000-0005-0000-0000-00002F170000}"/>
    <cellStyle name="Percent 2 2 7 2 2 7 2" xfId="7269" xr:uid="{13C1850A-22DA-4F7B-B6EA-C71E6A0E8FC8}"/>
    <cellStyle name="Percent 2 2 7 2 2 8" xfId="6386" xr:uid="{36981AA8-2043-42D6-8D0F-6CF62D6902BF}"/>
    <cellStyle name="Percent 2 2 7 2 3" xfId="319" xr:uid="{00000000-0005-0000-0000-000030170000}"/>
    <cellStyle name="Percent 2 2 7 2 3 2" xfId="760" xr:uid="{00000000-0005-0000-0000-000031170000}"/>
    <cellStyle name="Percent 2 2 7 2 3 2 2" xfId="3408" xr:uid="{00000000-0005-0000-0000-000032170000}"/>
    <cellStyle name="Percent 2 2 7 2 3 2 2 2" xfId="6114" xr:uid="{00000000-0005-0000-0000-000033170000}"/>
    <cellStyle name="Percent 2 2 7 2 3 2 2 2 2" xfId="12291" xr:uid="{B2751568-CA17-491B-B19B-5C3A36A5CEB0}"/>
    <cellStyle name="Percent 2 2 7 2 3 2 2 3" xfId="9585" xr:uid="{9FE8B7B4-61EA-403E-B3AB-56ADEC88D93E}"/>
    <cellStyle name="Percent 2 2 7 2 3 2 3" xfId="2526" xr:uid="{00000000-0005-0000-0000-000034170000}"/>
    <cellStyle name="Percent 2 2 7 2 3 2 3 2" xfId="6115" xr:uid="{00000000-0005-0000-0000-000035170000}"/>
    <cellStyle name="Percent 2 2 7 2 3 2 3 2 2" xfId="12292" xr:uid="{0CAAEFCB-BFB8-4DC9-817C-38C2F95055C0}"/>
    <cellStyle name="Percent 2 2 7 2 3 2 3 3" xfId="8703" xr:uid="{F462F5DA-667B-4FC4-BE38-941605B041D0}"/>
    <cellStyle name="Percent 2 2 7 2 3 2 4" xfId="4290" xr:uid="{00000000-0005-0000-0000-000036170000}"/>
    <cellStyle name="Percent 2 2 7 2 3 2 4 2" xfId="10467" xr:uid="{BE00AFA4-DCC6-4916-A8C6-6A1B90C3C627}"/>
    <cellStyle name="Percent 2 2 7 2 3 2 5" xfId="1643" xr:uid="{00000000-0005-0000-0000-000037170000}"/>
    <cellStyle name="Percent 2 2 7 2 3 2 5 2" xfId="7820" xr:uid="{D9C51D97-C809-475F-978B-5AE5F4689428}"/>
    <cellStyle name="Percent 2 2 7 2 3 2 6" xfId="6937" xr:uid="{653B7998-A3B6-44BF-884A-13B035D1D316}"/>
    <cellStyle name="Percent 2 2 7 2 3 3" xfId="2967" xr:uid="{00000000-0005-0000-0000-000038170000}"/>
    <cellStyle name="Percent 2 2 7 2 3 3 2" xfId="6116" xr:uid="{00000000-0005-0000-0000-000039170000}"/>
    <cellStyle name="Percent 2 2 7 2 3 3 2 2" xfId="12293" xr:uid="{3CEDB9E6-256F-4A03-92D1-0E5EFE109C63}"/>
    <cellStyle name="Percent 2 2 7 2 3 3 3" xfId="9144" xr:uid="{06439D26-8DC6-47A5-8B36-5EEAE5953B1C}"/>
    <cellStyle name="Percent 2 2 7 2 3 4" xfId="2085" xr:uid="{00000000-0005-0000-0000-00003A170000}"/>
    <cellStyle name="Percent 2 2 7 2 3 4 2" xfId="6117" xr:uid="{00000000-0005-0000-0000-00003B170000}"/>
    <cellStyle name="Percent 2 2 7 2 3 4 2 2" xfId="12294" xr:uid="{7BEC33C6-DE6E-4D04-A4F1-AEEB6C1779C1}"/>
    <cellStyle name="Percent 2 2 7 2 3 4 3" xfId="8262" xr:uid="{13416099-8C2C-4E51-950C-1055F8FA6E40}"/>
    <cellStyle name="Percent 2 2 7 2 3 5" xfId="3849" xr:uid="{00000000-0005-0000-0000-00003C170000}"/>
    <cellStyle name="Percent 2 2 7 2 3 5 2" xfId="10026" xr:uid="{BBBADB1C-8BC1-4FB5-960E-A8D1E4EB7441}"/>
    <cellStyle name="Percent 2 2 7 2 3 6" xfId="1202" xr:uid="{00000000-0005-0000-0000-00003D170000}"/>
    <cellStyle name="Percent 2 2 7 2 3 6 2" xfId="7379" xr:uid="{849E0BE5-AE20-450C-B8A5-A9C9C653D11A}"/>
    <cellStyle name="Percent 2 2 7 2 3 7" xfId="6496" xr:uid="{0CDCB465-BE9B-4654-92E2-DB4F4D5528AB}"/>
    <cellStyle name="Percent 2 2 7 2 4" xfId="540" xr:uid="{00000000-0005-0000-0000-00003E170000}"/>
    <cellStyle name="Percent 2 2 7 2 4 2" xfId="3188" xr:uid="{00000000-0005-0000-0000-00003F170000}"/>
    <cellStyle name="Percent 2 2 7 2 4 2 2" xfId="6118" xr:uid="{00000000-0005-0000-0000-000040170000}"/>
    <cellStyle name="Percent 2 2 7 2 4 2 2 2" xfId="12295" xr:uid="{C8DE14C7-2194-45E0-A814-66D36F6BF7BB}"/>
    <cellStyle name="Percent 2 2 7 2 4 2 3" xfId="9365" xr:uid="{A78F2987-5756-4A11-A987-DA2ABA643AFC}"/>
    <cellStyle name="Percent 2 2 7 2 4 3" xfId="2306" xr:uid="{00000000-0005-0000-0000-000041170000}"/>
    <cellStyle name="Percent 2 2 7 2 4 3 2" xfId="6119" xr:uid="{00000000-0005-0000-0000-000042170000}"/>
    <cellStyle name="Percent 2 2 7 2 4 3 2 2" xfId="12296" xr:uid="{F87F9AC7-A541-4E09-A845-5AEEE9574893}"/>
    <cellStyle name="Percent 2 2 7 2 4 3 3" xfId="8483" xr:uid="{6B1A7CB6-DCF3-42DA-BC85-49A5FB7967C9}"/>
    <cellStyle name="Percent 2 2 7 2 4 4" xfId="4070" xr:uid="{00000000-0005-0000-0000-000043170000}"/>
    <cellStyle name="Percent 2 2 7 2 4 4 2" xfId="10247" xr:uid="{CBEE523F-379A-4094-B7E2-A2C025E7D9C9}"/>
    <cellStyle name="Percent 2 2 7 2 4 5" xfId="1423" xr:uid="{00000000-0005-0000-0000-000044170000}"/>
    <cellStyle name="Percent 2 2 7 2 4 5 2" xfId="7600" xr:uid="{63B0552A-FE70-482D-B47B-A3B694C856D2}"/>
    <cellStyle name="Percent 2 2 7 2 4 6" xfId="6717" xr:uid="{84564B81-71EC-4370-B80E-056478556200}"/>
    <cellStyle name="Percent 2 2 7 2 5" xfId="2747" xr:uid="{00000000-0005-0000-0000-000045170000}"/>
    <cellStyle name="Percent 2 2 7 2 5 2" xfId="6120" xr:uid="{00000000-0005-0000-0000-000046170000}"/>
    <cellStyle name="Percent 2 2 7 2 5 2 2" xfId="12297" xr:uid="{187DE196-84BB-47D6-BCF9-8DF6BE59E12B}"/>
    <cellStyle name="Percent 2 2 7 2 5 3" xfId="8924" xr:uid="{1392CAE4-7553-42C6-AEF1-771A1C2F564C}"/>
    <cellStyle name="Percent 2 2 7 2 6" xfId="1865" xr:uid="{00000000-0005-0000-0000-000047170000}"/>
    <cellStyle name="Percent 2 2 7 2 6 2" xfId="6121" xr:uid="{00000000-0005-0000-0000-000048170000}"/>
    <cellStyle name="Percent 2 2 7 2 6 2 2" xfId="12298" xr:uid="{41F94365-39C8-4FBB-BFCE-9FF6493A7D3D}"/>
    <cellStyle name="Percent 2 2 7 2 6 3" xfId="8042" xr:uid="{DFD4483E-22DA-40B3-AF62-38AE5FDE12B8}"/>
    <cellStyle name="Percent 2 2 7 2 7" xfId="3629" xr:uid="{00000000-0005-0000-0000-000049170000}"/>
    <cellStyle name="Percent 2 2 7 2 7 2" xfId="9806" xr:uid="{8BF79CAE-015E-4295-8E79-3519056CA646}"/>
    <cellStyle name="Percent 2 2 7 2 8" xfId="982" xr:uid="{00000000-0005-0000-0000-00004A170000}"/>
    <cellStyle name="Percent 2 2 7 2 8 2" xfId="7159" xr:uid="{22B86995-E355-4249-B091-534FA5F93A88}"/>
    <cellStyle name="Percent 2 2 7 2 9" xfId="6276" xr:uid="{546561BC-713E-49B4-8CF5-F533AFC9177C}"/>
    <cellStyle name="Percent 2 2 7 3" xfId="143" xr:uid="{00000000-0005-0000-0000-00004B170000}"/>
    <cellStyle name="Percent 2 2 7 3 2" xfId="363" xr:uid="{00000000-0005-0000-0000-00004C170000}"/>
    <cellStyle name="Percent 2 2 7 3 2 2" xfId="804" xr:uid="{00000000-0005-0000-0000-00004D170000}"/>
    <cellStyle name="Percent 2 2 7 3 2 2 2" xfId="3452" xr:uid="{00000000-0005-0000-0000-00004E170000}"/>
    <cellStyle name="Percent 2 2 7 3 2 2 2 2" xfId="6122" xr:uid="{00000000-0005-0000-0000-00004F170000}"/>
    <cellStyle name="Percent 2 2 7 3 2 2 2 2 2" xfId="12299" xr:uid="{B8556F3E-0C5B-4739-B7F4-9ED8A2C8822F}"/>
    <cellStyle name="Percent 2 2 7 3 2 2 2 3" xfId="9629" xr:uid="{A10CE8D5-0E2F-42BD-863D-4A89167BDF62}"/>
    <cellStyle name="Percent 2 2 7 3 2 2 3" xfId="2570" xr:uid="{00000000-0005-0000-0000-000050170000}"/>
    <cellStyle name="Percent 2 2 7 3 2 2 3 2" xfId="6123" xr:uid="{00000000-0005-0000-0000-000051170000}"/>
    <cellStyle name="Percent 2 2 7 3 2 2 3 2 2" xfId="12300" xr:uid="{478DA6FB-A695-42A7-85FE-C0598D90D476}"/>
    <cellStyle name="Percent 2 2 7 3 2 2 3 3" xfId="8747" xr:uid="{9AEA0493-BD9E-4D5E-B486-9965576F20B2}"/>
    <cellStyle name="Percent 2 2 7 3 2 2 4" xfId="4334" xr:uid="{00000000-0005-0000-0000-000052170000}"/>
    <cellStyle name="Percent 2 2 7 3 2 2 4 2" xfId="10511" xr:uid="{81A5A15C-0671-4B9D-AC2C-15923A5A5847}"/>
    <cellStyle name="Percent 2 2 7 3 2 2 5" xfId="1687" xr:uid="{00000000-0005-0000-0000-000053170000}"/>
    <cellStyle name="Percent 2 2 7 3 2 2 5 2" xfId="7864" xr:uid="{9A8E9594-3E8C-4A16-A78F-84D5E0C102E5}"/>
    <cellStyle name="Percent 2 2 7 3 2 2 6" xfId="6981" xr:uid="{6B8E0F58-9144-4F70-A2C6-FCF37E0BC0A8}"/>
    <cellStyle name="Percent 2 2 7 3 2 3" xfId="3011" xr:uid="{00000000-0005-0000-0000-000054170000}"/>
    <cellStyle name="Percent 2 2 7 3 2 3 2" xfId="6124" xr:uid="{00000000-0005-0000-0000-000055170000}"/>
    <cellStyle name="Percent 2 2 7 3 2 3 2 2" xfId="12301" xr:uid="{6AEECD3B-C335-4D62-8D82-BEAFEB50AF07}"/>
    <cellStyle name="Percent 2 2 7 3 2 3 3" xfId="9188" xr:uid="{4C98C9F5-DDAF-4262-9EE0-611F314A0739}"/>
    <cellStyle name="Percent 2 2 7 3 2 4" xfId="2129" xr:uid="{00000000-0005-0000-0000-000056170000}"/>
    <cellStyle name="Percent 2 2 7 3 2 4 2" xfId="6125" xr:uid="{00000000-0005-0000-0000-000057170000}"/>
    <cellStyle name="Percent 2 2 7 3 2 4 2 2" xfId="12302" xr:uid="{D1A6610B-18B7-411C-9A4F-155E2E6AD7C3}"/>
    <cellStyle name="Percent 2 2 7 3 2 4 3" xfId="8306" xr:uid="{961DA09A-47E0-4906-BCC9-EA26DEB6BC2C}"/>
    <cellStyle name="Percent 2 2 7 3 2 5" xfId="3893" xr:uid="{00000000-0005-0000-0000-000058170000}"/>
    <cellStyle name="Percent 2 2 7 3 2 5 2" xfId="10070" xr:uid="{22AD723B-7466-4FB1-8664-70BCFBCD332E}"/>
    <cellStyle name="Percent 2 2 7 3 2 6" xfId="1246" xr:uid="{00000000-0005-0000-0000-000059170000}"/>
    <cellStyle name="Percent 2 2 7 3 2 6 2" xfId="7423" xr:uid="{DDA30FC3-9A8A-4649-BA92-9EFF4CB87336}"/>
    <cellStyle name="Percent 2 2 7 3 2 7" xfId="6540" xr:uid="{E2F9D426-A88B-4DBB-82C6-612D0B0BD499}"/>
    <cellStyle name="Percent 2 2 7 3 3" xfId="584" xr:uid="{00000000-0005-0000-0000-00005A170000}"/>
    <cellStyle name="Percent 2 2 7 3 3 2" xfId="3232" xr:uid="{00000000-0005-0000-0000-00005B170000}"/>
    <cellStyle name="Percent 2 2 7 3 3 2 2" xfId="6126" xr:uid="{00000000-0005-0000-0000-00005C170000}"/>
    <cellStyle name="Percent 2 2 7 3 3 2 2 2" xfId="12303" xr:uid="{EC10CA7C-0378-42BF-931B-D03C615814C7}"/>
    <cellStyle name="Percent 2 2 7 3 3 2 3" xfId="9409" xr:uid="{BE49F2F3-ED7D-4CFF-AE02-B6345DCDBDA6}"/>
    <cellStyle name="Percent 2 2 7 3 3 3" xfId="2350" xr:uid="{00000000-0005-0000-0000-00005D170000}"/>
    <cellStyle name="Percent 2 2 7 3 3 3 2" xfId="6127" xr:uid="{00000000-0005-0000-0000-00005E170000}"/>
    <cellStyle name="Percent 2 2 7 3 3 3 2 2" xfId="12304" xr:uid="{9E3200CB-20E4-4494-BCF3-2120B3379967}"/>
    <cellStyle name="Percent 2 2 7 3 3 3 3" xfId="8527" xr:uid="{C6001EE5-830D-476C-B447-C7EFB83E9069}"/>
    <cellStyle name="Percent 2 2 7 3 3 4" xfId="4114" xr:uid="{00000000-0005-0000-0000-00005F170000}"/>
    <cellStyle name="Percent 2 2 7 3 3 4 2" xfId="10291" xr:uid="{C035D6B8-1DC9-4520-A4F2-1996FE03B14E}"/>
    <cellStyle name="Percent 2 2 7 3 3 5" xfId="1467" xr:uid="{00000000-0005-0000-0000-000060170000}"/>
    <cellStyle name="Percent 2 2 7 3 3 5 2" xfId="7644" xr:uid="{B03B0F5A-3079-4385-A3E5-C51D82B59FE5}"/>
    <cellStyle name="Percent 2 2 7 3 3 6" xfId="6761" xr:uid="{10A797D5-94B2-4DD4-9193-20750C0D6D14}"/>
    <cellStyle name="Percent 2 2 7 3 4" xfId="2791" xr:uid="{00000000-0005-0000-0000-000061170000}"/>
    <cellStyle name="Percent 2 2 7 3 4 2" xfId="6128" xr:uid="{00000000-0005-0000-0000-000062170000}"/>
    <cellStyle name="Percent 2 2 7 3 4 2 2" xfId="12305" xr:uid="{F7B6ABC7-249B-4B90-BB50-750E06A00DE1}"/>
    <cellStyle name="Percent 2 2 7 3 4 3" xfId="8968" xr:uid="{A1160AAB-B483-46E3-948F-2F25CD3BA040}"/>
    <cellStyle name="Percent 2 2 7 3 5" xfId="1909" xr:uid="{00000000-0005-0000-0000-000063170000}"/>
    <cellStyle name="Percent 2 2 7 3 5 2" xfId="6129" xr:uid="{00000000-0005-0000-0000-000064170000}"/>
    <cellStyle name="Percent 2 2 7 3 5 2 2" xfId="12306" xr:uid="{02AD1FC3-64A0-4C31-B5EB-8994298BE52C}"/>
    <cellStyle name="Percent 2 2 7 3 5 3" xfId="8086" xr:uid="{83B0D12A-CCE7-4B1F-A06F-D4D26D5BDE6A}"/>
    <cellStyle name="Percent 2 2 7 3 6" xfId="3673" xr:uid="{00000000-0005-0000-0000-000065170000}"/>
    <cellStyle name="Percent 2 2 7 3 6 2" xfId="9850" xr:uid="{AC09F86E-E639-4A83-8458-5E4B3177F353}"/>
    <cellStyle name="Percent 2 2 7 3 7" xfId="1026" xr:uid="{00000000-0005-0000-0000-000066170000}"/>
    <cellStyle name="Percent 2 2 7 3 7 2" xfId="7203" xr:uid="{D4712B7B-FCA3-4116-BF15-7EB7FFB58DFF}"/>
    <cellStyle name="Percent 2 2 7 3 8" xfId="6320" xr:uid="{76987292-EA38-4F1E-9820-4C218C750B36}"/>
    <cellStyle name="Percent 2 2 7 4" xfId="253" xr:uid="{00000000-0005-0000-0000-000067170000}"/>
    <cellStyle name="Percent 2 2 7 4 2" xfId="694" xr:uid="{00000000-0005-0000-0000-000068170000}"/>
    <cellStyle name="Percent 2 2 7 4 2 2" xfId="3342" xr:uid="{00000000-0005-0000-0000-000069170000}"/>
    <cellStyle name="Percent 2 2 7 4 2 2 2" xfId="6130" xr:uid="{00000000-0005-0000-0000-00006A170000}"/>
    <cellStyle name="Percent 2 2 7 4 2 2 2 2" xfId="12307" xr:uid="{E1F32A9E-D0D9-4E57-B849-795C8654CB2F}"/>
    <cellStyle name="Percent 2 2 7 4 2 2 3" xfId="9519" xr:uid="{6A8E7246-F132-466E-AB6C-AFC465081AA2}"/>
    <cellStyle name="Percent 2 2 7 4 2 3" xfId="2460" xr:uid="{00000000-0005-0000-0000-00006B170000}"/>
    <cellStyle name="Percent 2 2 7 4 2 3 2" xfId="6131" xr:uid="{00000000-0005-0000-0000-00006C170000}"/>
    <cellStyle name="Percent 2 2 7 4 2 3 2 2" xfId="12308" xr:uid="{CCEF8E90-79C2-41CE-A53D-1444E1B0D0B2}"/>
    <cellStyle name="Percent 2 2 7 4 2 3 3" xfId="8637" xr:uid="{C13BEDDA-0943-495D-8EDC-01FFA7305026}"/>
    <cellStyle name="Percent 2 2 7 4 2 4" xfId="4224" xr:uid="{00000000-0005-0000-0000-00006D170000}"/>
    <cellStyle name="Percent 2 2 7 4 2 4 2" xfId="10401" xr:uid="{58D107AE-F42D-48FE-9272-0429DCB04A7B}"/>
    <cellStyle name="Percent 2 2 7 4 2 5" xfId="1577" xr:uid="{00000000-0005-0000-0000-00006E170000}"/>
    <cellStyle name="Percent 2 2 7 4 2 5 2" xfId="7754" xr:uid="{AAD29698-5E2B-40F1-BE7F-0EA54959C941}"/>
    <cellStyle name="Percent 2 2 7 4 2 6" xfId="6871" xr:uid="{9EDA9E11-D317-4B53-B6AB-D0F61F8550D9}"/>
    <cellStyle name="Percent 2 2 7 4 3" xfId="2901" xr:uid="{00000000-0005-0000-0000-00006F170000}"/>
    <cellStyle name="Percent 2 2 7 4 3 2" xfId="6132" xr:uid="{00000000-0005-0000-0000-000070170000}"/>
    <cellStyle name="Percent 2 2 7 4 3 2 2" xfId="12309" xr:uid="{AE162BDA-517F-4B58-833B-ADD76BB4B9B6}"/>
    <cellStyle name="Percent 2 2 7 4 3 3" xfId="9078" xr:uid="{D5ECF249-0119-40FC-868F-203E4F9C5EB6}"/>
    <cellStyle name="Percent 2 2 7 4 4" xfId="2019" xr:uid="{00000000-0005-0000-0000-000071170000}"/>
    <cellStyle name="Percent 2 2 7 4 4 2" xfId="6133" xr:uid="{00000000-0005-0000-0000-000072170000}"/>
    <cellStyle name="Percent 2 2 7 4 4 2 2" xfId="12310" xr:uid="{4A60992D-45E6-4841-A4AC-4CBC8339156D}"/>
    <cellStyle name="Percent 2 2 7 4 4 3" xfId="8196" xr:uid="{126EBF0D-C09D-42FC-B021-C7F4DD6270AB}"/>
    <cellStyle name="Percent 2 2 7 4 5" xfId="3783" xr:uid="{00000000-0005-0000-0000-000073170000}"/>
    <cellStyle name="Percent 2 2 7 4 5 2" xfId="9960" xr:uid="{7F6AFBBE-B4E5-4CFB-93BF-6BA73761C6F9}"/>
    <cellStyle name="Percent 2 2 7 4 6" xfId="1136" xr:uid="{00000000-0005-0000-0000-000074170000}"/>
    <cellStyle name="Percent 2 2 7 4 6 2" xfId="7313" xr:uid="{32ACFF37-1571-4009-93CC-CFEFEA075E9A}"/>
    <cellStyle name="Percent 2 2 7 4 7" xfId="6430" xr:uid="{46188880-2141-4788-9D86-81845611A3B0}"/>
    <cellStyle name="Percent 2 2 7 5" xfId="474" xr:uid="{00000000-0005-0000-0000-000075170000}"/>
    <cellStyle name="Percent 2 2 7 5 2" xfId="3122" xr:uid="{00000000-0005-0000-0000-000076170000}"/>
    <cellStyle name="Percent 2 2 7 5 2 2" xfId="6134" xr:uid="{00000000-0005-0000-0000-000077170000}"/>
    <cellStyle name="Percent 2 2 7 5 2 2 2" xfId="12311" xr:uid="{6D7D5786-6D71-4484-A922-E6E0BC7703B8}"/>
    <cellStyle name="Percent 2 2 7 5 2 3" xfId="9299" xr:uid="{21FAB38A-14FB-4C10-B9DC-D26AA231D911}"/>
    <cellStyle name="Percent 2 2 7 5 3" xfId="2240" xr:uid="{00000000-0005-0000-0000-000078170000}"/>
    <cellStyle name="Percent 2 2 7 5 3 2" xfId="6135" xr:uid="{00000000-0005-0000-0000-000079170000}"/>
    <cellStyle name="Percent 2 2 7 5 3 2 2" xfId="12312" xr:uid="{0E787BD5-7291-4BE1-B797-4075D23D044A}"/>
    <cellStyle name="Percent 2 2 7 5 3 3" xfId="8417" xr:uid="{992F6E60-0118-4E84-8C07-1C79F6D04275}"/>
    <cellStyle name="Percent 2 2 7 5 4" xfId="4004" xr:uid="{00000000-0005-0000-0000-00007A170000}"/>
    <cellStyle name="Percent 2 2 7 5 4 2" xfId="10181" xr:uid="{E43BEB4A-03E8-44C5-A1D3-4A00D607EB47}"/>
    <cellStyle name="Percent 2 2 7 5 5" xfId="1357" xr:uid="{00000000-0005-0000-0000-00007B170000}"/>
    <cellStyle name="Percent 2 2 7 5 5 2" xfId="7534" xr:uid="{824CBC1C-6867-495D-A424-FC0EEF5C47C5}"/>
    <cellStyle name="Percent 2 2 7 5 6" xfId="6651" xr:uid="{3A501CC3-167E-4E5C-AEE4-FBCE9079A6E1}"/>
    <cellStyle name="Percent 2 2 7 6" xfId="2681" xr:uid="{00000000-0005-0000-0000-00007C170000}"/>
    <cellStyle name="Percent 2 2 7 6 2" xfId="6136" xr:uid="{00000000-0005-0000-0000-00007D170000}"/>
    <cellStyle name="Percent 2 2 7 6 2 2" xfId="12313" xr:uid="{F23DB0C1-E3CE-4221-8E4B-7456D1DF0C73}"/>
    <cellStyle name="Percent 2 2 7 6 3" xfId="8858" xr:uid="{4BCDB910-8BA3-4C45-8181-9AE1F71D12DC}"/>
    <cellStyle name="Percent 2 2 7 7" xfId="1799" xr:uid="{00000000-0005-0000-0000-00007E170000}"/>
    <cellStyle name="Percent 2 2 7 7 2" xfId="6137" xr:uid="{00000000-0005-0000-0000-00007F170000}"/>
    <cellStyle name="Percent 2 2 7 7 2 2" xfId="12314" xr:uid="{8C8E8AE5-3332-4DA5-BCED-6A6A9F168AA8}"/>
    <cellStyle name="Percent 2 2 7 7 3" xfId="7976" xr:uid="{F1BAE35D-E898-4AAC-9A1D-64F9E6D1E78E}"/>
    <cellStyle name="Percent 2 2 7 8" xfId="3563" xr:uid="{00000000-0005-0000-0000-000080170000}"/>
    <cellStyle name="Percent 2 2 7 8 2" xfId="9740" xr:uid="{36E2AA2B-2B95-4E62-8812-EC54D1317C4C}"/>
    <cellStyle name="Percent 2 2 7 9" xfId="916" xr:uid="{00000000-0005-0000-0000-000081170000}"/>
    <cellStyle name="Percent 2 2 7 9 2" xfId="7093" xr:uid="{C2DB33F1-09E9-46F5-AD08-77F262DD6164}"/>
    <cellStyle name="Percent 2 2 8" xfId="39" xr:uid="{00000000-0005-0000-0000-000082170000}"/>
    <cellStyle name="Percent 2 2 8 10" xfId="6216" xr:uid="{2B1A7BF1-8931-49BB-BF60-200F4DED1DD9}"/>
    <cellStyle name="Percent 2 2 8 2" xfId="105" xr:uid="{00000000-0005-0000-0000-000083170000}"/>
    <cellStyle name="Percent 2 2 8 2 2" xfId="215" xr:uid="{00000000-0005-0000-0000-000084170000}"/>
    <cellStyle name="Percent 2 2 8 2 2 2" xfId="435" xr:uid="{00000000-0005-0000-0000-000085170000}"/>
    <cellStyle name="Percent 2 2 8 2 2 2 2" xfId="876" xr:uid="{00000000-0005-0000-0000-000086170000}"/>
    <cellStyle name="Percent 2 2 8 2 2 2 2 2" xfId="3524" xr:uid="{00000000-0005-0000-0000-000087170000}"/>
    <cellStyle name="Percent 2 2 8 2 2 2 2 2 2" xfId="6138" xr:uid="{00000000-0005-0000-0000-000088170000}"/>
    <cellStyle name="Percent 2 2 8 2 2 2 2 2 2 2" xfId="12315" xr:uid="{504F941C-D15E-402D-9A58-0747432FBEBD}"/>
    <cellStyle name="Percent 2 2 8 2 2 2 2 2 3" xfId="9701" xr:uid="{1F1B46FB-83F6-49F4-9A93-36CA3983B255}"/>
    <cellStyle name="Percent 2 2 8 2 2 2 2 3" xfId="2642" xr:uid="{00000000-0005-0000-0000-000089170000}"/>
    <cellStyle name="Percent 2 2 8 2 2 2 2 3 2" xfId="6139" xr:uid="{00000000-0005-0000-0000-00008A170000}"/>
    <cellStyle name="Percent 2 2 8 2 2 2 2 3 2 2" xfId="12316" xr:uid="{2F988C61-4846-4493-AB7E-D2DA8BF3AEF1}"/>
    <cellStyle name="Percent 2 2 8 2 2 2 2 3 3" xfId="8819" xr:uid="{1696306D-1BFD-4422-8FBC-6186510CCD79}"/>
    <cellStyle name="Percent 2 2 8 2 2 2 2 4" xfId="4406" xr:uid="{00000000-0005-0000-0000-00008B170000}"/>
    <cellStyle name="Percent 2 2 8 2 2 2 2 4 2" xfId="10583" xr:uid="{85892890-FE8A-47E3-AC62-A32E0F2E813D}"/>
    <cellStyle name="Percent 2 2 8 2 2 2 2 5" xfId="1759" xr:uid="{00000000-0005-0000-0000-00008C170000}"/>
    <cellStyle name="Percent 2 2 8 2 2 2 2 5 2" xfId="7936" xr:uid="{5CA638E6-5D9F-4748-9A7F-B5FEA0068817}"/>
    <cellStyle name="Percent 2 2 8 2 2 2 2 6" xfId="7053" xr:uid="{FB0C9893-BF99-4179-AD01-4CCAAAFAF93C}"/>
    <cellStyle name="Percent 2 2 8 2 2 2 3" xfId="3083" xr:uid="{00000000-0005-0000-0000-00008D170000}"/>
    <cellStyle name="Percent 2 2 8 2 2 2 3 2" xfId="6140" xr:uid="{00000000-0005-0000-0000-00008E170000}"/>
    <cellStyle name="Percent 2 2 8 2 2 2 3 2 2" xfId="12317" xr:uid="{0C1A90EC-13B4-4096-B525-0710F9C496A3}"/>
    <cellStyle name="Percent 2 2 8 2 2 2 3 3" xfId="9260" xr:uid="{FBB4A4DC-8FEC-48C7-8ADF-00C5A749DB1E}"/>
    <cellStyle name="Percent 2 2 8 2 2 2 4" xfId="2201" xr:uid="{00000000-0005-0000-0000-00008F170000}"/>
    <cellStyle name="Percent 2 2 8 2 2 2 4 2" xfId="6141" xr:uid="{00000000-0005-0000-0000-000090170000}"/>
    <cellStyle name="Percent 2 2 8 2 2 2 4 2 2" xfId="12318" xr:uid="{8B72C81F-304A-403F-A0B3-2D201011C400}"/>
    <cellStyle name="Percent 2 2 8 2 2 2 4 3" xfId="8378" xr:uid="{EC617746-914C-42AD-9EBA-859DECCCA97A}"/>
    <cellStyle name="Percent 2 2 8 2 2 2 5" xfId="3965" xr:uid="{00000000-0005-0000-0000-000091170000}"/>
    <cellStyle name="Percent 2 2 8 2 2 2 5 2" xfId="10142" xr:uid="{335B3E87-D33E-41BA-A41C-FED9FFDD1D77}"/>
    <cellStyle name="Percent 2 2 8 2 2 2 6" xfId="1318" xr:uid="{00000000-0005-0000-0000-000092170000}"/>
    <cellStyle name="Percent 2 2 8 2 2 2 6 2" xfId="7495" xr:uid="{F5837A76-FF7F-4465-8F45-CAE88E5A6BA8}"/>
    <cellStyle name="Percent 2 2 8 2 2 2 7" xfId="6612" xr:uid="{1450F4EA-7111-4931-A6A6-E39356CC01FB}"/>
    <cellStyle name="Percent 2 2 8 2 2 3" xfId="656" xr:uid="{00000000-0005-0000-0000-000093170000}"/>
    <cellStyle name="Percent 2 2 8 2 2 3 2" xfId="3304" xr:uid="{00000000-0005-0000-0000-000094170000}"/>
    <cellStyle name="Percent 2 2 8 2 2 3 2 2" xfId="6142" xr:uid="{00000000-0005-0000-0000-000095170000}"/>
    <cellStyle name="Percent 2 2 8 2 2 3 2 2 2" xfId="12319" xr:uid="{1A2CD6E8-B543-4A4B-828B-7B50759A9841}"/>
    <cellStyle name="Percent 2 2 8 2 2 3 2 3" xfId="9481" xr:uid="{1D9650A1-31E6-446C-8DE8-FF01FD070E75}"/>
    <cellStyle name="Percent 2 2 8 2 2 3 3" xfId="2422" xr:uid="{00000000-0005-0000-0000-000096170000}"/>
    <cellStyle name="Percent 2 2 8 2 2 3 3 2" xfId="6143" xr:uid="{00000000-0005-0000-0000-000097170000}"/>
    <cellStyle name="Percent 2 2 8 2 2 3 3 2 2" xfId="12320" xr:uid="{F7EFFDAF-4B62-4120-953A-E434156C3F49}"/>
    <cellStyle name="Percent 2 2 8 2 2 3 3 3" xfId="8599" xr:uid="{BC9FC264-BE9B-48AF-BBA6-4E3DFBBC135C}"/>
    <cellStyle name="Percent 2 2 8 2 2 3 4" xfId="4186" xr:uid="{00000000-0005-0000-0000-000098170000}"/>
    <cellStyle name="Percent 2 2 8 2 2 3 4 2" xfId="10363" xr:uid="{CC6786E2-CA2D-40FA-9241-22FE6EE43868}"/>
    <cellStyle name="Percent 2 2 8 2 2 3 5" xfId="1539" xr:uid="{00000000-0005-0000-0000-000099170000}"/>
    <cellStyle name="Percent 2 2 8 2 2 3 5 2" xfId="7716" xr:uid="{CC435AC3-C692-4612-8408-6E03F9097244}"/>
    <cellStyle name="Percent 2 2 8 2 2 3 6" xfId="6833" xr:uid="{D96A0EF5-0C1E-4D84-91F1-F08A5DB4A045}"/>
    <cellStyle name="Percent 2 2 8 2 2 4" xfId="2863" xr:uid="{00000000-0005-0000-0000-00009A170000}"/>
    <cellStyle name="Percent 2 2 8 2 2 4 2" xfId="6144" xr:uid="{00000000-0005-0000-0000-00009B170000}"/>
    <cellStyle name="Percent 2 2 8 2 2 4 2 2" xfId="12321" xr:uid="{D0D12678-DB9B-41BB-B74E-B39C536F51A7}"/>
    <cellStyle name="Percent 2 2 8 2 2 4 3" xfId="9040" xr:uid="{B300B0A1-5543-4FF2-B5EA-FDB7404733FE}"/>
    <cellStyle name="Percent 2 2 8 2 2 5" xfId="1981" xr:uid="{00000000-0005-0000-0000-00009C170000}"/>
    <cellStyle name="Percent 2 2 8 2 2 5 2" xfId="6145" xr:uid="{00000000-0005-0000-0000-00009D170000}"/>
    <cellStyle name="Percent 2 2 8 2 2 5 2 2" xfId="12322" xr:uid="{E49A4053-C1A3-4F40-8A86-2B7DAB95F646}"/>
    <cellStyle name="Percent 2 2 8 2 2 5 3" xfId="8158" xr:uid="{670B9348-C009-491A-8318-42796C66409B}"/>
    <cellStyle name="Percent 2 2 8 2 2 6" xfId="3745" xr:uid="{00000000-0005-0000-0000-00009E170000}"/>
    <cellStyle name="Percent 2 2 8 2 2 6 2" xfId="9922" xr:uid="{7098FC66-F1AB-424E-8313-2A9895F2FC04}"/>
    <cellStyle name="Percent 2 2 8 2 2 7" xfId="1098" xr:uid="{00000000-0005-0000-0000-00009F170000}"/>
    <cellStyle name="Percent 2 2 8 2 2 7 2" xfId="7275" xr:uid="{52631FCA-C71E-4094-B336-0BE3BCD68B91}"/>
    <cellStyle name="Percent 2 2 8 2 2 8" xfId="6392" xr:uid="{19DAA58C-8D95-464F-9ABF-9EFA77854E49}"/>
    <cellStyle name="Percent 2 2 8 2 3" xfId="325" xr:uid="{00000000-0005-0000-0000-0000A0170000}"/>
    <cellStyle name="Percent 2 2 8 2 3 2" xfId="766" xr:uid="{00000000-0005-0000-0000-0000A1170000}"/>
    <cellStyle name="Percent 2 2 8 2 3 2 2" xfId="3414" xr:uid="{00000000-0005-0000-0000-0000A2170000}"/>
    <cellStyle name="Percent 2 2 8 2 3 2 2 2" xfId="6146" xr:uid="{00000000-0005-0000-0000-0000A3170000}"/>
    <cellStyle name="Percent 2 2 8 2 3 2 2 2 2" xfId="12323" xr:uid="{E99B9157-4148-4695-9038-EB682E54A38B}"/>
    <cellStyle name="Percent 2 2 8 2 3 2 2 3" xfId="9591" xr:uid="{CCFBC2A0-5EFB-41CB-BF1D-724F9166B5BD}"/>
    <cellStyle name="Percent 2 2 8 2 3 2 3" xfId="2532" xr:uid="{00000000-0005-0000-0000-0000A4170000}"/>
    <cellStyle name="Percent 2 2 8 2 3 2 3 2" xfId="6147" xr:uid="{00000000-0005-0000-0000-0000A5170000}"/>
    <cellStyle name="Percent 2 2 8 2 3 2 3 2 2" xfId="12324" xr:uid="{CDC411D5-D984-4596-8B60-1DB0F22E01EF}"/>
    <cellStyle name="Percent 2 2 8 2 3 2 3 3" xfId="8709" xr:uid="{DE73543D-CD6F-4B40-A3AC-353A47D166C6}"/>
    <cellStyle name="Percent 2 2 8 2 3 2 4" xfId="4296" xr:uid="{00000000-0005-0000-0000-0000A6170000}"/>
    <cellStyle name="Percent 2 2 8 2 3 2 4 2" xfId="10473" xr:uid="{36F5A3ED-DD1C-414A-8251-A3429D1B8541}"/>
    <cellStyle name="Percent 2 2 8 2 3 2 5" xfId="1649" xr:uid="{00000000-0005-0000-0000-0000A7170000}"/>
    <cellStyle name="Percent 2 2 8 2 3 2 5 2" xfId="7826" xr:uid="{9CBB7597-4813-48C7-8DD6-0FCD0F9650A4}"/>
    <cellStyle name="Percent 2 2 8 2 3 2 6" xfId="6943" xr:uid="{9F03D594-31C7-4E80-9664-54878B55F713}"/>
    <cellStyle name="Percent 2 2 8 2 3 3" xfId="2973" xr:uid="{00000000-0005-0000-0000-0000A8170000}"/>
    <cellStyle name="Percent 2 2 8 2 3 3 2" xfId="6148" xr:uid="{00000000-0005-0000-0000-0000A9170000}"/>
    <cellStyle name="Percent 2 2 8 2 3 3 2 2" xfId="12325" xr:uid="{00DC4210-1A0B-4E7F-96BF-22044511AAD3}"/>
    <cellStyle name="Percent 2 2 8 2 3 3 3" xfId="9150" xr:uid="{A0B03A2B-8258-4CC6-93C2-71C66198AAEE}"/>
    <cellStyle name="Percent 2 2 8 2 3 4" xfId="2091" xr:uid="{00000000-0005-0000-0000-0000AA170000}"/>
    <cellStyle name="Percent 2 2 8 2 3 4 2" xfId="6149" xr:uid="{00000000-0005-0000-0000-0000AB170000}"/>
    <cellStyle name="Percent 2 2 8 2 3 4 2 2" xfId="12326" xr:uid="{20C35725-5021-4F31-8924-C91F98681E14}"/>
    <cellStyle name="Percent 2 2 8 2 3 4 3" xfId="8268" xr:uid="{0F668A57-3A16-4027-A7C5-62961CAF0DB6}"/>
    <cellStyle name="Percent 2 2 8 2 3 5" xfId="3855" xr:uid="{00000000-0005-0000-0000-0000AC170000}"/>
    <cellStyle name="Percent 2 2 8 2 3 5 2" xfId="10032" xr:uid="{834FF537-34DE-49C3-9880-91C74E2D7A72}"/>
    <cellStyle name="Percent 2 2 8 2 3 6" xfId="1208" xr:uid="{00000000-0005-0000-0000-0000AD170000}"/>
    <cellStyle name="Percent 2 2 8 2 3 6 2" xfId="7385" xr:uid="{9ABC9421-2ABA-4C14-9CDF-9B9257562AA6}"/>
    <cellStyle name="Percent 2 2 8 2 3 7" xfId="6502" xr:uid="{84C7B918-F7B8-474F-AE10-79762035A664}"/>
    <cellStyle name="Percent 2 2 8 2 4" xfId="546" xr:uid="{00000000-0005-0000-0000-0000AE170000}"/>
    <cellStyle name="Percent 2 2 8 2 4 2" xfId="3194" xr:uid="{00000000-0005-0000-0000-0000AF170000}"/>
    <cellStyle name="Percent 2 2 8 2 4 2 2" xfId="6150" xr:uid="{00000000-0005-0000-0000-0000B0170000}"/>
    <cellStyle name="Percent 2 2 8 2 4 2 2 2" xfId="12327" xr:uid="{86A58466-2E0C-44D9-8041-2AC0B7157D7E}"/>
    <cellStyle name="Percent 2 2 8 2 4 2 3" xfId="9371" xr:uid="{358830CE-B65E-4002-AEFC-728CF8DF2993}"/>
    <cellStyle name="Percent 2 2 8 2 4 3" xfId="2312" xr:uid="{00000000-0005-0000-0000-0000B1170000}"/>
    <cellStyle name="Percent 2 2 8 2 4 3 2" xfId="6151" xr:uid="{00000000-0005-0000-0000-0000B2170000}"/>
    <cellStyle name="Percent 2 2 8 2 4 3 2 2" xfId="12328" xr:uid="{F9B1BE18-45C9-4B1A-B763-1BC3E2BA7B1E}"/>
    <cellStyle name="Percent 2 2 8 2 4 3 3" xfId="8489" xr:uid="{86B734CF-21F1-4C10-B828-A8C30C6C67CC}"/>
    <cellStyle name="Percent 2 2 8 2 4 4" xfId="4076" xr:uid="{00000000-0005-0000-0000-0000B3170000}"/>
    <cellStyle name="Percent 2 2 8 2 4 4 2" xfId="10253" xr:uid="{E75189A6-DBED-4B7C-AD19-15C2A0E4E5E2}"/>
    <cellStyle name="Percent 2 2 8 2 4 5" xfId="1429" xr:uid="{00000000-0005-0000-0000-0000B4170000}"/>
    <cellStyle name="Percent 2 2 8 2 4 5 2" xfId="7606" xr:uid="{A12E3F6C-5F75-4750-ADA0-0E8B85B8B086}"/>
    <cellStyle name="Percent 2 2 8 2 4 6" xfId="6723" xr:uid="{2E92C6A9-22A0-4C15-B438-BC67082830FA}"/>
    <cellStyle name="Percent 2 2 8 2 5" xfId="2753" xr:uid="{00000000-0005-0000-0000-0000B5170000}"/>
    <cellStyle name="Percent 2 2 8 2 5 2" xfId="6152" xr:uid="{00000000-0005-0000-0000-0000B6170000}"/>
    <cellStyle name="Percent 2 2 8 2 5 2 2" xfId="12329" xr:uid="{ED52066C-70B1-4329-BCDC-ED670B8F7174}"/>
    <cellStyle name="Percent 2 2 8 2 5 3" xfId="8930" xr:uid="{D5D1ED6B-3005-4CEA-8280-DE5A32355CA6}"/>
    <cellStyle name="Percent 2 2 8 2 6" xfId="1871" xr:uid="{00000000-0005-0000-0000-0000B7170000}"/>
    <cellStyle name="Percent 2 2 8 2 6 2" xfId="6153" xr:uid="{00000000-0005-0000-0000-0000B8170000}"/>
    <cellStyle name="Percent 2 2 8 2 6 2 2" xfId="12330" xr:uid="{E817FDC2-9DCF-472D-9647-B876A3B5FEB4}"/>
    <cellStyle name="Percent 2 2 8 2 6 3" xfId="8048" xr:uid="{C55D8544-5149-437B-812C-4E0C6A78C68D}"/>
    <cellStyle name="Percent 2 2 8 2 7" xfId="3635" xr:uid="{00000000-0005-0000-0000-0000B9170000}"/>
    <cellStyle name="Percent 2 2 8 2 7 2" xfId="9812" xr:uid="{920971FF-8980-47C8-8531-380EC355A306}"/>
    <cellStyle name="Percent 2 2 8 2 8" xfId="988" xr:uid="{00000000-0005-0000-0000-0000BA170000}"/>
    <cellStyle name="Percent 2 2 8 2 8 2" xfId="7165" xr:uid="{61397284-7F25-4CA1-BE7E-AAD6AA74379D}"/>
    <cellStyle name="Percent 2 2 8 2 9" xfId="6282" xr:uid="{52F32345-9A9D-49B1-A2C5-4337567A7E7F}"/>
    <cellStyle name="Percent 2 2 8 3" xfId="149" xr:uid="{00000000-0005-0000-0000-0000BB170000}"/>
    <cellStyle name="Percent 2 2 8 3 2" xfId="369" xr:uid="{00000000-0005-0000-0000-0000BC170000}"/>
    <cellStyle name="Percent 2 2 8 3 2 2" xfId="810" xr:uid="{00000000-0005-0000-0000-0000BD170000}"/>
    <cellStyle name="Percent 2 2 8 3 2 2 2" xfId="3458" xr:uid="{00000000-0005-0000-0000-0000BE170000}"/>
    <cellStyle name="Percent 2 2 8 3 2 2 2 2" xfId="6154" xr:uid="{00000000-0005-0000-0000-0000BF170000}"/>
    <cellStyle name="Percent 2 2 8 3 2 2 2 2 2" xfId="12331" xr:uid="{7051C6CF-15EA-47E9-ADD9-15F3D1A6371A}"/>
    <cellStyle name="Percent 2 2 8 3 2 2 2 3" xfId="9635" xr:uid="{B27023C7-E846-4DDA-892C-2C738FC6BFCF}"/>
    <cellStyle name="Percent 2 2 8 3 2 2 3" xfId="2576" xr:uid="{00000000-0005-0000-0000-0000C0170000}"/>
    <cellStyle name="Percent 2 2 8 3 2 2 3 2" xfId="6155" xr:uid="{00000000-0005-0000-0000-0000C1170000}"/>
    <cellStyle name="Percent 2 2 8 3 2 2 3 2 2" xfId="12332" xr:uid="{055921BB-5C1A-4288-AE99-CE5233469B64}"/>
    <cellStyle name="Percent 2 2 8 3 2 2 3 3" xfId="8753" xr:uid="{160015BF-ED11-4D36-8E1E-0AE58FE58F00}"/>
    <cellStyle name="Percent 2 2 8 3 2 2 4" xfId="4340" xr:uid="{00000000-0005-0000-0000-0000C2170000}"/>
    <cellStyle name="Percent 2 2 8 3 2 2 4 2" xfId="10517" xr:uid="{148EBB4B-3B3C-455D-B341-50F18CC99498}"/>
    <cellStyle name="Percent 2 2 8 3 2 2 5" xfId="1693" xr:uid="{00000000-0005-0000-0000-0000C3170000}"/>
    <cellStyle name="Percent 2 2 8 3 2 2 5 2" xfId="7870" xr:uid="{6926A07B-EF93-443C-B6BA-184AF0CB1741}"/>
    <cellStyle name="Percent 2 2 8 3 2 2 6" xfId="6987" xr:uid="{0B4FCFF0-683F-4604-8D04-5FC592A376CC}"/>
    <cellStyle name="Percent 2 2 8 3 2 3" xfId="3017" xr:uid="{00000000-0005-0000-0000-0000C4170000}"/>
    <cellStyle name="Percent 2 2 8 3 2 3 2" xfId="6156" xr:uid="{00000000-0005-0000-0000-0000C5170000}"/>
    <cellStyle name="Percent 2 2 8 3 2 3 2 2" xfId="12333" xr:uid="{582C6B46-B59A-478C-888B-C86AFD1A71FE}"/>
    <cellStyle name="Percent 2 2 8 3 2 3 3" xfId="9194" xr:uid="{768287CE-8947-4965-8ADB-27ADCE7904EE}"/>
    <cellStyle name="Percent 2 2 8 3 2 4" xfId="2135" xr:uid="{00000000-0005-0000-0000-0000C6170000}"/>
    <cellStyle name="Percent 2 2 8 3 2 4 2" xfId="6157" xr:uid="{00000000-0005-0000-0000-0000C7170000}"/>
    <cellStyle name="Percent 2 2 8 3 2 4 2 2" xfId="12334" xr:uid="{334C7F3F-4186-4088-BEA8-50448F47AE6D}"/>
    <cellStyle name="Percent 2 2 8 3 2 4 3" xfId="8312" xr:uid="{C3BB6FC2-9521-4FF1-8702-B1480F32371D}"/>
    <cellStyle name="Percent 2 2 8 3 2 5" xfId="3899" xr:uid="{00000000-0005-0000-0000-0000C8170000}"/>
    <cellStyle name="Percent 2 2 8 3 2 5 2" xfId="10076" xr:uid="{C850A572-C6A4-4950-9ADD-5DA913C2863F}"/>
    <cellStyle name="Percent 2 2 8 3 2 6" xfId="1252" xr:uid="{00000000-0005-0000-0000-0000C9170000}"/>
    <cellStyle name="Percent 2 2 8 3 2 6 2" xfId="7429" xr:uid="{4F830E89-C70B-414A-BA88-F506D6185F0D}"/>
    <cellStyle name="Percent 2 2 8 3 2 7" xfId="6546" xr:uid="{1B1FAD3A-E0C7-4960-937B-24B4B5D1890B}"/>
    <cellStyle name="Percent 2 2 8 3 3" xfId="590" xr:uid="{00000000-0005-0000-0000-0000CA170000}"/>
    <cellStyle name="Percent 2 2 8 3 3 2" xfId="3238" xr:uid="{00000000-0005-0000-0000-0000CB170000}"/>
    <cellStyle name="Percent 2 2 8 3 3 2 2" xfId="6158" xr:uid="{00000000-0005-0000-0000-0000CC170000}"/>
    <cellStyle name="Percent 2 2 8 3 3 2 2 2" xfId="12335" xr:uid="{86CE9C93-6BD2-4AB3-BB17-D895E12F1F3F}"/>
    <cellStyle name="Percent 2 2 8 3 3 2 3" xfId="9415" xr:uid="{86DE4DA3-6BB3-446B-AB4B-D5F865252DA6}"/>
    <cellStyle name="Percent 2 2 8 3 3 3" xfId="2356" xr:uid="{00000000-0005-0000-0000-0000CD170000}"/>
    <cellStyle name="Percent 2 2 8 3 3 3 2" xfId="6159" xr:uid="{00000000-0005-0000-0000-0000CE170000}"/>
    <cellStyle name="Percent 2 2 8 3 3 3 2 2" xfId="12336" xr:uid="{AC87030C-FBA9-47DF-8AEB-FC26BF5BCA94}"/>
    <cellStyle name="Percent 2 2 8 3 3 3 3" xfId="8533" xr:uid="{C91EF5DF-5851-49D8-AA2E-19D916CE6B7C}"/>
    <cellStyle name="Percent 2 2 8 3 3 4" xfId="4120" xr:uid="{00000000-0005-0000-0000-0000CF170000}"/>
    <cellStyle name="Percent 2 2 8 3 3 4 2" xfId="10297" xr:uid="{8092B7D5-447E-4284-A786-7B621F1B7150}"/>
    <cellStyle name="Percent 2 2 8 3 3 5" xfId="1473" xr:uid="{00000000-0005-0000-0000-0000D0170000}"/>
    <cellStyle name="Percent 2 2 8 3 3 5 2" xfId="7650" xr:uid="{5D2F97B2-7759-4A24-94D4-1DA06AD3E17B}"/>
    <cellStyle name="Percent 2 2 8 3 3 6" xfId="6767" xr:uid="{6A7F599B-839B-4BEA-AE03-2AA2916DD3C0}"/>
    <cellStyle name="Percent 2 2 8 3 4" xfId="2797" xr:uid="{00000000-0005-0000-0000-0000D1170000}"/>
    <cellStyle name="Percent 2 2 8 3 4 2" xfId="6160" xr:uid="{00000000-0005-0000-0000-0000D2170000}"/>
    <cellStyle name="Percent 2 2 8 3 4 2 2" xfId="12337" xr:uid="{A4DEF50B-B925-4D03-9CDF-0E2921E9FABD}"/>
    <cellStyle name="Percent 2 2 8 3 4 3" xfId="8974" xr:uid="{89E67C3B-873F-4AD7-BE9D-53CAA7F11E79}"/>
    <cellStyle name="Percent 2 2 8 3 5" xfId="1915" xr:uid="{00000000-0005-0000-0000-0000D3170000}"/>
    <cellStyle name="Percent 2 2 8 3 5 2" xfId="6161" xr:uid="{00000000-0005-0000-0000-0000D4170000}"/>
    <cellStyle name="Percent 2 2 8 3 5 2 2" xfId="12338" xr:uid="{F5F4F930-F084-4726-838D-644BA4581A7C}"/>
    <cellStyle name="Percent 2 2 8 3 5 3" xfId="8092" xr:uid="{0A9779DF-EEBE-49D1-8396-C58652C15BAA}"/>
    <cellStyle name="Percent 2 2 8 3 6" xfId="3679" xr:uid="{00000000-0005-0000-0000-0000D5170000}"/>
    <cellStyle name="Percent 2 2 8 3 6 2" xfId="9856" xr:uid="{1A39A47C-DC88-45A8-8BBC-56A3443BFC3B}"/>
    <cellStyle name="Percent 2 2 8 3 7" xfId="1032" xr:uid="{00000000-0005-0000-0000-0000D6170000}"/>
    <cellStyle name="Percent 2 2 8 3 7 2" xfId="7209" xr:uid="{59282F68-BF69-45EC-A590-2DE063B2B704}"/>
    <cellStyle name="Percent 2 2 8 3 8" xfId="6326" xr:uid="{5E00D284-6C0B-421D-BF5D-A9745E720DF0}"/>
    <cellStyle name="Percent 2 2 8 4" xfId="259" xr:uid="{00000000-0005-0000-0000-0000D7170000}"/>
    <cellStyle name="Percent 2 2 8 4 2" xfId="700" xr:uid="{00000000-0005-0000-0000-0000D8170000}"/>
    <cellStyle name="Percent 2 2 8 4 2 2" xfId="3348" xr:uid="{00000000-0005-0000-0000-0000D9170000}"/>
    <cellStyle name="Percent 2 2 8 4 2 2 2" xfId="6162" xr:uid="{00000000-0005-0000-0000-0000DA170000}"/>
    <cellStyle name="Percent 2 2 8 4 2 2 2 2" xfId="12339" xr:uid="{6ACA845E-2751-42FC-9DC8-DCE8B6C9E38D}"/>
    <cellStyle name="Percent 2 2 8 4 2 2 3" xfId="9525" xr:uid="{6A3A2B89-0299-405E-AA98-6927B9F77BC5}"/>
    <cellStyle name="Percent 2 2 8 4 2 3" xfId="2466" xr:uid="{00000000-0005-0000-0000-0000DB170000}"/>
    <cellStyle name="Percent 2 2 8 4 2 3 2" xfId="6163" xr:uid="{00000000-0005-0000-0000-0000DC170000}"/>
    <cellStyle name="Percent 2 2 8 4 2 3 2 2" xfId="12340" xr:uid="{E5D9963F-AFBC-4644-AB60-D95EE2C3D5B2}"/>
    <cellStyle name="Percent 2 2 8 4 2 3 3" xfId="8643" xr:uid="{BB33C3C2-4075-452C-AB7E-66C2EB624585}"/>
    <cellStyle name="Percent 2 2 8 4 2 4" xfId="4230" xr:uid="{00000000-0005-0000-0000-0000DD170000}"/>
    <cellStyle name="Percent 2 2 8 4 2 4 2" xfId="10407" xr:uid="{1A8BC5ED-E647-4BB4-A37E-4F789ACA230C}"/>
    <cellStyle name="Percent 2 2 8 4 2 5" xfId="1583" xr:uid="{00000000-0005-0000-0000-0000DE170000}"/>
    <cellStyle name="Percent 2 2 8 4 2 5 2" xfId="7760" xr:uid="{1D93A9BE-201B-4EA9-BA54-863364481C24}"/>
    <cellStyle name="Percent 2 2 8 4 2 6" xfId="6877" xr:uid="{4936E5A4-6AC2-4E7F-93CA-DADB4CAAA3FB}"/>
    <cellStyle name="Percent 2 2 8 4 3" xfId="2907" xr:uid="{00000000-0005-0000-0000-0000DF170000}"/>
    <cellStyle name="Percent 2 2 8 4 3 2" xfId="6164" xr:uid="{00000000-0005-0000-0000-0000E0170000}"/>
    <cellStyle name="Percent 2 2 8 4 3 2 2" xfId="12341" xr:uid="{B8EF938B-1256-4217-8D1D-C7C9CB890683}"/>
    <cellStyle name="Percent 2 2 8 4 3 3" xfId="9084" xr:uid="{46C0F03C-6ECB-41E5-8EB8-85782A164AAC}"/>
    <cellStyle name="Percent 2 2 8 4 4" xfId="2025" xr:uid="{00000000-0005-0000-0000-0000E1170000}"/>
    <cellStyle name="Percent 2 2 8 4 4 2" xfId="6165" xr:uid="{00000000-0005-0000-0000-0000E2170000}"/>
    <cellStyle name="Percent 2 2 8 4 4 2 2" xfId="12342" xr:uid="{F7411BE7-7E21-4107-B513-92F1C2114BB2}"/>
    <cellStyle name="Percent 2 2 8 4 4 3" xfId="8202" xr:uid="{DABECC02-4C42-4FC1-8848-A75511FC7D9E}"/>
    <cellStyle name="Percent 2 2 8 4 5" xfId="3789" xr:uid="{00000000-0005-0000-0000-0000E3170000}"/>
    <cellStyle name="Percent 2 2 8 4 5 2" xfId="9966" xr:uid="{4FD5A7E6-00F0-4C42-B11A-52D9F85233FD}"/>
    <cellStyle name="Percent 2 2 8 4 6" xfId="1142" xr:uid="{00000000-0005-0000-0000-0000E4170000}"/>
    <cellStyle name="Percent 2 2 8 4 6 2" xfId="7319" xr:uid="{D99E2E3C-B39C-45A6-A923-1D2CB908CAF0}"/>
    <cellStyle name="Percent 2 2 8 4 7" xfId="6436" xr:uid="{6982A283-D095-40F9-A961-703DFE99808A}"/>
    <cellStyle name="Percent 2 2 8 5" xfId="480" xr:uid="{00000000-0005-0000-0000-0000E5170000}"/>
    <cellStyle name="Percent 2 2 8 5 2" xfId="3128" xr:uid="{00000000-0005-0000-0000-0000E6170000}"/>
    <cellStyle name="Percent 2 2 8 5 2 2" xfId="6166" xr:uid="{00000000-0005-0000-0000-0000E7170000}"/>
    <cellStyle name="Percent 2 2 8 5 2 2 2" xfId="12343" xr:uid="{B795C787-0084-4632-B8CB-4BA71998150C}"/>
    <cellStyle name="Percent 2 2 8 5 2 3" xfId="9305" xr:uid="{69EE8FE5-5C54-4865-8CB0-8A57AB8B1683}"/>
    <cellStyle name="Percent 2 2 8 5 3" xfId="2246" xr:uid="{00000000-0005-0000-0000-0000E8170000}"/>
    <cellStyle name="Percent 2 2 8 5 3 2" xfId="6167" xr:uid="{00000000-0005-0000-0000-0000E9170000}"/>
    <cellStyle name="Percent 2 2 8 5 3 2 2" xfId="12344" xr:uid="{51311CD6-1D8F-4816-9734-F9E8CFCED3C6}"/>
    <cellStyle name="Percent 2 2 8 5 3 3" xfId="8423" xr:uid="{FC204C75-387A-480A-83AA-2ED25D5F4C10}"/>
    <cellStyle name="Percent 2 2 8 5 4" xfId="4010" xr:uid="{00000000-0005-0000-0000-0000EA170000}"/>
    <cellStyle name="Percent 2 2 8 5 4 2" xfId="10187" xr:uid="{EB5F0290-33B0-4671-8B1C-403E09E51CF6}"/>
    <cellStyle name="Percent 2 2 8 5 5" xfId="1363" xr:uid="{00000000-0005-0000-0000-0000EB170000}"/>
    <cellStyle name="Percent 2 2 8 5 5 2" xfId="7540" xr:uid="{CBD36083-1382-4DF1-A0C1-C1E72131F1FB}"/>
    <cellStyle name="Percent 2 2 8 5 6" xfId="6657" xr:uid="{50E2E149-00A4-480B-BDE7-56890BEEA4AA}"/>
    <cellStyle name="Percent 2 2 8 6" xfId="2687" xr:uid="{00000000-0005-0000-0000-0000EC170000}"/>
    <cellStyle name="Percent 2 2 8 6 2" xfId="6168" xr:uid="{00000000-0005-0000-0000-0000ED170000}"/>
    <cellStyle name="Percent 2 2 8 6 2 2" xfId="12345" xr:uid="{9209DFF5-20C7-4B30-B09C-2AD1D525CBD8}"/>
    <cellStyle name="Percent 2 2 8 6 3" xfId="8864" xr:uid="{0FDA1B8A-4ABD-4641-B11B-6A97E0B8ECA2}"/>
    <cellStyle name="Percent 2 2 8 7" xfId="1805" xr:uid="{00000000-0005-0000-0000-0000EE170000}"/>
    <cellStyle name="Percent 2 2 8 7 2" xfId="6169" xr:uid="{00000000-0005-0000-0000-0000EF170000}"/>
    <cellStyle name="Percent 2 2 8 7 2 2" xfId="12346" xr:uid="{88622687-557E-4480-BE1B-64C98EC1B218}"/>
    <cellStyle name="Percent 2 2 8 7 3" xfId="7982" xr:uid="{DC8C0486-5501-445E-93E1-33617CE2E8D5}"/>
    <cellStyle name="Percent 2 2 8 8" xfId="3569" xr:uid="{00000000-0005-0000-0000-0000F0170000}"/>
    <cellStyle name="Percent 2 2 8 8 2" xfId="9746" xr:uid="{A9E923E5-AAC8-4F24-80EB-B1F89F4C4E46}"/>
    <cellStyle name="Percent 2 2 8 9" xfId="922" xr:uid="{00000000-0005-0000-0000-0000F1170000}"/>
    <cellStyle name="Percent 2 2 8 9 2" xfId="7099" xr:uid="{8F4C5185-B80B-43B7-8DC0-BBF28EB7A06B}"/>
    <cellStyle name="Percent 2 2 9" xfId="45" xr:uid="{00000000-0005-0000-0000-0000F2170000}"/>
    <cellStyle name="Percent 2 2 9 2" xfId="155" xr:uid="{00000000-0005-0000-0000-0000F3170000}"/>
    <cellStyle name="Percent 2 2 9 2 2" xfId="375" xr:uid="{00000000-0005-0000-0000-0000F4170000}"/>
    <cellStyle name="Percent 2 2 9 2 2 2" xfId="816" xr:uid="{00000000-0005-0000-0000-0000F5170000}"/>
    <cellStyle name="Percent 2 2 9 2 2 2 2" xfId="3464" xr:uid="{00000000-0005-0000-0000-0000F6170000}"/>
    <cellStyle name="Percent 2 2 9 2 2 2 2 2" xfId="6170" xr:uid="{00000000-0005-0000-0000-0000F7170000}"/>
    <cellStyle name="Percent 2 2 9 2 2 2 2 2 2" xfId="12347" xr:uid="{8D32FBAB-5DE3-4E85-AE12-8D174590D065}"/>
    <cellStyle name="Percent 2 2 9 2 2 2 2 3" xfId="9641" xr:uid="{91113ACF-E38C-43F4-86CE-A739814AAFA4}"/>
    <cellStyle name="Percent 2 2 9 2 2 2 3" xfId="2582" xr:uid="{00000000-0005-0000-0000-0000F8170000}"/>
    <cellStyle name="Percent 2 2 9 2 2 2 3 2" xfId="6171" xr:uid="{00000000-0005-0000-0000-0000F9170000}"/>
    <cellStyle name="Percent 2 2 9 2 2 2 3 2 2" xfId="12348" xr:uid="{F65576A9-E767-4B2B-B991-FEEA418945AF}"/>
    <cellStyle name="Percent 2 2 9 2 2 2 3 3" xfId="8759" xr:uid="{62D7B253-AC6C-4BDA-97BF-CE0CAA727466}"/>
    <cellStyle name="Percent 2 2 9 2 2 2 4" xfId="4346" xr:uid="{00000000-0005-0000-0000-0000FA170000}"/>
    <cellStyle name="Percent 2 2 9 2 2 2 4 2" xfId="10523" xr:uid="{5E59A16E-53CB-4ADC-B568-1B408C3994BF}"/>
    <cellStyle name="Percent 2 2 9 2 2 2 5" xfId="1699" xr:uid="{00000000-0005-0000-0000-0000FB170000}"/>
    <cellStyle name="Percent 2 2 9 2 2 2 5 2" xfId="7876" xr:uid="{53A1C251-2B29-4407-B57F-2F526E7EF456}"/>
    <cellStyle name="Percent 2 2 9 2 2 2 6" xfId="6993" xr:uid="{688D532D-B2C2-4BFF-A793-728C008FBD39}"/>
    <cellStyle name="Percent 2 2 9 2 2 3" xfId="3023" xr:uid="{00000000-0005-0000-0000-0000FC170000}"/>
    <cellStyle name="Percent 2 2 9 2 2 3 2" xfId="6172" xr:uid="{00000000-0005-0000-0000-0000FD170000}"/>
    <cellStyle name="Percent 2 2 9 2 2 3 2 2" xfId="12349" xr:uid="{4BBE07C3-7C96-4D17-B397-9924B9E1915D}"/>
    <cellStyle name="Percent 2 2 9 2 2 3 3" xfId="9200" xr:uid="{32A3F97D-20E7-407C-A756-D34B9080A518}"/>
    <cellStyle name="Percent 2 2 9 2 2 4" xfId="2141" xr:uid="{00000000-0005-0000-0000-0000FE170000}"/>
    <cellStyle name="Percent 2 2 9 2 2 4 2" xfId="6173" xr:uid="{00000000-0005-0000-0000-0000FF170000}"/>
    <cellStyle name="Percent 2 2 9 2 2 4 2 2" xfId="12350" xr:uid="{E8B80784-487B-48A1-A039-E1660310958C}"/>
    <cellStyle name="Percent 2 2 9 2 2 4 3" xfId="8318" xr:uid="{4FCDDC5F-4EC6-4FD2-964F-53A396BEF29D}"/>
    <cellStyle name="Percent 2 2 9 2 2 5" xfId="3905" xr:uid="{00000000-0005-0000-0000-000000180000}"/>
    <cellStyle name="Percent 2 2 9 2 2 5 2" xfId="10082" xr:uid="{F1820F60-0B6C-4B82-8B66-43D5A9D9B7AF}"/>
    <cellStyle name="Percent 2 2 9 2 2 6" xfId="1258" xr:uid="{00000000-0005-0000-0000-000001180000}"/>
    <cellStyle name="Percent 2 2 9 2 2 6 2" xfId="7435" xr:uid="{3AF95C18-9D01-4321-A7C4-621B9A33A76E}"/>
    <cellStyle name="Percent 2 2 9 2 2 7" xfId="6552" xr:uid="{9813176B-A430-45C8-B350-8A203A6C4EBB}"/>
    <cellStyle name="Percent 2 2 9 2 3" xfId="596" xr:uid="{00000000-0005-0000-0000-000002180000}"/>
    <cellStyle name="Percent 2 2 9 2 3 2" xfId="3244" xr:uid="{00000000-0005-0000-0000-000003180000}"/>
    <cellStyle name="Percent 2 2 9 2 3 2 2" xfId="6174" xr:uid="{00000000-0005-0000-0000-000004180000}"/>
    <cellStyle name="Percent 2 2 9 2 3 2 2 2" xfId="12351" xr:uid="{4CEE58A0-BC84-49AB-B2D5-E64B4E678D2B}"/>
    <cellStyle name="Percent 2 2 9 2 3 2 3" xfId="9421" xr:uid="{0B842DC0-DCF2-4690-870D-94DDE7D6EC25}"/>
    <cellStyle name="Percent 2 2 9 2 3 3" xfId="2362" xr:uid="{00000000-0005-0000-0000-000005180000}"/>
    <cellStyle name="Percent 2 2 9 2 3 3 2" xfId="6175" xr:uid="{00000000-0005-0000-0000-000006180000}"/>
    <cellStyle name="Percent 2 2 9 2 3 3 2 2" xfId="12352" xr:uid="{23B1737E-163A-47A1-9411-00B1E936D550}"/>
    <cellStyle name="Percent 2 2 9 2 3 3 3" xfId="8539" xr:uid="{676B5D3C-639C-426B-9BF5-DC5E08EE09CE}"/>
    <cellStyle name="Percent 2 2 9 2 3 4" xfId="4126" xr:uid="{00000000-0005-0000-0000-000007180000}"/>
    <cellStyle name="Percent 2 2 9 2 3 4 2" xfId="10303" xr:uid="{738F90F7-70BD-4FDD-94D1-7C2EDB4BB9DF}"/>
    <cellStyle name="Percent 2 2 9 2 3 5" xfId="1479" xr:uid="{00000000-0005-0000-0000-000008180000}"/>
    <cellStyle name="Percent 2 2 9 2 3 5 2" xfId="7656" xr:uid="{5594D93D-8664-469B-8DD0-75A91438EA75}"/>
    <cellStyle name="Percent 2 2 9 2 3 6" xfId="6773" xr:uid="{70F9C7A3-DC12-46E4-9D47-6FB102A799DE}"/>
    <cellStyle name="Percent 2 2 9 2 4" xfId="2803" xr:uid="{00000000-0005-0000-0000-000009180000}"/>
    <cellStyle name="Percent 2 2 9 2 4 2" xfId="6176" xr:uid="{00000000-0005-0000-0000-00000A180000}"/>
    <cellStyle name="Percent 2 2 9 2 4 2 2" xfId="12353" xr:uid="{8DFB6CCA-FD58-487A-920E-BB7DFE4C6F35}"/>
    <cellStyle name="Percent 2 2 9 2 4 3" xfId="8980" xr:uid="{F36CFE90-F218-46FA-9C85-D6B1B9AB67E9}"/>
    <cellStyle name="Percent 2 2 9 2 5" xfId="1921" xr:uid="{00000000-0005-0000-0000-00000B180000}"/>
    <cellStyle name="Percent 2 2 9 2 5 2" xfId="6177" xr:uid="{00000000-0005-0000-0000-00000C180000}"/>
    <cellStyle name="Percent 2 2 9 2 5 2 2" xfId="12354" xr:uid="{136627C9-868F-4220-9350-617163AAFA75}"/>
    <cellStyle name="Percent 2 2 9 2 5 3" xfId="8098" xr:uid="{6D86EDE7-241C-43C5-AD90-92471A05F7A8}"/>
    <cellStyle name="Percent 2 2 9 2 6" xfId="3685" xr:uid="{00000000-0005-0000-0000-00000D180000}"/>
    <cellStyle name="Percent 2 2 9 2 6 2" xfId="9862" xr:uid="{8C272CE8-A229-4C9F-9653-8727AAC3C63F}"/>
    <cellStyle name="Percent 2 2 9 2 7" xfId="1038" xr:uid="{00000000-0005-0000-0000-00000E180000}"/>
    <cellStyle name="Percent 2 2 9 2 7 2" xfId="7215" xr:uid="{C2CFEB39-788C-46F3-90A0-F3730904C637}"/>
    <cellStyle name="Percent 2 2 9 2 8" xfId="6332" xr:uid="{03BF044C-27D4-4476-9812-CF16E545B719}"/>
    <cellStyle name="Percent 2 2 9 3" xfId="265" xr:uid="{00000000-0005-0000-0000-00000F180000}"/>
    <cellStyle name="Percent 2 2 9 3 2" xfId="706" xr:uid="{00000000-0005-0000-0000-000010180000}"/>
    <cellStyle name="Percent 2 2 9 3 2 2" xfId="3354" xr:uid="{00000000-0005-0000-0000-000011180000}"/>
    <cellStyle name="Percent 2 2 9 3 2 2 2" xfId="6178" xr:uid="{00000000-0005-0000-0000-000012180000}"/>
    <cellStyle name="Percent 2 2 9 3 2 2 2 2" xfId="12355" xr:uid="{4C8DABA9-FD9F-436D-B6F3-41162580525D}"/>
    <cellStyle name="Percent 2 2 9 3 2 2 3" xfId="9531" xr:uid="{F98C521B-8EE2-44BD-8BD6-C1B84A279D0D}"/>
    <cellStyle name="Percent 2 2 9 3 2 3" xfId="2472" xr:uid="{00000000-0005-0000-0000-000013180000}"/>
    <cellStyle name="Percent 2 2 9 3 2 3 2" xfId="6179" xr:uid="{00000000-0005-0000-0000-000014180000}"/>
    <cellStyle name="Percent 2 2 9 3 2 3 2 2" xfId="12356" xr:uid="{BF0AE72A-CCA7-4BF4-B376-1CF4A1E46D69}"/>
    <cellStyle name="Percent 2 2 9 3 2 3 3" xfId="8649" xr:uid="{F5BB02ED-B5BA-4181-A2E0-364D8C5424A6}"/>
    <cellStyle name="Percent 2 2 9 3 2 4" xfId="4236" xr:uid="{00000000-0005-0000-0000-000015180000}"/>
    <cellStyle name="Percent 2 2 9 3 2 4 2" xfId="10413" xr:uid="{C1A8E51B-5370-40B5-8427-3F026F4461F9}"/>
    <cellStyle name="Percent 2 2 9 3 2 5" xfId="1589" xr:uid="{00000000-0005-0000-0000-000016180000}"/>
    <cellStyle name="Percent 2 2 9 3 2 5 2" xfId="7766" xr:uid="{A6FC6947-AC78-40B5-B091-38F475050A37}"/>
    <cellStyle name="Percent 2 2 9 3 2 6" xfId="6883" xr:uid="{FCA5A811-4F38-419E-8FAE-E21D1CF6AD3F}"/>
    <cellStyle name="Percent 2 2 9 3 3" xfId="2913" xr:uid="{00000000-0005-0000-0000-000017180000}"/>
    <cellStyle name="Percent 2 2 9 3 3 2" xfId="6180" xr:uid="{00000000-0005-0000-0000-000018180000}"/>
    <cellStyle name="Percent 2 2 9 3 3 2 2" xfId="12357" xr:uid="{F5DCAEC2-F50E-444B-9BDB-5A5A7FC7F453}"/>
    <cellStyle name="Percent 2 2 9 3 3 3" xfId="9090" xr:uid="{51F96B7E-C312-46F0-9248-313603FD4972}"/>
    <cellStyle name="Percent 2 2 9 3 4" xfId="2031" xr:uid="{00000000-0005-0000-0000-000019180000}"/>
    <cellStyle name="Percent 2 2 9 3 4 2" xfId="6181" xr:uid="{00000000-0005-0000-0000-00001A180000}"/>
    <cellStyle name="Percent 2 2 9 3 4 2 2" xfId="12358" xr:uid="{7B30D8EA-F2C0-4EC3-AE65-F1AB2DFB2A5B}"/>
    <cellStyle name="Percent 2 2 9 3 4 3" xfId="8208" xr:uid="{AB6FDE4D-C2C5-4775-B7F5-650F63228D0A}"/>
    <cellStyle name="Percent 2 2 9 3 5" xfId="3795" xr:uid="{00000000-0005-0000-0000-00001B180000}"/>
    <cellStyle name="Percent 2 2 9 3 5 2" xfId="9972" xr:uid="{1C807372-6E29-495D-B5FB-89B3C12D3C39}"/>
    <cellStyle name="Percent 2 2 9 3 6" xfId="1148" xr:uid="{00000000-0005-0000-0000-00001C180000}"/>
    <cellStyle name="Percent 2 2 9 3 6 2" xfId="7325" xr:uid="{5F9C687A-ECE0-4A16-A535-C7DE65797747}"/>
    <cellStyle name="Percent 2 2 9 3 7" xfId="6442" xr:uid="{7ED9EB54-A053-4C75-9497-F3AE42BD75BD}"/>
    <cellStyle name="Percent 2 2 9 4" xfId="486" xr:uid="{00000000-0005-0000-0000-00001D180000}"/>
    <cellStyle name="Percent 2 2 9 4 2" xfId="3134" xr:uid="{00000000-0005-0000-0000-00001E180000}"/>
    <cellStyle name="Percent 2 2 9 4 2 2" xfId="6182" xr:uid="{00000000-0005-0000-0000-00001F180000}"/>
    <cellStyle name="Percent 2 2 9 4 2 2 2" xfId="12359" xr:uid="{8B6355F2-3306-44B5-B8A9-1C00D341D414}"/>
    <cellStyle name="Percent 2 2 9 4 2 3" xfId="9311" xr:uid="{CF02BD25-5123-4117-B4BE-1C1A506B3439}"/>
    <cellStyle name="Percent 2 2 9 4 3" xfId="2252" xr:uid="{00000000-0005-0000-0000-000020180000}"/>
    <cellStyle name="Percent 2 2 9 4 3 2" xfId="6183" xr:uid="{00000000-0005-0000-0000-000021180000}"/>
    <cellStyle name="Percent 2 2 9 4 3 2 2" xfId="12360" xr:uid="{F217F59A-B7D5-455C-9DE0-42B07379F365}"/>
    <cellStyle name="Percent 2 2 9 4 3 3" xfId="8429" xr:uid="{D47EF22B-74B7-4BF0-B241-96D7AD775A68}"/>
    <cellStyle name="Percent 2 2 9 4 4" xfId="4016" xr:uid="{00000000-0005-0000-0000-000022180000}"/>
    <cellStyle name="Percent 2 2 9 4 4 2" xfId="10193" xr:uid="{E74D734E-B370-43D4-8093-A35E43F75B15}"/>
    <cellStyle name="Percent 2 2 9 4 5" xfId="1369" xr:uid="{00000000-0005-0000-0000-000023180000}"/>
    <cellStyle name="Percent 2 2 9 4 5 2" xfId="7546" xr:uid="{188830C2-65F9-49C3-93ED-C239472DE13A}"/>
    <cellStyle name="Percent 2 2 9 4 6" xfId="6663" xr:uid="{BF370992-3AAA-44FC-9643-74CA8A093BAD}"/>
    <cellStyle name="Percent 2 2 9 5" xfId="2693" xr:uid="{00000000-0005-0000-0000-000024180000}"/>
    <cellStyle name="Percent 2 2 9 5 2" xfId="6184" xr:uid="{00000000-0005-0000-0000-000025180000}"/>
    <cellStyle name="Percent 2 2 9 5 2 2" xfId="12361" xr:uid="{285E29FC-B5C9-4E6E-9904-971EBF0DB638}"/>
    <cellStyle name="Percent 2 2 9 5 3" xfId="8870" xr:uid="{A0DFDA6F-576C-4C4E-BFE7-F196E7C9AB70}"/>
    <cellStyle name="Percent 2 2 9 6" xfId="1811" xr:uid="{00000000-0005-0000-0000-000026180000}"/>
    <cellStyle name="Percent 2 2 9 6 2" xfId="6185" xr:uid="{00000000-0005-0000-0000-000027180000}"/>
    <cellStyle name="Percent 2 2 9 6 2 2" xfId="12362" xr:uid="{35BBCCC9-D049-4622-8B4D-53CF9EA54091}"/>
    <cellStyle name="Percent 2 2 9 6 3" xfId="7988" xr:uid="{7E902EB9-7E3C-4131-B33A-0A8CAA8EA459}"/>
    <cellStyle name="Percent 2 2 9 7" xfId="3575" xr:uid="{00000000-0005-0000-0000-000028180000}"/>
    <cellStyle name="Percent 2 2 9 7 2" xfId="9752" xr:uid="{80580A56-DE2C-40C1-B011-EADB3F17F3DA}"/>
    <cellStyle name="Percent 2 2 9 8" xfId="928" xr:uid="{00000000-0005-0000-0000-000029180000}"/>
    <cellStyle name="Percent 2 2 9 8 2" xfId="7105" xr:uid="{671C489C-83DE-46C2-9C00-A7B4F574BDCE}"/>
    <cellStyle name="Percent 2 2 9 9" xfId="6222" xr:uid="{5CDF287F-F9D8-4E0F-9804-ECA8D2E66125}"/>
  </cellStyles>
  <dxfs count="48"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92D050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://www.tamu.edu" TargetMode="External"/><Relationship Id="rId7" Type="http://schemas.openxmlformats.org/officeDocument/2006/relationships/hyperlink" Target="http://cnas.tamu.edu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agrilifeextension.tamu.edu/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://farmassistance.tamu.edu/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3.png"/><Relationship Id="rId9" Type="http://schemas.openxmlformats.org/officeDocument/2006/relationships/hyperlink" Target="https://agecoext.tamu.edu/programs/agricultural-and-food-policy-center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5332E3D9-9102-43C5-85C5-B0467F94FDCA" TargetMode="External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5332E3D9-9102-43C5-85C5-B0467F94FDCA" TargetMode="External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0</xdr:rowOff>
    </xdr:from>
    <xdr:to>
      <xdr:col>3</xdr:col>
      <xdr:colOff>1991868</xdr:colOff>
      <xdr:row>5</xdr:row>
      <xdr:rowOff>18722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0"/>
          <a:ext cx="1782318" cy="8321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6</xdr:col>
      <xdr:colOff>50800</xdr:colOff>
      <xdr:row>11</xdr:row>
      <xdr:rowOff>292100</xdr:rowOff>
    </xdr:to>
    <xdr:pic>
      <xdr:nvPicPr>
        <xdr:cNvPr id="31" name="Picture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3350" y="1492250"/>
          <a:ext cx="1276350" cy="622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9</xdr:col>
      <xdr:colOff>95250</xdr:colOff>
      <xdr:row>11</xdr:row>
      <xdr:rowOff>304800</xdr:rowOff>
    </xdr:to>
    <xdr:pic>
      <xdr:nvPicPr>
        <xdr:cNvPr id="32" name="Picture 31" descr="https://texasdata.tamu.edu/assets/images/atmfav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2150" y="1492250"/>
          <a:ext cx="130175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82550</xdr:colOff>
      <xdr:row>17</xdr:row>
      <xdr:rowOff>114300</xdr:rowOff>
    </xdr:to>
    <xdr:pic>
      <xdr:nvPicPr>
        <xdr:cNvPr id="33" name="Picture 2" descr="october 2005 logo maroo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350" y="2324100"/>
          <a:ext cx="13081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6</xdr:col>
      <xdr:colOff>79202</xdr:colOff>
      <xdr:row>22</xdr:row>
      <xdr:rowOff>126999</xdr:rowOff>
    </xdr:to>
    <xdr:pic>
      <xdr:nvPicPr>
        <xdr:cNvPr id="37" name="Picture 3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673350" y="3314700"/>
          <a:ext cx="1304752" cy="78104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9</xdr:col>
      <xdr:colOff>69851</xdr:colOff>
      <xdr:row>17</xdr:row>
      <xdr:rowOff>31749</xdr:rowOff>
    </xdr:to>
    <xdr:pic>
      <xdr:nvPicPr>
        <xdr:cNvPr id="38" name="Picture 3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502150" y="2324100"/>
          <a:ext cx="1276351" cy="692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83</xdr:row>
      <xdr:rowOff>1</xdr:rowOff>
    </xdr:from>
    <xdr:to>
      <xdr:col>2</xdr:col>
      <xdr:colOff>619125</xdr:colOff>
      <xdr:row>87</xdr:row>
      <xdr:rowOff>137160</xdr:rowOff>
    </xdr:to>
    <xdr:pic>
      <xdr:nvPicPr>
        <xdr:cNvPr id="2" name="8e801ee9-4b8d-4305-8a21-6d283512a1f6" descr="cid:5332E3D9-9102-43C5-85C5-B0467F94FDCA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914121"/>
          <a:ext cx="2049780" cy="80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</xdr:colOff>
      <xdr:row>138</xdr:row>
      <xdr:rowOff>1</xdr:rowOff>
    </xdr:from>
    <xdr:to>
      <xdr:col>2</xdr:col>
      <xdr:colOff>548640</xdr:colOff>
      <xdr:row>142</xdr:row>
      <xdr:rowOff>68581</xdr:rowOff>
    </xdr:to>
    <xdr:pic>
      <xdr:nvPicPr>
        <xdr:cNvPr id="2" name="8e801ee9-4b8d-4305-8a21-6d283512a1f6" descr="cid:5332E3D9-9102-43C5-85C5-B0467F94FDCA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23134321"/>
          <a:ext cx="204978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3108960</xdr:colOff>
      <xdr:row>0</xdr:row>
      <xdr:rowOff>76200</xdr:rowOff>
    </xdr:from>
    <xdr:to>
      <xdr:col>0</xdr:col>
      <xdr:colOff>4895088</xdr:colOff>
      <xdr:row>4</xdr:row>
      <xdr:rowOff>56822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8960" y="76200"/>
          <a:ext cx="1782318" cy="8607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3093720</xdr:colOff>
      <xdr:row>0</xdr:row>
      <xdr:rowOff>114300</xdr:rowOff>
    </xdr:from>
    <xdr:to>
      <xdr:col>0</xdr:col>
      <xdr:colOff>4876038</xdr:colOff>
      <xdr:row>4</xdr:row>
      <xdr:rowOff>94922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3720" y="114300"/>
          <a:ext cx="1782318" cy="86073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3147060</xdr:colOff>
      <xdr:row>0</xdr:row>
      <xdr:rowOff>91440</xdr:rowOff>
    </xdr:from>
    <xdr:to>
      <xdr:col>0</xdr:col>
      <xdr:colOff>4933188</xdr:colOff>
      <xdr:row>3</xdr:row>
      <xdr:rowOff>304472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060" y="91440"/>
          <a:ext cx="1782318" cy="8607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3116580</xdr:colOff>
      <xdr:row>0</xdr:row>
      <xdr:rowOff>99060</xdr:rowOff>
    </xdr:from>
    <xdr:to>
      <xdr:col>0</xdr:col>
      <xdr:colOff>4895088</xdr:colOff>
      <xdr:row>3</xdr:row>
      <xdr:rowOff>315902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6580" y="99060"/>
          <a:ext cx="1782318" cy="860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gecoext.tamu.edu/resources/basis-project/basis-data/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mastermarketer.tamu.edu/" TargetMode="External"/><Relationship Id="rId7" Type="http://schemas.openxmlformats.org/officeDocument/2006/relationships/hyperlink" Target="mailto:pancho.abello@ag.tamu.edu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agecoext.tamu.edu/" TargetMode="External"/><Relationship Id="rId1" Type="http://schemas.openxmlformats.org/officeDocument/2006/relationships/hyperlink" Target="mailto:jayates@ag.tamu.edu" TargetMode="External"/><Relationship Id="rId6" Type="http://schemas.openxmlformats.org/officeDocument/2006/relationships/hyperlink" Target="https://agecoext.tamu.edu/resources/" TargetMode="External"/><Relationship Id="rId11" Type="http://schemas.openxmlformats.org/officeDocument/2006/relationships/hyperlink" Target="http://www.futuresource.com/" TargetMode="External"/><Relationship Id="rId5" Type="http://schemas.openxmlformats.org/officeDocument/2006/relationships/hyperlink" Target="http://lubbock.tamu.edu/" TargetMode="External"/><Relationship Id="rId10" Type="http://schemas.openxmlformats.org/officeDocument/2006/relationships/hyperlink" Target="http://agecon.tamu.edu/l" TargetMode="External"/><Relationship Id="rId4" Type="http://schemas.openxmlformats.org/officeDocument/2006/relationships/hyperlink" Target="http://agecoext.tamu.edu/resources/market-outlook.html" TargetMode="External"/><Relationship Id="rId9" Type="http://schemas.openxmlformats.org/officeDocument/2006/relationships/hyperlink" Target="https://agecoext.tamu.edu/resources/custom-rate-survey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4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5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Z172"/>
  <sheetViews>
    <sheetView showGridLines="0" tabSelected="1" zoomScale="90" zoomScaleNormal="90" workbookViewId="0">
      <selection activeCell="D13" sqref="D13"/>
    </sheetView>
  </sheetViews>
  <sheetFormatPr defaultColWidth="8.5703125" defaultRowHeight="12.75" x14ac:dyDescent="0.2"/>
  <cols>
    <col min="1" max="1" width="4.42578125" customWidth="1"/>
    <col min="2" max="2" width="23.5703125" bestFit="1" customWidth="1"/>
    <col min="3" max="3" width="23.42578125" customWidth="1"/>
    <col min="4" max="4" width="33.42578125" customWidth="1"/>
    <col min="5" max="5" width="18.42578125" customWidth="1"/>
    <col min="6" max="6" width="21.140625" bestFit="1" customWidth="1"/>
    <col min="7" max="7" width="13.5703125" customWidth="1"/>
    <col min="8" max="8" width="9.140625" customWidth="1"/>
    <col min="10" max="15" width="9.140625" customWidth="1"/>
    <col min="16" max="16" width="8.5703125" customWidth="1"/>
    <col min="18" max="18" width="0" hidden="1" customWidth="1"/>
  </cols>
  <sheetData>
    <row r="1" spans="1:26" x14ac:dyDescent="0.2">
      <c r="Z1">
        <v>2</v>
      </c>
    </row>
    <row r="4" spans="1:26" x14ac:dyDescent="0.2">
      <c r="Z4">
        <v>2</v>
      </c>
    </row>
    <row r="6" spans="1:26" ht="15.75" x14ac:dyDescent="0.25">
      <c r="A6" s="226" t="s">
        <v>420</v>
      </c>
      <c r="B6" s="226"/>
      <c r="C6" s="226"/>
      <c r="D6" s="226"/>
      <c r="E6" s="226"/>
      <c r="F6" s="226"/>
    </row>
    <row r="8" spans="1:26" ht="15.75" x14ac:dyDescent="0.2">
      <c r="D8" s="10" t="s">
        <v>17</v>
      </c>
      <c r="E8" s="10"/>
    </row>
    <row r="9" spans="1:26" x14ac:dyDescent="0.2">
      <c r="B9" s="9"/>
      <c r="C9" s="9"/>
    </row>
    <row r="10" spans="1:26" x14ac:dyDescent="0.2">
      <c r="B10" s="9"/>
      <c r="C10" s="9"/>
    </row>
    <row r="11" spans="1:26" x14ac:dyDescent="0.2">
      <c r="C11" s="9"/>
      <c r="D11" s="16" t="s">
        <v>145</v>
      </c>
    </row>
    <row r="12" spans="1:26" x14ac:dyDescent="0.2">
      <c r="B12" s="9"/>
      <c r="C12" s="9"/>
      <c r="D12" s="16"/>
    </row>
    <row r="13" spans="1:26" x14ac:dyDescent="0.2">
      <c r="C13" s="9"/>
      <c r="D13" s="103" t="str">
        <f>+AlfalfaDrylandEstablish!A3</f>
        <v>Dryland Alfalfa Establishment</v>
      </c>
    </row>
    <row r="14" spans="1:26" x14ac:dyDescent="0.2">
      <c r="C14" s="9"/>
      <c r="D14" s="125" t="str">
        <f>CoastalEstab!A3</f>
        <v>Coastal Bermudagrass Establishment</v>
      </c>
    </row>
    <row r="15" spans="1:26" x14ac:dyDescent="0.2">
      <c r="B15" s="9"/>
      <c r="C15" s="9"/>
      <c r="D15" s="103" t="str">
        <f>AlfalfaHayDryland!A3</f>
        <v>Dryland Alfalfa Hay</v>
      </c>
    </row>
    <row r="16" spans="1:26" x14ac:dyDescent="0.2">
      <c r="B16" s="9"/>
      <c r="C16" s="9"/>
      <c r="D16" s="125" t="str">
        <f>CoastalDryland!A3</f>
        <v>Coastal Bermudagrass Hay Dryland</v>
      </c>
    </row>
    <row r="17" spans="2:4" x14ac:dyDescent="0.2">
      <c r="B17" s="9"/>
      <c r="D17" s="125" t="str">
        <f>AlfalfaIrrigatedEstablish!A3</f>
        <v>Irrigated Alfalfa Establishment</v>
      </c>
    </row>
    <row r="18" spans="2:4" x14ac:dyDescent="0.2">
      <c r="B18" s="9" t="s">
        <v>132</v>
      </c>
      <c r="D18" s="125" t="str">
        <f>AlfalfaHayIrrigated!A3</f>
        <v>Irrigated Alfalfa Hay</v>
      </c>
    </row>
    <row r="19" spans="2:4" x14ac:dyDescent="0.2">
      <c r="D19" s="103" t="str">
        <f>SmallGrain!A3</f>
        <v>Small Grain Grazing</v>
      </c>
    </row>
    <row r="20" spans="2:4" x14ac:dyDescent="0.2">
      <c r="B20" s="9" t="s">
        <v>500</v>
      </c>
      <c r="D20" s="125" t="str">
        <f>'SD Fescue'!A3</f>
        <v>Summer Dormant Fescue</v>
      </c>
    </row>
    <row r="21" spans="2:4" x14ac:dyDescent="0.2">
      <c r="B21" s="9"/>
      <c r="D21" s="103"/>
    </row>
    <row r="22" spans="2:4" x14ac:dyDescent="0.2">
      <c r="D22" s="16" t="s">
        <v>432</v>
      </c>
    </row>
    <row r="23" spans="2:4" x14ac:dyDescent="0.2">
      <c r="B23" s="9" t="s">
        <v>180</v>
      </c>
      <c r="D23" s="103"/>
    </row>
    <row r="24" spans="2:4" x14ac:dyDescent="0.2">
      <c r="D24" s="103" t="str">
        <f>CanolaDryland!A3</f>
        <v>Dryland Canola</v>
      </c>
    </row>
    <row r="25" spans="2:4" x14ac:dyDescent="0.2">
      <c r="D25" s="103" t="str">
        <f>CottonDryland2X1!A3</f>
        <v>Dryland Cotton (2X1 Planting Pattern)</v>
      </c>
    </row>
    <row r="26" spans="2:4" x14ac:dyDescent="0.2">
      <c r="D26" s="125" t="str">
        <f>CottonDrylandSolid!A3</f>
        <v>Dryland Cotton (Solid 40" Rows)</v>
      </c>
    </row>
    <row r="27" spans="2:4" x14ac:dyDescent="0.2">
      <c r="D27" s="125" t="str">
        <f>'Red Till Irrig Cotton'!A3</f>
        <v xml:space="preserve">Cotton - Red Till Irrig </v>
      </c>
    </row>
    <row r="28" spans="2:4" x14ac:dyDescent="0.2">
      <c r="D28" s="125" t="str">
        <f>'Conv M Irrig Cotton'!A3</f>
        <v>Conventional Irrig Cotton</v>
      </c>
    </row>
    <row r="29" spans="2:4" x14ac:dyDescent="0.2">
      <c r="D29" s="125" t="str">
        <f>'Conv L Irrig Cotton'!A3</f>
        <v>Conventional Low Irrig Cotton</v>
      </c>
    </row>
    <row r="30" spans="2:4" x14ac:dyDescent="0.2">
      <c r="D30" s="125" t="str">
        <f>'Red Till L Irrig Cotton'!A3</f>
        <v>Red Till Irrig Low Cotton</v>
      </c>
    </row>
    <row r="31" spans="2:4" x14ac:dyDescent="0.2">
      <c r="D31" s="125" t="str">
        <f>'NT Irrig L Cotton'!A3</f>
        <v xml:space="preserve">NT Irrig L Cotton </v>
      </c>
    </row>
    <row r="32" spans="2:4" x14ac:dyDescent="0.2">
      <c r="D32" s="125" t="str">
        <f>'NT Irrig M Cotton'!A3</f>
        <v>Cotton - No-Till Irrigated</v>
      </c>
    </row>
    <row r="33" spans="4:4" x14ac:dyDescent="0.2">
      <c r="D33" s="125" t="str">
        <f>'NT-CC2 Irr M Cotton'!A3</f>
        <v>Cotton NT - Cover Crop Wheat Irrig</v>
      </c>
    </row>
    <row r="34" spans="4:4" x14ac:dyDescent="0.2">
      <c r="D34" s="125" t="str">
        <f>'NT-CC Irrig M Cotton'!A3</f>
        <v>NT-Cover Crop Irrig M Cotton</v>
      </c>
    </row>
    <row r="35" spans="4:4" x14ac:dyDescent="0.2">
      <c r="D35" s="125" t="str">
        <f>'NT-CC Irrig L Cotton'!A3</f>
        <v>NT-Cover Crop Irrig L Cotton</v>
      </c>
    </row>
    <row r="36" spans="4:4" x14ac:dyDescent="0.2">
      <c r="D36" s="125" t="str">
        <f>'No Till Dryland Cotton'!A3</f>
        <v xml:space="preserve">Cotton - No Till Dryland </v>
      </c>
    </row>
    <row r="37" spans="4:4" x14ac:dyDescent="0.2">
      <c r="D37" s="103" t="str">
        <f>CottonIrrigated!A3</f>
        <v>Sprinkler Irrigated Cotton</v>
      </c>
    </row>
    <row r="38" spans="4:4" x14ac:dyDescent="0.2">
      <c r="D38" s="103" t="str">
        <f>Peanuts!A3</f>
        <v>Irrigated Peanuts</v>
      </c>
    </row>
    <row r="39" spans="4:4" x14ac:dyDescent="0.2">
      <c r="D39" s="125" t="str">
        <f>SorghumDryland!A3</f>
        <v>Dryland Sorghum</v>
      </c>
    </row>
    <row r="40" spans="4:4" x14ac:dyDescent="0.2">
      <c r="D40" s="103" t="str">
        <f>WheatDryland!A3</f>
        <v>Dryland Wheat</v>
      </c>
    </row>
    <row r="41" spans="4:4" x14ac:dyDescent="0.2">
      <c r="D41" s="125" t="str">
        <f>'NoTill Wheat Dryland'!A3</f>
        <v>Dryland Wheat - No till</v>
      </c>
    </row>
    <row r="42" spans="4:4" x14ac:dyDescent="0.2">
      <c r="D42" s="125" t="str">
        <f>'Wheat Irrigated'!A3</f>
        <v>Irrigated Wheat</v>
      </c>
    </row>
    <row r="43" spans="4:4" x14ac:dyDescent="0.2">
      <c r="D43" s="125" t="str">
        <f>'OrganicWheat Year 3'!A3</f>
        <v>Organic wheat Y3</v>
      </c>
    </row>
    <row r="44" spans="4:4" x14ac:dyDescent="0.2">
      <c r="D44" s="125" t="str">
        <f>'Organic Summer HayCrop'!A3</f>
        <v>Organic summer Hay Crop</v>
      </c>
    </row>
    <row r="45" spans="4:4" x14ac:dyDescent="0.2">
      <c r="D45" s="125" t="str">
        <f>OrganicDrylandWheat!A3</f>
        <v>Organic Wheat Y1</v>
      </c>
    </row>
    <row r="46" spans="4:4" x14ac:dyDescent="0.2">
      <c r="D46" s="103"/>
    </row>
    <row r="47" spans="4:4" x14ac:dyDescent="0.2">
      <c r="D47" s="16" t="s">
        <v>56</v>
      </c>
    </row>
    <row r="48" spans="4:4" x14ac:dyDescent="0.2">
      <c r="D48" s="103"/>
    </row>
    <row r="49" spans="4:4" x14ac:dyDescent="0.2">
      <c r="D49" s="103" t="str">
        <f>+CowCalf!A3</f>
        <v>Rolling Plains Cow-Calf Production</v>
      </c>
    </row>
    <row r="50" spans="4:4" x14ac:dyDescent="0.2">
      <c r="D50" s="103" t="str">
        <f>+StockersMar1!A3</f>
        <v>Stocker Calf Budget - Pull off Wheat March 1</v>
      </c>
    </row>
    <row r="51" spans="4:4" x14ac:dyDescent="0.2">
      <c r="D51" s="125" t="str">
        <f>StockerGrazeOut!A3</f>
        <v>Stocker Calf Budget - Grazeout</v>
      </c>
    </row>
    <row r="52" spans="4:4" x14ac:dyDescent="0.2">
      <c r="D52" s="103"/>
    </row>
    <row r="53" spans="4:4" x14ac:dyDescent="0.2">
      <c r="D53" s="16" t="s">
        <v>307</v>
      </c>
    </row>
    <row r="54" spans="4:4" x14ac:dyDescent="0.2">
      <c r="D54" s="16"/>
    </row>
    <row r="55" spans="4:4" x14ac:dyDescent="0.2">
      <c r="D55" s="103" t="str">
        <f>'Livestock Budget'!A3</f>
        <v>Livestock Budget</v>
      </c>
    </row>
    <row r="56" spans="4:4" x14ac:dyDescent="0.2">
      <c r="D56" s="103" t="str">
        <f>'Crop Budget'!A3</f>
        <v>Crop Enterprise</v>
      </c>
    </row>
    <row r="73" spans="1:1" x14ac:dyDescent="0.2">
      <c r="A73" t="s">
        <v>434</v>
      </c>
    </row>
    <row r="152" ht="13.35" hidden="1" customHeight="1" x14ac:dyDescent="0.2"/>
    <row r="153" ht="13.35" hidden="1" customHeight="1" x14ac:dyDescent="0.2"/>
    <row r="154" ht="13.35" hidden="1" customHeight="1" x14ac:dyDescent="0.2"/>
    <row r="155" ht="13.35" hidden="1" customHeight="1" x14ac:dyDescent="0.2"/>
    <row r="156" ht="13.35" hidden="1" customHeight="1" x14ac:dyDescent="0.2"/>
    <row r="157" ht="13.35" hidden="1" customHeight="1" x14ac:dyDescent="0.2"/>
    <row r="158" ht="13.35" hidden="1" customHeight="1" x14ac:dyDescent="0.2"/>
    <row r="159" ht="13.35" hidden="1" customHeight="1" x14ac:dyDescent="0.2"/>
    <row r="160" ht="13.35" hidden="1" customHeight="1" x14ac:dyDescent="0.2"/>
    <row r="161" ht="13.35" hidden="1" customHeight="1" x14ac:dyDescent="0.2"/>
    <row r="162" ht="13.35" hidden="1" customHeight="1" x14ac:dyDescent="0.2"/>
    <row r="163" ht="13.35" hidden="1" customHeight="1" x14ac:dyDescent="0.2"/>
    <row r="164" ht="13.35" hidden="1" customHeight="1" x14ac:dyDescent="0.2"/>
    <row r="165" ht="13.35" hidden="1" customHeight="1" x14ac:dyDescent="0.2"/>
    <row r="166" ht="13.35" hidden="1" customHeight="1" x14ac:dyDescent="0.2"/>
    <row r="167" ht="13.35" hidden="1" customHeight="1" x14ac:dyDescent="0.2"/>
    <row r="168" ht="13.35" hidden="1" customHeight="1" x14ac:dyDescent="0.2"/>
    <row r="169" ht="13.35" hidden="1" customHeight="1" x14ac:dyDescent="0.2"/>
    <row r="170" ht="13.35" hidden="1" customHeight="1" x14ac:dyDescent="0.2"/>
    <row r="171" ht="13.35" hidden="1" customHeight="1" x14ac:dyDescent="0.2"/>
    <row r="172" ht="13.35" hidden="1" customHeight="1" x14ac:dyDescent="0.2"/>
  </sheetData>
  <sheetProtection sheet="1" objects="1" scenarios="1"/>
  <sortState xmlns:xlrd2="http://schemas.microsoft.com/office/spreadsheetml/2017/richdata2" ref="A6:M89">
    <sortCondition ref="A6:A89"/>
  </sortState>
  <mergeCells count="1">
    <mergeCell ref="A6:F6"/>
  </mergeCells>
  <phoneticPr fontId="0" type="noConversion"/>
  <hyperlinks>
    <hyperlink ref="D55" location="'Livestock Budget'!A1" display="='Livestock Budget'!A3" xr:uid="{00000000-0004-0000-0000-000003000000}"/>
    <hyperlink ref="D13" location="AlfalfaDrylandEstablish!A1" display="AlfalfaDrylandEstablish!A1" xr:uid="{00000000-0004-0000-0000-000004000000}"/>
    <hyperlink ref="B18" location="'Your Returns - Cash Rent'!A1" display="Machinery, Livestock and Other Assets" xr:uid="{00000000-0004-0000-0000-000006000000}"/>
    <hyperlink ref="D50" location="StockersMar1!A1" display="StockersMar1!A1" xr:uid="{00000000-0004-0000-0000-000015000000}"/>
    <hyperlink ref="D49" location="CowCalf!A1" display="CowCalf!A1" xr:uid="{00000000-0004-0000-0000-000016000000}"/>
    <hyperlink ref="D15" location="AlfalfaHayDryland!A1" display="AlfalfaHayDryland!A1" xr:uid="{00000000-0004-0000-0000-000017000000}"/>
    <hyperlink ref="D25" location="CottonDryland2X1!A1" display="CottonDryland2X1!A1" xr:uid="{00000000-0004-0000-0000-000018000000}"/>
    <hyperlink ref="D17" location="AlfalfaIrrigatedEstablish!A1" display="AlfalfaIrrigatedEstablish!A1" xr:uid="{00000000-0004-0000-0000-000019000000}"/>
    <hyperlink ref="D18" location="AlfalfaHayIrrigated!A1" display="AlfalfaHayIrrigated!A1" xr:uid="{00000000-0004-0000-0000-00001A000000}"/>
    <hyperlink ref="D26" location="CottonDrylandSolid!A1" display="CottonDrylandSolid!A1" xr:uid="{00000000-0004-0000-0000-00001B000000}"/>
    <hyperlink ref="D39" location="SorghumDryland!A1" display="SorghumDryland!A1" xr:uid="{00000000-0004-0000-0000-00001C000000}"/>
    <hyperlink ref="D38" location="Peanuts!A1" display="Peanuts!A1" xr:uid="{00000000-0004-0000-0000-00001D000000}"/>
    <hyperlink ref="D37" location="CottonIrrigated!A1" display="CottonIrrigated!A1" xr:uid="{00000000-0004-0000-0000-00001E000000}"/>
    <hyperlink ref="D19" location="SmallGrain!A1" display="SmallGrain!A1" xr:uid="{00000000-0004-0000-0000-00001F000000}"/>
    <hyperlink ref="D24" location="CanolaDryland!A1" display="CanolaDryland!A1" xr:uid="{00000000-0004-0000-0000-000020000000}"/>
    <hyperlink ref="D40" location="WheatDryland!A1" display="WheatDryland!A1" xr:uid="{00000000-0004-0000-0000-000021000000}"/>
    <hyperlink ref="B23" location="'Make Spreadsheet Budgets'!A1" display="Make Spreadsheet Budgets" xr:uid="{00000000-0004-0000-0000-000022000000}"/>
    <hyperlink ref="D56" location="'Crop Budget'!A1" display="='Crop Budget'!A3" xr:uid="{00000000-0004-0000-0000-000023000000}"/>
    <hyperlink ref="D51" location="StockerGrazeOut!A1" display="StockerGrazeOut!A1" xr:uid="{00000000-0004-0000-0000-000024000000}"/>
    <hyperlink ref="D36" location="'No Till Dryland Cotton'!A1" display="'No Till Dryland Cotton'!A1" xr:uid="{00000000-0004-0000-0000-000025000000}"/>
    <hyperlink ref="D32" location="'NT Irrig M Cotton'!A1" display="'NT Irrig M Cotton'!A1" xr:uid="{00000000-0004-0000-0000-000027000000}"/>
    <hyperlink ref="D31" location="'NT Irrig L Cotton'!A1" display="'NT Irrig L Cotton'!A1" xr:uid="{00000000-0004-0000-0000-000029000000}"/>
    <hyperlink ref="D34" location="'NT-CC Irrig M Cotton'!A1" display="'NT-CC Irrig M Cotton'!A1" xr:uid="{00000000-0004-0000-0000-00002B000000}"/>
    <hyperlink ref="D35" location="'NT-CC Irrig L Cotton'!A1" display="'NT-CC Irrig L Cotton'!A1" xr:uid="{00000000-0004-0000-0000-00002D000000}"/>
    <hyperlink ref="D27" location="'Red Till Irrig Cotton'!A1" display="'Red Till Irrig Cotton'!A1" xr:uid="{00000000-0004-0000-0000-00002F000000}"/>
    <hyperlink ref="D30" location="'Red Till L Irrig Cotton'!A1" display="'Red Till L Irrig Cotton'!A1" xr:uid="{00000000-0004-0000-0000-000031000000}"/>
    <hyperlink ref="D28" location="'Conv M Irrig Cotton'!A1" display="'Conv M Irrig Cotton'!A1" xr:uid="{00000000-0004-0000-0000-000033000000}"/>
    <hyperlink ref="D29" location="'Conv L Irrig Cotton'!A1" display="'Conv L Irrig Cotton'!A1" xr:uid="{00000000-0004-0000-0000-000035000000}"/>
    <hyperlink ref="D33" location="'NT-CC2 Irr M Cotton'!A1" display="'NT-CC2 Irr M Cotton'!A1" xr:uid="{00000000-0004-0000-0000-000037000000}"/>
    <hyperlink ref="D20" location="'SD Fescue'!A1" display="'SD Fescue'!A1" xr:uid="{00000000-0004-0000-0000-000039000000}"/>
    <hyperlink ref="D45" location="'OrganicDrylandWheat'!A1" display="'OrganicDrylandWheat'!A1" xr:uid="{EA9C0C7C-EE2D-4092-A745-3396E860A9E4}"/>
    <hyperlink ref="D43" location="'OrganicWheat Year 3'!A1" display="'OrganicWheat Year 3'!A1" xr:uid="{6275D48A-D13F-44B9-88AA-8D084992B2C4}"/>
    <hyperlink ref="D44" location="'Organic Summer HayCrop'!A1" display="'Organic Summer HayCrop'!A1" xr:uid="{C385DE3A-A5FA-4C7C-86AD-427683893B12}"/>
    <hyperlink ref="D42" location="'Wheat Irrigated'!A1" display="'Wheat Irrigated'!A1" xr:uid="{C2D6EA57-CED0-4EA9-BF50-D087BAC52341}"/>
    <hyperlink ref="D41" location="'NoTill Wheat Dryland'!A1" display="'NoTill Wheat Dryland'!A1" xr:uid="{F4FCC06B-4C30-440C-885C-D36E785558EC}"/>
    <hyperlink ref="D14" location="'CoastalEstab'!A1" display="'CoastalEstab'!A1" xr:uid="{00BBA758-358F-4EAB-9F16-A58F74B1C6E2}"/>
    <hyperlink ref="D16" location="'CoastalDryland'!A1" display="'CoastalDryland'!A1" xr:uid="{A302F6D9-CC29-4FA9-B7D9-6420C8BB177D}"/>
    <hyperlink ref="B20" location="Links!A1" display="Links" xr:uid="{4E593DB7-B50D-46B0-AE7E-8470CD446749}"/>
  </hyperlinks>
  <pageMargins left="0.75" right="0.5" top="0" bottom="0" header="0.3" footer="0.5"/>
  <pageSetup orientation="portrait" horizontalDpi="200" verticalDpi="200" r:id="rId1"/>
  <headerFooter alignWithMargins="0">
    <oddHeader>&amp;RVersion 01.02.2012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7">
    <tabColor rgb="FF92D050"/>
    <pageSetUpPr fitToPage="1"/>
  </sheetPr>
  <dimension ref="A1:S101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426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133</v>
      </c>
      <c r="C10" s="25"/>
      <c r="D10" s="50">
        <v>440</v>
      </c>
      <c r="E10" s="130"/>
      <c r="F10" s="224" t="s">
        <v>82</v>
      </c>
      <c r="G10" s="31">
        <v>0.81</v>
      </c>
      <c r="H10" s="131"/>
      <c r="I10" s="35">
        <v>356.40000000000003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356.40000000000003</v>
      </c>
      <c r="P10" s="200">
        <f>+J10-N10</f>
        <v>0</v>
      </c>
      <c r="Q10" s="35">
        <v>228096.00000000003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356.40000000000003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356.40000000000003</v>
      </c>
      <c r="P13" s="201">
        <f>SUM(P10:P12)</f>
        <v>0</v>
      </c>
      <c r="Q13" s="36">
        <v>228096.00000000003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50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176</v>
      </c>
      <c r="D18" s="25">
        <v>1</v>
      </c>
      <c r="E18" s="130"/>
      <c r="F18" s="224" t="s">
        <v>42</v>
      </c>
      <c r="G18" s="41">
        <v>5</v>
      </c>
      <c r="H18" s="131"/>
      <c r="I18" s="35">
        <v>5</v>
      </c>
      <c r="J18" s="200">
        <f t="shared" ref="J18:J39" si="4">E18*H18</f>
        <v>0</v>
      </c>
      <c r="K18" s="223">
        <v>0</v>
      </c>
      <c r="L18" s="212"/>
      <c r="M18" s="35">
        <v>0</v>
      </c>
      <c r="N18" s="200">
        <f t="shared" ref="N18:N39" si="5">J18*L18</f>
        <v>0</v>
      </c>
      <c r="O18" s="35">
        <v>5</v>
      </c>
      <c r="P18" s="200">
        <f t="shared" ref="P18:P39" si="6">+J18-N18</f>
        <v>0</v>
      </c>
      <c r="Q18" s="35">
        <v>3200</v>
      </c>
      <c r="R18" s="200">
        <f t="shared" ref="R18:R39" si="7">+J18*E$7</f>
        <v>0</v>
      </c>
    </row>
    <row r="19" spans="1:18" x14ac:dyDescent="0.2">
      <c r="A19" s="25"/>
      <c r="B19" s="25" t="s">
        <v>458</v>
      </c>
      <c r="C19" s="25" t="s">
        <v>375</v>
      </c>
      <c r="D19" s="25">
        <v>480</v>
      </c>
      <c r="E19" s="130"/>
      <c r="F19" s="224" t="s">
        <v>82</v>
      </c>
      <c r="G19" s="41">
        <v>0.12</v>
      </c>
      <c r="H19" s="131"/>
      <c r="I19" s="35">
        <v>57.599999999999994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57.599999999999994</v>
      </c>
      <c r="P19" s="200">
        <f t="shared" si="6"/>
        <v>0</v>
      </c>
      <c r="Q19" s="35">
        <v>36864</v>
      </c>
      <c r="R19" s="200">
        <f t="shared" si="7"/>
        <v>0</v>
      </c>
    </row>
    <row r="20" spans="1:18" x14ac:dyDescent="0.2">
      <c r="A20" s="25"/>
      <c r="B20" s="25" t="s">
        <v>0</v>
      </c>
      <c r="C20" s="25"/>
      <c r="D20" s="25"/>
      <c r="E20" s="25"/>
      <c r="F20" s="25"/>
      <c r="G20" s="25"/>
      <c r="H20" s="25"/>
      <c r="I20" s="25"/>
      <c r="J20" s="25"/>
      <c r="K20" s="223"/>
      <c r="L20" s="25"/>
      <c r="M20" s="25"/>
      <c r="N20" s="25"/>
      <c r="O20" s="25"/>
      <c r="P20" s="25"/>
      <c r="Q20" s="25"/>
      <c r="R20" s="25"/>
    </row>
    <row r="21" spans="1:18" x14ac:dyDescent="0.2">
      <c r="A21" s="25"/>
      <c r="B21" s="25" t="s">
        <v>458</v>
      </c>
      <c r="C21" s="25" t="s">
        <v>342</v>
      </c>
      <c r="D21" s="25">
        <v>57</v>
      </c>
      <c r="E21" s="130"/>
      <c r="F21" s="224" t="s">
        <v>82</v>
      </c>
      <c r="G21" s="41">
        <v>0.53800000000000003</v>
      </c>
      <c r="H21" s="131"/>
      <c r="I21" s="35">
        <v>30.666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30.666</v>
      </c>
      <c r="P21" s="200">
        <f t="shared" si="6"/>
        <v>0</v>
      </c>
      <c r="Q21" s="35">
        <v>19626.240000000002</v>
      </c>
      <c r="R21" s="200">
        <f t="shared" si="7"/>
        <v>0</v>
      </c>
    </row>
    <row r="22" spans="1:18" x14ac:dyDescent="0.2">
      <c r="A22" s="25"/>
      <c r="B22" s="25" t="s">
        <v>49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402</v>
      </c>
      <c r="D23" s="25">
        <v>4</v>
      </c>
      <c r="E23" s="130"/>
      <c r="F23" s="224" t="s">
        <v>316</v>
      </c>
      <c r="G23" s="41">
        <v>2.81</v>
      </c>
      <c r="H23" s="131"/>
      <c r="I23" s="35">
        <v>11.24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11.24</v>
      </c>
      <c r="P23" s="200">
        <f t="shared" si="6"/>
        <v>0</v>
      </c>
      <c r="Q23" s="35">
        <v>7193.6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401</v>
      </c>
      <c r="D24" s="25">
        <v>64</v>
      </c>
      <c r="E24" s="130"/>
      <c r="F24" s="224" t="s">
        <v>435</v>
      </c>
      <c r="G24" s="41">
        <v>0.41</v>
      </c>
      <c r="H24" s="131"/>
      <c r="I24" s="35">
        <v>26.24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26.24</v>
      </c>
      <c r="P24" s="200">
        <f t="shared" si="6"/>
        <v>0</v>
      </c>
      <c r="Q24" s="35">
        <v>16793.599999999999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440</v>
      </c>
      <c r="D25" s="25">
        <v>4.7</v>
      </c>
      <c r="E25" s="130"/>
      <c r="F25" s="224" t="s">
        <v>316</v>
      </c>
      <c r="G25" s="41">
        <v>5.81</v>
      </c>
      <c r="H25" s="131"/>
      <c r="I25" s="35">
        <v>27.306999999999999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27.306999999999999</v>
      </c>
      <c r="P25" s="200">
        <f t="shared" si="6"/>
        <v>0</v>
      </c>
      <c r="Q25" s="35">
        <v>17476.48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439</v>
      </c>
      <c r="D26" s="25">
        <v>29</v>
      </c>
      <c r="E26" s="130"/>
      <c r="F26" s="224" t="s">
        <v>410</v>
      </c>
      <c r="G26" s="41">
        <v>0.7</v>
      </c>
      <c r="H26" s="131"/>
      <c r="I26" s="35">
        <v>20.299999999999997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20.299999999999997</v>
      </c>
      <c r="P26" s="200">
        <f t="shared" si="6"/>
        <v>0</v>
      </c>
      <c r="Q26" s="35">
        <v>12991.999999999998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384</v>
      </c>
      <c r="D27" s="25">
        <v>1</v>
      </c>
      <c r="E27" s="130"/>
      <c r="F27" s="224" t="s">
        <v>316</v>
      </c>
      <c r="G27" s="41">
        <v>3.75</v>
      </c>
      <c r="H27" s="131"/>
      <c r="I27" s="35">
        <v>3.75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3.75</v>
      </c>
      <c r="P27" s="200">
        <f t="shared" si="6"/>
        <v>0</v>
      </c>
      <c r="Q27" s="35">
        <v>2400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386</v>
      </c>
      <c r="D28" s="25">
        <v>1</v>
      </c>
      <c r="E28" s="130"/>
      <c r="F28" s="224" t="s">
        <v>410</v>
      </c>
      <c r="G28" s="41">
        <v>0.546875</v>
      </c>
      <c r="H28" s="131"/>
      <c r="I28" s="35">
        <v>0.546875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0.546875</v>
      </c>
      <c r="P28" s="200">
        <f t="shared" si="6"/>
        <v>0</v>
      </c>
      <c r="Q28" s="35">
        <v>350</v>
      </c>
      <c r="R28" s="200">
        <f t="shared" si="7"/>
        <v>0</v>
      </c>
    </row>
    <row r="29" spans="1:18" x14ac:dyDescent="0.2">
      <c r="A29" s="25"/>
      <c r="B29" s="25" t="s">
        <v>458</v>
      </c>
      <c r="C29" s="25" t="s">
        <v>438</v>
      </c>
      <c r="D29" s="25">
        <v>1.5</v>
      </c>
      <c r="E29" s="130"/>
      <c r="F29" s="224" t="s">
        <v>316</v>
      </c>
      <c r="G29" s="41">
        <v>2.84</v>
      </c>
      <c r="H29" s="131"/>
      <c r="I29" s="35">
        <v>4.26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4.26</v>
      </c>
      <c r="P29" s="200">
        <f t="shared" si="6"/>
        <v>0</v>
      </c>
      <c r="Q29" s="35">
        <v>2726.3999999999996</v>
      </c>
      <c r="R29" s="200">
        <f t="shared" si="7"/>
        <v>0</v>
      </c>
    </row>
    <row r="30" spans="1:18" x14ac:dyDescent="0.2">
      <c r="A30" s="25"/>
      <c r="B30" s="25" t="s">
        <v>48</v>
      </c>
      <c r="C30" s="25"/>
      <c r="D30" s="25"/>
      <c r="E30" s="25"/>
      <c r="F30" s="25"/>
      <c r="G30" s="25"/>
      <c r="H30" s="25"/>
      <c r="I30" s="25"/>
      <c r="J30" s="25"/>
      <c r="K30" s="223"/>
      <c r="L30" s="25"/>
      <c r="M30" s="25"/>
      <c r="N30" s="25"/>
      <c r="O30" s="25"/>
      <c r="P30" s="25"/>
      <c r="Q30" s="25"/>
      <c r="R30" s="25"/>
    </row>
    <row r="31" spans="1:18" x14ac:dyDescent="0.2">
      <c r="A31" s="25"/>
      <c r="B31" s="25" t="s">
        <v>458</v>
      </c>
      <c r="C31" s="25" t="s">
        <v>392</v>
      </c>
      <c r="D31" s="25">
        <v>0.5</v>
      </c>
      <c r="E31" s="130"/>
      <c r="F31" s="224" t="s">
        <v>82</v>
      </c>
      <c r="G31" s="41">
        <v>7.2</v>
      </c>
      <c r="H31" s="131"/>
      <c r="I31" s="35">
        <v>3.6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3.6</v>
      </c>
      <c r="P31" s="200">
        <f t="shared" si="6"/>
        <v>0</v>
      </c>
      <c r="Q31" s="35">
        <v>2304</v>
      </c>
      <c r="R31" s="200">
        <f t="shared" si="7"/>
        <v>0</v>
      </c>
    </row>
    <row r="32" spans="1:18" x14ac:dyDescent="0.2">
      <c r="A32" s="25"/>
      <c r="B32" s="25" t="s">
        <v>458</v>
      </c>
      <c r="C32" s="25" t="s">
        <v>442</v>
      </c>
      <c r="D32" s="25">
        <v>16</v>
      </c>
      <c r="E32" s="130"/>
      <c r="F32" s="224" t="s">
        <v>410</v>
      </c>
      <c r="G32" s="41">
        <v>1.1599999999999999</v>
      </c>
      <c r="H32" s="131"/>
      <c r="I32" s="35">
        <v>18.559999999999999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18.559999999999999</v>
      </c>
      <c r="P32" s="200">
        <f t="shared" si="6"/>
        <v>0</v>
      </c>
      <c r="Q32" s="35">
        <v>11878.4</v>
      </c>
      <c r="R32" s="200">
        <f t="shared" si="7"/>
        <v>0</v>
      </c>
    </row>
    <row r="33" spans="1:18" x14ac:dyDescent="0.2">
      <c r="A33" s="25"/>
      <c r="B33" s="25" t="s">
        <v>458</v>
      </c>
      <c r="C33" s="25" t="s">
        <v>443</v>
      </c>
      <c r="D33" s="25">
        <v>2</v>
      </c>
      <c r="E33" s="130"/>
      <c r="F33" s="224" t="s">
        <v>410</v>
      </c>
      <c r="G33" s="41">
        <v>1.74875</v>
      </c>
      <c r="H33" s="131"/>
      <c r="I33" s="35">
        <v>3.4975000000000001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3.4975000000000001</v>
      </c>
      <c r="P33" s="200">
        <f t="shared" si="6"/>
        <v>0</v>
      </c>
      <c r="Q33" s="35">
        <v>2238.4</v>
      </c>
      <c r="R33" s="200">
        <f t="shared" si="7"/>
        <v>0</v>
      </c>
    </row>
    <row r="34" spans="1:18" x14ac:dyDescent="0.2">
      <c r="A34" s="25"/>
      <c r="B34" s="25" t="s">
        <v>27</v>
      </c>
      <c r="C34" s="25"/>
      <c r="D34" s="25"/>
      <c r="E34" s="25"/>
      <c r="F34" s="25"/>
      <c r="G34" s="25"/>
      <c r="H34" s="25"/>
      <c r="I34" s="25"/>
      <c r="J34" s="25"/>
      <c r="K34" s="223"/>
      <c r="L34" s="25"/>
      <c r="M34" s="25"/>
      <c r="N34" s="25"/>
      <c r="O34" s="25"/>
      <c r="P34" s="25"/>
      <c r="Q34" s="25"/>
      <c r="R34" s="25"/>
    </row>
    <row r="35" spans="1:18" x14ac:dyDescent="0.2">
      <c r="A35" s="25"/>
      <c r="B35" s="25" t="s">
        <v>458</v>
      </c>
      <c r="C35" s="25" t="s">
        <v>394</v>
      </c>
      <c r="D35" s="25">
        <v>1</v>
      </c>
      <c r="E35" s="130"/>
      <c r="F35" s="224" t="s">
        <v>42</v>
      </c>
      <c r="G35" s="41">
        <v>15</v>
      </c>
      <c r="H35" s="131"/>
      <c r="I35" s="35">
        <v>15</v>
      </c>
      <c r="J35" s="200">
        <f t="shared" si="4"/>
        <v>0</v>
      </c>
      <c r="K35" s="223">
        <v>0</v>
      </c>
      <c r="L35" s="212"/>
      <c r="M35" s="35">
        <v>0</v>
      </c>
      <c r="N35" s="200">
        <f t="shared" si="5"/>
        <v>0</v>
      </c>
      <c r="O35" s="35">
        <v>15</v>
      </c>
      <c r="P35" s="200">
        <f t="shared" si="6"/>
        <v>0</v>
      </c>
      <c r="Q35" s="35">
        <v>9600</v>
      </c>
      <c r="R35" s="200">
        <f t="shared" si="7"/>
        <v>0</v>
      </c>
    </row>
    <row r="36" spans="1:18" x14ac:dyDescent="0.2">
      <c r="A36" s="25"/>
      <c r="B36" s="25" t="s">
        <v>1</v>
      </c>
      <c r="C36" s="25"/>
      <c r="D36" s="25"/>
      <c r="E36" s="25"/>
      <c r="F36" s="25"/>
      <c r="G36" s="25"/>
      <c r="H36" s="25"/>
      <c r="I36" s="25"/>
      <c r="J36" s="25"/>
      <c r="K36" s="223"/>
      <c r="L36" s="25"/>
      <c r="M36" s="25"/>
      <c r="N36" s="25"/>
      <c r="O36" s="25"/>
      <c r="P36" s="25"/>
      <c r="Q36" s="25"/>
      <c r="R36" s="25"/>
    </row>
    <row r="37" spans="1:18" x14ac:dyDescent="0.2">
      <c r="A37" s="25"/>
      <c r="B37" s="25" t="s">
        <v>458</v>
      </c>
      <c r="C37" s="25" t="s">
        <v>368</v>
      </c>
      <c r="D37" s="25">
        <v>5</v>
      </c>
      <c r="E37" s="130"/>
      <c r="F37" s="224" t="s">
        <v>82</v>
      </c>
      <c r="G37" s="41">
        <v>8</v>
      </c>
      <c r="H37" s="131"/>
      <c r="I37" s="35">
        <v>40</v>
      </c>
      <c r="J37" s="200">
        <f t="shared" si="4"/>
        <v>0</v>
      </c>
      <c r="K37" s="223">
        <v>0</v>
      </c>
      <c r="L37" s="212"/>
      <c r="M37" s="35">
        <v>0</v>
      </c>
      <c r="N37" s="200">
        <f t="shared" si="5"/>
        <v>0</v>
      </c>
      <c r="O37" s="35">
        <v>40</v>
      </c>
      <c r="P37" s="200">
        <f t="shared" si="6"/>
        <v>0</v>
      </c>
      <c r="Q37" s="35">
        <v>25600</v>
      </c>
      <c r="R37" s="200">
        <f t="shared" si="7"/>
        <v>0</v>
      </c>
    </row>
    <row r="38" spans="1:18" x14ac:dyDescent="0.2">
      <c r="A38" s="25"/>
      <c r="B38" s="131"/>
      <c r="C38" s="131"/>
      <c r="D38" s="25">
        <v>0</v>
      </c>
      <c r="E38" s="130"/>
      <c r="F38" s="224"/>
      <c r="G38" s="41">
        <v>0</v>
      </c>
      <c r="H38" s="131"/>
      <c r="I38" s="35">
        <v>0</v>
      </c>
      <c r="J38" s="200">
        <f t="shared" si="4"/>
        <v>0</v>
      </c>
      <c r="K38" s="223">
        <v>0</v>
      </c>
      <c r="L38" s="212"/>
      <c r="M38" s="35">
        <v>0</v>
      </c>
      <c r="N38" s="200">
        <f t="shared" si="5"/>
        <v>0</v>
      </c>
      <c r="O38" s="35">
        <v>0</v>
      </c>
      <c r="P38" s="200">
        <f t="shared" si="6"/>
        <v>0</v>
      </c>
      <c r="Q38" s="35">
        <v>0</v>
      </c>
      <c r="R38" s="200">
        <f t="shared" si="7"/>
        <v>0</v>
      </c>
    </row>
    <row r="39" spans="1:18" x14ac:dyDescent="0.2">
      <c r="A39" s="25"/>
      <c r="B39" s="131"/>
      <c r="C39" s="131"/>
      <c r="D39" s="25">
        <v>0</v>
      </c>
      <c r="E39" s="130"/>
      <c r="F39" s="224"/>
      <c r="G39" s="41">
        <v>0</v>
      </c>
      <c r="H39" s="131"/>
      <c r="I39" s="35">
        <v>0</v>
      </c>
      <c r="J39" s="200">
        <f t="shared" si="4"/>
        <v>0</v>
      </c>
      <c r="K39" s="223">
        <v>0</v>
      </c>
      <c r="L39" s="212"/>
      <c r="M39" s="35">
        <v>0</v>
      </c>
      <c r="N39" s="200">
        <f t="shared" si="5"/>
        <v>0</v>
      </c>
      <c r="O39" s="35">
        <v>0</v>
      </c>
      <c r="P39" s="200">
        <f t="shared" si="6"/>
        <v>0</v>
      </c>
      <c r="Q39" s="35">
        <v>0</v>
      </c>
      <c r="R39" s="200">
        <f t="shared" si="7"/>
        <v>0</v>
      </c>
    </row>
    <row r="40" spans="1:18" x14ac:dyDescent="0.2">
      <c r="A40" s="25"/>
      <c r="B40" s="131"/>
      <c r="C40" s="131"/>
      <c r="D40" s="25">
        <v>0</v>
      </c>
      <c r="E40" s="130"/>
      <c r="F40" s="224"/>
      <c r="G40" s="41">
        <v>0</v>
      </c>
      <c r="H40" s="131"/>
      <c r="I40" s="35">
        <v>0</v>
      </c>
      <c r="J40" s="200">
        <f>E40*H40</f>
        <v>0</v>
      </c>
      <c r="K40" s="223">
        <v>0</v>
      </c>
      <c r="L40" s="212"/>
      <c r="M40" s="35">
        <v>0</v>
      </c>
      <c r="N40" s="200">
        <f>J40*L40</f>
        <v>0</v>
      </c>
      <c r="O40" s="35">
        <v>0</v>
      </c>
      <c r="P40" s="200">
        <f>+J40-N40</f>
        <v>0</v>
      </c>
      <c r="Q40" s="35">
        <v>0</v>
      </c>
      <c r="R40" s="200">
        <f>+J40*E$7</f>
        <v>0</v>
      </c>
    </row>
    <row r="41" spans="1:18" x14ac:dyDescent="0.2">
      <c r="A41" s="25"/>
      <c r="B41" s="25" t="s">
        <v>106</v>
      </c>
      <c r="C41" s="25"/>
      <c r="D41" s="25"/>
      <c r="E41" s="104"/>
      <c r="H41" s="104"/>
      <c r="I41" s="121"/>
      <c r="J41" s="104"/>
      <c r="K41" s="223"/>
      <c r="L41" s="104"/>
      <c r="N41" s="104"/>
      <c r="P41" s="104"/>
      <c r="R41" s="104"/>
    </row>
    <row r="42" spans="1:18" x14ac:dyDescent="0.2">
      <c r="A42" s="25"/>
      <c r="B42" s="25"/>
      <c r="C42" s="25" t="s">
        <v>103</v>
      </c>
      <c r="D42" s="25">
        <v>0.28999999999999998</v>
      </c>
      <c r="E42" s="130"/>
      <c r="F42" s="224" t="s">
        <v>44</v>
      </c>
      <c r="G42" s="41">
        <v>15</v>
      </c>
      <c r="H42" s="131"/>
      <c r="I42" s="35">
        <v>4.3499999999999996</v>
      </c>
      <c r="J42" s="200">
        <f>E42*H42</f>
        <v>0</v>
      </c>
      <c r="K42" s="223">
        <v>0</v>
      </c>
      <c r="L42" s="212"/>
      <c r="M42" s="35">
        <v>0</v>
      </c>
      <c r="N42" s="200">
        <f>J42*L42</f>
        <v>0</v>
      </c>
      <c r="O42" s="35">
        <v>4.3499999999999996</v>
      </c>
      <c r="P42" s="200">
        <f>+J42-N42</f>
        <v>0</v>
      </c>
      <c r="Q42" s="35">
        <v>2784</v>
      </c>
      <c r="R42" s="200">
        <f>+J42*E$7</f>
        <v>0</v>
      </c>
    </row>
    <row r="43" spans="1:18" x14ac:dyDescent="0.2">
      <c r="A43" s="25"/>
      <c r="B43" s="25"/>
      <c r="C43" s="25" t="s">
        <v>105</v>
      </c>
      <c r="D43" s="25">
        <v>0.34</v>
      </c>
      <c r="E43" s="130"/>
      <c r="F43" s="224" t="s">
        <v>44</v>
      </c>
      <c r="G43" s="41">
        <v>15</v>
      </c>
      <c r="H43" s="131"/>
      <c r="I43" s="35">
        <v>5.1000000000000005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5.1000000000000005</v>
      </c>
      <c r="P43" s="200">
        <f>+J43-N43</f>
        <v>0</v>
      </c>
      <c r="Q43" s="35">
        <v>3264.0000000000005</v>
      </c>
      <c r="R43" s="200">
        <f>+J43*E$7</f>
        <v>0</v>
      </c>
    </row>
    <row r="44" spans="1:18" x14ac:dyDescent="0.2">
      <c r="A44" s="25"/>
      <c r="B44" s="25"/>
      <c r="C44" s="25"/>
      <c r="D44" s="25"/>
      <c r="E44" s="207"/>
      <c r="F44" s="21"/>
      <c r="G44" s="41"/>
      <c r="H44" s="196"/>
      <c r="I44" s="35"/>
      <c r="J44" s="182"/>
      <c r="K44" s="223"/>
      <c r="L44" s="196"/>
      <c r="M44" s="35"/>
      <c r="N44" s="182"/>
      <c r="O44" s="35"/>
      <c r="P44" s="182"/>
      <c r="Q44" s="35"/>
      <c r="R44" s="182"/>
    </row>
    <row r="45" spans="1:18" x14ac:dyDescent="0.2">
      <c r="A45" s="25"/>
      <c r="B45" s="25" t="s">
        <v>51</v>
      </c>
      <c r="C45" s="25"/>
      <c r="D45" s="25"/>
      <c r="E45" s="207"/>
      <c r="F45" s="21"/>
      <c r="G45" s="41"/>
      <c r="H45" s="196"/>
      <c r="I45" s="184"/>
      <c r="J45" s="182"/>
      <c r="K45" s="223"/>
      <c r="L45" s="196"/>
      <c r="M45" s="35"/>
      <c r="N45" s="182"/>
      <c r="O45" s="35"/>
      <c r="P45" s="182"/>
      <c r="Q45" s="35"/>
      <c r="R45" s="182"/>
    </row>
    <row r="46" spans="1:18" x14ac:dyDescent="0.2">
      <c r="A46" s="25"/>
      <c r="B46" s="25"/>
      <c r="C46" s="25" t="s">
        <v>102</v>
      </c>
      <c r="D46" s="25">
        <v>1</v>
      </c>
      <c r="E46" s="130"/>
      <c r="F46" s="224" t="s">
        <v>42</v>
      </c>
      <c r="G46" s="41">
        <v>0</v>
      </c>
      <c r="H46" s="131"/>
      <c r="I46" s="35">
        <v>0</v>
      </c>
      <c r="J46" s="200">
        <f>E46*H46</f>
        <v>0</v>
      </c>
      <c r="K46" s="223">
        <v>0</v>
      </c>
      <c r="L46" s="212"/>
      <c r="M46" s="35">
        <v>0</v>
      </c>
      <c r="N46" s="200">
        <f>J46*L46</f>
        <v>0</v>
      </c>
      <c r="O46" s="35">
        <v>0</v>
      </c>
      <c r="P46" s="200">
        <f>+J46-N46</f>
        <v>0</v>
      </c>
      <c r="Q46" s="35">
        <v>0</v>
      </c>
      <c r="R46" s="200">
        <f>+J46*E$7</f>
        <v>0</v>
      </c>
    </row>
    <row r="47" spans="1:18" x14ac:dyDescent="0.2">
      <c r="A47" s="25"/>
      <c r="B47" s="25"/>
      <c r="C47" s="25" t="s">
        <v>103</v>
      </c>
      <c r="D47" s="25">
        <v>4.96</v>
      </c>
      <c r="E47" s="130"/>
      <c r="F47" s="224" t="s">
        <v>79</v>
      </c>
      <c r="G47" s="41">
        <v>3.0190000000000001</v>
      </c>
      <c r="H47" s="131"/>
      <c r="I47" s="35">
        <v>14.97424</v>
      </c>
      <c r="J47" s="200">
        <f>E47*H47</f>
        <v>0</v>
      </c>
      <c r="K47" s="223">
        <v>0</v>
      </c>
      <c r="L47" s="212"/>
      <c r="M47" s="35">
        <v>0</v>
      </c>
      <c r="N47" s="200">
        <f>J47*L47</f>
        <v>0</v>
      </c>
      <c r="O47" s="35">
        <v>14.97424</v>
      </c>
      <c r="P47" s="200">
        <f>+J47-N47</f>
        <v>0</v>
      </c>
      <c r="Q47" s="35">
        <v>9583.5136000000002</v>
      </c>
      <c r="R47" s="200">
        <f>+J47*E$7</f>
        <v>0</v>
      </c>
    </row>
    <row r="48" spans="1:18" x14ac:dyDescent="0.2">
      <c r="A48" s="25"/>
      <c r="B48" s="25"/>
      <c r="C48" s="25"/>
      <c r="D48" s="25"/>
      <c r="E48" s="207"/>
      <c r="F48" s="21"/>
      <c r="G48" s="41"/>
      <c r="H48" s="196"/>
      <c r="I48" s="35"/>
      <c r="J48" s="182"/>
      <c r="K48" s="223"/>
      <c r="L48" s="196"/>
      <c r="M48" s="35"/>
      <c r="N48" s="182"/>
      <c r="O48" s="35"/>
      <c r="P48" s="182"/>
      <c r="Q48" s="35"/>
      <c r="R48" s="182"/>
    </row>
    <row r="49" spans="1:18" x14ac:dyDescent="0.2">
      <c r="A49" s="25"/>
      <c r="B49" s="25" t="s">
        <v>29</v>
      </c>
      <c r="C49" s="25"/>
      <c r="D49" s="25"/>
      <c r="E49" s="207"/>
      <c r="F49" s="21"/>
      <c r="G49" s="41"/>
      <c r="H49" s="196"/>
      <c r="I49" s="184"/>
      <c r="J49" s="182"/>
      <c r="K49" s="223"/>
      <c r="L49" s="196"/>
      <c r="M49" s="35"/>
      <c r="N49" s="182"/>
      <c r="O49" s="35"/>
      <c r="P49" s="182"/>
      <c r="Q49" s="35"/>
      <c r="R49" s="182"/>
    </row>
    <row r="50" spans="1:18" x14ac:dyDescent="0.2">
      <c r="A50" s="25"/>
      <c r="B50" s="25"/>
      <c r="C50" s="25" t="s">
        <v>102</v>
      </c>
      <c r="D50" s="25">
        <v>1</v>
      </c>
      <c r="E50" s="130"/>
      <c r="F50" s="224" t="s">
        <v>42</v>
      </c>
      <c r="G50" s="41">
        <v>1.0546875</v>
      </c>
      <c r="H50" s="131"/>
      <c r="I50" s="35">
        <v>1.0546875</v>
      </c>
      <c r="J50" s="200">
        <f>E50*H50</f>
        <v>0</v>
      </c>
      <c r="K50" s="223">
        <v>0</v>
      </c>
      <c r="L50" s="212"/>
      <c r="M50" s="35">
        <v>0</v>
      </c>
      <c r="N50" s="200">
        <f>J50*L50</f>
        <v>0</v>
      </c>
      <c r="O50" s="35">
        <v>1.0546875</v>
      </c>
      <c r="P50" s="200">
        <f>+J50-N50</f>
        <v>0</v>
      </c>
      <c r="Q50" s="35">
        <v>675</v>
      </c>
      <c r="R50" s="200">
        <f>+J50*E$7</f>
        <v>0</v>
      </c>
    </row>
    <row r="51" spans="1:18" x14ac:dyDescent="0.2">
      <c r="A51" s="25"/>
      <c r="B51" s="25"/>
      <c r="C51" s="25" t="s">
        <v>103</v>
      </c>
      <c r="D51" s="25">
        <v>0</v>
      </c>
      <c r="E51" s="130"/>
      <c r="F51" s="224" t="s">
        <v>79</v>
      </c>
      <c r="G51" s="41">
        <v>3.09</v>
      </c>
      <c r="H51" s="131"/>
      <c r="I51" s="35">
        <v>0</v>
      </c>
      <c r="J51" s="200">
        <f>E51*H51</f>
        <v>0</v>
      </c>
      <c r="K51" s="223">
        <v>0</v>
      </c>
      <c r="L51" s="212"/>
      <c r="M51" s="35">
        <v>0</v>
      </c>
      <c r="N51" s="200">
        <f>J51*L51</f>
        <v>0</v>
      </c>
      <c r="O51" s="35">
        <v>0</v>
      </c>
      <c r="P51" s="200">
        <f>+J51-N51</f>
        <v>0</v>
      </c>
      <c r="Q51" s="35">
        <v>0</v>
      </c>
      <c r="R51" s="200">
        <f>+J51*E$7</f>
        <v>0</v>
      </c>
    </row>
    <row r="52" spans="1:18" x14ac:dyDescent="0.2">
      <c r="A52" s="25"/>
      <c r="B52" s="25"/>
      <c r="C52" s="25"/>
      <c r="D52" s="25"/>
      <c r="E52" s="207"/>
      <c r="F52" s="21"/>
      <c r="G52" s="41"/>
      <c r="H52" s="196"/>
      <c r="I52" s="35"/>
      <c r="J52" s="182"/>
      <c r="K52" s="223"/>
      <c r="L52" s="196"/>
      <c r="M52" s="35"/>
      <c r="N52" s="182"/>
      <c r="O52" s="35"/>
      <c r="P52" s="182"/>
      <c r="Q52" s="35"/>
      <c r="R52" s="182"/>
    </row>
    <row r="53" spans="1:18" x14ac:dyDescent="0.2">
      <c r="A53" s="25"/>
      <c r="B53" s="25" t="s">
        <v>47</v>
      </c>
      <c r="C53" s="25"/>
      <c r="D53" s="25"/>
      <c r="E53" s="207"/>
      <c r="F53" s="21"/>
      <c r="G53" s="41"/>
      <c r="H53" s="197"/>
      <c r="I53" s="184"/>
      <c r="J53" s="182"/>
      <c r="K53" s="223"/>
      <c r="L53" s="197"/>
      <c r="M53" s="35"/>
      <c r="N53" s="182"/>
      <c r="O53" s="35"/>
      <c r="P53" s="182"/>
      <c r="Q53" s="35"/>
      <c r="R53" s="182"/>
    </row>
    <row r="54" spans="1:18" x14ac:dyDescent="0.2">
      <c r="A54" s="25"/>
      <c r="B54" s="25"/>
      <c r="C54" s="25" t="s">
        <v>102</v>
      </c>
      <c r="D54" s="25">
        <v>1</v>
      </c>
      <c r="E54" s="130"/>
      <c r="F54" s="224" t="s">
        <v>42</v>
      </c>
      <c r="G54" s="41">
        <v>0.3515625</v>
      </c>
      <c r="H54" s="131"/>
      <c r="I54" s="35">
        <v>0.3515625</v>
      </c>
      <c r="J54" s="200">
        <f t="shared" ref="J54:J59" si="8">E54*H54</f>
        <v>0</v>
      </c>
      <c r="K54" s="223">
        <v>0</v>
      </c>
      <c r="L54" s="212"/>
      <c r="M54" s="35">
        <v>0</v>
      </c>
      <c r="N54" s="200">
        <f t="shared" ref="N54:N59" si="9">J54*L54</f>
        <v>0</v>
      </c>
      <c r="O54" s="35">
        <v>0.3515625</v>
      </c>
      <c r="P54" s="200">
        <f t="shared" ref="P54:P59" si="10">+J54-N54</f>
        <v>0</v>
      </c>
      <c r="Q54" s="35">
        <v>225</v>
      </c>
      <c r="R54" s="200">
        <f t="shared" ref="R54:R59" si="11">+J54*E$7</f>
        <v>0</v>
      </c>
    </row>
    <row r="55" spans="1:18" x14ac:dyDescent="0.2">
      <c r="A55" s="25"/>
      <c r="B55" s="25"/>
      <c r="C55" s="25" t="s">
        <v>46</v>
      </c>
      <c r="D55" s="25">
        <v>1</v>
      </c>
      <c r="E55" s="130"/>
      <c r="F55" s="224" t="s">
        <v>42</v>
      </c>
      <c r="G55" s="41">
        <v>0</v>
      </c>
      <c r="H55" s="131"/>
      <c r="I55" s="35">
        <v>0</v>
      </c>
      <c r="J55" s="200">
        <f t="shared" si="8"/>
        <v>0</v>
      </c>
      <c r="K55" s="223">
        <v>0</v>
      </c>
      <c r="L55" s="212"/>
      <c r="M55" s="35">
        <v>0</v>
      </c>
      <c r="N55" s="200">
        <f t="shared" si="9"/>
        <v>0</v>
      </c>
      <c r="O55" s="35">
        <v>0</v>
      </c>
      <c r="P55" s="200">
        <f t="shared" si="10"/>
        <v>0</v>
      </c>
      <c r="Q55" s="35">
        <v>0</v>
      </c>
      <c r="R55" s="200">
        <f t="shared" si="11"/>
        <v>0</v>
      </c>
    </row>
    <row r="56" spans="1:18" x14ac:dyDescent="0.2">
      <c r="A56" s="25"/>
      <c r="B56" s="25"/>
      <c r="C56" s="25" t="s">
        <v>103</v>
      </c>
      <c r="D56" s="25">
        <v>1</v>
      </c>
      <c r="E56" s="130"/>
      <c r="F56" s="224" t="s">
        <v>42</v>
      </c>
      <c r="G56" s="41">
        <v>14.528884742610435</v>
      </c>
      <c r="H56" s="131"/>
      <c r="I56" s="35">
        <v>14.528884742610435</v>
      </c>
      <c r="J56" s="200">
        <f t="shared" si="8"/>
        <v>0</v>
      </c>
      <c r="K56" s="223">
        <v>0</v>
      </c>
      <c r="L56" s="212"/>
      <c r="M56" s="35">
        <v>0</v>
      </c>
      <c r="N56" s="200">
        <f t="shared" si="9"/>
        <v>0</v>
      </c>
      <c r="O56" s="35">
        <v>14.528884742610435</v>
      </c>
      <c r="P56" s="200">
        <f t="shared" si="10"/>
        <v>0</v>
      </c>
      <c r="Q56" s="35">
        <v>9298.4862352706787</v>
      </c>
      <c r="R56" s="200">
        <f t="shared" si="11"/>
        <v>0</v>
      </c>
    </row>
    <row r="57" spans="1:18" x14ac:dyDescent="0.2">
      <c r="A57" s="25"/>
      <c r="B57" s="25"/>
      <c r="C57" s="25" t="s">
        <v>5</v>
      </c>
      <c r="D57" s="25">
        <v>1</v>
      </c>
      <c r="E57" s="130"/>
      <c r="F57" s="224" t="s">
        <v>42</v>
      </c>
      <c r="G57" s="41">
        <v>6.2230755928639407</v>
      </c>
      <c r="H57" s="131"/>
      <c r="I57" s="35">
        <v>6.2230755928639407</v>
      </c>
      <c r="J57" s="200">
        <f t="shared" si="8"/>
        <v>0</v>
      </c>
      <c r="K57" s="223">
        <v>0</v>
      </c>
      <c r="L57" s="212"/>
      <c r="M57" s="35">
        <v>0</v>
      </c>
      <c r="N57" s="200">
        <f t="shared" si="9"/>
        <v>0</v>
      </c>
      <c r="O57" s="35">
        <v>6.2230755928639407</v>
      </c>
      <c r="P57" s="200">
        <f t="shared" si="10"/>
        <v>0</v>
      </c>
      <c r="Q57" s="35">
        <v>3982.7683794329223</v>
      </c>
      <c r="R57" s="200">
        <f t="shared" si="11"/>
        <v>0</v>
      </c>
    </row>
    <row r="58" spans="1:18" x14ac:dyDescent="0.2">
      <c r="A58" s="25"/>
      <c r="B58" s="131"/>
      <c r="C58" s="131"/>
      <c r="D58" s="25"/>
      <c r="E58" s="130"/>
      <c r="F58" s="224"/>
      <c r="G58" s="41"/>
      <c r="H58" s="131"/>
      <c r="I58" s="35">
        <v>0</v>
      </c>
      <c r="J58" s="200">
        <f t="shared" si="8"/>
        <v>0</v>
      </c>
      <c r="K58" s="223">
        <v>0</v>
      </c>
      <c r="L58" s="212"/>
      <c r="M58" s="35">
        <v>0</v>
      </c>
      <c r="N58" s="200">
        <f t="shared" si="9"/>
        <v>0</v>
      </c>
      <c r="O58" s="35">
        <v>0</v>
      </c>
      <c r="P58" s="200">
        <f t="shared" si="10"/>
        <v>0</v>
      </c>
      <c r="Q58" s="35">
        <v>0</v>
      </c>
      <c r="R58" s="200">
        <f t="shared" si="11"/>
        <v>0</v>
      </c>
    </row>
    <row r="59" spans="1:18" x14ac:dyDescent="0.2">
      <c r="A59" s="25"/>
      <c r="B59" s="131"/>
      <c r="C59" s="131"/>
      <c r="D59" s="25"/>
      <c r="E59" s="130"/>
      <c r="F59" s="224"/>
      <c r="G59" s="41"/>
      <c r="H59" s="131"/>
      <c r="I59" s="35">
        <v>0</v>
      </c>
      <c r="J59" s="200">
        <f t="shared" si="8"/>
        <v>0</v>
      </c>
      <c r="K59" s="223">
        <v>0</v>
      </c>
      <c r="L59" s="212"/>
      <c r="M59" s="35">
        <v>0</v>
      </c>
      <c r="N59" s="200">
        <f t="shared" si="9"/>
        <v>0</v>
      </c>
      <c r="O59" s="35">
        <v>0</v>
      </c>
      <c r="P59" s="200">
        <f t="shared" si="10"/>
        <v>0</v>
      </c>
      <c r="Q59" s="35">
        <v>0</v>
      </c>
      <c r="R59" s="200">
        <f t="shared" si="11"/>
        <v>0</v>
      </c>
    </row>
    <row r="60" spans="1:18" ht="13.5" thickBot="1" x14ac:dyDescent="0.25">
      <c r="A60" s="25"/>
      <c r="B60" s="25" t="s">
        <v>32</v>
      </c>
      <c r="C60" s="25"/>
      <c r="D60" s="25"/>
      <c r="E60" s="195"/>
      <c r="F60" s="21"/>
      <c r="G60" s="39">
        <v>0.09</v>
      </c>
      <c r="H60" s="213"/>
      <c r="I60" s="42">
        <v>42.357193080917348</v>
      </c>
      <c r="J60" s="200">
        <f>+SUM(J17:J59)/2*H60</f>
        <v>0</v>
      </c>
      <c r="K60" s="86"/>
      <c r="L60" s="135"/>
      <c r="M60" s="42">
        <v>0</v>
      </c>
      <c r="N60" s="200">
        <f>+SUM(N17:N59)/2*L60</f>
        <v>0</v>
      </c>
      <c r="O60" s="42">
        <v>42.357193080917348</v>
      </c>
      <c r="P60" s="200">
        <f>+SUM(P17:P59)/2*L60</f>
        <v>0</v>
      </c>
      <c r="Q60" s="42">
        <v>27108.603571787102</v>
      </c>
      <c r="R60" s="182">
        <f>+J60*E$7</f>
        <v>0</v>
      </c>
    </row>
    <row r="61" spans="1:18" ht="13.5" thickBot="1" x14ac:dyDescent="0.25">
      <c r="A61" s="25" t="s">
        <v>33</v>
      </c>
      <c r="B61" s="25"/>
      <c r="C61" s="25"/>
      <c r="D61" s="25"/>
      <c r="E61" s="198"/>
      <c r="F61" s="25"/>
      <c r="G61" s="25"/>
      <c r="H61" s="195"/>
      <c r="I61" s="87">
        <v>356.50701841639176</v>
      </c>
      <c r="J61" s="202">
        <f>SUM(J18:J60)</f>
        <v>0</v>
      </c>
      <c r="K61" s="35"/>
      <c r="L61" s="193"/>
      <c r="M61" s="87">
        <v>0</v>
      </c>
      <c r="N61" s="202">
        <f>SUM(N18:N60)</f>
        <v>0</v>
      </c>
      <c r="O61" s="87">
        <v>356.50701841639176</v>
      </c>
      <c r="P61" s="202">
        <f>SUM(P18:P60)</f>
        <v>0</v>
      </c>
      <c r="Q61" s="87">
        <v>228164.49178649072</v>
      </c>
      <c r="R61" s="202">
        <f>SUM(R18:R60)</f>
        <v>0</v>
      </c>
    </row>
    <row r="62" spans="1:18" ht="13.5" thickTop="1" x14ac:dyDescent="0.2">
      <c r="A62" s="25" t="s">
        <v>34</v>
      </c>
      <c r="B62" s="25"/>
      <c r="C62" s="25"/>
      <c r="D62" s="25"/>
      <c r="E62" s="198"/>
      <c r="F62" s="25"/>
      <c r="G62" s="25"/>
      <c r="H62" s="195"/>
      <c r="I62" s="35">
        <v>-0.10701841639172471</v>
      </c>
      <c r="J62" s="200">
        <f>+J13-J61</f>
        <v>0</v>
      </c>
      <c r="K62" s="35"/>
      <c r="L62" s="193"/>
      <c r="M62" s="35">
        <v>0</v>
      </c>
      <c r="N62" s="200">
        <f>+N13-N61</f>
        <v>0</v>
      </c>
      <c r="O62" s="35">
        <v>-0.10701841639172471</v>
      </c>
      <c r="P62" s="200">
        <f>+P13-P61</f>
        <v>0</v>
      </c>
      <c r="Q62" s="35">
        <v>-68.491786490689265</v>
      </c>
      <c r="R62" s="200">
        <f>+R13-R61</f>
        <v>0</v>
      </c>
    </row>
    <row r="63" spans="1:18" x14ac:dyDescent="0.2">
      <c r="A63" s="25"/>
      <c r="B63" s="25" t="s">
        <v>35</v>
      </c>
      <c r="C63" s="25"/>
      <c r="D63" s="25"/>
      <c r="E63" s="208"/>
      <c r="F63" s="17"/>
      <c r="G63" s="40">
        <v>0.81024322367361767</v>
      </c>
      <c r="H63" s="208" t="str">
        <f>IF(E10=0,"n/a",(YVarExp-(YTotExp+YTotRet-J10))/E10)</f>
        <v>n/a</v>
      </c>
      <c r="I63" s="25" t="s">
        <v>82</v>
      </c>
      <c r="J63" s="182"/>
      <c r="K63" s="25"/>
      <c r="L63" s="195"/>
      <c r="M63" s="25"/>
      <c r="N63" s="182"/>
      <c r="O63" s="25"/>
      <c r="P63" s="182"/>
      <c r="Q63" s="25"/>
      <c r="R63" s="182"/>
    </row>
    <row r="64" spans="1:18" x14ac:dyDescent="0.2">
      <c r="A64" s="25"/>
      <c r="B64" s="25"/>
      <c r="C64" s="25"/>
      <c r="D64" s="25"/>
      <c r="E64" s="176"/>
      <c r="F64" s="25"/>
      <c r="G64" s="25"/>
      <c r="H64" s="209"/>
      <c r="I64" s="25"/>
      <c r="J64" s="182"/>
      <c r="K64" s="25"/>
      <c r="L64" s="195"/>
      <c r="M64" s="25"/>
      <c r="N64" s="182"/>
      <c r="O64" s="25"/>
      <c r="P64" s="182"/>
      <c r="Q64" s="22" t="s">
        <v>19</v>
      </c>
      <c r="R64" s="182" t="s">
        <v>19</v>
      </c>
    </row>
    <row r="65" spans="1:18" x14ac:dyDescent="0.2">
      <c r="A65" s="23" t="s">
        <v>36</v>
      </c>
      <c r="B65" s="23"/>
      <c r="C65" s="23"/>
      <c r="D65" s="24" t="s">
        <v>2</v>
      </c>
      <c r="E65" s="194" t="s">
        <v>2</v>
      </c>
      <c r="F65" s="24" t="s">
        <v>21</v>
      </c>
      <c r="G65" s="24" t="s">
        <v>22</v>
      </c>
      <c r="H65" s="194" t="s">
        <v>22</v>
      </c>
      <c r="I65" s="24" t="s">
        <v>12</v>
      </c>
      <c r="J65" s="194" t="s">
        <v>12</v>
      </c>
      <c r="K65" s="24" t="s">
        <v>11</v>
      </c>
      <c r="L65" s="194" t="s">
        <v>11</v>
      </c>
      <c r="M65" s="24" t="s">
        <v>10</v>
      </c>
      <c r="N65" s="194" t="s">
        <v>10</v>
      </c>
      <c r="O65" s="24" t="s">
        <v>9</v>
      </c>
      <c r="P65" s="194" t="s">
        <v>9</v>
      </c>
      <c r="Q65" s="24" t="s">
        <v>12</v>
      </c>
      <c r="R65" s="206" t="s">
        <v>12</v>
      </c>
    </row>
    <row r="66" spans="1:18" x14ac:dyDescent="0.2">
      <c r="A66" s="25"/>
      <c r="B66" s="25" t="s">
        <v>104</v>
      </c>
      <c r="C66" s="25"/>
      <c r="D66" s="25"/>
      <c r="E66" s="176"/>
      <c r="F66" s="25"/>
      <c r="G66" s="25"/>
      <c r="H66" s="209"/>
      <c r="I66" s="184"/>
      <c r="J66" s="182"/>
      <c r="K66" s="223"/>
      <c r="L66" s="195"/>
      <c r="M66" s="25"/>
      <c r="N66" s="182"/>
      <c r="O66" s="25"/>
      <c r="P66" s="182"/>
      <c r="Q66" s="25"/>
      <c r="R66" s="182"/>
    </row>
    <row r="67" spans="1:18" x14ac:dyDescent="0.2">
      <c r="A67" s="25"/>
      <c r="B67" s="25"/>
      <c r="C67" s="25" t="s">
        <v>102</v>
      </c>
      <c r="D67" s="25">
        <v>1</v>
      </c>
      <c r="E67" s="130"/>
      <c r="F67" s="224" t="s">
        <v>42</v>
      </c>
      <c r="G67" s="41">
        <v>0.48808593750000001</v>
      </c>
      <c r="H67" s="131"/>
      <c r="I67" s="35">
        <v>0.48808593750000001</v>
      </c>
      <c r="J67" s="200">
        <f t="shared" ref="J67:J69" si="12">E67*H67</f>
        <v>0</v>
      </c>
      <c r="K67" s="223">
        <v>0</v>
      </c>
      <c r="L67" s="212"/>
      <c r="M67" s="35">
        <v>0</v>
      </c>
      <c r="N67" s="200">
        <f>J67*L67</f>
        <v>0</v>
      </c>
      <c r="O67" s="35">
        <v>0.48808593750000001</v>
      </c>
      <c r="P67" s="200">
        <f t="shared" ref="P67:P69" si="13">+J67-N67</f>
        <v>0</v>
      </c>
      <c r="Q67" s="35">
        <v>312.375</v>
      </c>
      <c r="R67" s="200">
        <f t="shared" ref="R67:R69" si="14">+J67*E$7</f>
        <v>0</v>
      </c>
    </row>
    <row r="68" spans="1:18" x14ac:dyDescent="0.2">
      <c r="A68" s="25"/>
      <c r="B68" s="25"/>
      <c r="C68" s="25" t="s">
        <v>103</v>
      </c>
      <c r="D68" s="25">
        <v>1</v>
      </c>
      <c r="E68" s="130"/>
      <c r="F68" s="224" t="s">
        <v>42</v>
      </c>
      <c r="G68" s="41">
        <v>19.483220540384302</v>
      </c>
      <c r="H68" s="131"/>
      <c r="I68" s="35">
        <v>19.483220540384302</v>
      </c>
      <c r="J68" s="200">
        <f t="shared" si="12"/>
        <v>0</v>
      </c>
      <c r="K68" s="223">
        <v>0</v>
      </c>
      <c r="L68" s="212"/>
      <c r="M68" s="35">
        <v>0</v>
      </c>
      <c r="N68" s="200">
        <f>J68*L68</f>
        <v>0</v>
      </c>
      <c r="O68" s="35">
        <v>19.483220540384302</v>
      </c>
      <c r="P68" s="200">
        <f t="shared" si="13"/>
        <v>0</v>
      </c>
      <c r="Q68" s="35">
        <v>12469.261145845954</v>
      </c>
      <c r="R68" s="200">
        <f t="shared" si="14"/>
        <v>0</v>
      </c>
    </row>
    <row r="69" spans="1:18" x14ac:dyDescent="0.2">
      <c r="A69" s="25"/>
      <c r="B69" s="25"/>
      <c r="C69" s="25" t="s">
        <v>5</v>
      </c>
      <c r="D69" s="25">
        <v>1</v>
      </c>
      <c r="E69" s="130"/>
      <c r="F69" s="224" t="s">
        <v>42</v>
      </c>
      <c r="G69" s="41">
        <v>8.5142195409858346</v>
      </c>
      <c r="H69" s="131"/>
      <c r="I69" s="35">
        <v>8.5142195409858346</v>
      </c>
      <c r="J69" s="200">
        <f t="shared" si="12"/>
        <v>0</v>
      </c>
      <c r="K69" s="223">
        <v>0</v>
      </c>
      <c r="L69" s="212"/>
      <c r="M69" s="35">
        <v>0</v>
      </c>
      <c r="N69" s="200">
        <f>J69*L69</f>
        <v>0</v>
      </c>
      <c r="O69" s="35">
        <v>8.5142195409858346</v>
      </c>
      <c r="P69" s="200">
        <f t="shared" si="13"/>
        <v>0</v>
      </c>
      <c r="Q69" s="35">
        <v>5449.1005062309341</v>
      </c>
      <c r="R69" s="200">
        <f t="shared" si="14"/>
        <v>0</v>
      </c>
    </row>
    <row r="70" spans="1:18" x14ac:dyDescent="0.2">
      <c r="A70" s="25"/>
      <c r="B70" s="25" t="s">
        <v>88</v>
      </c>
      <c r="C70" s="25"/>
      <c r="D70" s="25"/>
      <c r="E70" s="195"/>
      <c r="F70" s="21"/>
      <c r="G70" s="41"/>
      <c r="H70" s="195"/>
      <c r="I70" s="184"/>
      <c r="J70" s="182"/>
      <c r="K70" s="223"/>
      <c r="L70" s="195"/>
      <c r="M70" s="35"/>
      <c r="N70" s="182"/>
      <c r="O70" s="35"/>
      <c r="P70" s="182"/>
      <c r="Q70" s="35"/>
      <c r="R70" s="182"/>
    </row>
    <row r="71" spans="1:18" x14ac:dyDescent="0.2">
      <c r="A71" s="25"/>
      <c r="B71" s="25"/>
      <c r="C71" s="25" t="s">
        <v>102</v>
      </c>
      <c r="D71" s="41">
        <v>3.4189453125</v>
      </c>
      <c r="E71" s="130"/>
      <c r="F71" s="224" t="s">
        <v>99</v>
      </c>
      <c r="G71" s="39">
        <v>0.08</v>
      </c>
      <c r="H71" s="213"/>
      <c r="I71" s="35">
        <v>0.27351562499999998</v>
      </c>
      <c r="J71" s="200">
        <f t="shared" ref="J71:J80" si="15">E71*H71</f>
        <v>0</v>
      </c>
      <c r="K71" s="223">
        <v>0</v>
      </c>
      <c r="L71" s="212"/>
      <c r="M71" s="35">
        <v>0</v>
      </c>
      <c r="N71" s="200">
        <f>J71*L71</f>
        <v>0</v>
      </c>
      <c r="O71" s="35">
        <v>0.27351562499999998</v>
      </c>
      <c r="P71" s="200">
        <f t="shared" ref="P71:P73" si="16">+J71-N71</f>
        <v>0</v>
      </c>
      <c r="Q71" s="35">
        <v>175.04999999999998</v>
      </c>
      <c r="R71" s="200">
        <f t="shared" ref="R71:R73" si="17">+J71*E$7</f>
        <v>0</v>
      </c>
    </row>
    <row r="72" spans="1:18" x14ac:dyDescent="0.2">
      <c r="A72" s="25"/>
      <c r="B72" s="25"/>
      <c r="C72" s="25" t="s">
        <v>103</v>
      </c>
      <c r="D72" s="41">
        <v>149.70363825406858</v>
      </c>
      <c r="E72" s="130"/>
      <c r="F72" s="224" t="s">
        <v>99</v>
      </c>
      <c r="G72" s="39">
        <v>0.08</v>
      </c>
      <c r="H72" s="213"/>
      <c r="I72" s="35">
        <v>11.976291060325487</v>
      </c>
      <c r="J72" s="200">
        <f t="shared" si="15"/>
        <v>0</v>
      </c>
      <c r="K72" s="223">
        <v>0</v>
      </c>
      <c r="L72" s="212"/>
      <c r="M72" s="35">
        <v>0</v>
      </c>
      <c r="N72" s="200">
        <f>J72*L72</f>
        <v>0</v>
      </c>
      <c r="O72" s="35">
        <v>11.976291060325487</v>
      </c>
      <c r="P72" s="200">
        <f t="shared" si="16"/>
        <v>0</v>
      </c>
      <c r="Q72" s="35">
        <v>7664.8262786083114</v>
      </c>
      <c r="R72" s="200">
        <f t="shared" si="17"/>
        <v>0</v>
      </c>
    </row>
    <row r="73" spans="1:18" x14ac:dyDescent="0.2">
      <c r="A73" s="25"/>
      <c r="B73" s="25"/>
      <c r="C73" s="25" t="s">
        <v>5</v>
      </c>
      <c r="D73" s="41">
        <v>36.421939147550518</v>
      </c>
      <c r="E73" s="130"/>
      <c r="F73" s="224" t="s">
        <v>99</v>
      </c>
      <c r="G73" s="39">
        <v>0.08</v>
      </c>
      <c r="H73" s="213"/>
      <c r="I73" s="35">
        <v>2.9137551318040416</v>
      </c>
      <c r="J73" s="200">
        <f t="shared" si="15"/>
        <v>0</v>
      </c>
      <c r="K73" s="223">
        <v>0</v>
      </c>
      <c r="L73" s="212"/>
      <c r="M73" s="35">
        <v>0</v>
      </c>
      <c r="N73" s="200">
        <f>J73*L73</f>
        <v>0</v>
      </c>
      <c r="O73" s="35">
        <v>2.9137551318040416</v>
      </c>
      <c r="P73" s="200">
        <f t="shared" si="16"/>
        <v>0</v>
      </c>
      <c r="Q73" s="35">
        <v>1864.8032843545866</v>
      </c>
      <c r="R73" s="200">
        <f t="shared" si="17"/>
        <v>0</v>
      </c>
    </row>
    <row r="74" spans="1:18" x14ac:dyDescent="0.2">
      <c r="A74" s="25"/>
      <c r="B74" s="25" t="s">
        <v>156</v>
      </c>
      <c r="C74" s="25"/>
      <c r="D74" s="25">
        <v>1</v>
      </c>
      <c r="E74" s="130"/>
      <c r="F74" s="224" t="s">
        <v>42</v>
      </c>
      <c r="G74" s="41">
        <v>0</v>
      </c>
      <c r="H74" s="131"/>
      <c r="I74" s="35">
        <v>0</v>
      </c>
      <c r="J74" s="200">
        <f t="shared" si="15"/>
        <v>0</v>
      </c>
      <c r="K74" s="223">
        <v>0</v>
      </c>
      <c r="L74" s="212"/>
      <c r="M74" s="35">
        <v>0</v>
      </c>
      <c r="N74" s="200">
        <f t="shared" ref="N74:N81" si="18">J74*L74</f>
        <v>0</v>
      </c>
      <c r="O74" s="35">
        <v>0</v>
      </c>
      <c r="P74" s="200">
        <f t="shared" ref="P74:P81" si="19">+J74-N74</f>
        <v>0</v>
      </c>
      <c r="Q74" s="35">
        <v>0</v>
      </c>
      <c r="R74" s="200">
        <f t="shared" ref="R74:R81" si="20">+J74*E$7</f>
        <v>0</v>
      </c>
    </row>
    <row r="75" spans="1:18" x14ac:dyDescent="0.2">
      <c r="A75" s="25"/>
      <c r="B75" s="25" t="s">
        <v>152</v>
      </c>
      <c r="C75" s="25"/>
      <c r="D75" s="25">
        <v>1</v>
      </c>
      <c r="E75" s="130"/>
      <c r="F75" s="224" t="s">
        <v>42</v>
      </c>
      <c r="G75" s="41">
        <v>0</v>
      </c>
      <c r="H75" s="131"/>
      <c r="I75" s="35">
        <v>0</v>
      </c>
      <c r="J75" s="200">
        <f t="shared" si="15"/>
        <v>0</v>
      </c>
      <c r="K75" s="223">
        <v>0</v>
      </c>
      <c r="L75" s="212"/>
      <c r="M75" s="35">
        <v>0</v>
      </c>
      <c r="N75" s="200">
        <f t="shared" si="18"/>
        <v>0</v>
      </c>
      <c r="O75" s="35">
        <v>0</v>
      </c>
      <c r="P75" s="200">
        <f t="shared" si="19"/>
        <v>0</v>
      </c>
      <c r="Q75" s="35">
        <v>0</v>
      </c>
      <c r="R75" s="200">
        <f t="shared" si="20"/>
        <v>0</v>
      </c>
    </row>
    <row r="76" spans="1:18" x14ac:dyDescent="0.2">
      <c r="A76" s="25"/>
      <c r="B76" s="25" t="s">
        <v>137</v>
      </c>
      <c r="C76" s="25"/>
      <c r="D76" s="25">
        <v>1</v>
      </c>
      <c r="E76" s="130"/>
      <c r="F76" s="224" t="s">
        <v>42</v>
      </c>
      <c r="G76" s="41">
        <v>0</v>
      </c>
      <c r="H76" s="131"/>
      <c r="I76" s="35">
        <v>0</v>
      </c>
      <c r="J76" s="200">
        <f t="shared" si="15"/>
        <v>0</v>
      </c>
      <c r="K76" s="223">
        <v>0</v>
      </c>
      <c r="L76" s="212"/>
      <c r="M76" s="35">
        <v>0</v>
      </c>
      <c r="N76" s="200">
        <f t="shared" si="18"/>
        <v>0</v>
      </c>
      <c r="O76" s="35">
        <v>0</v>
      </c>
      <c r="P76" s="200">
        <f t="shared" si="19"/>
        <v>0</v>
      </c>
      <c r="Q76" s="35">
        <v>0</v>
      </c>
      <c r="R76" s="200">
        <f t="shared" si="20"/>
        <v>0</v>
      </c>
    </row>
    <row r="77" spans="1:18" x14ac:dyDescent="0.2">
      <c r="A77" s="25"/>
      <c r="B77" s="25" t="s">
        <v>414</v>
      </c>
      <c r="C77" s="25"/>
      <c r="D77" s="25">
        <v>1</v>
      </c>
      <c r="E77" s="130"/>
      <c r="F77" s="224" t="s">
        <v>42</v>
      </c>
      <c r="G77" s="41">
        <v>30</v>
      </c>
      <c r="H77" s="131"/>
      <c r="I77" s="35">
        <v>30</v>
      </c>
      <c r="J77" s="200">
        <f t="shared" si="15"/>
        <v>0</v>
      </c>
      <c r="K77" s="223">
        <v>0</v>
      </c>
      <c r="L77" s="212"/>
      <c r="M77" s="35">
        <v>0</v>
      </c>
      <c r="N77" s="200">
        <f t="shared" si="18"/>
        <v>0</v>
      </c>
      <c r="O77" s="35">
        <v>30</v>
      </c>
      <c r="P77" s="200">
        <f t="shared" si="19"/>
        <v>0</v>
      </c>
      <c r="Q77" s="35">
        <v>19200</v>
      </c>
      <c r="R77" s="200">
        <f t="shared" si="20"/>
        <v>0</v>
      </c>
    </row>
    <row r="78" spans="1:18" x14ac:dyDescent="0.2">
      <c r="A78" s="25"/>
      <c r="B78" s="25" t="s">
        <v>159</v>
      </c>
      <c r="C78" s="25"/>
      <c r="D78" s="25">
        <v>1</v>
      </c>
      <c r="E78" s="130"/>
      <c r="F78" s="224" t="s">
        <v>42</v>
      </c>
      <c r="G78" s="41">
        <v>0</v>
      </c>
      <c r="H78" s="131"/>
      <c r="I78" s="35">
        <v>0</v>
      </c>
      <c r="J78" s="200">
        <f t="shared" si="15"/>
        <v>0</v>
      </c>
      <c r="K78" s="223">
        <v>0</v>
      </c>
      <c r="L78" s="212"/>
      <c r="M78" s="35">
        <v>0</v>
      </c>
      <c r="N78" s="200">
        <f t="shared" si="18"/>
        <v>0</v>
      </c>
      <c r="O78" s="35">
        <v>0</v>
      </c>
      <c r="P78" s="200">
        <f t="shared" si="19"/>
        <v>0</v>
      </c>
      <c r="Q78" s="35">
        <v>0</v>
      </c>
      <c r="R78" s="200">
        <f t="shared" si="20"/>
        <v>0</v>
      </c>
    </row>
    <row r="79" spans="1:18" x14ac:dyDescent="0.2">
      <c r="A79" s="25"/>
      <c r="B79" s="25" t="s">
        <v>160</v>
      </c>
      <c r="C79" s="25"/>
      <c r="D79" s="25">
        <v>1</v>
      </c>
      <c r="E79" s="130"/>
      <c r="F79" s="224" t="s">
        <v>42</v>
      </c>
      <c r="G79" s="41">
        <v>0</v>
      </c>
      <c r="H79" s="131"/>
      <c r="I79" s="35">
        <v>0</v>
      </c>
      <c r="J79" s="200">
        <f t="shared" si="15"/>
        <v>0</v>
      </c>
      <c r="K79" s="223">
        <v>0</v>
      </c>
      <c r="L79" s="212"/>
      <c r="M79" s="35">
        <v>0</v>
      </c>
      <c r="N79" s="200">
        <f t="shared" si="18"/>
        <v>0</v>
      </c>
      <c r="O79" s="35">
        <v>0</v>
      </c>
      <c r="P79" s="200">
        <f t="shared" si="19"/>
        <v>0</v>
      </c>
      <c r="Q79" s="35">
        <v>0</v>
      </c>
      <c r="R79" s="200">
        <f t="shared" si="20"/>
        <v>0</v>
      </c>
    </row>
    <row r="80" spans="1:18" x14ac:dyDescent="0.2">
      <c r="A80" s="25"/>
      <c r="B80" s="131"/>
      <c r="C80" s="131"/>
      <c r="D80" s="25">
        <v>1</v>
      </c>
      <c r="E80" s="130"/>
      <c r="F80" s="224"/>
      <c r="G80" s="41">
        <v>0</v>
      </c>
      <c r="H80" s="131"/>
      <c r="I80" s="35">
        <v>0</v>
      </c>
      <c r="J80" s="200">
        <f t="shared" si="15"/>
        <v>0</v>
      </c>
      <c r="K80" s="223">
        <v>0</v>
      </c>
      <c r="L80" s="212"/>
      <c r="M80" s="35">
        <v>0</v>
      </c>
      <c r="N80" s="200">
        <f t="shared" si="18"/>
        <v>0</v>
      </c>
      <c r="O80" s="35">
        <v>0</v>
      </c>
      <c r="P80" s="200">
        <f t="shared" si="19"/>
        <v>0</v>
      </c>
      <c r="Q80" s="35">
        <v>0</v>
      </c>
      <c r="R80" s="200">
        <f t="shared" si="20"/>
        <v>0</v>
      </c>
    </row>
    <row r="81" spans="1:18" ht="13.5" thickBot="1" x14ac:dyDescent="0.25">
      <c r="A81" s="25"/>
      <c r="B81" s="131"/>
      <c r="C81" s="131"/>
      <c r="D81" s="25">
        <v>1</v>
      </c>
      <c r="E81" s="130"/>
      <c r="F81" s="224"/>
      <c r="G81" s="41">
        <v>0</v>
      </c>
      <c r="H81" s="131"/>
      <c r="I81" s="35">
        <v>0</v>
      </c>
      <c r="J81" s="200">
        <f>E81*H81</f>
        <v>0</v>
      </c>
      <c r="K81" s="223">
        <v>0</v>
      </c>
      <c r="L81" s="212"/>
      <c r="M81" s="35">
        <v>0</v>
      </c>
      <c r="N81" s="200">
        <f t="shared" si="18"/>
        <v>0</v>
      </c>
      <c r="O81" s="35">
        <v>0</v>
      </c>
      <c r="P81" s="200">
        <f t="shared" si="19"/>
        <v>0</v>
      </c>
      <c r="Q81" s="35">
        <v>0</v>
      </c>
      <c r="R81" s="200">
        <f t="shared" si="20"/>
        <v>0</v>
      </c>
    </row>
    <row r="82" spans="1:18" ht="13.5" thickBot="1" x14ac:dyDescent="0.25">
      <c r="A82" s="25" t="s">
        <v>37</v>
      </c>
      <c r="B82" s="25"/>
      <c r="C82" s="25"/>
      <c r="D82" s="25"/>
      <c r="E82" s="195"/>
      <c r="F82" s="25"/>
      <c r="G82" s="25"/>
      <c r="H82" s="195"/>
      <c r="I82" s="118">
        <v>73.649087835999666</v>
      </c>
      <c r="J82" s="202">
        <f>+SUM(J67:J81)</f>
        <v>0</v>
      </c>
      <c r="K82" s="35"/>
      <c r="L82" s="193"/>
      <c r="M82" s="118">
        <v>0</v>
      </c>
      <c r="N82" s="202">
        <f>+SUM(N67:N81)</f>
        <v>0</v>
      </c>
      <c r="O82" s="118">
        <v>73.649087835999666</v>
      </c>
      <c r="P82" s="202">
        <f>+SUM(P67:P81)</f>
        <v>0</v>
      </c>
      <c r="Q82" s="118">
        <v>47135.41621503979</v>
      </c>
      <c r="R82" s="202">
        <f>+SUM(R67:R81)</f>
        <v>0</v>
      </c>
    </row>
    <row r="83" spans="1:18" ht="14.25" thickTop="1" thickBot="1" x14ac:dyDescent="0.25">
      <c r="A83" s="25" t="s">
        <v>52</v>
      </c>
      <c r="B83" s="25"/>
      <c r="C83" s="25"/>
      <c r="D83" s="25"/>
      <c r="E83" s="195"/>
      <c r="F83" s="25"/>
      <c r="G83" s="25"/>
      <c r="H83" s="195"/>
      <c r="I83" s="87">
        <v>430.1561062523914</v>
      </c>
      <c r="J83" s="203">
        <f>+J61+J82</f>
        <v>0</v>
      </c>
      <c r="K83" s="35"/>
      <c r="L83" s="193"/>
      <c r="M83" s="87">
        <v>0</v>
      </c>
      <c r="N83" s="203">
        <f>+N61+N82</f>
        <v>0</v>
      </c>
      <c r="O83" s="87">
        <v>430.1561062523914</v>
      </c>
      <c r="P83" s="203">
        <f>+P61+P82</f>
        <v>0</v>
      </c>
      <c r="Q83" s="87">
        <v>275299.90800153051</v>
      </c>
      <c r="R83" s="203">
        <f>+R61+R82</f>
        <v>0</v>
      </c>
    </row>
    <row r="84" spans="1:18" ht="13.5" thickTop="1" x14ac:dyDescent="0.2">
      <c r="A84" s="25"/>
      <c r="B84" s="25"/>
      <c r="C84" s="25"/>
      <c r="D84" s="25"/>
      <c r="E84" s="195"/>
      <c r="F84" s="25"/>
      <c r="G84" s="25"/>
      <c r="H84" s="195"/>
      <c r="I84" s="35"/>
      <c r="J84" s="182"/>
      <c r="K84" s="35"/>
      <c r="L84" s="193"/>
      <c r="M84" s="35"/>
      <c r="N84" s="182"/>
      <c r="O84" s="35"/>
      <c r="P84" s="182"/>
      <c r="Q84" s="35"/>
      <c r="R84" s="182"/>
    </row>
    <row r="85" spans="1:18" x14ac:dyDescent="0.2">
      <c r="A85" s="25" t="s">
        <v>153</v>
      </c>
      <c r="B85" s="25"/>
      <c r="C85" s="25"/>
      <c r="D85" s="25"/>
      <c r="E85" s="195"/>
      <c r="F85" s="25"/>
      <c r="G85" s="25"/>
      <c r="H85" s="195"/>
      <c r="I85" s="35">
        <v>-73.756106252391362</v>
      </c>
      <c r="J85" s="200">
        <f>+J13-J83</f>
        <v>0</v>
      </c>
      <c r="K85" s="35"/>
      <c r="L85" s="193"/>
      <c r="M85" s="35">
        <v>0</v>
      </c>
      <c r="N85" s="200">
        <f>+N13-N83</f>
        <v>0</v>
      </c>
      <c r="O85" s="35">
        <v>-73.756106252391362</v>
      </c>
      <c r="P85" s="200">
        <f>+P13-P83</f>
        <v>0</v>
      </c>
      <c r="Q85" s="35">
        <v>-47203.908001530479</v>
      </c>
      <c r="R85" s="200">
        <f>+R13-R83</f>
        <v>0</v>
      </c>
    </row>
    <row r="86" spans="1:18" x14ac:dyDescent="0.2">
      <c r="A86" s="25"/>
      <c r="B86" s="25"/>
      <c r="C86" s="25"/>
      <c r="D86" s="25"/>
      <c r="E86" s="195"/>
      <c r="F86" s="25"/>
      <c r="G86" s="25"/>
      <c r="H86" s="195"/>
      <c r="I86" s="35"/>
      <c r="J86" s="204"/>
      <c r="K86" s="35"/>
      <c r="L86" s="193"/>
      <c r="M86" s="35"/>
      <c r="N86" s="193"/>
      <c r="O86" s="35"/>
      <c r="P86" s="193"/>
      <c r="Q86" s="35"/>
      <c r="R86" s="204"/>
    </row>
    <row r="87" spans="1:18" ht="13.5" thickBot="1" x14ac:dyDescent="0.25">
      <c r="A87" s="44" t="s">
        <v>38</v>
      </c>
      <c r="B87" s="44"/>
      <c r="C87" s="44"/>
      <c r="D87" s="44"/>
      <c r="E87" s="199"/>
      <c r="F87" s="44"/>
      <c r="G87" s="45">
        <v>0.9776275142099804</v>
      </c>
      <c r="H87" s="210" t="str">
        <f>IF(E10=0,"n/a",(YTotExp-(YTotExp+YTotRet-J10))/E10)</f>
        <v>n/a</v>
      </c>
      <c r="I87" s="44" t="s">
        <v>82</v>
      </c>
      <c r="J87" s="205"/>
      <c r="K87" s="44"/>
      <c r="L87" s="199"/>
      <c r="M87" s="44"/>
      <c r="N87" s="199"/>
      <c r="O87" s="44"/>
      <c r="P87" s="199"/>
      <c r="Q87" s="44"/>
      <c r="R87" s="205"/>
    </row>
    <row r="88" spans="1:18" ht="13.5" thickTop="1" x14ac:dyDescent="0.2"/>
    <row r="89" spans="1:18" s="17" customFormat="1" ht="15.75" x14ac:dyDescent="0.25">
      <c r="A89"/>
      <c r="B89" s="88"/>
      <c r="C89" s="89"/>
      <c r="D89" s="234" t="s">
        <v>113</v>
      </c>
      <c r="E89" s="235"/>
      <c r="F89" s="235"/>
      <c r="G89" s="235"/>
      <c r="H89" s="235"/>
      <c r="I89" s="235"/>
      <c r="J89" s="99"/>
      <c r="K89" s="99"/>
      <c r="M89"/>
      <c r="N89"/>
    </row>
    <row r="90" spans="1:18" s="17" customFormat="1" ht="15.75" x14ac:dyDescent="0.25">
      <c r="A90"/>
      <c r="B90" s="19" t="s">
        <v>114</v>
      </c>
      <c r="C90" s="19" t="s">
        <v>114</v>
      </c>
      <c r="D90" s="123" t="s">
        <v>170</v>
      </c>
      <c r="E90" s="18"/>
      <c r="F90" s="18"/>
      <c r="G90" s="123" t="s">
        <v>170</v>
      </c>
      <c r="H90" s="18"/>
      <c r="I90" s="18"/>
      <c r="J90" s="18"/>
      <c r="K90" s="18"/>
      <c r="M90"/>
      <c r="N90"/>
    </row>
    <row r="91" spans="1:18" s="17" customFormat="1" x14ac:dyDescent="0.2">
      <c r="A91"/>
      <c r="B91" s="19" t="s">
        <v>80</v>
      </c>
      <c r="C91" s="19" t="s">
        <v>80</v>
      </c>
      <c r="D91" s="123" t="s">
        <v>157</v>
      </c>
      <c r="E91" s="119"/>
      <c r="F91" s="119"/>
      <c r="G91" s="123" t="s">
        <v>12</v>
      </c>
      <c r="H91" s="119"/>
      <c r="I91" s="119"/>
      <c r="J91" s="119"/>
      <c r="K91" s="119"/>
      <c r="M91"/>
      <c r="N91"/>
    </row>
    <row r="92" spans="1:18" s="17" customFormat="1" x14ac:dyDescent="0.2">
      <c r="A92"/>
      <c r="B92" s="19" t="s">
        <v>30</v>
      </c>
      <c r="C92" s="99" t="s">
        <v>82</v>
      </c>
      <c r="D92" s="123" t="s">
        <v>98</v>
      </c>
      <c r="E92" s="119"/>
      <c r="F92" s="119"/>
      <c r="G92" s="123" t="s">
        <v>98</v>
      </c>
      <c r="H92" s="19"/>
      <c r="I92" s="19"/>
      <c r="J92" s="19"/>
      <c r="K92" s="19"/>
      <c r="M92"/>
      <c r="N92"/>
    </row>
    <row r="93" spans="1:18" s="17" customFormat="1" x14ac:dyDescent="0.2">
      <c r="A93"/>
      <c r="B93" s="90">
        <v>0.75</v>
      </c>
      <c r="C93" s="91">
        <v>330</v>
      </c>
      <c r="D93" s="92">
        <v>1.0803242982314902</v>
      </c>
      <c r="E93" s="93"/>
      <c r="F93" s="94"/>
      <c r="G93" s="92">
        <v>1.3035033522799739</v>
      </c>
      <c r="H93" s="93"/>
      <c r="I93" s="93"/>
      <c r="M93"/>
      <c r="N93"/>
    </row>
    <row r="94" spans="1:18" s="17" customFormat="1" x14ac:dyDescent="0.2">
      <c r="A94"/>
      <c r="B94" s="95">
        <v>0.9</v>
      </c>
      <c r="C94" s="96">
        <v>396</v>
      </c>
      <c r="D94" s="97">
        <v>0.90027024852624182</v>
      </c>
      <c r="E94" s="83"/>
      <c r="F94" s="98"/>
      <c r="G94" s="97">
        <v>1.0862527935666448</v>
      </c>
      <c r="H94" s="83"/>
      <c r="I94" s="83"/>
      <c r="M94"/>
      <c r="N94"/>
    </row>
    <row r="95" spans="1:18" s="17" customFormat="1" x14ac:dyDescent="0.2">
      <c r="A95"/>
      <c r="B95" s="90">
        <v>1</v>
      </c>
      <c r="C95" s="91">
        <v>440</v>
      </c>
      <c r="D95" s="92">
        <v>0.81024322367361767</v>
      </c>
      <c r="E95" s="93"/>
      <c r="F95" s="94"/>
      <c r="G95" s="92">
        <v>0.9776275142099804</v>
      </c>
      <c r="H95" s="93"/>
      <c r="I95" s="93"/>
      <c r="M95"/>
      <c r="N95"/>
    </row>
    <row r="96" spans="1:18" s="17" customFormat="1" x14ac:dyDescent="0.2">
      <c r="A96"/>
      <c r="B96" s="95">
        <v>1.1000000000000001</v>
      </c>
      <c r="C96" s="96">
        <v>484.00000000000006</v>
      </c>
      <c r="D96" s="97">
        <v>0.73658474879419777</v>
      </c>
      <c r="E96" s="83"/>
      <c r="F96" s="98"/>
      <c r="G96" s="97">
        <v>0.88875228564543662</v>
      </c>
      <c r="H96" s="83"/>
      <c r="I96" s="83"/>
      <c r="M96"/>
      <c r="N96"/>
    </row>
    <row r="97" spans="1:18" s="17" customFormat="1" x14ac:dyDescent="0.2">
      <c r="A97"/>
      <c r="B97" s="90">
        <v>1.25</v>
      </c>
      <c r="C97" s="91">
        <v>550</v>
      </c>
      <c r="D97" s="92">
        <v>0.64819457893889409</v>
      </c>
      <c r="E97" s="93"/>
      <c r="F97" s="94"/>
      <c r="G97" s="92">
        <v>0.78210201136798441</v>
      </c>
      <c r="H97" s="93"/>
      <c r="I97" s="93"/>
      <c r="M97"/>
      <c r="N97"/>
    </row>
    <row r="98" spans="1:18" s="17" customFormat="1" x14ac:dyDescent="0.2">
      <c r="A98"/>
      <c r="M98"/>
      <c r="N98"/>
    </row>
    <row r="99" spans="1:18" x14ac:dyDescent="0.2">
      <c r="A99" s="25" t="s">
        <v>434</v>
      </c>
      <c r="B99" s="17"/>
      <c r="C99" s="17"/>
      <c r="D99" s="17"/>
      <c r="E99" s="17"/>
      <c r="F99" s="17"/>
      <c r="G99" s="17"/>
      <c r="H99" s="17"/>
      <c r="I99" s="17"/>
      <c r="J99" s="28"/>
      <c r="K99" s="17"/>
      <c r="L99" s="17"/>
      <c r="M99" s="17"/>
      <c r="N99" s="17"/>
      <c r="O99" s="17"/>
      <c r="P99" s="17"/>
      <c r="Q99" s="17"/>
    </row>
    <row r="100" spans="1:18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28"/>
      <c r="K100" s="17"/>
      <c r="L100" s="17"/>
      <c r="M100" s="17"/>
      <c r="N100" s="17"/>
      <c r="O100" s="17"/>
      <c r="P100" s="17"/>
      <c r="Q100" s="17"/>
    </row>
    <row r="101" spans="1:18" ht="26.25" customHeight="1" x14ac:dyDescent="0.2">
      <c r="A101" s="236" t="s">
        <v>140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19"/>
      <c r="N101" s="219"/>
      <c r="O101" s="219"/>
      <c r="P101" s="219"/>
      <c r="Q101" s="219"/>
      <c r="R101" s="219"/>
    </row>
  </sheetData>
  <sheetProtection sheet="1" objects="1" scenarios="1"/>
  <mergeCells count="6">
    <mergeCell ref="D89:I89"/>
    <mergeCell ref="A101:L101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7">
    <tabColor rgb="FF92D050"/>
    <pageSetUpPr fitToPage="1"/>
  </sheetPr>
  <dimension ref="A1:S107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455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133</v>
      </c>
      <c r="C10" s="25"/>
      <c r="D10" s="50">
        <v>1267</v>
      </c>
      <c r="E10" s="130"/>
      <c r="F10" s="224" t="s">
        <v>82</v>
      </c>
      <c r="G10" s="31">
        <v>0.81</v>
      </c>
      <c r="H10" s="131"/>
      <c r="I10" s="35">
        <v>1026.27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1026.27</v>
      </c>
      <c r="P10" s="200">
        <f>+J10-N10</f>
        <v>0</v>
      </c>
      <c r="Q10" s="35">
        <v>656812.80000000005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1026.27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1026.27</v>
      </c>
      <c r="P13" s="201">
        <f>SUM(P10:P12)</f>
        <v>0</v>
      </c>
      <c r="Q13" s="36">
        <v>656812.80000000005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50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176</v>
      </c>
      <c r="D18" s="25">
        <v>1</v>
      </c>
      <c r="E18" s="130"/>
      <c r="F18" s="224" t="s">
        <v>42</v>
      </c>
      <c r="G18" s="41">
        <v>5</v>
      </c>
      <c r="H18" s="131"/>
      <c r="I18" s="35">
        <v>5</v>
      </c>
      <c r="J18" s="200">
        <f t="shared" ref="J18:J40" si="4">E18*H18</f>
        <v>0</v>
      </c>
      <c r="K18" s="223">
        <v>0</v>
      </c>
      <c r="L18" s="212"/>
      <c r="M18" s="35">
        <v>0</v>
      </c>
      <c r="N18" s="200">
        <f t="shared" ref="N18:N40" si="5">J18*L18</f>
        <v>0</v>
      </c>
      <c r="O18" s="35">
        <v>5</v>
      </c>
      <c r="P18" s="200">
        <f t="shared" ref="P18:P40" si="6">+J18-N18</f>
        <v>0</v>
      </c>
      <c r="Q18" s="35">
        <v>3200</v>
      </c>
      <c r="R18" s="200">
        <f t="shared" ref="R18:R40" si="7">+J18*E$7</f>
        <v>0</v>
      </c>
    </row>
    <row r="19" spans="1:18" x14ac:dyDescent="0.2">
      <c r="A19" s="25"/>
      <c r="B19" s="25" t="s">
        <v>458</v>
      </c>
      <c r="C19" s="25" t="s">
        <v>375</v>
      </c>
      <c r="D19" s="25">
        <v>1267</v>
      </c>
      <c r="E19" s="130"/>
      <c r="F19" s="224" t="s">
        <v>82</v>
      </c>
      <c r="G19" s="41">
        <v>0.12</v>
      </c>
      <c r="H19" s="131"/>
      <c r="I19" s="35">
        <v>152.04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152.04</v>
      </c>
      <c r="P19" s="200">
        <f t="shared" si="6"/>
        <v>0</v>
      </c>
      <c r="Q19" s="35">
        <v>97305.599999999991</v>
      </c>
      <c r="R19" s="200">
        <f t="shared" si="7"/>
        <v>0</v>
      </c>
    </row>
    <row r="20" spans="1:18" x14ac:dyDescent="0.2">
      <c r="A20" s="25"/>
      <c r="B20" s="25" t="s">
        <v>0</v>
      </c>
      <c r="C20" s="25"/>
      <c r="D20" s="25"/>
      <c r="E20" s="25"/>
      <c r="F20" s="25"/>
      <c r="G20" s="25"/>
      <c r="H20" s="25"/>
      <c r="I20" s="25"/>
      <c r="J20" s="25"/>
      <c r="K20" s="223"/>
      <c r="L20" s="25"/>
      <c r="M20" s="25"/>
      <c r="N20" s="25"/>
      <c r="O20" s="25"/>
      <c r="P20" s="25"/>
      <c r="Q20" s="25"/>
      <c r="R20" s="25"/>
    </row>
    <row r="21" spans="1:18" x14ac:dyDescent="0.2">
      <c r="A21" s="25"/>
      <c r="B21" s="25" t="s">
        <v>458</v>
      </c>
      <c r="C21" s="25" t="s">
        <v>342</v>
      </c>
      <c r="D21" s="25">
        <v>100</v>
      </c>
      <c r="E21" s="130"/>
      <c r="F21" s="224" t="s">
        <v>82</v>
      </c>
      <c r="G21" s="41">
        <v>0.53800000000000003</v>
      </c>
      <c r="H21" s="131"/>
      <c r="I21" s="35">
        <v>53.800000000000004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53.800000000000004</v>
      </c>
      <c r="P21" s="200">
        <f t="shared" si="6"/>
        <v>0</v>
      </c>
      <c r="Q21" s="35">
        <v>34432</v>
      </c>
      <c r="R21" s="200">
        <f t="shared" si="7"/>
        <v>0</v>
      </c>
    </row>
    <row r="22" spans="1:18" x14ac:dyDescent="0.2">
      <c r="A22" s="25"/>
      <c r="B22" s="25" t="s">
        <v>458</v>
      </c>
      <c r="C22" s="25" t="s">
        <v>378</v>
      </c>
      <c r="D22" s="25">
        <v>50</v>
      </c>
      <c r="E22" s="130"/>
      <c r="F22" s="224" t="s">
        <v>82</v>
      </c>
      <c r="G22" s="41">
        <v>0.56999999999999995</v>
      </c>
      <c r="H22" s="131"/>
      <c r="I22" s="35">
        <v>28.499999999999996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28.499999999999996</v>
      </c>
      <c r="P22" s="200">
        <f t="shared" si="6"/>
        <v>0</v>
      </c>
      <c r="Q22" s="35">
        <v>18239.999999999996</v>
      </c>
      <c r="R22" s="200">
        <f t="shared" si="7"/>
        <v>0</v>
      </c>
    </row>
    <row r="23" spans="1:18" x14ac:dyDescent="0.2">
      <c r="A23" s="25"/>
      <c r="B23" s="25" t="s">
        <v>49</v>
      </c>
      <c r="C23" s="25"/>
      <c r="D23" s="25"/>
      <c r="E23" s="25"/>
      <c r="F23" s="25"/>
      <c r="G23" s="25"/>
      <c r="H23" s="25"/>
      <c r="I23" s="25"/>
      <c r="J23" s="25"/>
      <c r="K23" s="223"/>
      <c r="L23" s="25"/>
      <c r="M23" s="25"/>
      <c r="N23" s="25"/>
      <c r="O23" s="25"/>
      <c r="P23" s="25"/>
      <c r="Q23" s="25"/>
      <c r="R23" s="25"/>
    </row>
    <row r="24" spans="1:18" x14ac:dyDescent="0.2">
      <c r="A24" s="25"/>
      <c r="B24" s="25" t="s">
        <v>458</v>
      </c>
      <c r="C24" s="25" t="s">
        <v>402</v>
      </c>
      <c r="D24" s="25">
        <v>4</v>
      </c>
      <c r="E24" s="130"/>
      <c r="F24" s="224" t="s">
        <v>316</v>
      </c>
      <c r="G24" s="41">
        <v>2.81</v>
      </c>
      <c r="H24" s="131"/>
      <c r="I24" s="35">
        <v>11.24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11.24</v>
      </c>
      <c r="P24" s="200">
        <f t="shared" si="6"/>
        <v>0</v>
      </c>
      <c r="Q24" s="35">
        <v>7193.6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401</v>
      </c>
      <c r="D25" s="25">
        <v>64</v>
      </c>
      <c r="E25" s="130"/>
      <c r="F25" s="224" t="s">
        <v>435</v>
      </c>
      <c r="G25" s="41">
        <v>0.41</v>
      </c>
      <c r="H25" s="131"/>
      <c r="I25" s="35">
        <v>26.24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26.24</v>
      </c>
      <c r="P25" s="200">
        <f t="shared" si="6"/>
        <v>0</v>
      </c>
      <c r="Q25" s="35">
        <v>16793.599999999999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440</v>
      </c>
      <c r="D26" s="25">
        <v>4.7</v>
      </c>
      <c r="E26" s="130"/>
      <c r="F26" s="224" t="s">
        <v>316</v>
      </c>
      <c r="G26" s="41">
        <v>5.81</v>
      </c>
      <c r="H26" s="131"/>
      <c r="I26" s="35">
        <v>27.306999999999999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27.306999999999999</v>
      </c>
      <c r="P26" s="200">
        <f t="shared" si="6"/>
        <v>0</v>
      </c>
      <c r="Q26" s="35">
        <v>17476.48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439</v>
      </c>
      <c r="D27" s="25">
        <v>29</v>
      </c>
      <c r="E27" s="130"/>
      <c r="F27" s="224" t="s">
        <v>410</v>
      </c>
      <c r="G27" s="41">
        <v>0.7</v>
      </c>
      <c r="H27" s="131"/>
      <c r="I27" s="35">
        <v>20.299999999999997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20.299999999999997</v>
      </c>
      <c r="P27" s="200">
        <f t="shared" si="6"/>
        <v>0</v>
      </c>
      <c r="Q27" s="35">
        <v>12991.999999999998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384</v>
      </c>
      <c r="D28" s="25">
        <v>1</v>
      </c>
      <c r="E28" s="130"/>
      <c r="F28" s="224" t="s">
        <v>316</v>
      </c>
      <c r="G28" s="41">
        <v>3.75</v>
      </c>
      <c r="H28" s="131"/>
      <c r="I28" s="35">
        <v>3.75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3.75</v>
      </c>
      <c r="P28" s="200">
        <f t="shared" si="6"/>
        <v>0</v>
      </c>
      <c r="Q28" s="35">
        <v>2400</v>
      </c>
      <c r="R28" s="200">
        <f t="shared" si="7"/>
        <v>0</v>
      </c>
    </row>
    <row r="29" spans="1:18" x14ac:dyDescent="0.2">
      <c r="A29" s="25"/>
      <c r="B29" s="25" t="s">
        <v>458</v>
      </c>
      <c r="C29" s="25" t="s">
        <v>386</v>
      </c>
      <c r="D29" s="25">
        <v>1</v>
      </c>
      <c r="E29" s="130"/>
      <c r="F29" s="224" t="s">
        <v>410</v>
      </c>
      <c r="G29" s="41">
        <v>0.546875</v>
      </c>
      <c r="H29" s="131"/>
      <c r="I29" s="35">
        <v>0.546875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0.546875</v>
      </c>
      <c r="P29" s="200">
        <f t="shared" si="6"/>
        <v>0</v>
      </c>
      <c r="Q29" s="35">
        <v>350</v>
      </c>
      <c r="R29" s="200">
        <f t="shared" si="7"/>
        <v>0</v>
      </c>
    </row>
    <row r="30" spans="1:18" x14ac:dyDescent="0.2">
      <c r="A30" s="25"/>
      <c r="B30" s="25" t="s">
        <v>458</v>
      </c>
      <c r="C30" s="25" t="s">
        <v>438</v>
      </c>
      <c r="D30" s="25">
        <v>1.5</v>
      </c>
      <c r="E30" s="130"/>
      <c r="F30" s="224" t="s">
        <v>316</v>
      </c>
      <c r="G30" s="41">
        <v>2.84</v>
      </c>
      <c r="H30" s="131"/>
      <c r="I30" s="35">
        <v>4.26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4.26</v>
      </c>
      <c r="P30" s="200">
        <f t="shared" si="6"/>
        <v>0</v>
      </c>
      <c r="Q30" s="35">
        <v>2726.3999999999996</v>
      </c>
      <c r="R30" s="200">
        <f t="shared" si="7"/>
        <v>0</v>
      </c>
    </row>
    <row r="31" spans="1:18" x14ac:dyDescent="0.2">
      <c r="A31" s="25"/>
      <c r="B31" s="25" t="s">
        <v>48</v>
      </c>
      <c r="C31" s="25"/>
      <c r="D31" s="25"/>
      <c r="E31" s="25"/>
      <c r="F31" s="25"/>
      <c r="G31" s="25"/>
      <c r="H31" s="25"/>
      <c r="I31" s="25"/>
      <c r="J31" s="25"/>
      <c r="K31" s="223"/>
      <c r="L31" s="25"/>
      <c r="M31" s="25"/>
      <c r="N31" s="25"/>
      <c r="O31" s="25"/>
      <c r="P31" s="25"/>
      <c r="Q31" s="25"/>
      <c r="R31" s="25"/>
    </row>
    <row r="32" spans="1:18" x14ac:dyDescent="0.2">
      <c r="A32" s="25"/>
      <c r="B32" s="25" t="s">
        <v>458</v>
      </c>
      <c r="C32" s="25" t="s">
        <v>392</v>
      </c>
      <c r="D32" s="25">
        <v>0.5</v>
      </c>
      <c r="E32" s="130"/>
      <c r="F32" s="224" t="s">
        <v>82</v>
      </c>
      <c r="G32" s="41">
        <v>7.2</v>
      </c>
      <c r="H32" s="131"/>
      <c r="I32" s="35">
        <v>3.6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3.6</v>
      </c>
      <c r="P32" s="200">
        <f t="shared" si="6"/>
        <v>0</v>
      </c>
      <c r="Q32" s="35">
        <v>2304</v>
      </c>
      <c r="R32" s="200">
        <f t="shared" si="7"/>
        <v>0</v>
      </c>
    </row>
    <row r="33" spans="1:18" x14ac:dyDescent="0.2">
      <c r="A33" s="25"/>
      <c r="B33" s="25" t="s">
        <v>458</v>
      </c>
      <c r="C33" s="25" t="s">
        <v>442</v>
      </c>
      <c r="D33" s="25">
        <v>16</v>
      </c>
      <c r="E33" s="130"/>
      <c r="F33" s="224" t="s">
        <v>410</v>
      </c>
      <c r="G33" s="41">
        <v>1.1599999999999999</v>
      </c>
      <c r="H33" s="131"/>
      <c r="I33" s="35">
        <v>18.559999999999999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18.559999999999999</v>
      </c>
      <c r="P33" s="200">
        <f t="shared" si="6"/>
        <v>0</v>
      </c>
      <c r="Q33" s="35">
        <v>11878.4</v>
      </c>
      <c r="R33" s="200">
        <f t="shared" si="7"/>
        <v>0</v>
      </c>
    </row>
    <row r="34" spans="1:18" x14ac:dyDescent="0.2">
      <c r="A34" s="25"/>
      <c r="B34" s="25" t="s">
        <v>458</v>
      </c>
      <c r="C34" s="25" t="s">
        <v>443</v>
      </c>
      <c r="D34" s="25">
        <v>2</v>
      </c>
      <c r="E34" s="130"/>
      <c r="F34" s="224" t="s">
        <v>410</v>
      </c>
      <c r="G34" s="41">
        <v>1.74875</v>
      </c>
      <c r="H34" s="131"/>
      <c r="I34" s="35">
        <v>3.4975000000000001</v>
      </c>
      <c r="J34" s="200">
        <f t="shared" si="4"/>
        <v>0</v>
      </c>
      <c r="K34" s="223">
        <v>0</v>
      </c>
      <c r="L34" s="212"/>
      <c r="M34" s="35">
        <v>0</v>
      </c>
      <c r="N34" s="200">
        <f t="shared" si="5"/>
        <v>0</v>
      </c>
      <c r="O34" s="35">
        <v>3.4975000000000001</v>
      </c>
      <c r="P34" s="200">
        <f t="shared" si="6"/>
        <v>0</v>
      </c>
      <c r="Q34" s="35">
        <v>2238.4</v>
      </c>
      <c r="R34" s="200">
        <f t="shared" si="7"/>
        <v>0</v>
      </c>
    </row>
    <row r="35" spans="1:18" x14ac:dyDescent="0.2">
      <c r="A35" s="25"/>
      <c r="B35" s="25" t="s">
        <v>27</v>
      </c>
      <c r="C35" s="25"/>
      <c r="D35" s="25"/>
      <c r="E35" s="25"/>
      <c r="F35" s="25"/>
      <c r="G35" s="25"/>
      <c r="H35" s="25"/>
      <c r="I35" s="25"/>
      <c r="J35" s="25"/>
      <c r="K35" s="223"/>
      <c r="L35" s="25"/>
      <c r="M35" s="25"/>
      <c r="N35" s="25"/>
      <c r="O35" s="25"/>
      <c r="P35" s="25"/>
      <c r="Q35" s="25"/>
      <c r="R35" s="25"/>
    </row>
    <row r="36" spans="1:18" x14ac:dyDescent="0.2">
      <c r="A36" s="25"/>
      <c r="B36" s="25" t="s">
        <v>458</v>
      </c>
      <c r="C36" s="25" t="s">
        <v>394</v>
      </c>
      <c r="D36" s="25">
        <v>1</v>
      </c>
      <c r="E36" s="130"/>
      <c r="F36" s="224" t="s">
        <v>42</v>
      </c>
      <c r="G36" s="41">
        <v>15</v>
      </c>
      <c r="H36" s="131"/>
      <c r="I36" s="35">
        <v>15</v>
      </c>
      <c r="J36" s="200">
        <f t="shared" si="4"/>
        <v>0</v>
      </c>
      <c r="K36" s="223">
        <v>0</v>
      </c>
      <c r="L36" s="212"/>
      <c r="M36" s="35">
        <v>0</v>
      </c>
      <c r="N36" s="200">
        <f t="shared" si="5"/>
        <v>0</v>
      </c>
      <c r="O36" s="35">
        <v>15</v>
      </c>
      <c r="P36" s="200">
        <f t="shared" si="6"/>
        <v>0</v>
      </c>
      <c r="Q36" s="35">
        <v>9600</v>
      </c>
      <c r="R36" s="200">
        <f t="shared" si="7"/>
        <v>0</v>
      </c>
    </row>
    <row r="37" spans="1:18" x14ac:dyDescent="0.2">
      <c r="A37" s="25"/>
      <c r="B37" s="25" t="s">
        <v>1</v>
      </c>
      <c r="C37" s="25"/>
      <c r="D37" s="25"/>
      <c r="E37" s="25"/>
      <c r="F37" s="25"/>
      <c r="G37" s="25"/>
      <c r="H37" s="25"/>
      <c r="I37" s="25"/>
      <c r="J37" s="25"/>
      <c r="K37" s="223"/>
      <c r="L37" s="25"/>
      <c r="M37" s="25"/>
      <c r="N37" s="25"/>
      <c r="O37" s="25"/>
      <c r="P37" s="25"/>
      <c r="Q37" s="25"/>
      <c r="R37" s="25"/>
    </row>
    <row r="38" spans="1:18" x14ac:dyDescent="0.2">
      <c r="A38" s="25"/>
      <c r="B38" s="25" t="s">
        <v>458</v>
      </c>
      <c r="C38" s="25" t="s">
        <v>368</v>
      </c>
      <c r="D38" s="25">
        <v>11.5</v>
      </c>
      <c r="E38" s="130"/>
      <c r="F38" s="224" t="s">
        <v>82</v>
      </c>
      <c r="G38" s="41">
        <v>8</v>
      </c>
      <c r="H38" s="131"/>
      <c r="I38" s="35">
        <v>92</v>
      </c>
      <c r="J38" s="200">
        <f t="shared" si="4"/>
        <v>0</v>
      </c>
      <c r="K38" s="223">
        <v>0</v>
      </c>
      <c r="L38" s="212"/>
      <c r="M38" s="35">
        <v>0</v>
      </c>
      <c r="N38" s="200">
        <f t="shared" si="5"/>
        <v>0</v>
      </c>
      <c r="O38" s="35">
        <v>92</v>
      </c>
      <c r="P38" s="200">
        <f t="shared" si="6"/>
        <v>0</v>
      </c>
      <c r="Q38" s="35">
        <v>58880</v>
      </c>
      <c r="R38" s="200">
        <f t="shared" si="7"/>
        <v>0</v>
      </c>
    </row>
    <row r="39" spans="1:18" x14ac:dyDescent="0.2">
      <c r="A39" s="25"/>
      <c r="B39" s="131"/>
      <c r="C39" s="131"/>
      <c r="D39" s="25">
        <v>0</v>
      </c>
      <c r="E39" s="130"/>
      <c r="F39" s="224"/>
      <c r="G39" s="41">
        <v>0</v>
      </c>
      <c r="H39" s="131"/>
      <c r="I39" s="35">
        <v>0</v>
      </c>
      <c r="J39" s="200">
        <f t="shared" si="4"/>
        <v>0</v>
      </c>
      <c r="K39" s="223">
        <v>0</v>
      </c>
      <c r="L39" s="212"/>
      <c r="M39" s="35">
        <v>0</v>
      </c>
      <c r="N39" s="200">
        <f t="shared" si="5"/>
        <v>0</v>
      </c>
      <c r="O39" s="35">
        <v>0</v>
      </c>
      <c r="P39" s="200">
        <f t="shared" si="6"/>
        <v>0</v>
      </c>
      <c r="Q39" s="35">
        <v>0</v>
      </c>
      <c r="R39" s="200">
        <f t="shared" si="7"/>
        <v>0</v>
      </c>
    </row>
    <row r="40" spans="1:18" x14ac:dyDescent="0.2">
      <c r="A40" s="25"/>
      <c r="B40" s="131"/>
      <c r="C40" s="131"/>
      <c r="D40" s="25">
        <v>0</v>
      </c>
      <c r="E40" s="130"/>
      <c r="F40" s="224"/>
      <c r="G40" s="41">
        <v>0</v>
      </c>
      <c r="H40" s="131"/>
      <c r="I40" s="35">
        <v>0</v>
      </c>
      <c r="J40" s="200">
        <f t="shared" si="4"/>
        <v>0</v>
      </c>
      <c r="K40" s="223">
        <v>0</v>
      </c>
      <c r="L40" s="212"/>
      <c r="M40" s="35">
        <v>0</v>
      </c>
      <c r="N40" s="200">
        <f t="shared" si="5"/>
        <v>0</v>
      </c>
      <c r="O40" s="35">
        <v>0</v>
      </c>
      <c r="P40" s="200">
        <f t="shared" si="6"/>
        <v>0</v>
      </c>
      <c r="Q40" s="35">
        <v>0</v>
      </c>
      <c r="R40" s="200">
        <f t="shared" si="7"/>
        <v>0</v>
      </c>
    </row>
    <row r="41" spans="1:18" x14ac:dyDescent="0.2">
      <c r="A41" s="25"/>
      <c r="B41" s="131"/>
      <c r="C41" s="131"/>
      <c r="D41" s="25">
        <v>0</v>
      </c>
      <c r="E41" s="130"/>
      <c r="F41" s="224"/>
      <c r="G41" s="41">
        <v>0</v>
      </c>
      <c r="H41" s="131"/>
      <c r="I41" s="35">
        <v>0</v>
      </c>
      <c r="J41" s="200">
        <f>E41*H41</f>
        <v>0</v>
      </c>
      <c r="K41" s="223">
        <v>0</v>
      </c>
      <c r="L41" s="212"/>
      <c r="M41" s="35">
        <v>0</v>
      </c>
      <c r="N41" s="200">
        <f>J41*L41</f>
        <v>0</v>
      </c>
      <c r="O41" s="35">
        <v>0</v>
      </c>
      <c r="P41" s="200">
        <f>+J41-N41</f>
        <v>0</v>
      </c>
      <c r="Q41" s="35">
        <v>0</v>
      </c>
      <c r="R41" s="200">
        <f>+J41*E$7</f>
        <v>0</v>
      </c>
    </row>
    <row r="42" spans="1:18" x14ac:dyDescent="0.2">
      <c r="A42" s="25"/>
      <c r="B42" s="25" t="s">
        <v>45</v>
      </c>
      <c r="C42" s="25"/>
      <c r="D42" s="25"/>
      <c r="E42" s="207"/>
      <c r="F42" s="21"/>
      <c r="G42" s="41"/>
      <c r="H42" s="196"/>
      <c r="I42" s="184"/>
      <c r="J42" s="182"/>
      <c r="K42" s="223"/>
      <c r="L42" s="196"/>
      <c r="M42" s="35"/>
      <c r="N42" s="182"/>
      <c r="O42" s="35"/>
      <c r="P42" s="182"/>
      <c r="Q42" s="35"/>
      <c r="R42" s="182"/>
    </row>
    <row r="43" spans="1:18" x14ac:dyDescent="0.2">
      <c r="A43" s="25"/>
      <c r="B43" s="25"/>
      <c r="C43" s="25" t="s">
        <v>146</v>
      </c>
      <c r="D43" s="34">
        <v>11.8</v>
      </c>
      <c r="E43" s="130"/>
      <c r="F43" s="224" t="s">
        <v>142</v>
      </c>
      <c r="G43" s="41">
        <v>6.75</v>
      </c>
      <c r="H43" s="131"/>
      <c r="I43" s="35">
        <v>79.650000000000006</v>
      </c>
      <c r="J43" s="200">
        <f t="shared" ref="J43:J44" si="8">E43*H43</f>
        <v>0</v>
      </c>
      <c r="K43" s="223">
        <v>0</v>
      </c>
      <c r="L43" s="212"/>
      <c r="M43" s="35">
        <v>0</v>
      </c>
      <c r="N43" s="200">
        <f t="shared" ref="N43:N44" si="9">J43*L43</f>
        <v>0</v>
      </c>
      <c r="O43" s="35">
        <v>79.650000000000006</v>
      </c>
      <c r="P43" s="200">
        <f t="shared" ref="P43:P44" si="10">+J43-N43</f>
        <v>0</v>
      </c>
      <c r="Q43" s="35">
        <v>50976</v>
      </c>
      <c r="R43" s="200">
        <f t="shared" ref="R43:R44" si="11">+J43*E$7</f>
        <v>0</v>
      </c>
    </row>
    <row r="44" spans="1:18" x14ac:dyDescent="0.2">
      <c r="A44" s="25"/>
      <c r="B44" s="25"/>
      <c r="C44" s="25" t="s">
        <v>136</v>
      </c>
      <c r="D44" s="34">
        <v>0.96</v>
      </c>
      <c r="E44" s="130"/>
      <c r="F44" s="224" t="s">
        <v>44</v>
      </c>
      <c r="G44" s="41">
        <v>15</v>
      </c>
      <c r="H44" s="131"/>
      <c r="I44" s="35">
        <v>14.399999999999999</v>
      </c>
      <c r="J44" s="200">
        <f t="shared" si="8"/>
        <v>0</v>
      </c>
      <c r="K44" s="223">
        <v>0</v>
      </c>
      <c r="L44" s="212"/>
      <c r="M44" s="35">
        <v>0</v>
      </c>
      <c r="N44" s="200">
        <f t="shared" si="9"/>
        <v>0</v>
      </c>
      <c r="O44" s="35">
        <v>14.399999999999999</v>
      </c>
      <c r="P44" s="200">
        <f t="shared" si="10"/>
        <v>0</v>
      </c>
      <c r="Q44" s="35">
        <v>9216</v>
      </c>
      <c r="R44" s="200">
        <f t="shared" si="11"/>
        <v>0</v>
      </c>
    </row>
    <row r="45" spans="1:18" x14ac:dyDescent="0.2">
      <c r="A45" s="25"/>
      <c r="B45" s="25" t="s">
        <v>106</v>
      </c>
      <c r="C45" s="25"/>
      <c r="D45" s="25"/>
      <c r="E45" s="104"/>
      <c r="H45" s="104"/>
      <c r="I45" s="121"/>
      <c r="J45" s="104"/>
      <c r="K45" s="223"/>
      <c r="L45" s="104"/>
      <c r="N45" s="104"/>
      <c r="P45" s="104"/>
      <c r="R45" s="104"/>
    </row>
    <row r="46" spans="1:18" x14ac:dyDescent="0.2">
      <c r="A46" s="25"/>
      <c r="B46" s="25"/>
      <c r="C46" s="25" t="s">
        <v>103</v>
      </c>
      <c r="D46" s="25">
        <v>0.32</v>
      </c>
      <c r="E46" s="130"/>
      <c r="F46" s="224" t="s">
        <v>44</v>
      </c>
      <c r="G46" s="41">
        <v>15</v>
      </c>
      <c r="H46" s="131"/>
      <c r="I46" s="35">
        <v>4.8</v>
      </c>
      <c r="J46" s="200">
        <f>E46*H46</f>
        <v>0</v>
      </c>
      <c r="K46" s="223">
        <v>0</v>
      </c>
      <c r="L46" s="212"/>
      <c r="M46" s="35">
        <v>0</v>
      </c>
      <c r="N46" s="200">
        <f>J46*L46</f>
        <v>0</v>
      </c>
      <c r="O46" s="35">
        <v>4.8</v>
      </c>
      <c r="P46" s="200">
        <f>+J46-N46</f>
        <v>0</v>
      </c>
      <c r="Q46" s="35">
        <v>3072</v>
      </c>
      <c r="R46" s="200">
        <f>+J46*E$7</f>
        <v>0</v>
      </c>
    </row>
    <row r="47" spans="1:18" x14ac:dyDescent="0.2">
      <c r="A47" s="25"/>
      <c r="B47" s="25"/>
      <c r="C47" s="25" t="s">
        <v>105</v>
      </c>
      <c r="D47" s="25">
        <v>0.38</v>
      </c>
      <c r="E47" s="130"/>
      <c r="F47" s="224" t="s">
        <v>44</v>
      </c>
      <c r="G47" s="41">
        <v>15</v>
      </c>
      <c r="H47" s="131"/>
      <c r="I47" s="35">
        <v>5.7</v>
      </c>
      <c r="J47" s="200">
        <f>E47*H47</f>
        <v>0</v>
      </c>
      <c r="K47" s="223">
        <v>0</v>
      </c>
      <c r="L47" s="212"/>
      <c r="M47" s="35">
        <v>0</v>
      </c>
      <c r="N47" s="200">
        <f>J47*L47</f>
        <v>0</v>
      </c>
      <c r="O47" s="35">
        <v>5.7</v>
      </c>
      <c r="P47" s="200">
        <f>+J47-N47</f>
        <v>0</v>
      </c>
      <c r="Q47" s="35">
        <v>3648</v>
      </c>
      <c r="R47" s="200">
        <f>+J47*E$7</f>
        <v>0</v>
      </c>
    </row>
    <row r="48" spans="1:18" x14ac:dyDescent="0.2">
      <c r="A48" s="25"/>
      <c r="B48" s="25"/>
      <c r="C48" s="25"/>
      <c r="D48" s="25"/>
      <c r="E48" s="207"/>
      <c r="F48" s="21"/>
      <c r="G48" s="41"/>
      <c r="H48" s="196"/>
      <c r="I48" s="35"/>
      <c r="J48" s="182"/>
      <c r="K48" s="223"/>
      <c r="L48" s="196"/>
      <c r="M48" s="35"/>
      <c r="N48" s="182"/>
      <c r="O48" s="35"/>
      <c r="P48" s="182"/>
      <c r="Q48" s="35"/>
      <c r="R48" s="182"/>
    </row>
    <row r="49" spans="1:18" x14ac:dyDescent="0.2">
      <c r="A49" s="25"/>
      <c r="B49" s="25" t="s">
        <v>51</v>
      </c>
      <c r="C49" s="25"/>
      <c r="D49" s="25"/>
      <c r="E49" s="207"/>
      <c r="F49" s="21"/>
      <c r="G49" s="41"/>
      <c r="H49" s="196"/>
      <c r="I49" s="184"/>
      <c r="J49" s="182"/>
      <c r="K49" s="223"/>
      <c r="L49" s="196"/>
      <c r="M49" s="35"/>
      <c r="N49" s="182"/>
      <c r="O49" s="35"/>
      <c r="P49" s="182"/>
      <c r="Q49" s="35"/>
      <c r="R49" s="182"/>
    </row>
    <row r="50" spans="1:18" x14ac:dyDescent="0.2">
      <c r="A50" s="25"/>
      <c r="B50" s="25"/>
      <c r="C50" s="25" t="s">
        <v>102</v>
      </c>
      <c r="D50" s="25">
        <v>1</v>
      </c>
      <c r="E50" s="130"/>
      <c r="F50" s="224" t="s">
        <v>42</v>
      </c>
      <c r="G50" s="41">
        <v>0</v>
      </c>
      <c r="H50" s="131"/>
      <c r="I50" s="35">
        <v>0</v>
      </c>
      <c r="J50" s="200">
        <f>E50*H50</f>
        <v>0</v>
      </c>
      <c r="K50" s="223">
        <v>0</v>
      </c>
      <c r="L50" s="212"/>
      <c r="M50" s="35">
        <v>0</v>
      </c>
      <c r="N50" s="200">
        <f>J50*L50</f>
        <v>0</v>
      </c>
      <c r="O50" s="35">
        <v>0</v>
      </c>
      <c r="P50" s="200">
        <f>+J50-N50</f>
        <v>0</v>
      </c>
      <c r="Q50" s="35">
        <v>0</v>
      </c>
      <c r="R50" s="200">
        <f>+J50*E$7</f>
        <v>0</v>
      </c>
    </row>
    <row r="51" spans="1:18" x14ac:dyDescent="0.2">
      <c r="A51" s="25"/>
      <c r="B51" s="25"/>
      <c r="C51" s="25" t="s">
        <v>103</v>
      </c>
      <c r="D51" s="25">
        <v>3.91</v>
      </c>
      <c r="E51" s="130"/>
      <c r="F51" s="224" t="s">
        <v>79</v>
      </c>
      <c r="G51" s="41">
        <v>3.0190000000000001</v>
      </c>
      <c r="H51" s="131"/>
      <c r="I51" s="35">
        <v>11.804290000000002</v>
      </c>
      <c r="J51" s="200">
        <f>E51*H51</f>
        <v>0</v>
      </c>
      <c r="K51" s="223">
        <v>0</v>
      </c>
      <c r="L51" s="212"/>
      <c r="M51" s="35">
        <v>0</v>
      </c>
      <c r="N51" s="200">
        <f>J51*L51</f>
        <v>0</v>
      </c>
      <c r="O51" s="35">
        <v>11.804290000000002</v>
      </c>
      <c r="P51" s="200">
        <f>+J51-N51</f>
        <v>0</v>
      </c>
      <c r="Q51" s="35">
        <v>7554.7456000000011</v>
      </c>
      <c r="R51" s="200">
        <f>+J51*E$7</f>
        <v>0</v>
      </c>
    </row>
    <row r="52" spans="1:18" x14ac:dyDescent="0.2">
      <c r="A52" s="25"/>
      <c r="B52" s="25"/>
      <c r="C52" s="25"/>
      <c r="D52" s="25"/>
      <c r="E52" s="207"/>
      <c r="F52" s="21"/>
      <c r="G52" s="41"/>
      <c r="H52" s="196"/>
      <c r="I52" s="35"/>
      <c r="J52" s="182"/>
      <c r="K52" s="223"/>
      <c r="L52" s="196"/>
      <c r="M52" s="35"/>
      <c r="N52" s="182"/>
      <c r="O52" s="35"/>
      <c r="P52" s="182"/>
      <c r="Q52" s="35"/>
      <c r="R52" s="182"/>
    </row>
    <row r="53" spans="1:18" x14ac:dyDescent="0.2">
      <c r="A53" s="25"/>
      <c r="B53" s="25" t="s">
        <v>29</v>
      </c>
      <c r="C53" s="25"/>
      <c r="D53" s="25"/>
      <c r="E53" s="207"/>
      <c r="F53" s="21"/>
      <c r="G53" s="41"/>
      <c r="H53" s="196"/>
      <c r="I53" s="184"/>
      <c r="J53" s="182"/>
      <c r="K53" s="223"/>
      <c r="L53" s="196"/>
      <c r="M53" s="35"/>
      <c r="N53" s="182"/>
      <c r="O53" s="35"/>
      <c r="P53" s="182"/>
      <c r="Q53" s="35"/>
      <c r="R53" s="182"/>
    </row>
    <row r="54" spans="1:18" x14ac:dyDescent="0.2">
      <c r="A54" s="25"/>
      <c r="B54" s="25"/>
      <c r="C54" s="25" t="s">
        <v>102</v>
      </c>
      <c r="D54" s="25">
        <v>1</v>
      </c>
      <c r="E54" s="130"/>
      <c r="F54" s="224" t="s">
        <v>42</v>
      </c>
      <c r="G54" s="41">
        <v>1.0546875</v>
      </c>
      <c r="H54" s="131"/>
      <c r="I54" s="35">
        <v>1.0546875</v>
      </c>
      <c r="J54" s="200">
        <f>E54*H54</f>
        <v>0</v>
      </c>
      <c r="K54" s="223">
        <v>0</v>
      </c>
      <c r="L54" s="212"/>
      <c r="M54" s="35">
        <v>0</v>
      </c>
      <c r="N54" s="200">
        <f>J54*L54</f>
        <v>0</v>
      </c>
      <c r="O54" s="35">
        <v>1.0546875</v>
      </c>
      <c r="P54" s="200">
        <f>+J54-N54</f>
        <v>0</v>
      </c>
      <c r="Q54" s="35">
        <v>675</v>
      </c>
      <c r="R54" s="200">
        <f>+J54*E$7</f>
        <v>0</v>
      </c>
    </row>
    <row r="55" spans="1:18" x14ac:dyDescent="0.2">
      <c r="A55" s="25"/>
      <c r="B55" s="25"/>
      <c r="C55" s="25" t="s">
        <v>103</v>
      </c>
      <c r="D55" s="25">
        <v>0</v>
      </c>
      <c r="E55" s="130"/>
      <c r="F55" s="224" t="s">
        <v>79</v>
      </c>
      <c r="G55" s="41">
        <v>3.09</v>
      </c>
      <c r="H55" s="131"/>
      <c r="I55" s="35">
        <v>0</v>
      </c>
      <c r="J55" s="200">
        <f>E55*H55</f>
        <v>0</v>
      </c>
      <c r="K55" s="223">
        <v>0</v>
      </c>
      <c r="L55" s="212"/>
      <c r="M55" s="35">
        <v>0</v>
      </c>
      <c r="N55" s="200">
        <f>J55*L55</f>
        <v>0</v>
      </c>
      <c r="O55" s="35">
        <v>0</v>
      </c>
      <c r="P55" s="200">
        <f>+J55-N55</f>
        <v>0</v>
      </c>
      <c r="Q55" s="35">
        <v>0</v>
      </c>
      <c r="R55" s="200">
        <f>+J55*E$7</f>
        <v>0</v>
      </c>
    </row>
    <row r="56" spans="1:18" x14ac:dyDescent="0.2">
      <c r="A56" s="25"/>
      <c r="B56" s="25"/>
      <c r="C56" s="25"/>
      <c r="D56" s="25"/>
      <c r="E56" s="207"/>
      <c r="F56" s="21"/>
      <c r="G56" s="41"/>
      <c r="H56" s="196"/>
      <c r="I56" s="35"/>
      <c r="J56" s="182"/>
      <c r="K56" s="223"/>
      <c r="L56" s="196"/>
      <c r="M56" s="35"/>
      <c r="N56" s="182"/>
      <c r="O56" s="35"/>
      <c r="P56" s="182"/>
      <c r="Q56" s="35"/>
      <c r="R56" s="182"/>
    </row>
    <row r="57" spans="1:18" x14ac:dyDescent="0.2">
      <c r="A57" s="25"/>
      <c r="B57" s="25" t="s">
        <v>47</v>
      </c>
      <c r="C57" s="25"/>
      <c r="D57" s="25"/>
      <c r="E57" s="207"/>
      <c r="F57" s="21"/>
      <c r="G57" s="41"/>
      <c r="H57" s="197"/>
      <c r="I57" s="184"/>
      <c r="J57" s="182"/>
      <c r="K57" s="223"/>
      <c r="L57" s="197"/>
      <c r="M57" s="35"/>
      <c r="N57" s="182"/>
      <c r="O57" s="35"/>
      <c r="P57" s="182"/>
      <c r="Q57" s="35"/>
      <c r="R57" s="182"/>
    </row>
    <row r="58" spans="1:18" x14ac:dyDescent="0.2">
      <c r="A58" s="25"/>
      <c r="B58" s="25"/>
      <c r="C58" s="25" t="s">
        <v>102</v>
      </c>
      <c r="D58" s="25">
        <v>1</v>
      </c>
      <c r="E58" s="130"/>
      <c r="F58" s="224" t="s">
        <v>42</v>
      </c>
      <c r="G58" s="41">
        <v>0.3515625</v>
      </c>
      <c r="H58" s="131"/>
      <c r="I58" s="35">
        <v>0.3515625</v>
      </c>
      <c r="J58" s="200">
        <f t="shared" ref="J58:J63" si="12">E58*H58</f>
        <v>0</v>
      </c>
      <c r="K58" s="223">
        <v>0</v>
      </c>
      <c r="L58" s="212"/>
      <c r="M58" s="35">
        <v>0</v>
      </c>
      <c r="N58" s="200">
        <f t="shared" ref="N58:N63" si="13">J58*L58</f>
        <v>0</v>
      </c>
      <c r="O58" s="35">
        <v>0.3515625</v>
      </c>
      <c r="P58" s="200">
        <f t="shared" ref="P58:P63" si="14">+J58-N58</f>
        <v>0</v>
      </c>
      <c r="Q58" s="35">
        <v>225</v>
      </c>
      <c r="R58" s="200">
        <f t="shared" ref="R58:R63" si="15">+J58*E$7</f>
        <v>0</v>
      </c>
    </row>
    <row r="59" spans="1:18" x14ac:dyDescent="0.2">
      <c r="A59" s="25"/>
      <c r="B59" s="25"/>
      <c r="C59" s="25" t="s">
        <v>46</v>
      </c>
      <c r="D59" s="25">
        <v>1</v>
      </c>
      <c r="E59" s="130"/>
      <c r="F59" s="224" t="s">
        <v>42</v>
      </c>
      <c r="G59" s="41">
        <v>13.113339999999999</v>
      </c>
      <c r="H59" s="131"/>
      <c r="I59" s="35">
        <v>13.113339999999999</v>
      </c>
      <c r="J59" s="200">
        <f t="shared" si="12"/>
        <v>0</v>
      </c>
      <c r="K59" s="223">
        <v>0</v>
      </c>
      <c r="L59" s="212"/>
      <c r="M59" s="35">
        <v>0</v>
      </c>
      <c r="N59" s="200">
        <f t="shared" si="13"/>
        <v>0</v>
      </c>
      <c r="O59" s="35">
        <v>13.113339999999999</v>
      </c>
      <c r="P59" s="200">
        <f t="shared" si="14"/>
        <v>0</v>
      </c>
      <c r="Q59" s="35">
        <v>8392.5375999999997</v>
      </c>
      <c r="R59" s="200">
        <f t="shared" si="15"/>
        <v>0</v>
      </c>
    </row>
    <row r="60" spans="1:18" x14ac:dyDescent="0.2">
      <c r="A60" s="25"/>
      <c r="B60" s="25"/>
      <c r="C60" s="25" t="s">
        <v>103</v>
      </c>
      <c r="D60" s="25">
        <v>1</v>
      </c>
      <c r="E60" s="130"/>
      <c r="F60" s="224" t="s">
        <v>42</v>
      </c>
      <c r="G60" s="41">
        <v>11.302163436964687</v>
      </c>
      <c r="H60" s="131"/>
      <c r="I60" s="35">
        <v>11.302163436964687</v>
      </c>
      <c r="J60" s="200">
        <f t="shared" si="12"/>
        <v>0</v>
      </c>
      <c r="K60" s="223">
        <v>0</v>
      </c>
      <c r="L60" s="212"/>
      <c r="M60" s="35">
        <v>0</v>
      </c>
      <c r="N60" s="200">
        <f t="shared" si="13"/>
        <v>0</v>
      </c>
      <c r="O60" s="35">
        <v>11.302163436964687</v>
      </c>
      <c r="P60" s="200">
        <f t="shared" si="14"/>
        <v>0</v>
      </c>
      <c r="Q60" s="35">
        <v>7233.3845996574</v>
      </c>
      <c r="R60" s="200">
        <f t="shared" si="15"/>
        <v>0</v>
      </c>
    </row>
    <row r="61" spans="1:18" x14ac:dyDescent="0.2">
      <c r="A61" s="25"/>
      <c r="B61" s="25"/>
      <c r="C61" s="25" t="s">
        <v>5</v>
      </c>
      <c r="D61" s="25">
        <v>1</v>
      </c>
      <c r="E61" s="130"/>
      <c r="F61" s="224" t="s">
        <v>42</v>
      </c>
      <c r="G61" s="41">
        <v>8.6833756181500377</v>
      </c>
      <c r="H61" s="131"/>
      <c r="I61" s="35">
        <v>8.6833756181500377</v>
      </c>
      <c r="J61" s="200">
        <f t="shared" si="12"/>
        <v>0</v>
      </c>
      <c r="K61" s="223">
        <v>0</v>
      </c>
      <c r="L61" s="212"/>
      <c r="M61" s="35">
        <v>0</v>
      </c>
      <c r="N61" s="200">
        <f t="shared" si="13"/>
        <v>0</v>
      </c>
      <c r="O61" s="35">
        <v>8.6833756181500377</v>
      </c>
      <c r="P61" s="200">
        <f t="shared" si="14"/>
        <v>0</v>
      </c>
      <c r="Q61" s="35">
        <v>5557.3603956160241</v>
      </c>
      <c r="R61" s="200">
        <f t="shared" si="15"/>
        <v>0</v>
      </c>
    </row>
    <row r="62" spans="1:18" x14ac:dyDescent="0.2">
      <c r="A62" s="25"/>
      <c r="B62" s="131"/>
      <c r="C62" s="131"/>
      <c r="D62" s="25"/>
      <c r="E62" s="130"/>
      <c r="F62" s="224"/>
      <c r="G62" s="41"/>
      <c r="H62" s="131"/>
      <c r="I62" s="35">
        <v>0</v>
      </c>
      <c r="J62" s="200">
        <f t="shared" si="12"/>
        <v>0</v>
      </c>
      <c r="K62" s="223">
        <v>0</v>
      </c>
      <c r="L62" s="212"/>
      <c r="M62" s="35">
        <v>0</v>
      </c>
      <c r="N62" s="200">
        <f t="shared" si="13"/>
        <v>0</v>
      </c>
      <c r="O62" s="35">
        <v>0</v>
      </c>
      <c r="P62" s="200">
        <f t="shared" si="14"/>
        <v>0</v>
      </c>
      <c r="Q62" s="35">
        <v>0</v>
      </c>
      <c r="R62" s="200">
        <f t="shared" si="15"/>
        <v>0</v>
      </c>
    </row>
    <row r="63" spans="1:18" x14ac:dyDescent="0.2">
      <c r="A63" s="25"/>
      <c r="B63" s="131"/>
      <c r="C63" s="131"/>
      <c r="D63" s="25"/>
      <c r="E63" s="130"/>
      <c r="F63" s="224"/>
      <c r="G63" s="41"/>
      <c r="H63" s="131"/>
      <c r="I63" s="35">
        <v>0</v>
      </c>
      <c r="J63" s="200">
        <f t="shared" si="12"/>
        <v>0</v>
      </c>
      <c r="K63" s="223">
        <v>0</v>
      </c>
      <c r="L63" s="212"/>
      <c r="M63" s="35">
        <v>0</v>
      </c>
      <c r="N63" s="200">
        <f t="shared" si="13"/>
        <v>0</v>
      </c>
      <c r="O63" s="35">
        <v>0</v>
      </c>
      <c r="P63" s="200">
        <f t="shared" si="14"/>
        <v>0</v>
      </c>
      <c r="Q63" s="35">
        <v>0</v>
      </c>
      <c r="R63" s="200">
        <f t="shared" si="15"/>
        <v>0</v>
      </c>
    </row>
    <row r="64" spans="1:18" ht="13.5" thickBot="1" x14ac:dyDescent="0.25">
      <c r="A64" s="25"/>
      <c r="B64" s="25" t="s">
        <v>32</v>
      </c>
      <c r="C64" s="25"/>
      <c r="D64" s="25"/>
      <c r="E64" s="195"/>
      <c r="F64" s="21"/>
      <c r="G64" s="39">
        <v>0.09</v>
      </c>
      <c r="H64" s="213"/>
      <c r="I64" s="42">
        <v>21.772441614041984</v>
      </c>
      <c r="J64" s="200">
        <f>+SUM(J17:J63)/2*H64</f>
        <v>0</v>
      </c>
      <c r="K64" s="86"/>
      <c r="L64" s="135"/>
      <c r="M64" s="42">
        <v>0</v>
      </c>
      <c r="N64" s="200">
        <f>+SUM(N17:N63)/2*L64</f>
        <v>0</v>
      </c>
      <c r="O64" s="42">
        <v>21.772441614041984</v>
      </c>
      <c r="P64" s="200">
        <f>+SUM(P17:P63)/2*L64</f>
        <v>0</v>
      </c>
      <c r="Q64" s="42">
        <v>13934.362632986869</v>
      </c>
      <c r="R64" s="182">
        <f>+J64*E$7</f>
        <v>0</v>
      </c>
    </row>
    <row r="65" spans="1:18" ht="13.5" thickBot="1" x14ac:dyDescent="0.25">
      <c r="A65" s="25" t="s">
        <v>33</v>
      </c>
      <c r="B65" s="25"/>
      <c r="C65" s="25"/>
      <c r="D65" s="25"/>
      <c r="E65" s="198"/>
      <c r="F65" s="25"/>
      <c r="G65" s="25"/>
      <c r="H65" s="195"/>
      <c r="I65" s="87">
        <v>638.27323566915675</v>
      </c>
      <c r="J65" s="202">
        <f>SUM(J18:J64)</f>
        <v>0</v>
      </c>
      <c r="K65" s="35"/>
      <c r="L65" s="193"/>
      <c r="M65" s="87">
        <v>0</v>
      </c>
      <c r="N65" s="202">
        <f>SUM(N18:N64)</f>
        <v>0</v>
      </c>
      <c r="O65" s="87">
        <v>638.27323566915675</v>
      </c>
      <c r="P65" s="202">
        <f>SUM(P18:P64)</f>
        <v>0</v>
      </c>
      <c r="Q65" s="87">
        <v>408494.87082826026</v>
      </c>
      <c r="R65" s="202">
        <f>SUM(R18:R64)</f>
        <v>0</v>
      </c>
    </row>
    <row r="66" spans="1:18" ht="13.5" thickTop="1" x14ac:dyDescent="0.2">
      <c r="A66" s="25" t="s">
        <v>34</v>
      </c>
      <c r="B66" s="25"/>
      <c r="C66" s="25"/>
      <c r="D66" s="25"/>
      <c r="E66" s="198"/>
      <c r="F66" s="25"/>
      <c r="G66" s="25"/>
      <c r="H66" s="195"/>
      <c r="I66" s="35">
        <v>387.99676433084323</v>
      </c>
      <c r="J66" s="200">
        <f>+J13-J65</f>
        <v>0</v>
      </c>
      <c r="K66" s="35"/>
      <c r="L66" s="193"/>
      <c r="M66" s="35">
        <v>0</v>
      </c>
      <c r="N66" s="200">
        <f>+N13-N65</f>
        <v>0</v>
      </c>
      <c r="O66" s="35">
        <v>387.99676433084323</v>
      </c>
      <c r="P66" s="200">
        <f>+P13-P65</f>
        <v>0</v>
      </c>
      <c r="Q66" s="35">
        <v>248317.92917173979</v>
      </c>
      <c r="R66" s="200">
        <f>+R13-R65</f>
        <v>0</v>
      </c>
    </row>
    <row r="67" spans="1:18" x14ac:dyDescent="0.2">
      <c r="A67" s="25"/>
      <c r="B67" s="25" t="s">
        <v>35</v>
      </c>
      <c r="C67" s="25"/>
      <c r="D67" s="25"/>
      <c r="E67" s="208"/>
      <c r="F67" s="17"/>
      <c r="G67" s="40">
        <v>0.50376735254077087</v>
      </c>
      <c r="H67" s="208" t="str">
        <f>IF(E10=0,"n/a",(YVarExp-(YTotExp+YTotRet-J10))/E10)</f>
        <v>n/a</v>
      </c>
      <c r="I67" s="25" t="s">
        <v>82</v>
      </c>
      <c r="J67" s="182"/>
      <c r="K67" s="25"/>
      <c r="L67" s="195"/>
      <c r="M67" s="25"/>
      <c r="N67" s="182"/>
      <c r="O67" s="25"/>
      <c r="P67" s="182"/>
      <c r="Q67" s="25"/>
      <c r="R67" s="182"/>
    </row>
    <row r="68" spans="1:18" x14ac:dyDescent="0.2">
      <c r="A68" s="25"/>
      <c r="B68" s="25"/>
      <c r="C68" s="25"/>
      <c r="D68" s="25"/>
      <c r="E68" s="176"/>
      <c r="F68" s="25"/>
      <c r="G68" s="25"/>
      <c r="H68" s="209"/>
      <c r="I68" s="25"/>
      <c r="J68" s="182"/>
      <c r="K68" s="25"/>
      <c r="L68" s="195"/>
      <c r="M68" s="25"/>
      <c r="N68" s="182"/>
      <c r="O68" s="25"/>
      <c r="P68" s="182"/>
      <c r="Q68" s="22" t="s">
        <v>19</v>
      </c>
      <c r="R68" s="182" t="s">
        <v>19</v>
      </c>
    </row>
    <row r="69" spans="1:18" x14ac:dyDescent="0.2">
      <c r="A69" s="23" t="s">
        <v>36</v>
      </c>
      <c r="B69" s="23"/>
      <c r="C69" s="23"/>
      <c r="D69" s="24" t="s">
        <v>2</v>
      </c>
      <c r="E69" s="194" t="s">
        <v>2</v>
      </c>
      <c r="F69" s="24" t="s">
        <v>21</v>
      </c>
      <c r="G69" s="24" t="s">
        <v>22</v>
      </c>
      <c r="H69" s="194" t="s">
        <v>22</v>
      </c>
      <c r="I69" s="24" t="s">
        <v>12</v>
      </c>
      <c r="J69" s="194" t="s">
        <v>12</v>
      </c>
      <c r="K69" s="24" t="s">
        <v>11</v>
      </c>
      <c r="L69" s="194" t="s">
        <v>11</v>
      </c>
      <c r="M69" s="24" t="s">
        <v>10</v>
      </c>
      <c r="N69" s="194" t="s">
        <v>10</v>
      </c>
      <c r="O69" s="24" t="s">
        <v>9</v>
      </c>
      <c r="P69" s="194" t="s">
        <v>9</v>
      </c>
      <c r="Q69" s="24" t="s">
        <v>12</v>
      </c>
      <c r="R69" s="206" t="s">
        <v>12</v>
      </c>
    </row>
    <row r="70" spans="1:18" x14ac:dyDescent="0.2">
      <c r="A70" s="25"/>
      <c r="B70" s="25" t="s">
        <v>104</v>
      </c>
      <c r="C70" s="25"/>
      <c r="D70" s="25"/>
      <c r="E70" s="176"/>
      <c r="F70" s="25"/>
      <c r="G70" s="25"/>
      <c r="H70" s="209"/>
      <c r="I70" s="184"/>
      <c r="J70" s="182"/>
      <c r="K70" s="223"/>
      <c r="L70" s="195"/>
      <c r="M70" s="25"/>
      <c r="N70" s="182"/>
      <c r="O70" s="25"/>
      <c r="P70" s="182"/>
      <c r="Q70" s="25"/>
      <c r="R70" s="182"/>
    </row>
    <row r="71" spans="1:18" x14ac:dyDescent="0.2">
      <c r="A71" s="25"/>
      <c r="B71" s="25"/>
      <c r="C71" s="25" t="s">
        <v>102</v>
      </c>
      <c r="D71" s="25">
        <v>1</v>
      </c>
      <c r="E71" s="130"/>
      <c r="F71" s="224" t="s">
        <v>42</v>
      </c>
      <c r="G71" s="41">
        <v>0.48808593750000001</v>
      </c>
      <c r="H71" s="131"/>
      <c r="I71" s="35">
        <v>0.48808593750000001</v>
      </c>
      <c r="J71" s="200">
        <f t="shared" ref="J71:J74" si="16">E71*H71</f>
        <v>0</v>
      </c>
      <c r="K71" s="223">
        <v>0</v>
      </c>
      <c r="L71" s="212"/>
      <c r="M71" s="35">
        <v>0</v>
      </c>
      <c r="N71" s="200">
        <f>J71*L71</f>
        <v>0</v>
      </c>
      <c r="O71" s="35">
        <v>0.48808593750000001</v>
      </c>
      <c r="P71" s="200">
        <f t="shared" ref="P71:P74" si="17">+J71-N71</f>
        <v>0</v>
      </c>
      <c r="Q71" s="35">
        <v>312.375</v>
      </c>
      <c r="R71" s="200">
        <f t="shared" ref="R71:R74" si="18">+J71*E$7</f>
        <v>0</v>
      </c>
    </row>
    <row r="72" spans="1:18" x14ac:dyDescent="0.2">
      <c r="A72" s="25"/>
      <c r="B72" s="25"/>
      <c r="C72" s="25" t="s">
        <v>46</v>
      </c>
      <c r="D72" s="25">
        <v>1</v>
      </c>
      <c r="E72" s="130"/>
      <c r="F72" s="224" t="s">
        <v>42</v>
      </c>
      <c r="G72" s="41">
        <v>24.375</v>
      </c>
      <c r="H72" s="131"/>
      <c r="I72" s="35">
        <v>24.375</v>
      </c>
      <c r="J72" s="200">
        <f t="shared" si="16"/>
        <v>0</v>
      </c>
      <c r="K72" s="223">
        <v>0</v>
      </c>
      <c r="L72" s="212"/>
      <c r="M72" s="35">
        <v>0</v>
      </c>
      <c r="N72" s="200">
        <f>J72*L72</f>
        <v>0</v>
      </c>
      <c r="O72" s="35">
        <v>24.375</v>
      </c>
      <c r="P72" s="200">
        <f t="shared" si="17"/>
        <v>0</v>
      </c>
      <c r="Q72" s="35">
        <v>15600</v>
      </c>
      <c r="R72" s="200">
        <f t="shared" si="18"/>
        <v>0</v>
      </c>
    </row>
    <row r="73" spans="1:18" x14ac:dyDescent="0.2">
      <c r="A73" s="25"/>
      <c r="B73" s="25"/>
      <c r="C73" s="25" t="s">
        <v>103</v>
      </c>
      <c r="D73" s="25">
        <v>1</v>
      </c>
      <c r="E73" s="130"/>
      <c r="F73" s="224" t="s">
        <v>42</v>
      </c>
      <c r="G73" s="41">
        <v>16.148941857883695</v>
      </c>
      <c r="H73" s="131"/>
      <c r="I73" s="35">
        <v>16.148941857883695</v>
      </c>
      <c r="J73" s="200">
        <f t="shared" si="16"/>
        <v>0</v>
      </c>
      <c r="K73" s="223">
        <v>0</v>
      </c>
      <c r="L73" s="212"/>
      <c r="M73" s="35">
        <v>0</v>
      </c>
      <c r="N73" s="200">
        <f>J73*L73</f>
        <v>0</v>
      </c>
      <c r="O73" s="35">
        <v>16.148941857883695</v>
      </c>
      <c r="P73" s="200">
        <f t="shared" si="17"/>
        <v>0</v>
      </c>
      <c r="Q73" s="35">
        <v>10335.322789045566</v>
      </c>
      <c r="R73" s="200">
        <f t="shared" si="18"/>
        <v>0</v>
      </c>
    </row>
    <row r="74" spans="1:18" x14ac:dyDescent="0.2">
      <c r="A74" s="25"/>
      <c r="B74" s="25"/>
      <c r="C74" s="25" t="s">
        <v>5</v>
      </c>
      <c r="D74" s="25">
        <v>1</v>
      </c>
      <c r="E74" s="130"/>
      <c r="F74" s="224" t="s">
        <v>42</v>
      </c>
      <c r="G74" s="41">
        <v>11.676653054049746</v>
      </c>
      <c r="H74" s="131"/>
      <c r="I74" s="35">
        <v>11.676653054049746</v>
      </c>
      <c r="J74" s="200">
        <f t="shared" si="16"/>
        <v>0</v>
      </c>
      <c r="K74" s="223">
        <v>0</v>
      </c>
      <c r="L74" s="212"/>
      <c r="M74" s="35">
        <v>0</v>
      </c>
      <c r="N74" s="200">
        <f>J74*L74</f>
        <v>0</v>
      </c>
      <c r="O74" s="35">
        <v>11.676653054049746</v>
      </c>
      <c r="P74" s="200">
        <f t="shared" si="17"/>
        <v>0</v>
      </c>
      <c r="Q74" s="35">
        <v>7473.0579545918372</v>
      </c>
      <c r="R74" s="200">
        <f t="shared" si="18"/>
        <v>0</v>
      </c>
    </row>
    <row r="75" spans="1:18" x14ac:dyDescent="0.2">
      <c r="A75" s="25"/>
      <c r="B75" s="25" t="s">
        <v>88</v>
      </c>
      <c r="C75" s="25"/>
      <c r="D75" s="25"/>
      <c r="E75" s="195"/>
      <c r="F75" s="21"/>
      <c r="G75" s="41"/>
      <c r="H75" s="195"/>
      <c r="I75" s="184"/>
      <c r="J75" s="182"/>
      <c r="K75" s="223"/>
      <c r="L75" s="195"/>
      <c r="M75" s="35"/>
      <c r="N75" s="182"/>
      <c r="O75" s="35"/>
      <c r="P75" s="182"/>
      <c r="Q75" s="35"/>
      <c r="R75" s="182"/>
    </row>
    <row r="76" spans="1:18" x14ac:dyDescent="0.2">
      <c r="A76" s="25"/>
      <c r="B76" s="25"/>
      <c r="C76" s="25" t="s">
        <v>102</v>
      </c>
      <c r="D76" s="41">
        <v>3.4189453125</v>
      </c>
      <c r="E76" s="130"/>
      <c r="F76" s="224" t="s">
        <v>99</v>
      </c>
      <c r="G76" s="39">
        <v>0.08</v>
      </c>
      <c r="H76" s="213"/>
      <c r="I76" s="35">
        <v>0.27351562499999998</v>
      </c>
      <c r="J76" s="200">
        <f t="shared" ref="J76:J86" si="19">E76*H76</f>
        <v>0</v>
      </c>
      <c r="K76" s="223">
        <v>0</v>
      </c>
      <c r="L76" s="212"/>
      <c r="M76" s="35">
        <v>0</v>
      </c>
      <c r="N76" s="200">
        <f>J76*L76</f>
        <v>0</v>
      </c>
      <c r="O76" s="35">
        <v>0.27351562499999998</v>
      </c>
      <c r="P76" s="200">
        <f t="shared" ref="P76:P79" si="20">+J76-N76</f>
        <v>0</v>
      </c>
      <c r="Q76" s="35">
        <v>175.04999999999998</v>
      </c>
      <c r="R76" s="200">
        <f t="shared" ref="R76:R79" si="21">+J76*E$7</f>
        <v>0</v>
      </c>
    </row>
    <row r="77" spans="1:18" x14ac:dyDescent="0.2">
      <c r="A77" s="25"/>
      <c r="B77" s="25"/>
      <c r="C77" s="25" t="s">
        <v>46</v>
      </c>
      <c r="D77" s="41">
        <v>710.9375</v>
      </c>
      <c r="E77" s="130"/>
      <c r="F77" s="224" t="s">
        <v>99</v>
      </c>
      <c r="G77" s="39">
        <v>0.08</v>
      </c>
      <c r="H77" s="213"/>
      <c r="I77" s="35">
        <v>56.875</v>
      </c>
      <c r="J77" s="200">
        <f t="shared" si="19"/>
        <v>0</v>
      </c>
      <c r="K77" s="223">
        <v>0</v>
      </c>
      <c r="L77" s="212"/>
      <c r="M77" s="35">
        <v>0</v>
      </c>
      <c r="N77" s="200">
        <f>J77*L77</f>
        <v>0</v>
      </c>
      <c r="O77" s="35">
        <v>56.875</v>
      </c>
      <c r="P77" s="200">
        <f t="shared" si="20"/>
        <v>0</v>
      </c>
      <c r="Q77" s="35">
        <v>36400</v>
      </c>
      <c r="R77" s="200">
        <f t="shared" si="21"/>
        <v>0</v>
      </c>
    </row>
    <row r="78" spans="1:18" x14ac:dyDescent="0.2">
      <c r="A78" s="25"/>
      <c r="B78" s="25"/>
      <c r="C78" s="25" t="s">
        <v>103</v>
      </c>
      <c r="D78" s="41">
        <v>123.72853174362032</v>
      </c>
      <c r="E78" s="130"/>
      <c r="F78" s="224" t="s">
        <v>99</v>
      </c>
      <c r="G78" s="39">
        <v>0.08</v>
      </c>
      <c r="H78" s="213"/>
      <c r="I78" s="35">
        <v>9.8982825394896263</v>
      </c>
      <c r="J78" s="200">
        <f t="shared" si="19"/>
        <v>0</v>
      </c>
      <c r="K78" s="223">
        <v>0</v>
      </c>
      <c r="L78" s="212"/>
      <c r="M78" s="35">
        <v>0</v>
      </c>
      <c r="N78" s="200">
        <f>J78*L78</f>
        <v>0</v>
      </c>
      <c r="O78" s="35">
        <v>9.8982825394896263</v>
      </c>
      <c r="P78" s="200">
        <f t="shared" si="20"/>
        <v>0</v>
      </c>
      <c r="Q78" s="35">
        <v>6334.9008252733611</v>
      </c>
      <c r="R78" s="200">
        <f t="shared" si="21"/>
        <v>0</v>
      </c>
    </row>
    <row r="79" spans="1:18" x14ac:dyDescent="0.2">
      <c r="A79" s="25"/>
      <c r="B79" s="25"/>
      <c r="C79" s="25" t="s">
        <v>5</v>
      </c>
      <c r="D79" s="41">
        <v>49.950126953435031</v>
      </c>
      <c r="E79" s="130"/>
      <c r="F79" s="224" t="s">
        <v>99</v>
      </c>
      <c r="G79" s="39">
        <v>0.08</v>
      </c>
      <c r="H79" s="213"/>
      <c r="I79" s="35">
        <v>3.9960101562748025</v>
      </c>
      <c r="J79" s="200">
        <f t="shared" si="19"/>
        <v>0</v>
      </c>
      <c r="K79" s="223">
        <v>0</v>
      </c>
      <c r="L79" s="212"/>
      <c r="M79" s="35">
        <v>0</v>
      </c>
      <c r="N79" s="200">
        <f>J79*L79</f>
        <v>0</v>
      </c>
      <c r="O79" s="35">
        <v>3.9960101562748025</v>
      </c>
      <c r="P79" s="200">
        <f t="shared" si="20"/>
        <v>0</v>
      </c>
      <c r="Q79" s="35">
        <v>2557.4465000158734</v>
      </c>
      <c r="R79" s="200">
        <f t="shared" si="21"/>
        <v>0</v>
      </c>
    </row>
    <row r="80" spans="1:18" x14ac:dyDescent="0.2">
      <c r="A80" s="25"/>
      <c r="B80" s="25" t="s">
        <v>156</v>
      </c>
      <c r="C80" s="25"/>
      <c r="D80" s="25">
        <v>1</v>
      </c>
      <c r="E80" s="130"/>
      <c r="F80" s="224" t="s">
        <v>42</v>
      </c>
      <c r="G80" s="41">
        <v>0</v>
      </c>
      <c r="H80" s="131"/>
      <c r="I80" s="35">
        <v>0</v>
      </c>
      <c r="J80" s="200">
        <f t="shared" si="19"/>
        <v>0</v>
      </c>
      <c r="K80" s="223">
        <v>0</v>
      </c>
      <c r="L80" s="212"/>
      <c r="M80" s="35">
        <v>0</v>
      </c>
      <c r="N80" s="200">
        <f t="shared" ref="N80:N87" si="22">J80*L80</f>
        <v>0</v>
      </c>
      <c r="O80" s="35">
        <v>0</v>
      </c>
      <c r="P80" s="200">
        <f t="shared" ref="P80:P87" si="23">+J80-N80</f>
        <v>0</v>
      </c>
      <c r="Q80" s="35">
        <v>0</v>
      </c>
      <c r="R80" s="200">
        <f t="shared" ref="R80:R87" si="24">+J80*E$7</f>
        <v>0</v>
      </c>
    </row>
    <row r="81" spans="1:18" x14ac:dyDescent="0.2">
      <c r="A81" s="25"/>
      <c r="B81" s="25" t="s">
        <v>152</v>
      </c>
      <c r="C81" s="25"/>
      <c r="D81" s="25">
        <v>1</v>
      </c>
      <c r="E81" s="130"/>
      <c r="F81" s="224" t="s">
        <v>42</v>
      </c>
      <c r="G81" s="41">
        <v>0</v>
      </c>
      <c r="H81" s="131"/>
      <c r="I81" s="35">
        <v>0</v>
      </c>
      <c r="J81" s="200">
        <f t="shared" si="19"/>
        <v>0</v>
      </c>
      <c r="K81" s="223">
        <v>0</v>
      </c>
      <c r="L81" s="212"/>
      <c r="M81" s="35">
        <v>0</v>
      </c>
      <c r="N81" s="200">
        <f t="shared" si="22"/>
        <v>0</v>
      </c>
      <c r="O81" s="35">
        <v>0</v>
      </c>
      <c r="P81" s="200">
        <f t="shared" si="23"/>
        <v>0</v>
      </c>
      <c r="Q81" s="35">
        <v>0</v>
      </c>
      <c r="R81" s="200">
        <f t="shared" si="24"/>
        <v>0</v>
      </c>
    </row>
    <row r="82" spans="1:18" x14ac:dyDescent="0.2">
      <c r="A82" s="25"/>
      <c r="B82" s="25" t="s">
        <v>137</v>
      </c>
      <c r="C82" s="25"/>
      <c r="D82" s="25">
        <v>1</v>
      </c>
      <c r="E82" s="130"/>
      <c r="F82" s="224" t="s">
        <v>42</v>
      </c>
      <c r="G82" s="41">
        <v>0</v>
      </c>
      <c r="H82" s="131"/>
      <c r="I82" s="35">
        <v>0</v>
      </c>
      <c r="J82" s="200">
        <f t="shared" si="19"/>
        <v>0</v>
      </c>
      <c r="K82" s="223">
        <v>0</v>
      </c>
      <c r="L82" s="212"/>
      <c r="M82" s="35">
        <v>0</v>
      </c>
      <c r="N82" s="200">
        <f t="shared" si="22"/>
        <v>0</v>
      </c>
      <c r="O82" s="35">
        <v>0</v>
      </c>
      <c r="P82" s="200">
        <f t="shared" si="23"/>
        <v>0</v>
      </c>
      <c r="Q82" s="35">
        <v>0</v>
      </c>
      <c r="R82" s="200">
        <f t="shared" si="24"/>
        <v>0</v>
      </c>
    </row>
    <row r="83" spans="1:18" x14ac:dyDescent="0.2">
      <c r="A83" s="25"/>
      <c r="B83" s="25" t="s">
        <v>417</v>
      </c>
      <c r="C83" s="25"/>
      <c r="D83" s="25">
        <v>1</v>
      </c>
      <c r="E83" s="130"/>
      <c r="F83" s="224" t="s">
        <v>42</v>
      </c>
      <c r="G83" s="41">
        <v>90</v>
      </c>
      <c r="H83" s="131"/>
      <c r="I83" s="35">
        <v>90</v>
      </c>
      <c r="J83" s="200">
        <f t="shared" si="19"/>
        <v>0</v>
      </c>
      <c r="K83" s="223">
        <v>0</v>
      </c>
      <c r="L83" s="212"/>
      <c r="M83" s="35">
        <v>0</v>
      </c>
      <c r="N83" s="200">
        <f t="shared" si="22"/>
        <v>0</v>
      </c>
      <c r="O83" s="35">
        <v>90</v>
      </c>
      <c r="P83" s="200">
        <f t="shared" si="23"/>
        <v>0</v>
      </c>
      <c r="Q83" s="35">
        <v>57600</v>
      </c>
      <c r="R83" s="200">
        <f t="shared" si="24"/>
        <v>0</v>
      </c>
    </row>
    <row r="84" spans="1:18" x14ac:dyDescent="0.2">
      <c r="A84" s="25"/>
      <c r="B84" s="25" t="s">
        <v>159</v>
      </c>
      <c r="C84" s="25"/>
      <c r="D84" s="25">
        <v>1</v>
      </c>
      <c r="E84" s="130"/>
      <c r="F84" s="224" t="s">
        <v>42</v>
      </c>
      <c r="G84" s="41">
        <v>0</v>
      </c>
      <c r="H84" s="131"/>
      <c r="I84" s="35">
        <v>0</v>
      </c>
      <c r="J84" s="200">
        <f t="shared" si="19"/>
        <v>0</v>
      </c>
      <c r="K84" s="223">
        <v>0</v>
      </c>
      <c r="L84" s="212"/>
      <c r="M84" s="35">
        <v>0</v>
      </c>
      <c r="N84" s="200">
        <f t="shared" si="22"/>
        <v>0</v>
      </c>
      <c r="O84" s="35">
        <v>0</v>
      </c>
      <c r="P84" s="200">
        <f t="shared" si="23"/>
        <v>0</v>
      </c>
      <c r="Q84" s="35">
        <v>0</v>
      </c>
      <c r="R84" s="200">
        <f t="shared" si="24"/>
        <v>0</v>
      </c>
    </row>
    <row r="85" spans="1:18" x14ac:dyDescent="0.2">
      <c r="A85" s="25"/>
      <c r="B85" s="25" t="s">
        <v>160</v>
      </c>
      <c r="C85" s="25"/>
      <c r="D85" s="25">
        <v>1</v>
      </c>
      <c r="E85" s="130"/>
      <c r="F85" s="224" t="s">
        <v>42</v>
      </c>
      <c r="G85" s="41">
        <v>0</v>
      </c>
      <c r="H85" s="131"/>
      <c r="I85" s="35">
        <v>0</v>
      </c>
      <c r="J85" s="200">
        <f t="shared" si="19"/>
        <v>0</v>
      </c>
      <c r="K85" s="223">
        <v>0</v>
      </c>
      <c r="L85" s="212"/>
      <c r="M85" s="35">
        <v>0</v>
      </c>
      <c r="N85" s="200">
        <f t="shared" si="22"/>
        <v>0</v>
      </c>
      <c r="O85" s="35">
        <v>0</v>
      </c>
      <c r="P85" s="200">
        <f t="shared" si="23"/>
        <v>0</v>
      </c>
      <c r="Q85" s="35">
        <v>0</v>
      </c>
      <c r="R85" s="200">
        <f t="shared" si="24"/>
        <v>0</v>
      </c>
    </row>
    <row r="86" spans="1:18" x14ac:dyDescent="0.2">
      <c r="A86" s="25"/>
      <c r="B86" s="131"/>
      <c r="C86" s="131"/>
      <c r="D86" s="25">
        <v>1</v>
      </c>
      <c r="E86" s="130"/>
      <c r="F86" s="224"/>
      <c r="G86" s="41">
        <v>0</v>
      </c>
      <c r="H86" s="131"/>
      <c r="I86" s="35">
        <v>0</v>
      </c>
      <c r="J86" s="200">
        <f t="shared" si="19"/>
        <v>0</v>
      </c>
      <c r="K86" s="223">
        <v>0</v>
      </c>
      <c r="L86" s="212"/>
      <c r="M86" s="35">
        <v>0</v>
      </c>
      <c r="N86" s="200">
        <f t="shared" si="22"/>
        <v>0</v>
      </c>
      <c r="O86" s="35">
        <v>0</v>
      </c>
      <c r="P86" s="200">
        <f t="shared" si="23"/>
        <v>0</v>
      </c>
      <c r="Q86" s="35">
        <v>0</v>
      </c>
      <c r="R86" s="200">
        <f t="shared" si="24"/>
        <v>0</v>
      </c>
    </row>
    <row r="87" spans="1:18" ht="13.5" thickBot="1" x14ac:dyDescent="0.25">
      <c r="A87" s="25"/>
      <c r="B87" s="131"/>
      <c r="C87" s="131"/>
      <c r="D87" s="25">
        <v>1</v>
      </c>
      <c r="E87" s="130"/>
      <c r="F87" s="224"/>
      <c r="G87" s="41">
        <v>0</v>
      </c>
      <c r="H87" s="131"/>
      <c r="I87" s="35">
        <v>0</v>
      </c>
      <c r="J87" s="200">
        <f>E87*H87</f>
        <v>0</v>
      </c>
      <c r="K87" s="223">
        <v>0</v>
      </c>
      <c r="L87" s="212"/>
      <c r="M87" s="35">
        <v>0</v>
      </c>
      <c r="N87" s="200">
        <f t="shared" si="22"/>
        <v>0</v>
      </c>
      <c r="O87" s="35">
        <v>0</v>
      </c>
      <c r="P87" s="200">
        <f t="shared" si="23"/>
        <v>0</v>
      </c>
      <c r="Q87" s="35">
        <v>0</v>
      </c>
      <c r="R87" s="200">
        <f t="shared" si="24"/>
        <v>0</v>
      </c>
    </row>
    <row r="88" spans="1:18" ht="13.5" thickBot="1" x14ac:dyDescent="0.25">
      <c r="A88" s="25" t="s">
        <v>37</v>
      </c>
      <c r="B88" s="25"/>
      <c r="C88" s="25"/>
      <c r="D88" s="25"/>
      <c r="E88" s="195"/>
      <c r="F88" s="25"/>
      <c r="G88" s="25"/>
      <c r="H88" s="195"/>
      <c r="I88" s="118">
        <v>213.73148917019788</v>
      </c>
      <c r="J88" s="202">
        <f>+SUM(J71:J87)</f>
        <v>0</v>
      </c>
      <c r="K88" s="35"/>
      <c r="L88" s="193"/>
      <c r="M88" s="118">
        <v>0</v>
      </c>
      <c r="N88" s="202">
        <f>+SUM(N71:N87)</f>
        <v>0</v>
      </c>
      <c r="O88" s="118">
        <v>213.73148917019788</v>
      </c>
      <c r="P88" s="202">
        <f>+SUM(P71:P87)</f>
        <v>0</v>
      </c>
      <c r="Q88" s="118">
        <v>136788.15306892665</v>
      </c>
      <c r="R88" s="202">
        <f>+SUM(R71:R87)</f>
        <v>0</v>
      </c>
    </row>
    <row r="89" spans="1:18" ht="14.25" thickTop="1" thickBot="1" x14ac:dyDescent="0.25">
      <c r="A89" s="25" t="s">
        <v>52</v>
      </c>
      <c r="B89" s="25"/>
      <c r="C89" s="25"/>
      <c r="D89" s="25"/>
      <c r="E89" s="195"/>
      <c r="F89" s="25"/>
      <c r="G89" s="25"/>
      <c r="H89" s="195"/>
      <c r="I89" s="87">
        <v>852.00472483935459</v>
      </c>
      <c r="J89" s="203">
        <f>+J65+J88</f>
        <v>0</v>
      </c>
      <c r="K89" s="35"/>
      <c r="L89" s="193"/>
      <c r="M89" s="87">
        <v>0</v>
      </c>
      <c r="N89" s="203">
        <f>+N65+N88</f>
        <v>0</v>
      </c>
      <c r="O89" s="87">
        <v>852.00472483935459</v>
      </c>
      <c r="P89" s="203">
        <f>+P65+P88</f>
        <v>0</v>
      </c>
      <c r="Q89" s="87">
        <v>545283.02389718685</v>
      </c>
      <c r="R89" s="203">
        <f>+R65+R88</f>
        <v>0</v>
      </c>
    </row>
    <row r="90" spans="1:18" ht="13.5" thickTop="1" x14ac:dyDescent="0.2">
      <c r="A90" s="25"/>
      <c r="B90" s="25"/>
      <c r="C90" s="25"/>
      <c r="D90" s="25"/>
      <c r="E90" s="195"/>
      <c r="F90" s="25"/>
      <c r="G90" s="25"/>
      <c r="H90" s="195"/>
      <c r="I90" s="35"/>
      <c r="J90" s="182"/>
      <c r="K90" s="35"/>
      <c r="L90" s="193"/>
      <c r="M90" s="35"/>
      <c r="N90" s="182"/>
      <c r="O90" s="35"/>
      <c r="P90" s="182"/>
      <c r="Q90" s="35"/>
      <c r="R90" s="182"/>
    </row>
    <row r="91" spans="1:18" x14ac:dyDescent="0.2">
      <c r="A91" s="25" t="s">
        <v>153</v>
      </c>
      <c r="B91" s="25"/>
      <c r="C91" s="25"/>
      <c r="D91" s="25"/>
      <c r="E91" s="195"/>
      <c r="F91" s="25"/>
      <c r="G91" s="25"/>
      <c r="H91" s="195"/>
      <c r="I91" s="35">
        <v>174.26527516064539</v>
      </c>
      <c r="J91" s="200">
        <f>+J13-J89</f>
        <v>0</v>
      </c>
      <c r="K91" s="35"/>
      <c r="L91" s="193"/>
      <c r="M91" s="35">
        <v>0</v>
      </c>
      <c r="N91" s="200">
        <f>+N13-N89</f>
        <v>0</v>
      </c>
      <c r="O91" s="35">
        <v>174.26527516064539</v>
      </c>
      <c r="P91" s="200">
        <f>+P13-P89</f>
        <v>0</v>
      </c>
      <c r="Q91" s="35">
        <v>111529.77610281319</v>
      </c>
      <c r="R91" s="200">
        <f>+R13-R89</f>
        <v>0</v>
      </c>
    </row>
    <row r="92" spans="1:18" x14ac:dyDescent="0.2">
      <c r="A92" s="25"/>
      <c r="B92" s="25"/>
      <c r="C92" s="25"/>
      <c r="D92" s="25"/>
      <c r="E92" s="195"/>
      <c r="F92" s="25"/>
      <c r="G92" s="25"/>
      <c r="H92" s="195"/>
      <c r="I92" s="35"/>
      <c r="J92" s="204"/>
      <c r="K92" s="35"/>
      <c r="L92" s="193"/>
      <c r="M92" s="35"/>
      <c r="N92" s="193"/>
      <c r="O92" s="35"/>
      <c r="P92" s="193"/>
      <c r="Q92" s="35"/>
      <c r="R92" s="204"/>
    </row>
    <row r="93" spans="1:18" ht="13.5" thickBot="1" x14ac:dyDescent="0.25">
      <c r="A93" s="44" t="s">
        <v>38</v>
      </c>
      <c r="B93" s="44"/>
      <c r="C93" s="44"/>
      <c r="D93" s="44"/>
      <c r="E93" s="199"/>
      <c r="F93" s="44"/>
      <c r="G93" s="45">
        <v>0.67245834636097446</v>
      </c>
      <c r="H93" s="210" t="str">
        <f>IF(E10=0,"n/a",(YTotExp-(YTotExp+YTotRet-J10))/E10)</f>
        <v>n/a</v>
      </c>
      <c r="I93" s="44" t="s">
        <v>82</v>
      </c>
      <c r="J93" s="205"/>
      <c r="K93" s="44"/>
      <c r="L93" s="199"/>
      <c r="M93" s="44"/>
      <c r="N93" s="199"/>
      <c r="O93" s="44"/>
      <c r="P93" s="199"/>
      <c r="Q93" s="44"/>
      <c r="R93" s="205"/>
    </row>
    <row r="94" spans="1:18" ht="13.5" thickTop="1" x14ac:dyDescent="0.2"/>
    <row r="95" spans="1:18" s="17" customFormat="1" ht="15.75" x14ac:dyDescent="0.25">
      <c r="A95"/>
      <c r="B95" s="88"/>
      <c r="C95" s="89"/>
      <c r="D95" s="234" t="s">
        <v>113</v>
      </c>
      <c r="E95" s="235"/>
      <c r="F95" s="235"/>
      <c r="G95" s="235"/>
      <c r="H95" s="235"/>
      <c r="I95" s="235"/>
      <c r="J95" s="99"/>
      <c r="K95" s="99"/>
      <c r="M95"/>
      <c r="N95"/>
    </row>
    <row r="96" spans="1:18" s="17" customFormat="1" ht="15.75" x14ac:dyDescent="0.25">
      <c r="A96"/>
      <c r="B96" s="19" t="s">
        <v>114</v>
      </c>
      <c r="C96" s="19" t="s">
        <v>114</v>
      </c>
      <c r="D96" s="123" t="s">
        <v>170</v>
      </c>
      <c r="E96" s="18"/>
      <c r="F96" s="18"/>
      <c r="G96" s="123" t="s">
        <v>170</v>
      </c>
      <c r="H96" s="18"/>
      <c r="I96" s="18"/>
      <c r="J96" s="18"/>
      <c r="K96" s="18"/>
      <c r="M96"/>
      <c r="N96"/>
    </row>
    <row r="97" spans="1:18" s="17" customFormat="1" x14ac:dyDescent="0.2">
      <c r="A97"/>
      <c r="B97" s="19" t="s">
        <v>80</v>
      </c>
      <c r="C97" s="19" t="s">
        <v>80</v>
      </c>
      <c r="D97" s="123" t="s">
        <v>157</v>
      </c>
      <c r="E97" s="119"/>
      <c r="F97" s="119"/>
      <c r="G97" s="123" t="s">
        <v>12</v>
      </c>
      <c r="H97" s="119"/>
      <c r="I97" s="119"/>
      <c r="J97" s="119"/>
      <c r="K97" s="119"/>
      <c r="M97"/>
      <c r="N97"/>
    </row>
    <row r="98" spans="1:18" s="17" customFormat="1" x14ac:dyDescent="0.2">
      <c r="A98"/>
      <c r="B98" s="19" t="s">
        <v>30</v>
      </c>
      <c r="C98" s="99" t="s">
        <v>82</v>
      </c>
      <c r="D98" s="123" t="s">
        <v>98</v>
      </c>
      <c r="E98" s="119"/>
      <c r="F98" s="119"/>
      <c r="G98" s="123" t="s">
        <v>98</v>
      </c>
      <c r="H98" s="19"/>
      <c r="I98" s="19"/>
      <c r="J98" s="19"/>
      <c r="K98" s="19"/>
      <c r="M98"/>
      <c r="N98"/>
    </row>
    <row r="99" spans="1:18" s="17" customFormat="1" x14ac:dyDescent="0.2">
      <c r="A99"/>
      <c r="B99" s="90">
        <v>0.75</v>
      </c>
      <c r="C99" s="91">
        <v>950.25</v>
      </c>
      <c r="D99" s="92">
        <v>0.67168980338769457</v>
      </c>
      <c r="E99" s="93"/>
      <c r="F99" s="94"/>
      <c r="G99" s="92">
        <v>0.8966111284812992</v>
      </c>
      <c r="H99" s="93"/>
      <c r="I99" s="93"/>
      <c r="M99"/>
      <c r="N99"/>
    </row>
    <row r="100" spans="1:18" s="17" customFormat="1" x14ac:dyDescent="0.2">
      <c r="A100"/>
      <c r="B100" s="95">
        <v>0.9</v>
      </c>
      <c r="C100" s="96">
        <v>1140.3</v>
      </c>
      <c r="D100" s="97">
        <v>0.55974150282307877</v>
      </c>
      <c r="E100" s="83"/>
      <c r="F100" s="98"/>
      <c r="G100" s="97">
        <v>0.74717594040108271</v>
      </c>
      <c r="H100" s="83"/>
      <c r="I100" s="83"/>
      <c r="M100"/>
      <c r="N100"/>
    </row>
    <row r="101" spans="1:18" s="17" customFormat="1" x14ac:dyDescent="0.2">
      <c r="A101"/>
      <c r="B101" s="90">
        <v>1</v>
      </c>
      <c r="C101" s="91">
        <v>1267</v>
      </c>
      <c r="D101" s="92">
        <v>0.50376735254077087</v>
      </c>
      <c r="E101" s="93"/>
      <c r="F101" s="94"/>
      <c r="G101" s="92">
        <v>0.67245834636097446</v>
      </c>
      <c r="H101" s="93"/>
      <c r="I101" s="93"/>
      <c r="M101"/>
      <c r="N101"/>
    </row>
    <row r="102" spans="1:18" s="17" customFormat="1" x14ac:dyDescent="0.2">
      <c r="A102"/>
      <c r="B102" s="95">
        <v>1.1000000000000001</v>
      </c>
      <c r="C102" s="96">
        <v>1393.7</v>
      </c>
      <c r="D102" s="97">
        <v>0.45797032049160991</v>
      </c>
      <c r="E102" s="83"/>
      <c r="F102" s="98"/>
      <c r="G102" s="97">
        <v>0.61132576941906769</v>
      </c>
      <c r="H102" s="83"/>
      <c r="I102" s="83"/>
      <c r="M102"/>
      <c r="N102"/>
    </row>
    <row r="103" spans="1:18" s="17" customFormat="1" x14ac:dyDescent="0.2">
      <c r="A103"/>
      <c r="B103" s="90">
        <v>1.25</v>
      </c>
      <c r="C103" s="91">
        <v>1583.75</v>
      </c>
      <c r="D103" s="92">
        <v>0.40301388203261673</v>
      </c>
      <c r="E103" s="93"/>
      <c r="F103" s="94"/>
      <c r="G103" s="92">
        <v>0.53796667708877954</v>
      </c>
      <c r="H103" s="93"/>
      <c r="I103" s="93"/>
      <c r="M103"/>
      <c r="N103"/>
    </row>
    <row r="104" spans="1:18" s="17" customFormat="1" x14ac:dyDescent="0.2">
      <c r="A104"/>
      <c r="M104"/>
      <c r="N104"/>
    </row>
    <row r="105" spans="1:18" x14ac:dyDescent="0.2">
      <c r="A105" s="25" t="s">
        <v>434</v>
      </c>
      <c r="B105" s="17"/>
      <c r="C105" s="17"/>
      <c r="D105" s="17"/>
      <c r="E105" s="17"/>
      <c r="F105" s="17"/>
      <c r="G105" s="17"/>
      <c r="H105" s="17"/>
      <c r="I105" s="17"/>
      <c r="J105" s="28"/>
      <c r="K105" s="17"/>
      <c r="L105" s="17"/>
      <c r="M105" s="17"/>
      <c r="N105" s="17"/>
      <c r="O105" s="17"/>
      <c r="P105" s="17"/>
      <c r="Q105" s="17"/>
    </row>
    <row r="106" spans="1:18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28"/>
      <c r="K106" s="17"/>
      <c r="L106" s="17"/>
      <c r="M106" s="17"/>
      <c r="N106" s="17"/>
      <c r="O106" s="17"/>
      <c r="P106" s="17"/>
      <c r="Q106" s="17"/>
    </row>
    <row r="107" spans="1:18" ht="26.25" customHeight="1" x14ac:dyDescent="0.2">
      <c r="A107" s="236" t="s">
        <v>140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19"/>
      <c r="N107" s="219"/>
      <c r="O107" s="219"/>
      <c r="P107" s="219"/>
      <c r="Q107" s="219"/>
      <c r="R107" s="219"/>
    </row>
  </sheetData>
  <sheetProtection sheet="1" objects="1" scenarios="1"/>
  <mergeCells count="6">
    <mergeCell ref="D95:I95"/>
    <mergeCell ref="A107:L107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3">
    <tabColor rgb="FF92D050"/>
    <pageSetUpPr fitToPage="1"/>
  </sheetPr>
  <dimension ref="A1:S105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454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133</v>
      </c>
      <c r="C10" s="25"/>
      <c r="D10" s="50">
        <v>1312</v>
      </c>
      <c r="E10" s="130"/>
      <c r="F10" s="224" t="s">
        <v>82</v>
      </c>
      <c r="G10" s="31">
        <v>0.81</v>
      </c>
      <c r="H10" s="131"/>
      <c r="I10" s="35">
        <v>1062.72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1062.72</v>
      </c>
      <c r="P10" s="200">
        <f>+J10-N10</f>
        <v>0</v>
      </c>
      <c r="Q10" s="35">
        <v>680140.80000000005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1062.72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1062.72</v>
      </c>
      <c r="P13" s="201">
        <f>SUM(P10:P12)</f>
        <v>0</v>
      </c>
      <c r="Q13" s="36">
        <v>680140.80000000005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50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176</v>
      </c>
      <c r="D18" s="25">
        <v>1</v>
      </c>
      <c r="E18" s="130"/>
      <c r="F18" s="224" t="s">
        <v>42</v>
      </c>
      <c r="G18" s="41">
        <v>5</v>
      </c>
      <c r="H18" s="131"/>
      <c r="I18" s="35">
        <v>5</v>
      </c>
      <c r="J18" s="200">
        <f t="shared" ref="J18:J38" si="4">E18*H18</f>
        <v>0</v>
      </c>
      <c r="K18" s="223">
        <v>0</v>
      </c>
      <c r="L18" s="212"/>
      <c r="M18" s="35">
        <v>0</v>
      </c>
      <c r="N18" s="200">
        <f t="shared" ref="N18:N38" si="5">J18*L18</f>
        <v>0</v>
      </c>
      <c r="O18" s="35">
        <v>5</v>
      </c>
      <c r="P18" s="200">
        <f t="shared" ref="P18:P38" si="6">+J18-N18</f>
        <v>0</v>
      </c>
      <c r="Q18" s="35">
        <v>3200</v>
      </c>
      <c r="R18" s="200">
        <f t="shared" ref="R18:R38" si="7">+J18*E$7</f>
        <v>0</v>
      </c>
    </row>
    <row r="19" spans="1:18" x14ac:dyDescent="0.2">
      <c r="A19" s="25"/>
      <c r="B19" s="25" t="s">
        <v>458</v>
      </c>
      <c r="C19" s="25" t="s">
        <v>375</v>
      </c>
      <c r="D19" s="25">
        <v>1312</v>
      </c>
      <c r="E19" s="130"/>
      <c r="F19" s="224" t="s">
        <v>82</v>
      </c>
      <c r="G19" s="41">
        <v>0.12</v>
      </c>
      <c r="H19" s="131"/>
      <c r="I19" s="35">
        <v>157.44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157.44</v>
      </c>
      <c r="P19" s="200">
        <f t="shared" si="6"/>
        <v>0</v>
      </c>
      <c r="Q19" s="35">
        <v>100761.60000000001</v>
      </c>
      <c r="R19" s="200">
        <f t="shared" si="7"/>
        <v>0</v>
      </c>
    </row>
    <row r="20" spans="1:18" x14ac:dyDescent="0.2">
      <c r="A20" s="25"/>
      <c r="B20" s="25" t="s">
        <v>458</v>
      </c>
      <c r="C20" s="25" t="s">
        <v>177</v>
      </c>
      <c r="D20" s="25">
        <v>4</v>
      </c>
      <c r="E20" s="130"/>
      <c r="F20" s="224" t="s">
        <v>42</v>
      </c>
      <c r="G20" s="41">
        <v>5.5</v>
      </c>
      <c r="H20" s="131"/>
      <c r="I20" s="35">
        <v>22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22</v>
      </c>
      <c r="P20" s="200">
        <f t="shared" si="6"/>
        <v>0</v>
      </c>
      <c r="Q20" s="35">
        <v>14080</v>
      </c>
      <c r="R20" s="200">
        <f t="shared" si="7"/>
        <v>0</v>
      </c>
    </row>
    <row r="21" spans="1:18" x14ac:dyDescent="0.2">
      <c r="A21" s="25"/>
      <c r="B21" s="25" t="s">
        <v>0</v>
      </c>
      <c r="C21" s="25"/>
      <c r="D21" s="25"/>
      <c r="E21" s="25"/>
      <c r="F21" s="25"/>
      <c r="G21" s="25"/>
      <c r="H21" s="25"/>
      <c r="I21" s="25"/>
      <c r="J21" s="25"/>
      <c r="K21" s="223"/>
      <c r="L21" s="25"/>
      <c r="M21" s="25"/>
      <c r="N21" s="25"/>
      <c r="O21" s="25"/>
      <c r="P21" s="25"/>
      <c r="Q21" s="25"/>
      <c r="R21" s="25"/>
    </row>
    <row r="22" spans="1:18" x14ac:dyDescent="0.2">
      <c r="A22" s="25"/>
      <c r="B22" s="25" t="s">
        <v>458</v>
      </c>
      <c r="C22" s="25" t="s">
        <v>342</v>
      </c>
      <c r="D22" s="25">
        <v>100</v>
      </c>
      <c r="E22" s="130"/>
      <c r="F22" s="224" t="s">
        <v>82</v>
      </c>
      <c r="G22" s="41">
        <v>0.53800000000000003</v>
      </c>
      <c r="H22" s="131"/>
      <c r="I22" s="35">
        <v>53.800000000000004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53.800000000000004</v>
      </c>
      <c r="P22" s="200">
        <f t="shared" si="6"/>
        <v>0</v>
      </c>
      <c r="Q22" s="35">
        <v>34432</v>
      </c>
      <c r="R22" s="200">
        <f t="shared" si="7"/>
        <v>0</v>
      </c>
    </row>
    <row r="23" spans="1:18" x14ac:dyDescent="0.2">
      <c r="A23" s="25"/>
      <c r="B23" s="25" t="s">
        <v>458</v>
      </c>
      <c r="C23" s="25" t="s">
        <v>378</v>
      </c>
      <c r="D23" s="25">
        <v>50</v>
      </c>
      <c r="E23" s="130"/>
      <c r="F23" s="224" t="s">
        <v>82</v>
      </c>
      <c r="G23" s="41">
        <v>0.56999999999999995</v>
      </c>
      <c r="H23" s="131"/>
      <c r="I23" s="35">
        <v>28.499999999999996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28.499999999999996</v>
      </c>
      <c r="P23" s="200">
        <f t="shared" si="6"/>
        <v>0</v>
      </c>
      <c r="Q23" s="35">
        <v>18239.999999999996</v>
      </c>
      <c r="R23" s="200">
        <f t="shared" si="7"/>
        <v>0</v>
      </c>
    </row>
    <row r="24" spans="1:18" x14ac:dyDescent="0.2">
      <c r="A24" s="25"/>
      <c r="B24" s="25" t="s">
        <v>49</v>
      </c>
      <c r="C24" s="25"/>
      <c r="D24" s="25"/>
      <c r="E24" s="25"/>
      <c r="F24" s="25"/>
      <c r="G24" s="25"/>
      <c r="H24" s="25"/>
      <c r="I24" s="25"/>
      <c r="J24" s="25"/>
      <c r="K24" s="223"/>
      <c r="L24" s="25"/>
      <c r="M24" s="25"/>
      <c r="N24" s="25"/>
      <c r="O24" s="25"/>
      <c r="P24" s="25"/>
      <c r="Q24" s="25"/>
      <c r="R24" s="25"/>
    </row>
    <row r="25" spans="1:18" x14ac:dyDescent="0.2">
      <c r="A25" s="25"/>
      <c r="B25" s="25" t="s">
        <v>458</v>
      </c>
      <c r="C25" s="25" t="s">
        <v>401</v>
      </c>
      <c r="D25" s="25">
        <v>64</v>
      </c>
      <c r="E25" s="130"/>
      <c r="F25" s="224" t="s">
        <v>435</v>
      </c>
      <c r="G25" s="41">
        <v>0.41</v>
      </c>
      <c r="H25" s="131"/>
      <c r="I25" s="35">
        <v>26.24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26.24</v>
      </c>
      <c r="P25" s="200">
        <f t="shared" si="6"/>
        <v>0</v>
      </c>
      <c r="Q25" s="35">
        <v>16793.599999999999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440</v>
      </c>
      <c r="D26" s="25">
        <v>4.7</v>
      </c>
      <c r="E26" s="130"/>
      <c r="F26" s="224" t="s">
        <v>316</v>
      </c>
      <c r="G26" s="41">
        <v>5.81</v>
      </c>
      <c r="H26" s="131"/>
      <c r="I26" s="35">
        <v>27.306999999999999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27.306999999999999</v>
      </c>
      <c r="P26" s="200">
        <f t="shared" si="6"/>
        <v>0</v>
      </c>
      <c r="Q26" s="35">
        <v>17476.48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439</v>
      </c>
      <c r="D27" s="25">
        <v>29</v>
      </c>
      <c r="E27" s="130"/>
      <c r="F27" s="224" t="s">
        <v>410</v>
      </c>
      <c r="G27" s="41">
        <v>0.7</v>
      </c>
      <c r="H27" s="131"/>
      <c r="I27" s="35">
        <v>20.299999999999997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20.299999999999997</v>
      </c>
      <c r="P27" s="200">
        <f t="shared" si="6"/>
        <v>0</v>
      </c>
      <c r="Q27" s="35">
        <v>12991.999999999998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384</v>
      </c>
      <c r="D28" s="25">
        <v>1</v>
      </c>
      <c r="E28" s="130"/>
      <c r="F28" s="224" t="s">
        <v>316</v>
      </c>
      <c r="G28" s="41">
        <v>3.75</v>
      </c>
      <c r="H28" s="131"/>
      <c r="I28" s="35">
        <v>3.75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3.75</v>
      </c>
      <c r="P28" s="200">
        <f t="shared" si="6"/>
        <v>0</v>
      </c>
      <c r="Q28" s="35">
        <v>2400</v>
      </c>
      <c r="R28" s="200">
        <f t="shared" si="7"/>
        <v>0</v>
      </c>
    </row>
    <row r="29" spans="1:18" x14ac:dyDescent="0.2">
      <c r="A29" s="25"/>
      <c r="B29" s="25" t="s">
        <v>458</v>
      </c>
      <c r="C29" s="25" t="s">
        <v>386</v>
      </c>
      <c r="D29" s="25">
        <v>1</v>
      </c>
      <c r="E29" s="130"/>
      <c r="F29" s="224" t="s">
        <v>410</v>
      </c>
      <c r="G29" s="41">
        <v>0.546875</v>
      </c>
      <c r="H29" s="131"/>
      <c r="I29" s="35">
        <v>0.546875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0.546875</v>
      </c>
      <c r="P29" s="200">
        <f t="shared" si="6"/>
        <v>0</v>
      </c>
      <c r="Q29" s="35">
        <v>350</v>
      </c>
      <c r="R29" s="200">
        <f t="shared" si="7"/>
        <v>0</v>
      </c>
    </row>
    <row r="30" spans="1:18" x14ac:dyDescent="0.2">
      <c r="A30" s="25"/>
      <c r="B30" s="25" t="s">
        <v>48</v>
      </c>
      <c r="C30" s="25"/>
      <c r="D30" s="25"/>
      <c r="E30" s="25"/>
      <c r="F30" s="25"/>
      <c r="G30" s="25"/>
      <c r="H30" s="25"/>
      <c r="I30" s="25"/>
      <c r="J30" s="25"/>
      <c r="K30" s="223"/>
      <c r="L30" s="25"/>
      <c r="M30" s="25"/>
      <c r="N30" s="25"/>
      <c r="O30" s="25"/>
      <c r="P30" s="25"/>
      <c r="Q30" s="25"/>
      <c r="R30" s="25"/>
    </row>
    <row r="31" spans="1:18" x14ac:dyDescent="0.2">
      <c r="A31" s="25"/>
      <c r="B31" s="25" t="s">
        <v>458</v>
      </c>
      <c r="C31" s="25" t="s">
        <v>442</v>
      </c>
      <c r="D31" s="25">
        <v>16</v>
      </c>
      <c r="E31" s="130"/>
      <c r="F31" s="224" t="s">
        <v>410</v>
      </c>
      <c r="G31" s="41">
        <v>1.1599999999999999</v>
      </c>
      <c r="H31" s="131"/>
      <c r="I31" s="35">
        <v>18.559999999999999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18.559999999999999</v>
      </c>
      <c r="P31" s="200">
        <f t="shared" si="6"/>
        <v>0</v>
      </c>
      <c r="Q31" s="35">
        <v>11878.4</v>
      </c>
      <c r="R31" s="200">
        <f t="shared" si="7"/>
        <v>0</v>
      </c>
    </row>
    <row r="32" spans="1:18" x14ac:dyDescent="0.2">
      <c r="A32" s="25"/>
      <c r="B32" s="25" t="s">
        <v>458</v>
      </c>
      <c r="C32" s="25" t="s">
        <v>443</v>
      </c>
      <c r="D32" s="25">
        <v>2</v>
      </c>
      <c r="E32" s="130"/>
      <c r="F32" s="224" t="s">
        <v>410</v>
      </c>
      <c r="G32" s="41">
        <v>1.74875</v>
      </c>
      <c r="H32" s="131"/>
      <c r="I32" s="35">
        <v>3.4975000000000001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3.4975000000000001</v>
      </c>
      <c r="P32" s="200">
        <f t="shared" si="6"/>
        <v>0</v>
      </c>
      <c r="Q32" s="35">
        <v>2238.4</v>
      </c>
      <c r="R32" s="200">
        <f t="shared" si="7"/>
        <v>0</v>
      </c>
    </row>
    <row r="33" spans="1:18" x14ac:dyDescent="0.2">
      <c r="A33" s="25"/>
      <c r="B33" s="25" t="s">
        <v>27</v>
      </c>
      <c r="C33" s="25"/>
      <c r="D33" s="25"/>
      <c r="E33" s="25"/>
      <c r="F33" s="25"/>
      <c r="G33" s="25"/>
      <c r="H33" s="25"/>
      <c r="I33" s="25"/>
      <c r="J33" s="25"/>
      <c r="K33" s="223"/>
      <c r="L33" s="25"/>
      <c r="M33" s="25"/>
      <c r="N33" s="25"/>
      <c r="O33" s="25"/>
      <c r="P33" s="25"/>
      <c r="Q33" s="25"/>
      <c r="R33" s="25"/>
    </row>
    <row r="34" spans="1:18" x14ac:dyDescent="0.2">
      <c r="A34" s="25"/>
      <c r="B34" s="25" t="s">
        <v>458</v>
      </c>
      <c r="C34" s="25" t="s">
        <v>394</v>
      </c>
      <c r="D34" s="25">
        <v>1</v>
      </c>
      <c r="E34" s="130"/>
      <c r="F34" s="224" t="s">
        <v>42</v>
      </c>
      <c r="G34" s="41">
        <v>15</v>
      </c>
      <c r="H34" s="131"/>
      <c r="I34" s="35">
        <v>15</v>
      </c>
      <c r="J34" s="200">
        <f t="shared" si="4"/>
        <v>0</v>
      </c>
      <c r="K34" s="223">
        <v>0</v>
      </c>
      <c r="L34" s="212"/>
      <c r="M34" s="35">
        <v>0</v>
      </c>
      <c r="N34" s="200">
        <f t="shared" si="5"/>
        <v>0</v>
      </c>
      <c r="O34" s="35">
        <v>15</v>
      </c>
      <c r="P34" s="200">
        <f t="shared" si="6"/>
        <v>0</v>
      </c>
      <c r="Q34" s="35">
        <v>9600</v>
      </c>
      <c r="R34" s="200">
        <f t="shared" si="7"/>
        <v>0</v>
      </c>
    </row>
    <row r="35" spans="1:18" x14ac:dyDescent="0.2">
      <c r="A35" s="25"/>
      <c r="B35" s="25" t="s">
        <v>1</v>
      </c>
      <c r="C35" s="25"/>
      <c r="D35" s="25"/>
      <c r="E35" s="25"/>
      <c r="F35" s="25"/>
      <c r="G35" s="25"/>
      <c r="H35" s="25"/>
      <c r="I35" s="25"/>
      <c r="J35" s="25"/>
      <c r="K35" s="223"/>
      <c r="L35" s="25"/>
      <c r="M35" s="25"/>
      <c r="N35" s="25"/>
      <c r="O35" s="25"/>
      <c r="P35" s="25"/>
      <c r="Q35" s="25"/>
      <c r="R35" s="25"/>
    </row>
    <row r="36" spans="1:18" x14ac:dyDescent="0.2">
      <c r="A36" s="25"/>
      <c r="B36" s="25" t="s">
        <v>458</v>
      </c>
      <c r="C36" s="25" t="s">
        <v>368</v>
      </c>
      <c r="D36" s="25">
        <v>11.5</v>
      </c>
      <c r="E36" s="130"/>
      <c r="F36" s="224" t="s">
        <v>82</v>
      </c>
      <c r="G36" s="41">
        <v>8</v>
      </c>
      <c r="H36" s="131"/>
      <c r="I36" s="35">
        <v>92</v>
      </c>
      <c r="J36" s="200">
        <f t="shared" si="4"/>
        <v>0</v>
      </c>
      <c r="K36" s="223">
        <v>0</v>
      </c>
      <c r="L36" s="212"/>
      <c r="M36" s="35">
        <v>0</v>
      </c>
      <c r="N36" s="200">
        <f t="shared" si="5"/>
        <v>0</v>
      </c>
      <c r="O36" s="35">
        <v>92</v>
      </c>
      <c r="P36" s="200">
        <f t="shared" si="6"/>
        <v>0</v>
      </c>
      <c r="Q36" s="35">
        <v>58880</v>
      </c>
      <c r="R36" s="200">
        <f t="shared" si="7"/>
        <v>0</v>
      </c>
    </row>
    <row r="37" spans="1:18" x14ac:dyDescent="0.2">
      <c r="A37" s="25"/>
      <c r="B37" s="131"/>
      <c r="C37" s="131"/>
      <c r="D37" s="25">
        <v>0</v>
      </c>
      <c r="E37" s="130"/>
      <c r="F37" s="224"/>
      <c r="G37" s="41">
        <v>0</v>
      </c>
      <c r="H37" s="131"/>
      <c r="I37" s="35">
        <v>0</v>
      </c>
      <c r="J37" s="200">
        <f t="shared" si="4"/>
        <v>0</v>
      </c>
      <c r="K37" s="223">
        <v>0</v>
      </c>
      <c r="L37" s="212"/>
      <c r="M37" s="35">
        <v>0</v>
      </c>
      <c r="N37" s="200">
        <f t="shared" si="5"/>
        <v>0</v>
      </c>
      <c r="O37" s="35">
        <v>0</v>
      </c>
      <c r="P37" s="200">
        <f t="shared" si="6"/>
        <v>0</v>
      </c>
      <c r="Q37" s="35">
        <v>0</v>
      </c>
      <c r="R37" s="200">
        <f t="shared" si="7"/>
        <v>0</v>
      </c>
    </row>
    <row r="38" spans="1:18" x14ac:dyDescent="0.2">
      <c r="A38" s="25"/>
      <c r="B38" s="131"/>
      <c r="C38" s="131"/>
      <c r="D38" s="25">
        <v>0</v>
      </c>
      <c r="E38" s="130"/>
      <c r="F38" s="224"/>
      <c r="G38" s="41">
        <v>0</v>
      </c>
      <c r="H38" s="131"/>
      <c r="I38" s="35">
        <v>0</v>
      </c>
      <c r="J38" s="200">
        <f t="shared" si="4"/>
        <v>0</v>
      </c>
      <c r="K38" s="223">
        <v>0</v>
      </c>
      <c r="L38" s="212"/>
      <c r="M38" s="35">
        <v>0</v>
      </c>
      <c r="N38" s="200">
        <f t="shared" si="5"/>
        <v>0</v>
      </c>
      <c r="O38" s="35">
        <v>0</v>
      </c>
      <c r="P38" s="200">
        <f t="shared" si="6"/>
        <v>0</v>
      </c>
      <c r="Q38" s="35">
        <v>0</v>
      </c>
      <c r="R38" s="200">
        <f t="shared" si="7"/>
        <v>0</v>
      </c>
    </row>
    <row r="39" spans="1:18" x14ac:dyDescent="0.2">
      <c r="A39" s="25"/>
      <c r="B39" s="131"/>
      <c r="C39" s="131"/>
      <c r="D39" s="25">
        <v>0</v>
      </c>
      <c r="E39" s="130"/>
      <c r="F39" s="224"/>
      <c r="G39" s="41">
        <v>0</v>
      </c>
      <c r="H39" s="131"/>
      <c r="I39" s="35">
        <v>0</v>
      </c>
      <c r="J39" s="200">
        <f>E39*H39</f>
        <v>0</v>
      </c>
      <c r="K39" s="223">
        <v>0</v>
      </c>
      <c r="L39" s="212"/>
      <c r="M39" s="35">
        <v>0</v>
      </c>
      <c r="N39" s="200">
        <f>J39*L39</f>
        <v>0</v>
      </c>
      <c r="O39" s="35">
        <v>0</v>
      </c>
      <c r="P39" s="200">
        <f>+J39-N39</f>
        <v>0</v>
      </c>
      <c r="Q39" s="35">
        <v>0</v>
      </c>
      <c r="R39" s="200">
        <f>+J39*E$7</f>
        <v>0</v>
      </c>
    </row>
    <row r="40" spans="1:18" x14ac:dyDescent="0.2">
      <c r="A40" s="25"/>
      <c r="B40" s="25" t="s">
        <v>45</v>
      </c>
      <c r="C40" s="25"/>
      <c r="D40" s="25"/>
      <c r="E40" s="207"/>
      <c r="F40" s="21"/>
      <c r="G40" s="41"/>
      <c r="H40" s="196"/>
      <c r="I40" s="184"/>
      <c r="J40" s="182"/>
      <c r="K40" s="223"/>
      <c r="L40" s="196"/>
      <c r="M40" s="35"/>
      <c r="N40" s="182"/>
      <c r="O40" s="35"/>
      <c r="P40" s="182"/>
      <c r="Q40" s="35"/>
      <c r="R40" s="182"/>
    </row>
    <row r="41" spans="1:18" x14ac:dyDescent="0.2">
      <c r="A41" s="25"/>
      <c r="B41" s="25"/>
      <c r="C41" s="25" t="s">
        <v>146</v>
      </c>
      <c r="D41" s="34">
        <v>11.8</v>
      </c>
      <c r="E41" s="130"/>
      <c r="F41" s="224" t="s">
        <v>142</v>
      </c>
      <c r="G41" s="41">
        <v>6.75</v>
      </c>
      <c r="H41" s="131"/>
      <c r="I41" s="35">
        <v>79.650000000000006</v>
      </c>
      <c r="J41" s="200">
        <f t="shared" ref="J41:J42" si="8">E41*H41</f>
        <v>0</v>
      </c>
      <c r="K41" s="223">
        <v>0</v>
      </c>
      <c r="L41" s="212"/>
      <c r="M41" s="35">
        <v>0</v>
      </c>
      <c r="N41" s="200">
        <f t="shared" ref="N41:N42" si="9">J41*L41</f>
        <v>0</v>
      </c>
      <c r="O41" s="35">
        <v>79.650000000000006</v>
      </c>
      <c r="P41" s="200">
        <f t="shared" ref="P41:P42" si="10">+J41-N41</f>
        <v>0</v>
      </c>
      <c r="Q41" s="35">
        <v>50976</v>
      </c>
      <c r="R41" s="200">
        <f t="shared" ref="R41:R42" si="11">+J41*E$7</f>
        <v>0</v>
      </c>
    </row>
    <row r="42" spans="1:18" x14ac:dyDescent="0.2">
      <c r="A42" s="25"/>
      <c r="B42" s="25"/>
      <c r="C42" s="25" t="s">
        <v>136</v>
      </c>
      <c r="D42" s="34">
        <v>0.96</v>
      </c>
      <c r="E42" s="130"/>
      <c r="F42" s="224" t="s">
        <v>44</v>
      </c>
      <c r="G42" s="41">
        <v>15</v>
      </c>
      <c r="H42" s="131"/>
      <c r="I42" s="35">
        <v>14.399999999999999</v>
      </c>
      <c r="J42" s="200">
        <f t="shared" si="8"/>
        <v>0</v>
      </c>
      <c r="K42" s="223">
        <v>0</v>
      </c>
      <c r="L42" s="212"/>
      <c r="M42" s="35">
        <v>0</v>
      </c>
      <c r="N42" s="200">
        <f t="shared" si="9"/>
        <v>0</v>
      </c>
      <c r="O42" s="35">
        <v>14.399999999999999</v>
      </c>
      <c r="P42" s="200">
        <f t="shared" si="10"/>
        <v>0</v>
      </c>
      <c r="Q42" s="35">
        <v>9216</v>
      </c>
      <c r="R42" s="200">
        <f t="shared" si="11"/>
        <v>0</v>
      </c>
    </row>
    <row r="43" spans="1:18" x14ac:dyDescent="0.2">
      <c r="A43" s="25"/>
      <c r="B43" s="25" t="s">
        <v>106</v>
      </c>
      <c r="C43" s="25"/>
      <c r="D43" s="25"/>
      <c r="E43" s="104"/>
      <c r="H43" s="104"/>
      <c r="I43" s="121"/>
      <c r="J43" s="104"/>
      <c r="K43" s="223"/>
      <c r="L43" s="104"/>
      <c r="N43" s="104"/>
      <c r="P43" s="104"/>
      <c r="R43" s="104"/>
    </row>
    <row r="44" spans="1:18" x14ac:dyDescent="0.2">
      <c r="A44" s="25"/>
      <c r="B44" s="25"/>
      <c r="C44" s="25" t="s">
        <v>103</v>
      </c>
      <c r="D44" s="25">
        <v>0.3</v>
      </c>
      <c r="E44" s="130"/>
      <c r="F44" s="224" t="s">
        <v>44</v>
      </c>
      <c r="G44" s="41">
        <v>15</v>
      </c>
      <c r="H44" s="131"/>
      <c r="I44" s="35">
        <v>4.5</v>
      </c>
      <c r="J44" s="200">
        <f>E44*H44</f>
        <v>0</v>
      </c>
      <c r="K44" s="223">
        <v>0</v>
      </c>
      <c r="L44" s="212"/>
      <c r="M44" s="35">
        <v>0</v>
      </c>
      <c r="N44" s="200">
        <f>J44*L44</f>
        <v>0</v>
      </c>
      <c r="O44" s="35">
        <v>4.5</v>
      </c>
      <c r="P44" s="200">
        <f>+J44-N44</f>
        <v>0</v>
      </c>
      <c r="Q44" s="35">
        <v>2880</v>
      </c>
      <c r="R44" s="200">
        <f>+J44*E$7</f>
        <v>0</v>
      </c>
    </row>
    <row r="45" spans="1:18" x14ac:dyDescent="0.2">
      <c r="A45" s="25"/>
      <c r="B45" s="25"/>
      <c r="C45" s="25" t="s">
        <v>105</v>
      </c>
      <c r="D45" s="25">
        <v>0.36</v>
      </c>
      <c r="E45" s="130"/>
      <c r="F45" s="224" t="s">
        <v>44</v>
      </c>
      <c r="G45" s="41">
        <v>15</v>
      </c>
      <c r="H45" s="131"/>
      <c r="I45" s="35">
        <v>5.3999999999999995</v>
      </c>
      <c r="J45" s="200">
        <f>E45*H45</f>
        <v>0</v>
      </c>
      <c r="K45" s="223">
        <v>0</v>
      </c>
      <c r="L45" s="212"/>
      <c r="M45" s="35">
        <v>0</v>
      </c>
      <c r="N45" s="200">
        <f>J45*L45</f>
        <v>0</v>
      </c>
      <c r="O45" s="35">
        <v>5.3999999999999995</v>
      </c>
      <c r="P45" s="200">
        <f>+J45-N45</f>
        <v>0</v>
      </c>
      <c r="Q45" s="35">
        <v>3455.9999999999995</v>
      </c>
      <c r="R45" s="200">
        <f>+J45*E$7</f>
        <v>0</v>
      </c>
    </row>
    <row r="46" spans="1:18" x14ac:dyDescent="0.2">
      <c r="A46" s="25"/>
      <c r="B46" s="25"/>
      <c r="C46" s="25"/>
      <c r="D46" s="25"/>
      <c r="E46" s="207"/>
      <c r="F46" s="21"/>
      <c r="G46" s="41"/>
      <c r="H46" s="196"/>
      <c r="I46" s="35"/>
      <c r="J46" s="182"/>
      <c r="K46" s="223"/>
      <c r="L46" s="196"/>
      <c r="M46" s="35"/>
      <c r="N46" s="182"/>
      <c r="O46" s="35"/>
      <c r="P46" s="182"/>
      <c r="Q46" s="35"/>
      <c r="R46" s="182"/>
    </row>
    <row r="47" spans="1:18" x14ac:dyDescent="0.2">
      <c r="A47" s="25"/>
      <c r="B47" s="25" t="s">
        <v>51</v>
      </c>
      <c r="C47" s="25"/>
      <c r="D47" s="25"/>
      <c r="E47" s="207"/>
      <c r="F47" s="21"/>
      <c r="G47" s="41"/>
      <c r="H47" s="196"/>
      <c r="I47" s="184"/>
      <c r="J47" s="182"/>
      <c r="K47" s="223"/>
      <c r="L47" s="196"/>
      <c r="M47" s="35"/>
      <c r="N47" s="182"/>
      <c r="O47" s="35"/>
      <c r="P47" s="182"/>
      <c r="Q47" s="35"/>
      <c r="R47" s="182"/>
    </row>
    <row r="48" spans="1:18" x14ac:dyDescent="0.2">
      <c r="A48" s="25"/>
      <c r="B48" s="25"/>
      <c r="C48" s="25" t="s">
        <v>102</v>
      </c>
      <c r="D48" s="25">
        <v>1</v>
      </c>
      <c r="E48" s="130"/>
      <c r="F48" s="224" t="s">
        <v>42</v>
      </c>
      <c r="G48" s="41">
        <v>0</v>
      </c>
      <c r="H48" s="131"/>
      <c r="I48" s="35">
        <v>0</v>
      </c>
      <c r="J48" s="200">
        <f>E48*H48</f>
        <v>0</v>
      </c>
      <c r="K48" s="223">
        <v>0</v>
      </c>
      <c r="L48" s="212"/>
      <c r="M48" s="35">
        <v>0</v>
      </c>
      <c r="N48" s="200">
        <f>J48*L48</f>
        <v>0</v>
      </c>
      <c r="O48" s="35">
        <v>0</v>
      </c>
      <c r="P48" s="200">
        <f>+J48-N48</f>
        <v>0</v>
      </c>
      <c r="Q48" s="35">
        <v>0</v>
      </c>
      <c r="R48" s="200">
        <f>+J48*E$7</f>
        <v>0</v>
      </c>
    </row>
    <row r="49" spans="1:18" x14ac:dyDescent="0.2">
      <c r="A49" s="25"/>
      <c r="B49" s="25"/>
      <c r="C49" s="25" t="s">
        <v>103</v>
      </c>
      <c r="D49" s="25">
        <v>3.69</v>
      </c>
      <c r="E49" s="130"/>
      <c r="F49" s="224" t="s">
        <v>79</v>
      </c>
      <c r="G49" s="41">
        <v>3.0190000000000001</v>
      </c>
      <c r="H49" s="131"/>
      <c r="I49" s="35">
        <v>11.14011</v>
      </c>
      <c r="J49" s="200">
        <f>E49*H49</f>
        <v>0</v>
      </c>
      <c r="K49" s="223">
        <v>0</v>
      </c>
      <c r="L49" s="212"/>
      <c r="M49" s="35">
        <v>0</v>
      </c>
      <c r="N49" s="200">
        <f>J49*L49</f>
        <v>0</v>
      </c>
      <c r="O49" s="35">
        <v>11.14011</v>
      </c>
      <c r="P49" s="200">
        <f>+J49-N49</f>
        <v>0</v>
      </c>
      <c r="Q49" s="35">
        <v>7129.6704</v>
      </c>
      <c r="R49" s="200">
        <f>+J49*E$7</f>
        <v>0</v>
      </c>
    </row>
    <row r="50" spans="1:18" x14ac:dyDescent="0.2">
      <c r="A50" s="25"/>
      <c r="B50" s="25"/>
      <c r="C50" s="25"/>
      <c r="D50" s="25"/>
      <c r="E50" s="207"/>
      <c r="F50" s="21"/>
      <c r="G50" s="41"/>
      <c r="H50" s="196"/>
      <c r="I50" s="35"/>
      <c r="J50" s="182"/>
      <c r="K50" s="223"/>
      <c r="L50" s="196"/>
      <c r="M50" s="35"/>
      <c r="N50" s="182"/>
      <c r="O50" s="35"/>
      <c r="P50" s="182"/>
      <c r="Q50" s="35"/>
      <c r="R50" s="182"/>
    </row>
    <row r="51" spans="1:18" x14ac:dyDescent="0.2">
      <c r="A51" s="25"/>
      <c r="B51" s="25" t="s">
        <v>29</v>
      </c>
      <c r="C51" s="25"/>
      <c r="D51" s="25"/>
      <c r="E51" s="207"/>
      <c r="F51" s="21"/>
      <c r="G51" s="41"/>
      <c r="H51" s="196"/>
      <c r="I51" s="184"/>
      <c r="J51" s="182"/>
      <c r="K51" s="223"/>
      <c r="L51" s="196"/>
      <c r="M51" s="35"/>
      <c r="N51" s="182"/>
      <c r="O51" s="35"/>
      <c r="P51" s="182"/>
      <c r="Q51" s="35"/>
      <c r="R51" s="182"/>
    </row>
    <row r="52" spans="1:18" x14ac:dyDescent="0.2">
      <c r="A52" s="25"/>
      <c r="B52" s="25"/>
      <c r="C52" s="25" t="s">
        <v>102</v>
      </c>
      <c r="D52" s="25">
        <v>1</v>
      </c>
      <c r="E52" s="130"/>
      <c r="F52" s="224" t="s">
        <v>42</v>
      </c>
      <c r="G52" s="41">
        <v>1.0546875</v>
      </c>
      <c r="H52" s="131"/>
      <c r="I52" s="35">
        <v>1.0546875</v>
      </c>
      <c r="J52" s="200">
        <f>E52*H52</f>
        <v>0</v>
      </c>
      <c r="K52" s="223">
        <v>0</v>
      </c>
      <c r="L52" s="212"/>
      <c r="M52" s="35">
        <v>0</v>
      </c>
      <c r="N52" s="200">
        <f>J52*L52</f>
        <v>0</v>
      </c>
      <c r="O52" s="35">
        <v>1.0546875</v>
      </c>
      <c r="P52" s="200">
        <f>+J52-N52</f>
        <v>0</v>
      </c>
      <c r="Q52" s="35">
        <v>675</v>
      </c>
      <c r="R52" s="200">
        <f>+J52*E$7</f>
        <v>0</v>
      </c>
    </row>
    <row r="53" spans="1:18" x14ac:dyDescent="0.2">
      <c r="A53" s="25"/>
      <c r="B53" s="25"/>
      <c r="C53" s="25" t="s">
        <v>103</v>
      </c>
      <c r="D53" s="25">
        <v>0</v>
      </c>
      <c r="E53" s="130"/>
      <c r="F53" s="224" t="s">
        <v>79</v>
      </c>
      <c r="G53" s="41">
        <v>3.09</v>
      </c>
      <c r="H53" s="131"/>
      <c r="I53" s="35">
        <v>0</v>
      </c>
      <c r="J53" s="200">
        <f>E53*H53</f>
        <v>0</v>
      </c>
      <c r="K53" s="223">
        <v>0</v>
      </c>
      <c r="L53" s="212"/>
      <c r="M53" s="35">
        <v>0</v>
      </c>
      <c r="N53" s="200">
        <f>J53*L53</f>
        <v>0</v>
      </c>
      <c r="O53" s="35">
        <v>0</v>
      </c>
      <c r="P53" s="200">
        <f>+J53-N53</f>
        <v>0</v>
      </c>
      <c r="Q53" s="35">
        <v>0</v>
      </c>
      <c r="R53" s="200">
        <f>+J53*E$7</f>
        <v>0</v>
      </c>
    </row>
    <row r="54" spans="1:18" x14ac:dyDescent="0.2">
      <c r="A54" s="25"/>
      <c r="B54" s="25"/>
      <c r="C54" s="25"/>
      <c r="D54" s="25"/>
      <c r="E54" s="207"/>
      <c r="F54" s="21"/>
      <c r="G54" s="41"/>
      <c r="H54" s="196"/>
      <c r="I54" s="35"/>
      <c r="J54" s="182"/>
      <c r="K54" s="223"/>
      <c r="L54" s="196"/>
      <c r="M54" s="35"/>
      <c r="N54" s="182"/>
      <c r="O54" s="35"/>
      <c r="P54" s="182"/>
      <c r="Q54" s="35"/>
      <c r="R54" s="182"/>
    </row>
    <row r="55" spans="1:18" x14ac:dyDescent="0.2">
      <c r="A55" s="25"/>
      <c r="B55" s="25" t="s">
        <v>47</v>
      </c>
      <c r="C55" s="25"/>
      <c r="D55" s="25"/>
      <c r="E55" s="207"/>
      <c r="F55" s="21"/>
      <c r="G55" s="41"/>
      <c r="H55" s="197"/>
      <c r="I55" s="184"/>
      <c r="J55" s="182"/>
      <c r="K55" s="223"/>
      <c r="L55" s="197"/>
      <c r="M55" s="35"/>
      <c r="N55" s="182"/>
      <c r="O55" s="35"/>
      <c r="P55" s="182"/>
      <c r="Q55" s="35"/>
      <c r="R55" s="182"/>
    </row>
    <row r="56" spans="1:18" x14ac:dyDescent="0.2">
      <c r="A56" s="25"/>
      <c r="B56" s="25"/>
      <c r="C56" s="25" t="s">
        <v>102</v>
      </c>
      <c r="D56" s="25">
        <v>1</v>
      </c>
      <c r="E56" s="130"/>
      <c r="F56" s="224" t="s">
        <v>42</v>
      </c>
      <c r="G56" s="41">
        <v>0.3515625</v>
      </c>
      <c r="H56" s="131"/>
      <c r="I56" s="35">
        <v>0.3515625</v>
      </c>
      <c r="J56" s="200">
        <f t="shared" ref="J56:J61" si="12">E56*H56</f>
        <v>0</v>
      </c>
      <c r="K56" s="223">
        <v>0</v>
      </c>
      <c r="L56" s="212"/>
      <c r="M56" s="35">
        <v>0</v>
      </c>
      <c r="N56" s="200">
        <f t="shared" ref="N56:N61" si="13">J56*L56</f>
        <v>0</v>
      </c>
      <c r="O56" s="35">
        <v>0.3515625</v>
      </c>
      <c r="P56" s="200">
        <f t="shared" ref="P56:P61" si="14">+J56-N56</f>
        <v>0</v>
      </c>
      <c r="Q56" s="35">
        <v>225</v>
      </c>
      <c r="R56" s="200">
        <f t="shared" ref="R56:R61" si="15">+J56*E$7</f>
        <v>0</v>
      </c>
    </row>
    <row r="57" spans="1:18" x14ac:dyDescent="0.2">
      <c r="A57" s="25"/>
      <c r="B57" s="25"/>
      <c r="C57" s="25" t="s">
        <v>46</v>
      </c>
      <c r="D57" s="25">
        <v>1</v>
      </c>
      <c r="E57" s="130"/>
      <c r="F57" s="224" t="s">
        <v>42</v>
      </c>
      <c r="G57" s="41">
        <v>13.113339999999999</v>
      </c>
      <c r="H57" s="131"/>
      <c r="I57" s="35">
        <v>13.113339999999999</v>
      </c>
      <c r="J57" s="200">
        <f t="shared" si="12"/>
        <v>0</v>
      </c>
      <c r="K57" s="223">
        <v>0</v>
      </c>
      <c r="L57" s="212"/>
      <c r="M57" s="35">
        <v>0</v>
      </c>
      <c r="N57" s="200">
        <f t="shared" si="13"/>
        <v>0</v>
      </c>
      <c r="O57" s="35">
        <v>13.113339999999999</v>
      </c>
      <c r="P57" s="200">
        <f t="shared" si="14"/>
        <v>0</v>
      </c>
      <c r="Q57" s="35">
        <v>8392.5375999999997</v>
      </c>
      <c r="R57" s="200">
        <f t="shared" si="15"/>
        <v>0</v>
      </c>
    </row>
    <row r="58" spans="1:18" x14ac:dyDescent="0.2">
      <c r="A58" s="25"/>
      <c r="B58" s="25"/>
      <c r="C58" s="25" t="s">
        <v>103</v>
      </c>
      <c r="D58" s="25">
        <v>1</v>
      </c>
      <c r="E58" s="130"/>
      <c r="F58" s="224" t="s">
        <v>42</v>
      </c>
      <c r="G58" s="41">
        <v>11.298695813929395</v>
      </c>
      <c r="H58" s="131"/>
      <c r="I58" s="35">
        <v>11.298695813929395</v>
      </c>
      <c r="J58" s="200">
        <f t="shared" si="12"/>
        <v>0</v>
      </c>
      <c r="K58" s="223">
        <v>0</v>
      </c>
      <c r="L58" s="212"/>
      <c r="M58" s="35">
        <v>0</v>
      </c>
      <c r="N58" s="200">
        <f t="shared" si="13"/>
        <v>0</v>
      </c>
      <c r="O58" s="35">
        <v>11.298695813929395</v>
      </c>
      <c r="P58" s="200">
        <f t="shared" si="14"/>
        <v>0</v>
      </c>
      <c r="Q58" s="35">
        <v>7231.1653209148135</v>
      </c>
      <c r="R58" s="200">
        <f t="shared" si="15"/>
        <v>0</v>
      </c>
    </row>
    <row r="59" spans="1:18" x14ac:dyDescent="0.2">
      <c r="A59" s="25"/>
      <c r="B59" s="25"/>
      <c r="C59" s="25" t="s">
        <v>5</v>
      </c>
      <c r="D59" s="25">
        <v>1</v>
      </c>
      <c r="E59" s="130"/>
      <c r="F59" s="224" t="s">
        <v>42</v>
      </c>
      <c r="G59" s="41">
        <v>10.672931282874973</v>
      </c>
      <c r="H59" s="131"/>
      <c r="I59" s="35">
        <v>10.672931282874973</v>
      </c>
      <c r="J59" s="200">
        <f t="shared" si="12"/>
        <v>0</v>
      </c>
      <c r="K59" s="223">
        <v>0</v>
      </c>
      <c r="L59" s="212"/>
      <c r="M59" s="35">
        <v>0</v>
      </c>
      <c r="N59" s="200">
        <f t="shared" si="13"/>
        <v>0</v>
      </c>
      <c r="O59" s="35">
        <v>10.672931282874973</v>
      </c>
      <c r="P59" s="200">
        <f t="shared" si="14"/>
        <v>0</v>
      </c>
      <c r="Q59" s="35">
        <v>6830.6760210399825</v>
      </c>
      <c r="R59" s="200">
        <f t="shared" si="15"/>
        <v>0</v>
      </c>
    </row>
    <row r="60" spans="1:18" x14ac:dyDescent="0.2">
      <c r="A60" s="25"/>
      <c r="B60" s="131"/>
      <c r="C60" s="131"/>
      <c r="D60" s="25"/>
      <c r="E60" s="130"/>
      <c r="F60" s="224"/>
      <c r="G60" s="41"/>
      <c r="H60" s="131"/>
      <c r="I60" s="35">
        <v>0</v>
      </c>
      <c r="J60" s="200">
        <f t="shared" si="12"/>
        <v>0</v>
      </c>
      <c r="K60" s="223">
        <v>0</v>
      </c>
      <c r="L60" s="212"/>
      <c r="M60" s="35">
        <v>0</v>
      </c>
      <c r="N60" s="200">
        <f t="shared" si="13"/>
        <v>0</v>
      </c>
      <c r="O60" s="35">
        <v>0</v>
      </c>
      <c r="P60" s="200">
        <f t="shared" si="14"/>
        <v>0</v>
      </c>
      <c r="Q60" s="35">
        <v>0</v>
      </c>
      <c r="R60" s="200">
        <f t="shared" si="15"/>
        <v>0</v>
      </c>
    </row>
    <row r="61" spans="1:18" x14ac:dyDescent="0.2">
      <c r="A61" s="25"/>
      <c r="B61" s="131"/>
      <c r="C61" s="131"/>
      <c r="D61" s="25"/>
      <c r="E61" s="130"/>
      <c r="F61" s="224"/>
      <c r="G61" s="41"/>
      <c r="H61" s="131"/>
      <c r="I61" s="35">
        <v>0</v>
      </c>
      <c r="J61" s="200">
        <f t="shared" si="12"/>
        <v>0</v>
      </c>
      <c r="K61" s="223">
        <v>0</v>
      </c>
      <c r="L61" s="212"/>
      <c r="M61" s="35">
        <v>0</v>
      </c>
      <c r="N61" s="200">
        <f t="shared" si="13"/>
        <v>0</v>
      </c>
      <c r="O61" s="35">
        <v>0</v>
      </c>
      <c r="P61" s="200">
        <f t="shared" si="14"/>
        <v>0</v>
      </c>
      <c r="Q61" s="35">
        <v>0</v>
      </c>
      <c r="R61" s="200">
        <f t="shared" si="15"/>
        <v>0</v>
      </c>
    </row>
    <row r="62" spans="1:18" ht="13.5" thickBot="1" x14ac:dyDescent="0.25">
      <c r="A62" s="25"/>
      <c r="B62" s="25" t="s">
        <v>32</v>
      </c>
      <c r="C62" s="25"/>
      <c r="D62" s="25"/>
      <c r="E62" s="195"/>
      <c r="F62" s="21"/>
      <c r="G62" s="39">
        <v>0.09</v>
      </c>
      <c r="H62" s="213"/>
      <c r="I62" s="42">
        <v>31.531149450708835</v>
      </c>
      <c r="J62" s="200">
        <f>+SUM(J17:J61)/2*H62</f>
        <v>0</v>
      </c>
      <c r="K62" s="86"/>
      <c r="L62" s="135"/>
      <c r="M62" s="42">
        <v>0</v>
      </c>
      <c r="N62" s="200">
        <f>+SUM(N17:N61)/2*L62</f>
        <v>0</v>
      </c>
      <c r="O62" s="42">
        <v>31.531149450708835</v>
      </c>
      <c r="P62" s="200">
        <f>+SUM(P17:P61)/2*L62</f>
        <v>0</v>
      </c>
      <c r="Q62" s="42">
        <v>20179.935648453655</v>
      </c>
      <c r="R62" s="182">
        <f>+J62*E$7</f>
        <v>0</v>
      </c>
    </row>
    <row r="63" spans="1:18" ht="13.5" thickBot="1" x14ac:dyDescent="0.25">
      <c r="A63" s="25" t="s">
        <v>33</v>
      </c>
      <c r="B63" s="25"/>
      <c r="C63" s="25"/>
      <c r="D63" s="25"/>
      <c r="E63" s="198"/>
      <c r="F63" s="25"/>
      <c r="G63" s="25"/>
      <c r="H63" s="195"/>
      <c r="I63" s="87">
        <v>657.05385154751332</v>
      </c>
      <c r="J63" s="202">
        <f>SUM(J18:J62)</f>
        <v>0</v>
      </c>
      <c r="K63" s="35"/>
      <c r="L63" s="193"/>
      <c r="M63" s="87">
        <v>0</v>
      </c>
      <c r="N63" s="202">
        <f>SUM(N18:N62)</f>
        <v>0</v>
      </c>
      <c r="O63" s="87">
        <v>657.05385154751332</v>
      </c>
      <c r="P63" s="202">
        <f>SUM(P18:P62)</f>
        <v>0</v>
      </c>
      <c r="Q63" s="87">
        <v>420514.46499040845</v>
      </c>
      <c r="R63" s="202">
        <f>SUM(R18:R62)</f>
        <v>0</v>
      </c>
    </row>
    <row r="64" spans="1:18" ht="13.5" thickTop="1" x14ac:dyDescent="0.2">
      <c r="A64" s="25" t="s">
        <v>34</v>
      </c>
      <c r="B64" s="25"/>
      <c r="C64" s="25"/>
      <c r="D64" s="25"/>
      <c r="E64" s="198"/>
      <c r="F64" s="25"/>
      <c r="G64" s="25"/>
      <c r="H64" s="195"/>
      <c r="I64" s="35">
        <v>405.66614845248671</v>
      </c>
      <c r="J64" s="200">
        <f>+J13-J63</f>
        <v>0</v>
      </c>
      <c r="K64" s="35"/>
      <c r="L64" s="193"/>
      <c r="M64" s="35">
        <v>0</v>
      </c>
      <c r="N64" s="200">
        <f>+N13-N63</f>
        <v>0</v>
      </c>
      <c r="O64" s="35">
        <v>405.66614845248671</v>
      </c>
      <c r="P64" s="200">
        <f>+P13-P63</f>
        <v>0</v>
      </c>
      <c r="Q64" s="35">
        <v>259626.3350095916</v>
      </c>
      <c r="R64" s="200">
        <f>+R13-R63</f>
        <v>0</v>
      </c>
    </row>
    <row r="65" spans="1:18" x14ac:dyDescent="0.2">
      <c r="A65" s="25"/>
      <c r="B65" s="25" t="s">
        <v>35</v>
      </c>
      <c r="C65" s="25"/>
      <c r="D65" s="25"/>
      <c r="E65" s="208"/>
      <c r="F65" s="17"/>
      <c r="G65" s="40">
        <v>0.50080324050877545</v>
      </c>
      <c r="H65" s="208" t="str">
        <f>IF(E10=0,"n/a",(YVarExp-(YTotExp+YTotRet-J10))/E10)</f>
        <v>n/a</v>
      </c>
      <c r="I65" s="25" t="s">
        <v>82</v>
      </c>
      <c r="J65" s="182"/>
      <c r="K65" s="25"/>
      <c r="L65" s="195"/>
      <c r="M65" s="25"/>
      <c r="N65" s="182"/>
      <c r="O65" s="25"/>
      <c r="P65" s="182"/>
      <c r="Q65" s="25"/>
      <c r="R65" s="182"/>
    </row>
    <row r="66" spans="1:18" x14ac:dyDescent="0.2">
      <c r="A66" s="25"/>
      <c r="B66" s="25"/>
      <c r="C66" s="25"/>
      <c r="D66" s="25"/>
      <c r="E66" s="176"/>
      <c r="F66" s="25"/>
      <c r="G66" s="25"/>
      <c r="H66" s="209"/>
      <c r="I66" s="25"/>
      <c r="J66" s="182"/>
      <c r="K66" s="25"/>
      <c r="L66" s="195"/>
      <c r="M66" s="25"/>
      <c r="N66" s="182"/>
      <c r="O66" s="25"/>
      <c r="P66" s="182"/>
      <c r="Q66" s="22" t="s">
        <v>19</v>
      </c>
      <c r="R66" s="182" t="s">
        <v>19</v>
      </c>
    </row>
    <row r="67" spans="1:18" x14ac:dyDescent="0.2">
      <c r="A67" s="23" t="s">
        <v>36</v>
      </c>
      <c r="B67" s="23"/>
      <c r="C67" s="23"/>
      <c r="D67" s="24" t="s">
        <v>2</v>
      </c>
      <c r="E67" s="194" t="s">
        <v>2</v>
      </c>
      <c r="F67" s="24" t="s">
        <v>21</v>
      </c>
      <c r="G67" s="24" t="s">
        <v>22</v>
      </c>
      <c r="H67" s="194" t="s">
        <v>22</v>
      </c>
      <c r="I67" s="24" t="s">
        <v>12</v>
      </c>
      <c r="J67" s="194" t="s">
        <v>12</v>
      </c>
      <c r="K67" s="24" t="s">
        <v>11</v>
      </c>
      <c r="L67" s="194" t="s">
        <v>11</v>
      </c>
      <c r="M67" s="24" t="s">
        <v>10</v>
      </c>
      <c r="N67" s="194" t="s">
        <v>10</v>
      </c>
      <c r="O67" s="24" t="s">
        <v>9</v>
      </c>
      <c r="P67" s="194" t="s">
        <v>9</v>
      </c>
      <c r="Q67" s="24" t="s">
        <v>12</v>
      </c>
      <c r="R67" s="206" t="s">
        <v>12</v>
      </c>
    </row>
    <row r="68" spans="1:18" x14ac:dyDescent="0.2">
      <c r="A68" s="25"/>
      <c r="B68" s="25" t="s">
        <v>104</v>
      </c>
      <c r="C68" s="25"/>
      <c r="D68" s="25"/>
      <c r="E68" s="176"/>
      <c r="F68" s="25"/>
      <c r="G68" s="25"/>
      <c r="H68" s="209"/>
      <c r="I68" s="184"/>
      <c r="J68" s="182"/>
      <c r="K68" s="223"/>
      <c r="L68" s="195"/>
      <c r="M68" s="25"/>
      <c r="N68" s="182"/>
      <c r="O68" s="25"/>
      <c r="P68" s="182"/>
      <c r="Q68" s="25"/>
      <c r="R68" s="182"/>
    </row>
    <row r="69" spans="1:18" x14ac:dyDescent="0.2">
      <c r="A69" s="25"/>
      <c r="B69" s="25"/>
      <c r="C69" s="25" t="s">
        <v>102</v>
      </c>
      <c r="D69" s="25">
        <v>1</v>
      </c>
      <c r="E69" s="130"/>
      <c r="F69" s="224" t="s">
        <v>42</v>
      </c>
      <c r="G69" s="41">
        <v>0.48808593750000001</v>
      </c>
      <c r="H69" s="131"/>
      <c r="I69" s="35">
        <v>0.48808593750000001</v>
      </c>
      <c r="J69" s="200">
        <f t="shared" ref="J69:J72" si="16">E69*H69</f>
        <v>0</v>
      </c>
      <c r="K69" s="223">
        <v>0</v>
      </c>
      <c r="L69" s="212"/>
      <c r="M69" s="35">
        <v>0</v>
      </c>
      <c r="N69" s="200">
        <f>J69*L69</f>
        <v>0</v>
      </c>
      <c r="O69" s="35">
        <v>0.48808593750000001</v>
      </c>
      <c r="P69" s="200">
        <f t="shared" ref="P69:P72" si="17">+J69-N69</f>
        <v>0</v>
      </c>
      <c r="Q69" s="35">
        <v>312.375</v>
      </c>
      <c r="R69" s="200">
        <f t="shared" ref="R69:R72" si="18">+J69*E$7</f>
        <v>0</v>
      </c>
    </row>
    <row r="70" spans="1:18" x14ac:dyDescent="0.2">
      <c r="A70" s="25"/>
      <c r="B70" s="25"/>
      <c r="C70" s="25" t="s">
        <v>46</v>
      </c>
      <c r="D70" s="25">
        <v>1</v>
      </c>
      <c r="E70" s="130"/>
      <c r="F70" s="224" t="s">
        <v>42</v>
      </c>
      <c r="G70" s="41">
        <v>24.375</v>
      </c>
      <c r="H70" s="131"/>
      <c r="I70" s="35">
        <v>24.375</v>
      </c>
      <c r="J70" s="200">
        <f t="shared" si="16"/>
        <v>0</v>
      </c>
      <c r="K70" s="223">
        <v>0</v>
      </c>
      <c r="L70" s="212"/>
      <c r="M70" s="35">
        <v>0</v>
      </c>
      <c r="N70" s="200">
        <f>J70*L70</f>
        <v>0</v>
      </c>
      <c r="O70" s="35">
        <v>24.375</v>
      </c>
      <c r="P70" s="200">
        <f t="shared" si="17"/>
        <v>0</v>
      </c>
      <c r="Q70" s="35">
        <v>15600</v>
      </c>
      <c r="R70" s="200">
        <f t="shared" si="18"/>
        <v>0</v>
      </c>
    </row>
    <row r="71" spans="1:18" x14ac:dyDescent="0.2">
      <c r="A71" s="25"/>
      <c r="B71" s="25"/>
      <c r="C71" s="25" t="s">
        <v>103</v>
      </c>
      <c r="D71" s="25">
        <v>1</v>
      </c>
      <c r="E71" s="130"/>
      <c r="F71" s="224" t="s">
        <v>42</v>
      </c>
      <c r="G71" s="41">
        <v>11.675319007727042</v>
      </c>
      <c r="H71" s="131"/>
      <c r="I71" s="35">
        <v>11.675319007727042</v>
      </c>
      <c r="J71" s="200">
        <f t="shared" si="16"/>
        <v>0</v>
      </c>
      <c r="K71" s="223">
        <v>0</v>
      </c>
      <c r="L71" s="212"/>
      <c r="M71" s="35">
        <v>0</v>
      </c>
      <c r="N71" s="200">
        <f>J71*L71</f>
        <v>0</v>
      </c>
      <c r="O71" s="35">
        <v>11.675319007727042</v>
      </c>
      <c r="P71" s="200">
        <f t="shared" si="17"/>
        <v>0</v>
      </c>
      <c r="Q71" s="35">
        <v>7472.2041649453067</v>
      </c>
      <c r="R71" s="200">
        <f t="shared" si="18"/>
        <v>0</v>
      </c>
    </row>
    <row r="72" spans="1:18" x14ac:dyDescent="0.2">
      <c r="A72" s="25"/>
      <c r="B72" s="25"/>
      <c r="C72" s="25" t="s">
        <v>5</v>
      </c>
      <c r="D72" s="25">
        <v>1</v>
      </c>
      <c r="E72" s="130"/>
      <c r="F72" s="224" t="s">
        <v>42</v>
      </c>
      <c r="G72" s="41">
        <v>13.914903176865298</v>
      </c>
      <c r="H72" s="131"/>
      <c r="I72" s="35">
        <v>13.914903176865298</v>
      </c>
      <c r="J72" s="200">
        <f t="shared" si="16"/>
        <v>0</v>
      </c>
      <c r="K72" s="223">
        <v>0</v>
      </c>
      <c r="L72" s="212"/>
      <c r="M72" s="35">
        <v>0</v>
      </c>
      <c r="N72" s="200">
        <f>J72*L72</f>
        <v>0</v>
      </c>
      <c r="O72" s="35">
        <v>13.914903176865298</v>
      </c>
      <c r="P72" s="200">
        <f t="shared" si="17"/>
        <v>0</v>
      </c>
      <c r="Q72" s="35">
        <v>8905.5380331937904</v>
      </c>
      <c r="R72" s="200">
        <f t="shared" si="18"/>
        <v>0</v>
      </c>
    </row>
    <row r="73" spans="1:18" x14ac:dyDescent="0.2">
      <c r="A73" s="25"/>
      <c r="B73" s="25" t="s">
        <v>88</v>
      </c>
      <c r="C73" s="25"/>
      <c r="D73" s="25"/>
      <c r="E73" s="195"/>
      <c r="F73" s="21"/>
      <c r="G73" s="41"/>
      <c r="H73" s="195"/>
      <c r="I73" s="184"/>
      <c r="J73" s="182"/>
      <c r="K73" s="223"/>
      <c r="L73" s="195"/>
      <c r="M73" s="35"/>
      <c r="N73" s="182"/>
      <c r="O73" s="35"/>
      <c r="P73" s="182"/>
      <c r="Q73" s="35"/>
      <c r="R73" s="182"/>
    </row>
    <row r="74" spans="1:18" x14ac:dyDescent="0.2">
      <c r="A74" s="25"/>
      <c r="B74" s="25"/>
      <c r="C74" s="25" t="s">
        <v>102</v>
      </c>
      <c r="D74" s="41">
        <v>3.4189453125</v>
      </c>
      <c r="E74" s="130"/>
      <c r="F74" s="224" t="s">
        <v>99</v>
      </c>
      <c r="G74" s="39">
        <v>0.08</v>
      </c>
      <c r="H74" s="213"/>
      <c r="I74" s="35">
        <v>0.27351562499999998</v>
      </c>
      <c r="J74" s="200">
        <f t="shared" ref="J74:J84" si="19">E74*H74</f>
        <v>0</v>
      </c>
      <c r="K74" s="223">
        <v>0</v>
      </c>
      <c r="L74" s="212"/>
      <c r="M74" s="35">
        <v>0</v>
      </c>
      <c r="N74" s="200">
        <f>J74*L74</f>
        <v>0</v>
      </c>
      <c r="O74" s="35">
        <v>0.27351562499999998</v>
      </c>
      <c r="P74" s="200">
        <f t="shared" ref="P74:P77" si="20">+J74-N74</f>
        <v>0</v>
      </c>
      <c r="Q74" s="35">
        <v>175.04999999999998</v>
      </c>
      <c r="R74" s="200">
        <f t="shared" ref="R74:R77" si="21">+J74*E$7</f>
        <v>0</v>
      </c>
    </row>
    <row r="75" spans="1:18" x14ac:dyDescent="0.2">
      <c r="A75" s="25"/>
      <c r="B75" s="25"/>
      <c r="C75" s="25" t="s">
        <v>46</v>
      </c>
      <c r="D75" s="41">
        <v>710.9375</v>
      </c>
      <c r="E75" s="130"/>
      <c r="F75" s="224" t="s">
        <v>99</v>
      </c>
      <c r="G75" s="39">
        <v>0.08</v>
      </c>
      <c r="H75" s="213"/>
      <c r="I75" s="35">
        <v>56.875</v>
      </c>
      <c r="J75" s="200">
        <f t="shared" si="19"/>
        <v>0</v>
      </c>
      <c r="K75" s="223">
        <v>0</v>
      </c>
      <c r="L75" s="212"/>
      <c r="M75" s="35">
        <v>0</v>
      </c>
      <c r="N75" s="200">
        <f>J75*L75</f>
        <v>0</v>
      </c>
      <c r="O75" s="35">
        <v>56.875</v>
      </c>
      <c r="P75" s="200">
        <f t="shared" si="20"/>
        <v>0</v>
      </c>
      <c r="Q75" s="35">
        <v>36400</v>
      </c>
      <c r="R75" s="200">
        <f t="shared" si="21"/>
        <v>0</v>
      </c>
    </row>
    <row r="76" spans="1:18" x14ac:dyDescent="0.2">
      <c r="A76" s="25"/>
      <c r="B76" s="25"/>
      <c r="C76" s="25" t="s">
        <v>103</v>
      </c>
      <c r="D76" s="41">
        <v>90.954501302131618</v>
      </c>
      <c r="E76" s="130"/>
      <c r="F76" s="224" t="s">
        <v>99</v>
      </c>
      <c r="G76" s="39">
        <v>0.08</v>
      </c>
      <c r="H76" s="213"/>
      <c r="I76" s="35">
        <v>7.2763601041705295</v>
      </c>
      <c r="J76" s="200">
        <f t="shared" si="19"/>
        <v>0</v>
      </c>
      <c r="K76" s="223">
        <v>0</v>
      </c>
      <c r="L76" s="212"/>
      <c r="M76" s="35">
        <v>0</v>
      </c>
      <c r="N76" s="200">
        <f>J76*L76</f>
        <v>0</v>
      </c>
      <c r="O76" s="35">
        <v>7.2763601041705295</v>
      </c>
      <c r="P76" s="200">
        <f t="shared" si="20"/>
        <v>0</v>
      </c>
      <c r="Q76" s="35">
        <v>4656.8704666691392</v>
      </c>
      <c r="R76" s="200">
        <f t="shared" si="21"/>
        <v>0</v>
      </c>
    </row>
    <row r="77" spans="1:18" x14ac:dyDescent="0.2">
      <c r="A77" s="25"/>
      <c r="B77" s="25"/>
      <c r="C77" s="25" t="s">
        <v>5</v>
      </c>
      <c r="D77" s="41">
        <v>59.524863589923783</v>
      </c>
      <c r="E77" s="130"/>
      <c r="F77" s="224" t="s">
        <v>99</v>
      </c>
      <c r="G77" s="39">
        <v>0.08</v>
      </c>
      <c r="H77" s="213"/>
      <c r="I77" s="35">
        <v>4.7619890871939026</v>
      </c>
      <c r="J77" s="200">
        <f t="shared" si="19"/>
        <v>0</v>
      </c>
      <c r="K77" s="223">
        <v>0</v>
      </c>
      <c r="L77" s="212"/>
      <c r="M77" s="35">
        <v>0</v>
      </c>
      <c r="N77" s="200">
        <f>J77*L77</f>
        <v>0</v>
      </c>
      <c r="O77" s="35">
        <v>4.7619890871939026</v>
      </c>
      <c r="P77" s="200">
        <f t="shared" si="20"/>
        <v>0</v>
      </c>
      <c r="Q77" s="35">
        <v>3047.6730158040978</v>
      </c>
      <c r="R77" s="200">
        <f t="shared" si="21"/>
        <v>0</v>
      </c>
    </row>
    <row r="78" spans="1:18" x14ac:dyDescent="0.2">
      <c r="A78" s="25"/>
      <c r="B78" s="25" t="s">
        <v>156</v>
      </c>
      <c r="C78" s="25"/>
      <c r="D78" s="25">
        <v>1</v>
      </c>
      <c r="E78" s="130"/>
      <c r="F78" s="224" t="s">
        <v>42</v>
      </c>
      <c r="G78" s="41">
        <v>0</v>
      </c>
      <c r="H78" s="131"/>
      <c r="I78" s="35">
        <v>0</v>
      </c>
      <c r="J78" s="200">
        <f t="shared" si="19"/>
        <v>0</v>
      </c>
      <c r="K78" s="223">
        <v>0</v>
      </c>
      <c r="L78" s="212"/>
      <c r="M78" s="35">
        <v>0</v>
      </c>
      <c r="N78" s="200">
        <f t="shared" ref="N78:N85" si="22">J78*L78</f>
        <v>0</v>
      </c>
      <c r="O78" s="35">
        <v>0</v>
      </c>
      <c r="P78" s="200">
        <f t="shared" ref="P78:P85" si="23">+J78-N78</f>
        <v>0</v>
      </c>
      <c r="Q78" s="35">
        <v>0</v>
      </c>
      <c r="R78" s="200">
        <f t="shared" ref="R78:R85" si="24">+J78*E$7</f>
        <v>0</v>
      </c>
    </row>
    <row r="79" spans="1:18" x14ac:dyDescent="0.2">
      <c r="A79" s="25"/>
      <c r="B79" s="25" t="s">
        <v>152</v>
      </c>
      <c r="C79" s="25"/>
      <c r="D79" s="25">
        <v>1</v>
      </c>
      <c r="E79" s="130"/>
      <c r="F79" s="224" t="s">
        <v>42</v>
      </c>
      <c r="G79" s="41">
        <v>0</v>
      </c>
      <c r="H79" s="131"/>
      <c r="I79" s="35">
        <v>0</v>
      </c>
      <c r="J79" s="200">
        <f t="shared" si="19"/>
        <v>0</v>
      </c>
      <c r="K79" s="223">
        <v>0</v>
      </c>
      <c r="L79" s="212"/>
      <c r="M79" s="35">
        <v>0</v>
      </c>
      <c r="N79" s="200">
        <f t="shared" si="22"/>
        <v>0</v>
      </c>
      <c r="O79" s="35">
        <v>0</v>
      </c>
      <c r="P79" s="200">
        <f t="shared" si="23"/>
        <v>0</v>
      </c>
      <c r="Q79" s="35">
        <v>0</v>
      </c>
      <c r="R79" s="200">
        <f t="shared" si="24"/>
        <v>0</v>
      </c>
    </row>
    <row r="80" spans="1:18" x14ac:dyDescent="0.2">
      <c r="A80" s="25"/>
      <c r="B80" s="25" t="s">
        <v>137</v>
      </c>
      <c r="C80" s="25"/>
      <c r="D80" s="25">
        <v>1</v>
      </c>
      <c r="E80" s="130"/>
      <c r="F80" s="224" t="s">
        <v>42</v>
      </c>
      <c r="G80" s="41">
        <v>0</v>
      </c>
      <c r="H80" s="131"/>
      <c r="I80" s="35">
        <v>0</v>
      </c>
      <c r="J80" s="200">
        <f t="shared" si="19"/>
        <v>0</v>
      </c>
      <c r="K80" s="223">
        <v>0</v>
      </c>
      <c r="L80" s="212"/>
      <c r="M80" s="35">
        <v>0</v>
      </c>
      <c r="N80" s="200">
        <f t="shared" si="22"/>
        <v>0</v>
      </c>
      <c r="O80" s="35">
        <v>0</v>
      </c>
      <c r="P80" s="200">
        <f t="shared" si="23"/>
        <v>0</v>
      </c>
      <c r="Q80" s="35">
        <v>0</v>
      </c>
      <c r="R80" s="200">
        <f t="shared" si="24"/>
        <v>0</v>
      </c>
    </row>
    <row r="81" spans="1:18" x14ac:dyDescent="0.2">
      <c r="A81" s="25"/>
      <c r="B81" s="25" t="s">
        <v>417</v>
      </c>
      <c r="C81" s="25"/>
      <c r="D81" s="25">
        <v>1</v>
      </c>
      <c r="E81" s="130"/>
      <c r="F81" s="224" t="s">
        <v>42</v>
      </c>
      <c r="G81" s="41">
        <v>90</v>
      </c>
      <c r="H81" s="131"/>
      <c r="I81" s="35">
        <v>90</v>
      </c>
      <c r="J81" s="200">
        <f t="shared" si="19"/>
        <v>0</v>
      </c>
      <c r="K81" s="223">
        <v>0</v>
      </c>
      <c r="L81" s="212"/>
      <c r="M81" s="35">
        <v>0</v>
      </c>
      <c r="N81" s="200">
        <f t="shared" si="22"/>
        <v>0</v>
      </c>
      <c r="O81" s="35">
        <v>90</v>
      </c>
      <c r="P81" s="200">
        <f t="shared" si="23"/>
        <v>0</v>
      </c>
      <c r="Q81" s="35">
        <v>57600</v>
      </c>
      <c r="R81" s="200">
        <f t="shared" si="24"/>
        <v>0</v>
      </c>
    </row>
    <row r="82" spans="1:18" x14ac:dyDescent="0.2">
      <c r="A82" s="25"/>
      <c r="B82" s="25" t="s">
        <v>159</v>
      </c>
      <c r="C82" s="25"/>
      <c r="D82" s="25">
        <v>1</v>
      </c>
      <c r="E82" s="130"/>
      <c r="F82" s="224" t="s">
        <v>42</v>
      </c>
      <c r="G82" s="41">
        <v>0</v>
      </c>
      <c r="H82" s="131"/>
      <c r="I82" s="35">
        <v>0</v>
      </c>
      <c r="J82" s="200">
        <f t="shared" si="19"/>
        <v>0</v>
      </c>
      <c r="K82" s="223">
        <v>0</v>
      </c>
      <c r="L82" s="212"/>
      <c r="M82" s="35">
        <v>0</v>
      </c>
      <c r="N82" s="200">
        <f t="shared" si="22"/>
        <v>0</v>
      </c>
      <c r="O82" s="35">
        <v>0</v>
      </c>
      <c r="P82" s="200">
        <f t="shared" si="23"/>
        <v>0</v>
      </c>
      <c r="Q82" s="35">
        <v>0</v>
      </c>
      <c r="R82" s="200">
        <f t="shared" si="24"/>
        <v>0</v>
      </c>
    </row>
    <row r="83" spans="1:18" x14ac:dyDescent="0.2">
      <c r="A83" s="25"/>
      <c r="B83" s="25" t="s">
        <v>160</v>
      </c>
      <c r="C83" s="25"/>
      <c r="D83" s="25">
        <v>1</v>
      </c>
      <c r="E83" s="130"/>
      <c r="F83" s="224" t="s">
        <v>42</v>
      </c>
      <c r="G83" s="41">
        <v>0</v>
      </c>
      <c r="H83" s="131"/>
      <c r="I83" s="35">
        <v>0</v>
      </c>
      <c r="J83" s="200">
        <f t="shared" si="19"/>
        <v>0</v>
      </c>
      <c r="K83" s="223">
        <v>0</v>
      </c>
      <c r="L83" s="212"/>
      <c r="M83" s="35">
        <v>0</v>
      </c>
      <c r="N83" s="200">
        <f t="shared" si="22"/>
        <v>0</v>
      </c>
      <c r="O83" s="35">
        <v>0</v>
      </c>
      <c r="P83" s="200">
        <f t="shared" si="23"/>
        <v>0</v>
      </c>
      <c r="Q83" s="35">
        <v>0</v>
      </c>
      <c r="R83" s="200">
        <f t="shared" si="24"/>
        <v>0</v>
      </c>
    </row>
    <row r="84" spans="1:18" x14ac:dyDescent="0.2">
      <c r="A84" s="25"/>
      <c r="B84" s="131"/>
      <c r="C84" s="131"/>
      <c r="D84" s="25">
        <v>1</v>
      </c>
      <c r="E84" s="130"/>
      <c r="F84" s="224"/>
      <c r="G84" s="41">
        <v>0</v>
      </c>
      <c r="H84" s="131"/>
      <c r="I84" s="35">
        <v>0</v>
      </c>
      <c r="J84" s="200">
        <f t="shared" si="19"/>
        <v>0</v>
      </c>
      <c r="K84" s="223">
        <v>0</v>
      </c>
      <c r="L84" s="212"/>
      <c r="M84" s="35">
        <v>0</v>
      </c>
      <c r="N84" s="200">
        <f t="shared" si="22"/>
        <v>0</v>
      </c>
      <c r="O84" s="35">
        <v>0</v>
      </c>
      <c r="P84" s="200">
        <f t="shared" si="23"/>
        <v>0</v>
      </c>
      <c r="Q84" s="35">
        <v>0</v>
      </c>
      <c r="R84" s="200">
        <f t="shared" si="24"/>
        <v>0</v>
      </c>
    </row>
    <row r="85" spans="1:18" ht="13.5" thickBot="1" x14ac:dyDescent="0.25">
      <c r="A85" s="25"/>
      <c r="B85" s="131"/>
      <c r="C85" s="131"/>
      <c r="D85" s="25">
        <v>1</v>
      </c>
      <c r="E85" s="130"/>
      <c r="F85" s="224"/>
      <c r="G85" s="41">
        <v>0</v>
      </c>
      <c r="H85" s="131"/>
      <c r="I85" s="35">
        <v>0</v>
      </c>
      <c r="J85" s="200">
        <f>E85*H85</f>
        <v>0</v>
      </c>
      <c r="K85" s="223">
        <v>0</v>
      </c>
      <c r="L85" s="212"/>
      <c r="M85" s="35">
        <v>0</v>
      </c>
      <c r="N85" s="200">
        <f t="shared" si="22"/>
        <v>0</v>
      </c>
      <c r="O85" s="35">
        <v>0</v>
      </c>
      <c r="P85" s="200">
        <f t="shared" si="23"/>
        <v>0</v>
      </c>
      <c r="Q85" s="35">
        <v>0</v>
      </c>
      <c r="R85" s="200">
        <f t="shared" si="24"/>
        <v>0</v>
      </c>
    </row>
    <row r="86" spans="1:18" ht="13.5" thickBot="1" x14ac:dyDescent="0.25">
      <c r="A86" s="25" t="s">
        <v>37</v>
      </c>
      <c r="B86" s="25"/>
      <c r="C86" s="25"/>
      <c r="D86" s="25"/>
      <c r="E86" s="195"/>
      <c r="F86" s="25"/>
      <c r="G86" s="25"/>
      <c r="H86" s="195"/>
      <c r="I86" s="118">
        <v>209.64017293845677</v>
      </c>
      <c r="J86" s="202">
        <f>+SUM(J69:J85)</f>
        <v>0</v>
      </c>
      <c r="K86" s="35"/>
      <c r="L86" s="193"/>
      <c r="M86" s="118">
        <v>0</v>
      </c>
      <c r="N86" s="202">
        <f>+SUM(N69:N85)</f>
        <v>0</v>
      </c>
      <c r="O86" s="118">
        <v>209.64017293845677</v>
      </c>
      <c r="P86" s="202">
        <f>+SUM(P69:P85)</f>
        <v>0</v>
      </c>
      <c r="Q86" s="118">
        <v>134169.71068061233</v>
      </c>
      <c r="R86" s="202">
        <f>+SUM(R69:R85)</f>
        <v>0</v>
      </c>
    </row>
    <row r="87" spans="1:18" ht="14.25" thickTop="1" thickBot="1" x14ac:dyDescent="0.25">
      <c r="A87" s="25" t="s">
        <v>52</v>
      </c>
      <c r="B87" s="25"/>
      <c r="C87" s="25"/>
      <c r="D87" s="25"/>
      <c r="E87" s="195"/>
      <c r="F87" s="25"/>
      <c r="G87" s="25"/>
      <c r="H87" s="195"/>
      <c r="I87" s="87">
        <v>866.69402448597009</v>
      </c>
      <c r="J87" s="203">
        <f>+J63+J86</f>
        <v>0</v>
      </c>
      <c r="K87" s="35"/>
      <c r="L87" s="193"/>
      <c r="M87" s="87">
        <v>0</v>
      </c>
      <c r="N87" s="203">
        <f>+N63+N86</f>
        <v>0</v>
      </c>
      <c r="O87" s="87">
        <v>866.69402448597009</v>
      </c>
      <c r="P87" s="203">
        <f>+P63+P86</f>
        <v>0</v>
      </c>
      <c r="Q87" s="87">
        <v>554684.17567102076</v>
      </c>
      <c r="R87" s="203">
        <f>+R63+R86</f>
        <v>0</v>
      </c>
    </row>
    <row r="88" spans="1:18" ht="13.5" thickTop="1" x14ac:dyDescent="0.2">
      <c r="A88" s="25"/>
      <c r="B88" s="25"/>
      <c r="C88" s="25"/>
      <c r="D88" s="25"/>
      <c r="E88" s="195"/>
      <c r="F88" s="25"/>
      <c r="G88" s="25"/>
      <c r="H88" s="195"/>
      <c r="I88" s="35"/>
      <c r="J88" s="182"/>
      <c r="K88" s="35"/>
      <c r="L88" s="193"/>
      <c r="M88" s="35"/>
      <c r="N88" s="182"/>
      <c r="O88" s="35"/>
      <c r="P88" s="182"/>
      <c r="Q88" s="35"/>
      <c r="R88" s="182"/>
    </row>
    <row r="89" spans="1:18" x14ac:dyDescent="0.2">
      <c r="A89" s="25" t="s">
        <v>153</v>
      </c>
      <c r="B89" s="25"/>
      <c r="C89" s="25"/>
      <c r="D89" s="25"/>
      <c r="E89" s="195"/>
      <c r="F89" s="25"/>
      <c r="G89" s="25"/>
      <c r="H89" s="195"/>
      <c r="I89" s="35">
        <v>196.02597551402994</v>
      </c>
      <c r="J89" s="200">
        <f>+J13-J87</f>
        <v>0</v>
      </c>
      <c r="K89" s="35"/>
      <c r="L89" s="193"/>
      <c r="M89" s="35">
        <v>0</v>
      </c>
      <c r="N89" s="200">
        <f>+N13-N87</f>
        <v>0</v>
      </c>
      <c r="O89" s="35">
        <v>196.02597551402994</v>
      </c>
      <c r="P89" s="200">
        <f>+P13-P87</f>
        <v>0</v>
      </c>
      <c r="Q89" s="35">
        <v>125456.62432897929</v>
      </c>
      <c r="R89" s="200">
        <f>+R13-R87</f>
        <v>0</v>
      </c>
    </row>
    <row r="90" spans="1:18" x14ac:dyDescent="0.2">
      <c r="A90" s="25"/>
      <c r="B90" s="25"/>
      <c r="C90" s="25"/>
      <c r="D90" s="25"/>
      <c r="E90" s="195"/>
      <c r="F90" s="25"/>
      <c r="G90" s="25"/>
      <c r="H90" s="195"/>
      <c r="I90" s="35"/>
      <c r="J90" s="204"/>
      <c r="K90" s="35"/>
      <c r="L90" s="193"/>
      <c r="M90" s="35"/>
      <c r="N90" s="193"/>
      <c r="O90" s="35"/>
      <c r="P90" s="193"/>
      <c r="Q90" s="35"/>
      <c r="R90" s="204"/>
    </row>
    <row r="91" spans="1:18" ht="13.5" thickBot="1" x14ac:dyDescent="0.25">
      <c r="A91" s="44" t="s">
        <v>38</v>
      </c>
      <c r="B91" s="44"/>
      <c r="C91" s="44"/>
      <c r="D91" s="44"/>
      <c r="E91" s="199"/>
      <c r="F91" s="44"/>
      <c r="G91" s="45">
        <v>0.66058995768747719</v>
      </c>
      <c r="H91" s="210" t="str">
        <f>IF(E10=0,"n/a",(YTotExp-(YTotExp+YTotRet-J10))/E10)</f>
        <v>n/a</v>
      </c>
      <c r="I91" s="44" t="s">
        <v>82</v>
      </c>
      <c r="J91" s="205"/>
      <c r="K91" s="44"/>
      <c r="L91" s="199"/>
      <c r="M91" s="44"/>
      <c r="N91" s="199"/>
      <c r="O91" s="44"/>
      <c r="P91" s="199"/>
      <c r="Q91" s="44"/>
      <c r="R91" s="205"/>
    </row>
    <row r="92" spans="1:18" ht="13.5" thickTop="1" x14ac:dyDescent="0.2"/>
    <row r="93" spans="1:18" s="17" customFormat="1" ht="15.75" x14ac:dyDescent="0.25">
      <c r="A93"/>
      <c r="B93" s="88"/>
      <c r="C93" s="89"/>
      <c r="D93" s="234" t="s">
        <v>113</v>
      </c>
      <c r="E93" s="235"/>
      <c r="F93" s="235"/>
      <c r="G93" s="235"/>
      <c r="H93" s="235"/>
      <c r="I93" s="235"/>
      <c r="J93" s="99"/>
      <c r="K93" s="99"/>
      <c r="M93"/>
      <c r="N93"/>
    </row>
    <row r="94" spans="1:18" s="17" customFormat="1" ht="15.75" x14ac:dyDescent="0.25">
      <c r="A94"/>
      <c r="B94" s="19" t="s">
        <v>114</v>
      </c>
      <c r="C94" s="19" t="s">
        <v>114</v>
      </c>
      <c r="D94" s="123" t="s">
        <v>170</v>
      </c>
      <c r="E94" s="18"/>
      <c r="F94" s="18"/>
      <c r="G94" s="123" t="s">
        <v>170</v>
      </c>
      <c r="H94" s="18"/>
      <c r="I94" s="18"/>
      <c r="J94" s="18"/>
      <c r="K94" s="18"/>
      <c r="M94"/>
      <c r="N94"/>
    </row>
    <row r="95" spans="1:18" s="17" customFormat="1" x14ac:dyDescent="0.2">
      <c r="A95"/>
      <c r="B95" s="19" t="s">
        <v>80</v>
      </c>
      <c r="C95" s="19" t="s">
        <v>80</v>
      </c>
      <c r="D95" s="123" t="s">
        <v>157</v>
      </c>
      <c r="E95" s="119"/>
      <c r="F95" s="119"/>
      <c r="G95" s="123" t="s">
        <v>12</v>
      </c>
      <c r="H95" s="119"/>
      <c r="I95" s="119"/>
      <c r="J95" s="119"/>
      <c r="K95" s="119"/>
      <c r="M95"/>
      <c r="N95"/>
    </row>
    <row r="96" spans="1:18" s="17" customFormat="1" x14ac:dyDescent="0.2">
      <c r="A96"/>
      <c r="B96" s="19" t="s">
        <v>30</v>
      </c>
      <c r="C96" s="99" t="s">
        <v>82</v>
      </c>
      <c r="D96" s="123" t="s">
        <v>98</v>
      </c>
      <c r="E96" s="119"/>
      <c r="F96" s="119"/>
      <c r="G96" s="123" t="s">
        <v>98</v>
      </c>
      <c r="H96" s="19"/>
      <c r="I96" s="19"/>
      <c r="J96" s="19"/>
      <c r="K96" s="19"/>
      <c r="M96"/>
      <c r="N96"/>
    </row>
    <row r="97" spans="1:18" s="17" customFormat="1" x14ac:dyDescent="0.2">
      <c r="A97"/>
      <c r="B97" s="90">
        <v>0.75</v>
      </c>
      <c r="C97" s="91">
        <v>984</v>
      </c>
      <c r="D97" s="92">
        <v>0.66773765401170049</v>
      </c>
      <c r="E97" s="93"/>
      <c r="F97" s="94"/>
      <c r="G97" s="92">
        <v>0.88078661024996963</v>
      </c>
      <c r="H97" s="93"/>
      <c r="I97" s="93"/>
      <c r="M97"/>
      <c r="N97"/>
    </row>
    <row r="98" spans="1:18" s="17" customFormat="1" x14ac:dyDescent="0.2">
      <c r="A98"/>
      <c r="B98" s="95">
        <v>0.9</v>
      </c>
      <c r="C98" s="96">
        <v>1180.8</v>
      </c>
      <c r="D98" s="97">
        <v>0.55644804500975042</v>
      </c>
      <c r="E98" s="83"/>
      <c r="F98" s="98"/>
      <c r="G98" s="97">
        <v>0.73398884187497471</v>
      </c>
      <c r="H98" s="83"/>
      <c r="I98" s="83"/>
      <c r="M98"/>
      <c r="N98"/>
    </row>
    <row r="99" spans="1:18" s="17" customFormat="1" x14ac:dyDescent="0.2">
      <c r="A99"/>
      <c r="B99" s="90">
        <v>1</v>
      </c>
      <c r="C99" s="91">
        <v>1312</v>
      </c>
      <c r="D99" s="92">
        <v>0.50080324050877545</v>
      </c>
      <c r="E99" s="93"/>
      <c r="F99" s="94"/>
      <c r="G99" s="92">
        <v>0.66058995768747719</v>
      </c>
      <c r="H99" s="93"/>
      <c r="I99" s="93"/>
      <c r="M99"/>
      <c r="N99"/>
    </row>
    <row r="100" spans="1:18" s="17" customFormat="1" x14ac:dyDescent="0.2">
      <c r="A100"/>
      <c r="B100" s="95">
        <v>1.1000000000000001</v>
      </c>
      <c r="C100" s="96">
        <v>1443.2</v>
      </c>
      <c r="D100" s="97">
        <v>0.45527567318979578</v>
      </c>
      <c r="E100" s="83"/>
      <c r="F100" s="98"/>
      <c r="G100" s="97">
        <v>0.60053632517043376</v>
      </c>
      <c r="H100" s="83"/>
      <c r="I100" s="83"/>
      <c r="M100"/>
      <c r="N100"/>
    </row>
    <row r="101" spans="1:18" s="17" customFormat="1" x14ac:dyDescent="0.2">
      <c r="A101"/>
      <c r="B101" s="90">
        <v>1.25</v>
      </c>
      <c r="C101" s="91">
        <v>1640</v>
      </c>
      <c r="D101" s="92">
        <v>0.40064259240702033</v>
      </c>
      <c r="E101" s="93"/>
      <c r="F101" s="94"/>
      <c r="G101" s="92">
        <v>0.52847196614998171</v>
      </c>
      <c r="H101" s="93"/>
      <c r="I101" s="93"/>
      <c r="M101"/>
      <c r="N101"/>
    </row>
    <row r="102" spans="1:18" s="17" customFormat="1" x14ac:dyDescent="0.2">
      <c r="A102"/>
      <c r="M102"/>
      <c r="N102"/>
    </row>
    <row r="103" spans="1:18" x14ac:dyDescent="0.2">
      <c r="A103" s="25" t="s">
        <v>434</v>
      </c>
      <c r="B103" s="17"/>
      <c r="C103" s="17"/>
      <c r="D103" s="17"/>
      <c r="E103" s="17"/>
      <c r="F103" s="17"/>
      <c r="G103" s="17"/>
      <c r="H103" s="17"/>
      <c r="I103" s="17"/>
      <c r="J103" s="28"/>
      <c r="K103" s="17"/>
      <c r="L103" s="17"/>
      <c r="M103" s="17"/>
      <c r="N103" s="17"/>
      <c r="O103" s="17"/>
      <c r="P103" s="17"/>
      <c r="Q103" s="17"/>
    </row>
    <row r="104" spans="1:18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28"/>
      <c r="K104" s="17"/>
      <c r="L104" s="17"/>
      <c r="M104" s="17"/>
      <c r="N104" s="17"/>
      <c r="O104" s="17"/>
      <c r="P104" s="17"/>
      <c r="Q104" s="17"/>
    </row>
    <row r="105" spans="1:18" ht="26.25" customHeight="1" x14ac:dyDescent="0.2">
      <c r="A105" s="236" t="s">
        <v>140</v>
      </c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19"/>
      <c r="N105" s="219"/>
      <c r="O105" s="219"/>
      <c r="P105" s="219"/>
      <c r="Q105" s="219"/>
      <c r="R105" s="219"/>
    </row>
  </sheetData>
  <sheetProtection sheet="1" objects="1" scenarios="1"/>
  <mergeCells count="6">
    <mergeCell ref="D93:I93"/>
    <mergeCell ref="A105:L105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5">
    <tabColor rgb="FF92D050"/>
    <pageSetUpPr fitToPage="1"/>
  </sheetPr>
  <dimension ref="A1:S106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448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133</v>
      </c>
      <c r="C10" s="25"/>
      <c r="D10" s="50">
        <v>1092</v>
      </c>
      <c r="E10" s="130"/>
      <c r="F10" s="224" t="s">
        <v>82</v>
      </c>
      <c r="G10" s="31">
        <v>0.81</v>
      </c>
      <c r="H10" s="131"/>
      <c r="I10" s="35">
        <v>884.5200000000001</v>
      </c>
      <c r="J10" s="200">
        <f t="shared" ref="J10:J13" si="0">E10*H10</f>
        <v>0</v>
      </c>
      <c r="K10" s="223">
        <v>0</v>
      </c>
      <c r="L10" s="212"/>
      <c r="M10" s="35">
        <v>0</v>
      </c>
      <c r="N10" s="200">
        <f t="shared" ref="N10:N13" si="1">J10*L10</f>
        <v>0</v>
      </c>
      <c r="O10" s="35">
        <v>884.5200000000001</v>
      </c>
      <c r="P10" s="200">
        <f>+J10-N10</f>
        <v>0</v>
      </c>
      <c r="Q10" s="35">
        <v>566092.80000000005</v>
      </c>
      <c r="R10" s="200">
        <f t="shared" ref="R10:R13" si="2">+J10*E$7</f>
        <v>0</v>
      </c>
      <c r="S10" s="12"/>
    </row>
    <row r="11" spans="1:19" x14ac:dyDescent="0.2">
      <c r="A11" s="25"/>
      <c r="B11" t="s">
        <v>134</v>
      </c>
      <c r="C11" s="25"/>
      <c r="D11" s="50">
        <v>0.65</v>
      </c>
      <c r="E11" s="130"/>
      <c r="F11" s="224" t="s">
        <v>135</v>
      </c>
      <c r="G11" s="31">
        <v>0.22</v>
      </c>
      <c r="H11" s="131"/>
      <c r="I11" s="35">
        <v>0.14300000000000002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0.14300000000000002</v>
      </c>
      <c r="P11" s="200">
        <f t="shared" ref="P11:P13" si="3">+J11-N11</f>
        <v>0</v>
      </c>
      <c r="Q11" s="35">
        <v>91.52000000000001</v>
      </c>
      <c r="R11" s="200">
        <f t="shared" si="2"/>
        <v>0</v>
      </c>
      <c r="S11" s="12"/>
    </row>
    <row r="12" spans="1:19" x14ac:dyDescent="0.2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35">
        <v>0</v>
      </c>
      <c r="J12" s="200">
        <f t="shared" si="0"/>
        <v>0</v>
      </c>
      <c r="K12" s="223">
        <v>0</v>
      </c>
      <c r="L12" s="212"/>
      <c r="M12" s="35">
        <v>0</v>
      </c>
      <c r="N12" s="200">
        <f t="shared" si="1"/>
        <v>0</v>
      </c>
      <c r="O12" s="35">
        <v>0</v>
      </c>
      <c r="P12" s="200">
        <f t="shared" si="3"/>
        <v>0</v>
      </c>
      <c r="Q12" s="35">
        <v>0</v>
      </c>
      <c r="R12" s="200">
        <f t="shared" si="2"/>
        <v>0</v>
      </c>
    </row>
    <row r="13" spans="1:19" ht="13.5" thickBot="1" x14ac:dyDescent="0.25">
      <c r="A13" s="25"/>
      <c r="B13" s="131"/>
      <c r="C13" s="131"/>
      <c r="D13" s="50">
        <v>0</v>
      </c>
      <c r="E13" s="130"/>
      <c r="F13" s="224"/>
      <c r="G13" s="31">
        <v>0</v>
      </c>
      <c r="H13" s="131"/>
      <c r="I13" s="42">
        <v>0</v>
      </c>
      <c r="J13" s="200">
        <f t="shared" si="0"/>
        <v>0</v>
      </c>
      <c r="K13" s="223">
        <v>0</v>
      </c>
      <c r="L13" s="212"/>
      <c r="M13" s="42">
        <v>0</v>
      </c>
      <c r="N13" s="200">
        <f t="shared" si="1"/>
        <v>0</v>
      </c>
      <c r="O13" s="42">
        <v>0</v>
      </c>
      <c r="P13" s="200">
        <f t="shared" si="3"/>
        <v>0</v>
      </c>
      <c r="Q13" s="42">
        <v>0</v>
      </c>
      <c r="R13" s="182">
        <f t="shared" si="2"/>
        <v>0</v>
      </c>
    </row>
    <row r="14" spans="1:19" x14ac:dyDescent="0.2">
      <c r="A14" s="25" t="s">
        <v>24</v>
      </c>
      <c r="B14" s="25"/>
      <c r="C14" s="25"/>
      <c r="D14" s="25"/>
      <c r="E14" s="198"/>
      <c r="F14" s="25"/>
      <c r="G14" s="25"/>
      <c r="H14" s="195"/>
      <c r="I14" s="36">
        <v>884.66300000000012</v>
      </c>
      <c r="J14" s="201">
        <f>SUM(J10:J13)</f>
        <v>0</v>
      </c>
      <c r="K14" s="35"/>
      <c r="L14" s="193"/>
      <c r="M14" s="36">
        <v>0</v>
      </c>
      <c r="N14" s="201">
        <f>SUM(N10:N13)</f>
        <v>0</v>
      </c>
      <c r="O14" s="36">
        <v>884.66300000000012</v>
      </c>
      <c r="P14" s="201">
        <f>SUM(P10:P13)</f>
        <v>0</v>
      </c>
      <c r="Q14" s="36">
        <v>566184.32000000007</v>
      </c>
      <c r="R14" s="201">
        <f>SUM(R10:R13)</f>
        <v>0</v>
      </c>
    </row>
    <row r="15" spans="1:19" x14ac:dyDescent="0.2">
      <c r="A15" s="25"/>
      <c r="B15" s="25"/>
      <c r="C15" s="25"/>
      <c r="D15" s="25"/>
      <c r="E15" s="176"/>
      <c r="F15" s="25"/>
      <c r="G15" s="25"/>
      <c r="H15" s="209"/>
      <c r="I15" s="35"/>
      <c r="J15" s="182"/>
      <c r="K15" s="35"/>
      <c r="L15" s="193"/>
      <c r="M15" s="35"/>
      <c r="N15" s="182"/>
      <c r="O15" s="35"/>
      <c r="P15" s="182"/>
      <c r="Q15" s="22" t="s">
        <v>19</v>
      </c>
      <c r="R15" s="182" t="s">
        <v>19</v>
      </c>
    </row>
    <row r="16" spans="1:19" x14ac:dyDescent="0.2">
      <c r="A16" s="23" t="s">
        <v>25</v>
      </c>
      <c r="B16" s="23"/>
      <c r="C16" s="23"/>
      <c r="D16" s="24" t="s">
        <v>2</v>
      </c>
      <c r="E16" s="194" t="s">
        <v>2</v>
      </c>
      <c r="F16" s="24" t="s">
        <v>21</v>
      </c>
      <c r="G16" s="24" t="s">
        <v>22</v>
      </c>
      <c r="H16" s="194" t="s">
        <v>22</v>
      </c>
      <c r="I16" s="24" t="s">
        <v>12</v>
      </c>
      <c r="J16" s="194" t="s">
        <v>12</v>
      </c>
      <c r="K16" s="24" t="s">
        <v>11</v>
      </c>
      <c r="L16" s="194" t="s">
        <v>11</v>
      </c>
      <c r="M16" s="24" t="s">
        <v>10</v>
      </c>
      <c r="N16" s="194" t="s">
        <v>10</v>
      </c>
      <c r="O16" s="24" t="s">
        <v>9</v>
      </c>
      <c r="P16" s="194" t="s">
        <v>9</v>
      </c>
      <c r="Q16" s="24" t="s">
        <v>12</v>
      </c>
      <c r="R16" s="206" t="s">
        <v>12</v>
      </c>
    </row>
    <row r="17" spans="1:18" x14ac:dyDescent="0.2">
      <c r="A17" s="25" t="s">
        <v>26</v>
      </c>
      <c r="B17" s="25"/>
      <c r="C17" s="25"/>
      <c r="D17" s="25"/>
      <c r="E17" s="176"/>
      <c r="F17" s="25"/>
      <c r="G17" s="25"/>
      <c r="H17" s="209"/>
      <c r="I17" s="25"/>
      <c r="J17" s="182"/>
      <c r="K17" s="25"/>
      <c r="L17" s="195"/>
      <c r="M17" s="25"/>
      <c r="N17" s="182"/>
      <c r="O17" s="25"/>
      <c r="P17" s="182"/>
      <c r="Q17" s="25"/>
      <c r="R17" s="182"/>
    </row>
    <row r="18" spans="1:18" x14ac:dyDescent="0.2">
      <c r="A18" s="25"/>
      <c r="B18" s="25" t="s">
        <v>50</v>
      </c>
      <c r="C18" s="25"/>
      <c r="D18" s="25"/>
      <c r="E18" s="25"/>
      <c r="F18" s="25"/>
      <c r="G18" s="25"/>
      <c r="H18" s="25"/>
      <c r="I18" s="25"/>
      <c r="J18" s="25"/>
      <c r="K18" s="223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 t="s">
        <v>458</v>
      </c>
      <c r="C19" s="25" t="s">
        <v>176</v>
      </c>
      <c r="D19" s="25">
        <v>1</v>
      </c>
      <c r="E19" s="130"/>
      <c r="F19" s="224" t="s">
        <v>42</v>
      </c>
      <c r="G19" s="41">
        <v>5</v>
      </c>
      <c r="H19" s="131"/>
      <c r="I19" s="35">
        <v>5</v>
      </c>
      <c r="J19" s="200">
        <f t="shared" ref="J19:J40" si="4">E19*H19</f>
        <v>0</v>
      </c>
      <c r="K19" s="223">
        <v>0</v>
      </c>
      <c r="L19" s="212"/>
      <c r="M19" s="35">
        <v>0</v>
      </c>
      <c r="N19" s="200">
        <f t="shared" ref="N19:N40" si="5">J19*L19</f>
        <v>0</v>
      </c>
      <c r="O19" s="35">
        <v>5</v>
      </c>
      <c r="P19" s="200">
        <f t="shared" ref="P19:P40" si="6">+J19-N19</f>
        <v>0</v>
      </c>
      <c r="Q19" s="35">
        <v>3200</v>
      </c>
      <c r="R19" s="200">
        <f t="shared" ref="R19:R40" si="7">+J19*E$7</f>
        <v>0</v>
      </c>
    </row>
    <row r="20" spans="1:18" x14ac:dyDescent="0.2">
      <c r="A20" s="25"/>
      <c r="B20" s="25" t="s">
        <v>458</v>
      </c>
      <c r="C20" s="25" t="s">
        <v>382</v>
      </c>
      <c r="D20" s="25">
        <v>1092</v>
      </c>
      <c r="E20" s="130"/>
      <c r="F20" s="224" t="s">
        <v>82</v>
      </c>
      <c r="G20" s="41">
        <v>0.13</v>
      </c>
      <c r="H20" s="131"/>
      <c r="I20" s="35">
        <v>141.96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141.96</v>
      </c>
      <c r="P20" s="200">
        <f t="shared" si="6"/>
        <v>0</v>
      </c>
      <c r="Q20" s="35">
        <v>90854.400000000009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375</v>
      </c>
      <c r="D21" s="25">
        <v>1092</v>
      </c>
      <c r="E21" s="130"/>
      <c r="F21" s="224" t="s">
        <v>82</v>
      </c>
      <c r="G21" s="41">
        <v>0.12</v>
      </c>
      <c r="H21" s="131"/>
      <c r="I21" s="35">
        <v>131.04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131.04</v>
      </c>
      <c r="P21" s="200">
        <f t="shared" si="6"/>
        <v>0</v>
      </c>
      <c r="Q21" s="35">
        <v>83865.599999999991</v>
      </c>
      <c r="R21" s="200">
        <f t="shared" si="7"/>
        <v>0</v>
      </c>
    </row>
    <row r="22" spans="1:18" x14ac:dyDescent="0.2">
      <c r="A22" s="25"/>
      <c r="B22" s="25" t="s">
        <v>458</v>
      </c>
      <c r="C22" s="25" t="s">
        <v>177</v>
      </c>
      <c r="D22" s="25">
        <v>4</v>
      </c>
      <c r="E22" s="130"/>
      <c r="F22" s="224" t="s">
        <v>42</v>
      </c>
      <c r="G22" s="41">
        <v>5.5</v>
      </c>
      <c r="H22" s="131"/>
      <c r="I22" s="35">
        <v>22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22</v>
      </c>
      <c r="P22" s="200">
        <f t="shared" si="6"/>
        <v>0</v>
      </c>
      <c r="Q22" s="35">
        <v>14080</v>
      </c>
      <c r="R22" s="200">
        <f t="shared" si="7"/>
        <v>0</v>
      </c>
    </row>
    <row r="23" spans="1:18" x14ac:dyDescent="0.2">
      <c r="A23" s="25"/>
      <c r="B23" s="25" t="s">
        <v>0</v>
      </c>
      <c r="C23" s="25"/>
      <c r="D23" s="25"/>
      <c r="E23" s="25"/>
      <c r="F23" s="25"/>
      <c r="G23" s="25"/>
      <c r="H23" s="25"/>
      <c r="I23" s="25"/>
      <c r="J23" s="25"/>
      <c r="K23" s="223"/>
      <c r="L23" s="25"/>
      <c r="M23" s="25"/>
      <c r="N23" s="25"/>
      <c r="O23" s="25"/>
      <c r="P23" s="25"/>
      <c r="Q23" s="25"/>
      <c r="R23" s="25"/>
    </row>
    <row r="24" spans="1:18" x14ac:dyDescent="0.2">
      <c r="A24" s="25"/>
      <c r="B24" s="25" t="s">
        <v>458</v>
      </c>
      <c r="C24" s="25" t="s">
        <v>342</v>
      </c>
      <c r="D24" s="25">
        <v>100</v>
      </c>
      <c r="E24" s="130"/>
      <c r="F24" s="224" t="s">
        <v>82</v>
      </c>
      <c r="G24" s="41">
        <v>0.53800000000000003</v>
      </c>
      <c r="H24" s="131"/>
      <c r="I24" s="35">
        <v>53.800000000000004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53.800000000000004</v>
      </c>
      <c r="P24" s="200">
        <f t="shared" si="6"/>
        <v>0</v>
      </c>
      <c r="Q24" s="35">
        <v>34432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378</v>
      </c>
      <c r="D25" s="25">
        <v>50</v>
      </c>
      <c r="E25" s="130"/>
      <c r="F25" s="224" t="s">
        <v>82</v>
      </c>
      <c r="G25" s="41">
        <v>0.56999999999999995</v>
      </c>
      <c r="H25" s="131"/>
      <c r="I25" s="35">
        <v>28.499999999999996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28.499999999999996</v>
      </c>
      <c r="P25" s="200">
        <f t="shared" si="6"/>
        <v>0</v>
      </c>
      <c r="Q25" s="35">
        <v>18239.999999999996</v>
      </c>
      <c r="R25" s="200">
        <f t="shared" si="7"/>
        <v>0</v>
      </c>
    </row>
    <row r="26" spans="1:18" x14ac:dyDescent="0.2">
      <c r="A26" s="25"/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23"/>
      <c r="L26" s="25"/>
      <c r="M26" s="25"/>
      <c r="N26" s="25"/>
      <c r="O26" s="25"/>
      <c r="P26" s="25"/>
      <c r="Q26" s="25"/>
      <c r="R26" s="25"/>
    </row>
    <row r="27" spans="1:18" x14ac:dyDescent="0.2">
      <c r="A27" s="25"/>
      <c r="B27" s="25" t="s">
        <v>458</v>
      </c>
      <c r="C27" s="25" t="s">
        <v>401</v>
      </c>
      <c r="D27" s="25">
        <v>64</v>
      </c>
      <c r="E27" s="130"/>
      <c r="F27" s="224" t="s">
        <v>435</v>
      </c>
      <c r="G27" s="41">
        <v>0.41</v>
      </c>
      <c r="H27" s="131"/>
      <c r="I27" s="35">
        <v>26.24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26.24</v>
      </c>
      <c r="P27" s="200">
        <f t="shared" si="6"/>
        <v>0</v>
      </c>
      <c r="Q27" s="35">
        <v>16793.599999999999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440</v>
      </c>
      <c r="D28" s="25">
        <v>4.7</v>
      </c>
      <c r="E28" s="130"/>
      <c r="F28" s="224" t="s">
        <v>316</v>
      </c>
      <c r="G28" s="41">
        <v>5.81</v>
      </c>
      <c r="H28" s="131"/>
      <c r="I28" s="35">
        <v>27.306999999999999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27.306999999999999</v>
      </c>
      <c r="P28" s="200">
        <f t="shared" si="6"/>
        <v>0</v>
      </c>
      <c r="Q28" s="35">
        <v>17476.48</v>
      </c>
      <c r="R28" s="200">
        <f t="shared" si="7"/>
        <v>0</v>
      </c>
    </row>
    <row r="29" spans="1:18" x14ac:dyDescent="0.2">
      <c r="A29" s="25"/>
      <c r="B29" s="25" t="s">
        <v>458</v>
      </c>
      <c r="C29" s="25" t="s">
        <v>439</v>
      </c>
      <c r="D29" s="25">
        <v>29</v>
      </c>
      <c r="E29" s="130"/>
      <c r="F29" s="224" t="s">
        <v>410</v>
      </c>
      <c r="G29" s="41">
        <v>0.7</v>
      </c>
      <c r="H29" s="131"/>
      <c r="I29" s="35">
        <v>20.299999999999997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20.299999999999997</v>
      </c>
      <c r="P29" s="200">
        <f t="shared" si="6"/>
        <v>0</v>
      </c>
      <c r="Q29" s="35">
        <v>12991.999999999998</v>
      </c>
      <c r="R29" s="200">
        <f t="shared" si="7"/>
        <v>0</v>
      </c>
    </row>
    <row r="30" spans="1:18" x14ac:dyDescent="0.2">
      <c r="A30" s="25"/>
      <c r="B30" s="25" t="s">
        <v>458</v>
      </c>
      <c r="C30" s="25" t="s">
        <v>384</v>
      </c>
      <c r="D30" s="25">
        <v>1</v>
      </c>
      <c r="E30" s="130"/>
      <c r="F30" s="224" t="s">
        <v>316</v>
      </c>
      <c r="G30" s="41">
        <v>3.75</v>
      </c>
      <c r="H30" s="131"/>
      <c r="I30" s="35">
        <v>3.75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3.75</v>
      </c>
      <c r="P30" s="200">
        <f t="shared" si="6"/>
        <v>0</v>
      </c>
      <c r="Q30" s="35">
        <v>2400</v>
      </c>
      <c r="R30" s="200">
        <f t="shared" si="7"/>
        <v>0</v>
      </c>
    </row>
    <row r="31" spans="1:18" x14ac:dyDescent="0.2">
      <c r="A31" s="25"/>
      <c r="B31" s="25" t="s">
        <v>458</v>
      </c>
      <c r="C31" s="25" t="s">
        <v>386</v>
      </c>
      <c r="D31" s="25">
        <v>1</v>
      </c>
      <c r="E31" s="130"/>
      <c r="F31" s="224" t="s">
        <v>410</v>
      </c>
      <c r="G31" s="41">
        <v>0.546875</v>
      </c>
      <c r="H31" s="131"/>
      <c r="I31" s="35">
        <v>0.546875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0.546875</v>
      </c>
      <c r="P31" s="200">
        <f t="shared" si="6"/>
        <v>0</v>
      </c>
      <c r="Q31" s="35">
        <v>350</v>
      </c>
      <c r="R31" s="200">
        <f t="shared" si="7"/>
        <v>0</v>
      </c>
    </row>
    <row r="32" spans="1:18" x14ac:dyDescent="0.2">
      <c r="A32" s="25"/>
      <c r="B32" s="25" t="s">
        <v>48</v>
      </c>
      <c r="C32" s="25"/>
      <c r="D32" s="25"/>
      <c r="E32" s="25"/>
      <c r="F32" s="25"/>
      <c r="G32" s="25"/>
      <c r="H32" s="25"/>
      <c r="I32" s="25"/>
      <c r="J32" s="25"/>
      <c r="K32" s="223"/>
      <c r="L32" s="25"/>
      <c r="M32" s="25"/>
      <c r="N32" s="25"/>
      <c r="O32" s="25"/>
      <c r="P32" s="25"/>
      <c r="Q32" s="25"/>
      <c r="R32" s="25"/>
    </row>
    <row r="33" spans="1:18" x14ac:dyDescent="0.2">
      <c r="A33" s="25"/>
      <c r="B33" s="25" t="s">
        <v>458</v>
      </c>
      <c r="C33" s="25" t="s">
        <v>442</v>
      </c>
      <c r="D33" s="25">
        <v>16</v>
      </c>
      <c r="E33" s="130"/>
      <c r="F33" s="224" t="s">
        <v>410</v>
      </c>
      <c r="G33" s="41">
        <v>1.1599999999999999</v>
      </c>
      <c r="H33" s="131"/>
      <c r="I33" s="35">
        <v>18.559999999999999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18.559999999999999</v>
      </c>
      <c r="P33" s="200">
        <f t="shared" si="6"/>
        <v>0</v>
      </c>
      <c r="Q33" s="35">
        <v>11878.4</v>
      </c>
      <c r="R33" s="200">
        <f t="shared" si="7"/>
        <v>0</v>
      </c>
    </row>
    <row r="34" spans="1:18" x14ac:dyDescent="0.2">
      <c r="A34" s="25"/>
      <c r="B34" s="25" t="s">
        <v>458</v>
      </c>
      <c r="C34" s="25" t="s">
        <v>443</v>
      </c>
      <c r="D34" s="25">
        <v>2</v>
      </c>
      <c r="E34" s="130"/>
      <c r="F34" s="224" t="s">
        <v>410</v>
      </c>
      <c r="G34" s="41">
        <v>1.74875</v>
      </c>
      <c r="H34" s="131"/>
      <c r="I34" s="35">
        <v>3.4975000000000001</v>
      </c>
      <c r="J34" s="200">
        <f t="shared" si="4"/>
        <v>0</v>
      </c>
      <c r="K34" s="223">
        <v>0</v>
      </c>
      <c r="L34" s="212"/>
      <c r="M34" s="35">
        <v>0</v>
      </c>
      <c r="N34" s="200">
        <f t="shared" si="5"/>
        <v>0</v>
      </c>
      <c r="O34" s="35">
        <v>3.4975000000000001</v>
      </c>
      <c r="P34" s="200">
        <f t="shared" si="6"/>
        <v>0</v>
      </c>
      <c r="Q34" s="35">
        <v>2238.4</v>
      </c>
      <c r="R34" s="200">
        <f t="shared" si="7"/>
        <v>0</v>
      </c>
    </row>
    <row r="35" spans="1:18" x14ac:dyDescent="0.2">
      <c r="A35" s="25"/>
      <c r="B35" s="25" t="s">
        <v>27</v>
      </c>
      <c r="C35" s="25"/>
      <c r="D35" s="25"/>
      <c r="E35" s="25"/>
      <c r="F35" s="25"/>
      <c r="G35" s="25"/>
      <c r="H35" s="25"/>
      <c r="I35" s="25"/>
      <c r="J35" s="25"/>
      <c r="K35" s="223"/>
      <c r="L35" s="25"/>
      <c r="M35" s="25"/>
      <c r="N35" s="25"/>
      <c r="O35" s="25"/>
      <c r="P35" s="25"/>
      <c r="Q35" s="25"/>
      <c r="R35" s="25"/>
    </row>
    <row r="36" spans="1:18" x14ac:dyDescent="0.2">
      <c r="A36" s="25"/>
      <c r="B36" s="25" t="s">
        <v>458</v>
      </c>
      <c r="C36" s="25" t="s">
        <v>394</v>
      </c>
      <c r="D36" s="25">
        <v>1</v>
      </c>
      <c r="E36" s="130"/>
      <c r="F36" s="224" t="s">
        <v>42</v>
      </c>
      <c r="G36" s="41">
        <v>15</v>
      </c>
      <c r="H36" s="131"/>
      <c r="I36" s="35">
        <v>15</v>
      </c>
      <c r="J36" s="200">
        <f t="shared" si="4"/>
        <v>0</v>
      </c>
      <c r="K36" s="223">
        <v>0</v>
      </c>
      <c r="L36" s="212"/>
      <c r="M36" s="35">
        <v>0</v>
      </c>
      <c r="N36" s="200">
        <f t="shared" si="5"/>
        <v>0</v>
      </c>
      <c r="O36" s="35">
        <v>15</v>
      </c>
      <c r="P36" s="200">
        <f t="shared" si="6"/>
        <v>0</v>
      </c>
      <c r="Q36" s="35">
        <v>9600</v>
      </c>
      <c r="R36" s="200">
        <f t="shared" si="7"/>
        <v>0</v>
      </c>
    </row>
    <row r="37" spans="1:18" x14ac:dyDescent="0.2">
      <c r="A37" s="25"/>
      <c r="B37" s="25" t="s">
        <v>1</v>
      </c>
      <c r="C37" s="25"/>
      <c r="D37" s="25"/>
      <c r="E37" s="25"/>
      <c r="F37" s="25"/>
      <c r="G37" s="25"/>
      <c r="H37" s="25"/>
      <c r="I37" s="25"/>
      <c r="J37" s="25"/>
      <c r="K37" s="223"/>
      <c r="L37" s="25"/>
      <c r="M37" s="25"/>
      <c r="N37" s="25"/>
      <c r="O37" s="25"/>
      <c r="P37" s="25"/>
      <c r="Q37" s="25"/>
      <c r="R37" s="25"/>
    </row>
    <row r="38" spans="1:18" x14ac:dyDescent="0.2">
      <c r="A38" s="25"/>
      <c r="B38" s="25" t="s">
        <v>458</v>
      </c>
      <c r="C38" s="25" t="s">
        <v>368</v>
      </c>
      <c r="D38" s="25">
        <v>11.5</v>
      </c>
      <c r="E38" s="130"/>
      <c r="F38" s="224" t="s">
        <v>82</v>
      </c>
      <c r="G38" s="41">
        <v>8</v>
      </c>
      <c r="H38" s="131"/>
      <c r="I38" s="35">
        <v>92</v>
      </c>
      <c r="J38" s="200">
        <f t="shared" si="4"/>
        <v>0</v>
      </c>
      <c r="K38" s="223">
        <v>0</v>
      </c>
      <c r="L38" s="212"/>
      <c r="M38" s="35">
        <v>0</v>
      </c>
      <c r="N38" s="200">
        <f t="shared" si="5"/>
        <v>0</v>
      </c>
      <c r="O38" s="35">
        <v>92</v>
      </c>
      <c r="P38" s="200">
        <f t="shared" si="6"/>
        <v>0</v>
      </c>
      <c r="Q38" s="35">
        <v>58880</v>
      </c>
      <c r="R38" s="200">
        <f t="shared" si="7"/>
        <v>0</v>
      </c>
    </row>
    <row r="39" spans="1:18" x14ac:dyDescent="0.2">
      <c r="A39" s="25"/>
      <c r="B39" s="131"/>
      <c r="C39" s="131"/>
      <c r="D39" s="25">
        <v>0</v>
      </c>
      <c r="E39" s="130"/>
      <c r="F39" s="224"/>
      <c r="G39" s="41">
        <v>0</v>
      </c>
      <c r="H39" s="131"/>
      <c r="I39" s="35">
        <v>0</v>
      </c>
      <c r="J39" s="200">
        <f t="shared" si="4"/>
        <v>0</v>
      </c>
      <c r="K39" s="223">
        <v>0</v>
      </c>
      <c r="L39" s="212"/>
      <c r="M39" s="35">
        <v>0</v>
      </c>
      <c r="N39" s="200">
        <f t="shared" si="5"/>
        <v>0</v>
      </c>
      <c r="O39" s="35">
        <v>0</v>
      </c>
      <c r="P39" s="200">
        <f t="shared" si="6"/>
        <v>0</v>
      </c>
      <c r="Q39" s="35">
        <v>0</v>
      </c>
      <c r="R39" s="200">
        <f t="shared" si="7"/>
        <v>0</v>
      </c>
    </row>
    <row r="40" spans="1:18" x14ac:dyDescent="0.2">
      <c r="A40" s="25"/>
      <c r="B40" s="131"/>
      <c r="C40" s="131"/>
      <c r="D40" s="25">
        <v>0</v>
      </c>
      <c r="E40" s="130"/>
      <c r="F40" s="224"/>
      <c r="G40" s="41">
        <v>0</v>
      </c>
      <c r="H40" s="131"/>
      <c r="I40" s="35">
        <v>0</v>
      </c>
      <c r="J40" s="200">
        <f t="shared" si="4"/>
        <v>0</v>
      </c>
      <c r="K40" s="223">
        <v>0</v>
      </c>
      <c r="L40" s="212"/>
      <c r="M40" s="35">
        <v>0</v>
      </c>
      <c r="N40" s="200">
        <f t="shared" si="5"/>
        <v>0</v>
      </c>
      <c r="O40" s="35">
        <v>0</v>
      </c>
      <c r="P40" s="200">
        <f t="shared" si="6"/>
        <v>0</v>
      </c>
      <c r="Q40" s="35">
        <v>0</v>
      </c>
      <c r="R40" s="200">
        <f t="shared" si="7"/>
        <v>0</v>
      </c>
    </row>
    <row r="41" spans="1:18" x14ac:dyDescent="0.2">
      <c r="A41" s="25"/>
      <c r="B41" s="131"/>
      <c r="C41" s="131"/>
      <c r="D41" s="25">
        <v>0</v>
      </c>
      <c r="E41" s="130"/>
      <c r="F41" s="224"/>
      <c r="G41" s="41">
        <v>0</v>
      </c>
      <c r="H41" s="131"/>
      <c r="I41" s="35">
        <v>0</v>
      </c>
      <c r="J41" s="200">
        <f>E41*H41</f>
        <v>0</v>
      </c>
      <c r="K41" s="223">
        <v>0</v>
      </c>
      <c r="L41" s="212"/>
      <c r="M41" s="35">
        <v>0</v>
      </c>
      <c r="N41" s="200">
        <f>J41*L41</f>
        <v>0</v>
      </c>
      <c r="O41" s="35">
        <v>0</v>
      </c>
      <c r="P41" s="200">
        <f>+J41-N41</f>
        <v>0</v>
      </c>
      <c r="Q41" s="35">
        <v>0</v>
      </c>
      <c r="R41" s="200">
        <f>+J41*E$7</f>
        <v>0</v>
      </c>
    </row>
    <row r="42" spans="1:18" x14ac:dyDescent="0.2">
      <c r="A42" s="25"/>
      <c r="B42" s="25" t="s">
        <v>45</v>
      </c>
      <c r="C42" s="25"/>
      <c r="D42" s="25"/>
      <c r="E42" s="207"/>
      <c r="F42" s="21"/>
      <c r="G42" s="41"/>
      <c r="H42" s="196"/>
      <c r="I42" s="184"/>
      <c r="J42" s="182"/>
      <c r="K42" s="223"/>
      <c r="L42" s="196"/>
      <c r="M42" s="35"/>
      <c r="N42" s="182"/>
      <c r="O42" s="35"/>
      <c r="P42" s="182"/>
      <c r="Q42" s="35"/>
      <c r="R42" s="182"/>
    </row>
    <row r="43" spans="1:18" x14ac:dyDescent="0.2">
      <c r="A43" s="25"/>
      <c r="B43" s="25"/>
      <c r="C43" s="25" t="s">
        <v>136</v>
      </c>
      <c r="D43" s="34">
        <v>0.76800000000000002</v>
      </c>
      <c r="E43" s="130"/>
      <c r="F43" s="224" t="s">
        <v>44</v>
      </c>
      <c r="G43" s="41">
        <v>15</v>
      </c>
      <c r="H43" s="131"/>
      <c r="I43" s="35">
        <v>11.52</v>
      </c>
      <c r="J43" s="200">
        <f t="shared" ref="J43" si="8">E43*H43</f>
        <v>0</v>
      </c>
      <c r="K43" s="223">
        <v>0</v>
      </c>
      <c r="L43" s="212"/>
      <c r="M43" s="35">
        <v>0</v>
      </c>
      <c r="N43" s="200">
        <f t="shared" ref="N43" si="9">J43*L43</f>
        <v>0</v>
      </c>
      <c r="O43" s="35">
        <v>11.52</v>
      </c>
      <c r="P43" s="200">
        <f t="shared" ref="P43" si="10">+J43-N43</f>
        <v>0</v>
      </c>
      <c r="Q43" s="35">
        <v>7372.7999999999993</v>
      </c>
      <c r="R43" s="200">
        <f t="shared" ref="R43" si="11">+J43*E$7</f>
        <v>0</v>
      </c>
    </row>
    <row r="44" spans="1:18" x14ac:dyDescent="0.2">
      <c r="A44" s="25"/>
      <c r="B44" s="25" t="s">
        <v>106</v>
      </c>
      <c r="C44" s="25"/>
      <c r="D44" s="25"/>
      <c r="E44" s="104"/>
      <c r="H44" s="104"/>
      <c r="I44" s="121"/>
      <c r="J44" s="104"/>
      <c r="K44" s="223"/>
      <c r="L44" s="104"/>
      <c r="N44" s="104"/>
      <c r="P44" s="104"/>
      <c r="R44" s="104"/>
    </row>
    <row r="45" spans="1:18" x14ac:dyDescent="0.2">
      <c r="A45" s="25"/>
      <c r="B45" s="25"/>
      <c r="C45" s="25" t="s">
        <v>103</v>
      </c>
      <c r="D45" s="25">
        <v>0.3</v>
      </c>
      <c r="E45" s="130"/>
      <c r="F45" s="224" t="s">
        <v>44</v>
      </c>
      <c r="G45" s="41">
        <v>15</v>
      </c>
      <c r="H45" s="131"/>
      <c r="I45" s="35">
        <v>4.5</v>
      </c>
      <c r="J45" s="200">
        <f>E45*H45</f>
        <v>0</v>
      </c>
      <c r="K45" s="223">
        <v>0</v>
      </c>
      <c r="L45" s="212"/>
      <c r="M45" s="35">
        <v>0</v>
      </c>
      <c r="N45" s="200">
        <f>J45*L45</f>
        <v>0</v>
      </c>
      <c r="O45" s="35">
        <v>4.5</v>
      </c>
      <c r="P45" s="200">
        <f>+J45-N45</f>
        <v>0</v>
      </c>
      <c r="Q45" s="35">
        <v>2880</v>
      </c>
      <c r="R45" s="200">
        <f>+J45*E$7</f>
        <v>0</v>
      </c>
    </row>
    <row r="46" spans="1:18" x14ac:dyDescent="0.2">
      <c r="A46" s="25"/>
      <c r="B46" s="25"/>
      <c r="C46" s="25" t="s">
        <v>105</v>
      </c>
      <c r="D46" s="25">
        <v>0.36</v>
      </c>
      <c r="E46" s="130"/>
      <c r="F46" s="224" t="s">
        <v>44</v>
      </c>
      <c r="G46" s="41">
        <v>15</v>
      </c>
      <c r="H46" s="131"/>
      <c r="I46" s="35">
        <v>5.3999999999999995</v>
      </c>
      <c r="J46" s="200">
        <f>E46*H46</f>
        <v>0</v>
      </c>
      <c r="K46" s="223">
        <v>0</v>
      </c>
      <c r="L46" s="212"/>
      <c r="M46" s="35">
        <v>0</v>
      </c>
      <c r="N46" s="200">
        <f>J46*L46</f>
        <v>0</v>
      </c>
      <c r="O46" s="35">
        <v>5.3999999999999995</v>
      </c>
      <c r="P46" s="200">
        <f>+J46-N46</f>
        <v>0</v>
      </c>
      <c r="Q46" s="35">
        <v>3455.9999999999995</v>
      </c>
      <c r="R46" s="200">
        <f>+J46*E$7</f>
        <v>0</v>
      </c>
    </row>
    <row r="47" spans="1:18" x14ac:dyDescent="0.2">
      <c r="A47" s="25"/>
      <c r="B47" s="25"/>
      <c r="C47" s="25"/>
      <c r="D47" s="25"/>
      <c r="E47" s="207"/>
      <c r="F47" s="21"/>
      <c r="G47" s="41"/>
      <c r="H47" s="196"/>
      <c r="I47" s="35"/>
      <c r="J47" s="182"/>
      <c r="K47" s="223"/>
      <c r="L47" s="196"/>
      <c r="M47" s="35"/>
      <c r="N47" s="182"/>
      <c r="O47" s="35"/>
      <c r="P47" s="182"/>
      <c r="Q47" s="35"/>
      <c r="R47" s="182"/>
    </row>
    <row r="48" spans="1:18" x14ac:dyDescent="0.2">
      <c r="A48" s="25"/>
      <c r="B48" s="25" t="s">
        <v>51</v>
      </c>
      <c r="C48" s="25"/>
      <c r="D48" s="25"/>
      <c r="E48" s="207"/>
      <c r="F48" s="21"/>
      <c r="G48" s="41"/>
      <c r="H48" s="196"/>
      <c r="I48" s="184"/>
      <c r="J48" s="182"/>
      <c r="K48" s="223"/>
      <c r="L48" s="196"/>
      <c r="M48" s="35"/>
      <c r="N48" s="182"/>
      <c r="O48" s="35"/>
      <c r="P48" s="182"/>
      <c r="Q48" s="35"/>
      <c r="R48" s="182"/>
    </row>
    <row r="49" spans="1:18" x14ac:dyDescent="0.2">
      <c r="A49" s="25"/>
      <c r="B49" s="25"/>
      <c r="C49" s="25" t="s">
        <v>102</v>
      </c>
      <c r="D49" s="25">
        <v>1</v>
      </c>
      <c r="E49" s="130"/>
      <c r="F49" s="224" t="s">
        <v>42</v>
      </c>
      <c r="G49" s="41">
        <v>0</v>
      </c>
      <c r="H49" s="131"/>
      <c r="I49" s="35">
        <v>0</v>
      </c>
      <c r="J49" s="200">
        <f>E49*H49</f>
        <v>0</v>
      </c>
      <c r="K49" s="223">
        <v>0</v>
      </c>
      <c r="L49" s="212"/>
      <c r="M49" s="35">
        <v>0</v>
      </c>
      <c r="N49" s="200">
        <f>J49*L49</f>
        <v>0</v>
      </c>
      <c r="O49" s="35">
        <v>0</v>
      </c>
      <c r="P49" s="200">
        <f>+J49-N49</f>
        <v>0</v>
      </c>
      <c r="Q49" s="35">
        <v>0</v>
      </c>
      <c r="R49" s="200">
        <f>+J49*E$7</f>
        <v>0</v>
      </c>
    </row>
    <row r="50" spans="1:18" x14ac:dyDescent="0.2">
      <c r="A50" s="25"/>
      <c r="B50" s="25"/>
      <c r="C50" s="25" t="s">
        <v>103</v>
      </c>
      <c r="D50" s="25">
        <v>3.69</v>
      </c>
      <c r="E50" s="130"/>
      <c r="F50" s="224" t="s">
        <v>79</v>
      </c>
      <c r="G50" s="41">
        <v>3.0190000000000001</v>
      </c>
      <c r="H50" s="131"/>
      <c r="I50" s="35">
        <v>11.14011</v>
      </c>
      <c r="J50" s="200">
        <f>E50*H50</f>
        <v>0</v>
      </c>
      <c r="K50" s="223">
        <v>0</v>
      </c>
      <c r="L50" s="212"/>
      <c r="M50" s="35">
        <v>0</v>
      </c>
      <c r="N50" s="200">
        <f>J50*L50</f>
        <v>0</v>
      </c>
      <c r="O50" s="35">
        <v>11.14011</v>
      </c>
      <c r="P50" s="200">
        <f>+J50-N50</f>
        <v>0</v>
      </c>
      <c r="Q50" s="35">
        <v>7129.6704</v>
      </c>
      <c r="R50" s="200">
        <f>+J50*E$7</f>
        <v>0</v>
      </c>
    </row>
    <row r="51" spans="1:18" x14ac:dyDescent="0.2">
      <c r="A51" s="25"/>
      <c r="B51" s="25"/>
      <c r="C51" s="25"/>
      <c r="D51" s="25"/>
      <c r="E51" s="207"/>
      <c r="F51" s="21"/>
      <c r="G51" s="41"/>
      <c r="H51" s="196"/>
      <c r="I51" s="35"/>
      <c r="J51" s="182"/>
      <c r="K51" s="223"/>
      <c r="L51" s="196"/>
      <c r="M51" s="35"/>
      <c r="N51" s="182"/>
      <c r="O51" s="35"/>
      <c r="P51" s="182"/>
      <c r="Q51" s="35"/>
      <c r="R51" s="182"/>
    </row>
    <row r="52" spans="1:18" x14ac:dyDescent="0.2">
      <c r="A52" s="25"/>
      <c r="B52" s="25" t="s">
        <v>29</v>
      </c>
      <c r="C52" s="25"/>
      <c r="D52" s="25"/>
      <c r="E52" s="207"/>
      <c r="F52" s="21"/>
      <c r="G52" s="41"/>
      <c r="H52" s="196"/>
      <c r="I52" s="184"/>
      <c r="J52" s="182"/>
      <c r="K52" s="223"/>
      <c r="L52" s="196"/>
      <c r="M52" s="35"/>
      <c r="N52" s="182"/>
      <c r="O52" s="35"/>
      <c r="P52" s="182"/>
      <c r="Q52" s="35"/>
      <c r="R52" s="182"/>
    </row>
    <row r="53" spans="1:18" x14ac:dyDescent="0.2">
      <c r="A53" s="25"/>
      <c r="B53" s="25"/>
      <c r="C53" s="25" t="s">
        <v>102</v>
      </c>
      <c r="D53" s="25">
        <v>1</v>
      </c>
      <c r="E53" s="130"/>
      <c r="F53" s="224" t="s">
        <v>42</v>
      </c>
      <c r="G53" s="41">
        <v>1.0546875</v>
      </c>
      <c r="H53" s="131"/>
      <c r="I53" s="35">
        <v>1.0546875</v>
      </c>
      <c r="J53" s="200">
        <f>E53*H53</f>
        <v>0</v>
      </c>
      <c r="K53" s="223">
        <v>0</v>
      </c>
      <c r="L53" s="212"/>
      <c r="M53" s="35">
        <v>0</v>
      </c>
      <c r="N53" s="200">
        <f>J53*L53</f>
        <v>0</v>
      </c>
      <c r="O53" s="35">
        <v>1.0546875</v>
      </c>
      <c r="P53" s="200">
        <f>+J53-N53</f>
        <v>0</v>
      </c>
      <c r="Q53" s="35">
        <v>675</v>
      </c>
      <c r="R53" s="200">
        <f>+J53*E$7</f>
        <v>0</v>
      </c>
    </row>
    <row r="54" spans="1:18" x14ac:dyDescent="0.2">
      <c r="A54" s="25"/>
      <c r="B54" s="25"/>
      <c r="C54" s="25" t="s">
        <v>103</v>
      </c>
      <c r="D54" s="25">
        <v>0</v>
      </c>
      <c r="E54" s="130"/>
      <c r="F54" s="224" t="s">
        <v>79</v>
      </c>
      <c r="G54" s="41">
        <v>3.09</v>
      </c>
      <c r="H54" s="131"/>
      <c r="I54" s="35">
        <v>0</v>
      </c>
      <c r="J54" s="200">
        <f>E54*H54</f>
        <v>0</v>
      </c>
      <c r="K54" s="223">
        <v>0</v>
      </c>
      <c r="L54" s="212"/>
      <c r="M54" s="35">
        <v>0</v>
      </c>
      <c r="N54" s="200">
        <f>J54*L54</f>
        <v>0</v>
      </c>
      <c r="O54" s="35">
        <v>0</v>
      </c>
      <c r="P54" s="200">
        <f>+J54-N54</f>
        <v>0</v>
      </c>
      <c r="Q54" s="35">
        <v>0</v>
      </c>
      <c r="R54" s="200">
        <f>+J54*E$7</f>
        <v>0</v>
      </c>
    </row>
    <row r="55" spans="1:18" x14ac:dyDescent="0.2">
      <c r="A55" s="25"/>
      <c r="B55" s="25"/>
      <c r="C55" s="25"/>
      <c r="D55" s="25"/>
      <c r="E55" s="207"/>
      <c r="F55" s="21"/>
      <c r="G55" s="41"/>
      <c r="H55" s="196"/>
      <c r="I55" s="35"/>
      <c r="J55" s="182"/>
      <c r="K55" s="223"/>
      <c r="L55" s="196"/>
      <c r="M55" s="35"/>
      <c r="N55" s="182"/>
      <c r="O55" s="35"/>
      <c r="P55" s="182"/>
      <c r="Q55" s="35"/>
      <c r="R55" s="182"/>
    </row>
    <row r="56" spans="1:18" x14ac:dyDescent="0.2">
      <c r="A56" s="25"/>
      <c r="B56" s="25" t="s">
        <v>47</v>
      </c>
      <c r="C56" s="25"/>
      <c r="D56" s="25"/>
      <c r="E56" s="207"/>
      <c r="F56" s="21"/>
      <c r="G56" s="41"/>
      <c r="H56" s="197"/>
      <c r="I56" s="184"/>
      <c r="J56" s="182"/>
      <c r="K56" s="223"/>
      <c r="L56" s="197"/>
      <c r="M56" s="35"/>
      <c r="N56" s="182"/>
      <c r="O56" s="35"/>
      <c r="P56" s="182"/>
      <c r="Q56" s="35"/>
      <c r="R56" s="182"/>
    </row>
    <row r="57" spans="1:18" x14ac:dyDescent="0.2">
      <c r="A57" s="25"/>
      <c r="B57" s="25"/>
      <c r="C57" s="25" t="s">
        <v>102</v>
      </c>
      <c r="D57" s="25">
        <v>1</v>
      </c>
      <c r="E57" s="130"/>
      <c r="F57" s="224" t="s">
        <v>42</v>
      </c>
      <c r="G57" s="41">
        <v>0.3515625</v>
      </c>
      <c r="H57" s="131"/>
      <c r="I57" s="35">
        <v>0.3515625</v>
      </c>
      <c r="J57" s="200">
        <f t="shared" ref="J57:J62" si="12">E57*H57</f>
        <v>0</v>
      </c>
      <c r="K57" s="223">
        <v>0</v>
      </c>
      <c r="L57" s="212"/>
      <c r="M57" s="35">
        <v>0</v>
      </c>
      <c r="N57" s="200">
        <f t="shared" ref="N57:N62" si="13">J57*L57</f>
        <v>0</v>
      </c>
      <c r="O57" s="35">
        <v>0.3515625</v>
      </c>
      <c r="P57" s="200">
        <f t="shared" ref="P57:P62" si="14">+J57-N57</f>
        <v>0</v>
      </c>
      <c r="Q57" s="35">
        <v>225</v>
      </c>
      <c r="R57" s="200">
        <f t="shared" ref="R57:R62" si="15">+J57*E$7</f>
        <v>0</v>
      </c>
    </row>
    <row r="58" spans="1:18" x14ac:dyDescent="0.2">
      <c r="A58" s="25"/>
      <c r="B58" s="25"/>
      <c r="C58" s="25" t="s">
        <v>46</v>
      </c>
      <c r="D58" s="25">
        <v>1</v>
      </c>
      <c r="E58" s="130"/>
      <c r="F58" s="224" t="s">
        <v>42</v>
      </c>
      <c r="G58" s="41">
        <v>8.8903999999999996</v>
      </c>
      <c r="H58" s="131"/>
      <c r="I58" s="35">
        <v>8.8903999999999996</v>
      </c>
      <c r="J58" s="200">
        <f t="shared" si="12"/>
        <v>0</v>
      </c>
      <c r="K58" s="223">
        <v>0</v>
      </c>
      <c r="L58" s="212"/>
      <c r="M58" s="35">
        <v>0</v>
      </c>
      <c r="N58" s="200">
        <f t="shared" si="13"/>
        <v>0</v>
      </c>
      <c r="O58" s="35">
        <v>8.8903999999999996</v>
      </c>
      <c r="P58" s="200">
        <f t="shared" si="14"/>
        <v>0</v>
      </c>
      <c r="Q58" s="35">
        <v>5689.8559999999998</v>
      </c>
      <c r="R58" s="200">
        <f t="shared" si="15"/>
        <v>0</v>
      </c>
    </row>
    <row r="59" spans="1:18" x14ac:dyDescent="0.2">
      <c r="A59" s="25"/>
      <c r="B59" s="25"/>
      <c r="C59" s="25" t="s">
        <v>103</v>
      </c>
      <c r="D59" s="25">
        <v>1</v>
      </c>
      <c r="E59" s="130"/>
      <c r="F59" s="224" t="s">
        <v>42</v>
      </c>
      <c r="G59" s="41">
        <v>11.298695813929395</v>
      </c>
      <c r="H59" s="131"/>
      <c r="I59" s="35">
        <v>11.298695813929395</v>
      </c>
      <c r="J59" s="200">
        <f t="shared" si="12"/>
        <v>0</v>
      </c>
      <c r="K59" s="223">
        <v>0</v>
      </c>
      <c r="L59" s="212"/>
      <c r="M59" s="35">
        <v>0</v>
      </c>
      <c r="N59" s="200">
        <f t="shared" si="13"/>
        <v>0</v>
      </c>
      <c r="O59" s="35">
        <v>11.298695813929395</v>
      </c>
      <c r="P59" s="200">
        <f t="shared" si="14"/>
        <v>0</v>
      </c>
      <c r="Q59" s="35">
        <v>7231.1653209148135</v>
      </c>
      <c r="R59" s="200">
        <f t="shared" si="15"/>
        <v>0</v>
      </c>
    </row>
    <row r="60" spans="1:18" x14ac:dyDescent="0.2">
      <c r="A60" s="25"/>
      <c r="B60" s="25"/>
      <c r="C60" s="25" t="s">
        <v>5</v>
      </c>
      <c r="D60" s="25">
        <v>1</v>
      </c>
      <c r="E60" s="130"/>
      <c r="F60" s="224" t="s">
        <v>42</v>
      </c>
      <c r="G60" s="41">
        <v>10.672931282874973</v>
      </c>
      <c r="H60" s="131"/>
      <c r="I60" s="35">
        <v>10.672931282874973</v>
      </c>
      <c r="J60" s="200">
        <f t="shared" si="12"/>
        <v>0</v>
      </c>
      <c r="K60" s="223">
        <v>0</v>
      </c>
      <c r="L60" s="212"/>
      <c r="M60" s="35">
        <v>0</v>
      </c>
      <c r="N60" s="200">
        <f t="shared" si="13"/>
        <v>0</v>
      </c>
      <c r="O60" s="35">
        <v>10.672931282874973</v>
      </c>
      <c r="P60" s="200">
        <f t="shared" si="14"/>
        <v>0</v>
      </c>
      <c r="Q60" s="35">
        <v>6830.6760210399825</v>
      </c>
      <c r="R60" s="200">
        <f t="shared" si="15"/>
        <v>0</v>
      </c>
    </row>
    <row r="61" spans="1:18" x14ac:dyDescent="0.2">
      <c r="A61" s="25"/>
      <c r="B61" s="131"/>
      <c r="C61" s="131"/>
      <c r="D61" s="25"/>
      <c r="E61" s="130"/>
      <c r="F61" s="224"/>
      <c r="G61" s="41"/>
      <c r="H61" s="131"/>
      <c r="I61" s="35">
        <v>0</v>
      </c>
      <c r="J61" s="200">
        <f t="shared" si="12"/>
        <v>0</v>
      </c>
      <c r="K61" s="223">
        <v>0</v>
      </c>
      <c r="L61" s="212"/>
      <c r="M61" s="35">
        <v>0</v>
      </c>
      <c r="N61" s="200">
        <f t="shared" si="13"/>
        <v>0</v>
      </c>
      <c r="O61" s="35">
        <v>0</v>
      </c>
      <c r="P61" s="200">
        <f t="shared" si="14"/>
        <v>0</v>
      </c>
      <c r="Q61" s="35">
        <v>0</v>
      </c>
      <c r="R61" s="200">
        <f t="shared" si="15"/>
        <v>0</v>
      </c>
    </row>
    <row r="62" spans="1:18" x14ac:dyDescent="0.2">
      <c r="A62" s="25"/>
      <c r="B62" s="131"/>
      <c r="C62" s="131"/>
      <c r="D62" s="25"/>
      <c r="E62" s="130"/>
      <c r="F62" s="224"/>
      <c r="G62" s="41"/>
      <c r="H62" s="131"/>
      <c r="I62" s="35">
        <v>0</v>
      </c>
      <c r="J62" s="200">
        <f t="shared" si="12"/>
        <v>0</v>
      </c>
      <c r="K62" s="223">
        <v>0</v>
      </c>
      <c r="L62" s="212"/>
      <c r="M62" s="35">
        <v>0</v>
      </c>
      <c r="N62" s="200">
        <f t="shared" si="13"/>
        <v>0</v>
      </c>
      <c r="O62" s="35">
        <v>0</v>
      </c>
      <c r="P62" s="200">
        <f t="shared" si="14"/>
        <v>0</v>
      </c>
      <c r="Q62" s="35">
        <v>0</v>
      </c>
      <c r="R62" s="200">
        <f t="shared" si="15"/>
        <v>0</v>
      </c>
    </row>
    <row r="63" spans="1:18" ht="13.5" thickBot="1" x14ac:dyDescent="0.25">
      <c r="A63" s="25"/>
      <c r="B63" s="25" t="s">
        <v>32</v>
      </c>
      <c r="C63" s="25"/>
      <c r="D63" s="25"/>
      <c r="E63" s="195"/>
      <c r="F63" s="21"/>
      <c r="G63" s="39">
        <v>0.09</v>
      </c>
      <c r="H63" s="213"/>
      <c r="I63" s="42">
        <v>21.04986218988692</v>
      </c>
      <c r="J63" s="200">
        <f>+SUM(J18:J62)/2*H63</f>
        <v>0</v>
      </c>
      <c r="K63" s="86"/>
      <c r="L63" s="135"/>
      <c r="M63" s="42">
        <v>0</v>
      </c>
      <c r="N63" s="200">
        <f>+SUM(N18:N62)/2*L63</f>
        <v>0</v>
      </c>
      <c r="O63" s="42">
        <v>21.04986218988692</v>
      </c>
      <c r="P63" s="200">
        <f>+SUM(P18:P62)/2*L63</f>
        <v>0</v>
      </c>
      <c r="Q63" s="42">
        <v>13471.911801527629</v>
      </c>
      <c r="R63" s="182">
        <f>+J63*E$7</f>
        <v>0</v>
      </c>
    </row>
    <row r="64" spans="1:18" ht="13.5" thickBot="1" x14ac:dyDescent="0.25">
      <c r="A64" s="25" t="s">
        <v>33</v>
      </c>
      <c r="B64" s="25"/>
      <c r="C64" s="25"/>
      <c r="D64" s="25"/>
      <c r="E64" s="198"/>
      <c r="F64" s="25"/>
      <c r="G64" s="25"/>
      <c r="H64" s="195"/>
      <c r="I64" s="87">
        <v>675.3796242866913</v>
      </c>
      <c r="J64" s="202">
        <f>SUM(J19:J63)</f>
        <v>0</v>
      </c>
      <c r="K64" s="35"/>
      <c r="L64" s="193"/>
      <c r="M64" s="87">
        <v>0</v>
      </c>
      <c r="N64" s="202">
        <f>SUM(N19:N63)</f>
        <v>0</v>
      </c>
      <c r="O64" s="87">
        <v>675.3796242866913</v>
      </c>
      <c r="P64" s="202">
        <f>SUM(P19:P63)</f>
        <v>0</v>
      </c>
      <c r="Q64" s="87">
        <v>432242.95954348246</v>
      </c>
      <c r="R64" s="202">
        <f>SUM(R19:R63)</f>
        <v>0</v>
      </c>
    </row>
    <row r="65" spans="1:18" ht="13.5" thickTop="1" x14ac:dyDescent="0.2">
      <c r="A65" s="25" t="s">
        <v>34</v>
      </c>
      <c r="B65" s="25"/>
      <c r="C65" s="25"/>
      <c r="D65" s="25"/>
      <c r="E65" s="198"/>
      <c r="F65" s="25"/>
      <c r="G65" s="25"/>
      <c r="H65" s="195"/>
      <c r="I65" s="35">
        <v>209.28337571330883</v>
      </c>
      <c r="J65" s="200">
        <f>+J14-J64</f>
        <v>0</v>
      </c>
      <c r="K65" s="35"/>
      <c r="L65" s="193"/>
      <c r="M65" s="35">
        <v>0</v>
      </c>
      <c r="N65" s="200">
        <f>+N14-N64</f>
        <v>0</v>
      </c>
      <c r="O65" s="35">
        <v>209.28337571330883</v>
      </c>
      <c r="P65" s="200">
        <f>+P14-P64</f>
        <v>0</v>
      </c>
      <c r="Q65" s="35">
        <v>133941.36045651761</v>
      </c>
      <c r="R65" s="200">
        <f>+R14-R64</f>
        <v>0</v>
      </c>
    </row>
    <row r="66" spans="1:18" x14ac:dyDescent="0.2">
      <c r="A66" s="25"/>
      <c r="B66" s="25" t="s">
        <v>35</v>
      </c>
      <c r="C66" s="25"/>
      <c r="D66" s="25"/>
      <c r="E66" s="208"/>
      <c r="F66" s="17"/>
      <c r="G66" s="40">
        <v>0.61834855703909453</v>
      </c>
      <c r="H66" s="208" t="str">
        <f>IF(E10=0,"n/a",(YVarExp-(YTotExp+YTotRet-J10))/E10)</f>
        <v>n/a</v>
      </c>
      <c r="I66" s="25" t="s">
        <v>82</v>
      </c>
      <c r="J66" s="182"/>
      <c r="K66" s="25"/>
      <c r="L66" s="195"/>
      <c r="M66" s="25"/>
      <c r="N66" s="182"/>
      <c r="O66" s="25"/>
      <c r="P66" s="182"/>
      <c r="Q66" s="25"/>
      <c r="R66" s="182"/>
    </row>
    <row r="67" spans="1:18" x14ac:dyDescent="0.2">
      <c r="A67" s="25"/>
      <c r="B67" s="25"/>
      <c r="C67" s="25"/>
      <c r="D67" s="25"/>
      <c r="E67" s="176"/>
      <c r="F67" s="25"/>
      <c r="G67" s="25"/>
      <c r="H67" s="209"/>
      <c r="I67" s="25"/>
      <c r="J67" s="182"/>
      <c r="K67" s="25"/>
      <c r="L67" s="195"/>
      <c r="M67" s="25"/>
      <c r="N67" s="182"/>
      <c r="O67" s="25"/>
      <c r="P67" s="182"/>
      <c r="Q67" s="22" t="s">
        <v>19</v>
      </c>
      <c r="R67" s="182" t="s">
        <v>19</v>
      </c>
    </row>
    <row r="68" spans="1:18" x14ac:dyDescent="0.2">
      <c r="A68" s="23" t="s">
        <v>36</v>
      </c>
      <c r="B68" s="23"/>
      <c r="C68" s="23"/>
      <c r="D68" s="24" t="s">
        <v>2</v>
      </c>
      <c r="E68" s="194" t="s">
        <v>2</v>
      </c>
      <c r="F68" s="24" t="s">
        <v>21</v>
      </c>
      <c r="G68" s="24" t="s">
        <v>22</v>
      </c>
      <c r="H68" s="194" t="s">
        <v>22</v>
      </c>
      <c r="I68" s="24" t="s">
        <v>12</v>
      </c>
      <c r="J68" s="194" t="s">
        <v>12</v>
      </c>
      <c r="K68" s="24" t="s">
        <v>11</v>
      </c>
      <c r="L68" s="194" t="s">
        <v>11</v>
      </c>
      <c r="M68" s="24" t="s">
        <v>10</v>
      </c>
      <c r="N68" s="194" t="s">
        <v>10</v>
      </c>
      <c r="O68" s="24" t="s">
        <v>9</v>
      </c>
      <c r="P68" s="194" t="s">
        <v>9</v>
      </c>
      <c r="Q68" s="24" t="s">
        <v>12</v>
      </c>
      <c r="R68" s="206" t="s">
        <v>12</v>
      </c>
    </row>
    <row r="69" spans="1:18" x14ac:dyDescent="0.2">
      <c r="A69" s="25"/>
      <c r="B69" s="25" t="s">
        <v>104</v>
      </c>
      <c r="C69" s="25"/>
      <c r="D69" s="25"/>
      <c r="E69" s="176"/>
      <c r="F69" s="25"/>
      <c r="G69" s="25"/>
      <c r="H69" s="209"/>
      <c r="I69" s="184"/>
      <c r="J69" s="182"/>
      <c r="K69" s="223"/>
      <c r="L69" s="195"/>
      <c r="M69" s="25"/>
      <c r="N69" s="182"/>
      <c r="O69" s="25"/>
      <c r="P69" s="182"/>
      <c r="Q69" s="25"/>
      <c r="R69" s="182"/>
    </row>
    <row r="70" spans="1:18" x14ac:dyDescent="0.2">
      <c r="A70" s="25"/>
      <c r="B70" s="25"/>
      <c r="C70" s="25" t="s">
        <v>102</v>
      </c>
      <c r="D70" s="25">
        <v>1</v>
      </c>
      <c r="E70" s="130"/>
      <c r="F70" s="224" t="s">
        <v>42</v>
      </c>
      <c r="G70" s="41">
        <v>0.48808593750000001</v>
      </c>
      <c r="H70" s="131"/>
      <c r="I70" s="35">
        <v>0.48808593750000001</v>
      </c>
      <c r="J70" s="200">
        <f t="shared" ref="J70:J73" si="16">E70*H70</f>
        <v>0</v>
      </c>
      <c r="K70" s="223">
        <v>0</v>
      </c>
      <c r="L70" s="212"/>
      <c r="M70" s="35">
        <v>0</v>
      </c>
      <c r="N70" s="200">
        <f>J70*L70</f>
        <v>0</v>
      </c>
      <c r="O70" s="35">
        <v>0.48808593750000001</v>
      </c>
      <c r="P70" s="200">
        <f t="shared" ref="P70:P73" si="17">+J70-N70</f>
        <v>0</v>
      </c>
      <c r="Q70" s="35">
        <v>312.375</v>
      </c>
      <c r="R70" s="200">
        <f t="shared" ref="R70:R73" si="18">+J70*E$7</f>
        <v>0</v>
      </c>
    </row>
    <row r="71" spans="1:18" x14ac:dyDescent="0.2">
      <c r="A71" s="25"/>
      <c r="B71" s="25"/>
      <c r="C71" s="25" t="s">
        <v>46</v>
      </c>
      <c r="D71" s="25">
        <v>1</v>
      </c>
      <c r="E71" s="130"/>
      <c r="F71" s="224" t="s">
        <v>42</v>
      </c>
      <c r="G71" s="41">
        <v>24.375</v>
      </c>
      <c r="H71" s="131"/>
      <c r="I71" s="35">
        <v>24.375</v>
      </c>
      <c r="J71" s="200">
        <f t="shared" si="16"/>
        <v>0</v>
      </c>
      <c r="K71" s="223">
        <v>0</v>
      </c>
      <c r="L71" s="212"/>
      <c r="M71" s="35">
        <v>0</v>
      </c>
      <c r="N71" s="200">
        <f>J71*L71</f>
        <v>0</v>
      </c>
      <c r="O71" s="35">
        <v>24.375</v>
      </c>
      <c r="P71" s="200">
        <f t="shared" si="17"/>
        <v>0</v>
      </c>
      <c r="Q71" s="35">
        <v>15600</v>
      </c>
      <c r="R71" s="200">
        <f t="shared" si="18"/>
        <v>0</v>
      </c>
    </row>
    <row r="72" spans="1:18" x14ac:dyDescent="0.2">
      <c r="A72" s="25"/>
      <c r="B72" s="25"/>
      <c r="C72" s="25" t="s">
        <v>103</v>
      </c>
      <c r="D72" s="25">
        <v>1</v>
      </c>
      <c r="E72" s="130"/>
      <c r="F72" s="224" t="s">
        <v>42</v>
      </c>
      <c r="G72" s="41">
        <v>11.675319007727042</v>
      </c>
      <c r="H72" s="131"/>
      <c r="I72" s="35">
        <v>11.675319007727042</v>
      </c>
      <c r="J72" s="200">
        <f t="shared" si="16"/>
        <v>0</v>
      </c>
      <c r="K72" s="223">
        <v>0</v>
      </c>
      <c r="L72" s="212"/>
      <c r="M72" s="35">
        <v>0</v>
      </c>
      <c r="N72" s="200">
        <f>J72*L72</f>
        <v>0</v>
      </c>
      <c r="O72" s="35">
        <v>11.675319007727042</v>
      </c>
      <c r="P72" s="200">
        <f t="shared" si="17"/>
        <v>0</v>
      </c>
      <c r="Q72" s="35">
        <v>7472.2041649453067</v>
      </c>
      <c r="R72" s="200">
        <f t="shared" si="18"/>
        <v>0</v>
      </c>
    </row>
    <row r="73" spans="1:18" x14ac:dyDescent="0.2">
      <c r="A73" s="25"/>
      <c r="B73" s="25"/>
      <c r="C73" s="25" t="s">
        <v>5</v>
      </c>
      <c r="D73" s="25">
        <v>1</v>
      </c>
      <c r="E73" s="130"/>
      <c r="F73" s="224" t="s">
        <v>42</v>
      </c>
      <c r="G73" s="41">
        <v>13.914903176865298</v>
      </c>
      <c r="H73" s="131"/>
      <c r="I73" s="35">
        <v>13.914903176865298</v>
      </c>
      <c r="J73" s="200">
        <f t="shared" si="16"/>
        <v>0</v>
      </c>
      <c r="K73" s="223">
        <v>0</v>
      </c>
      <c r="L73" s="212"/>
      <c r="M73" s="35">
        <v>0</v>
      </c>
      <c r="N73" s="200">
        <f>J73*L73</f>
        <v>0</v>
      </c>
      <c r="O73" s="35">
        <v>13.914903176865298</v>
      </c>
      <c r="P73" s="200">
        <f t="shared" si="17"/>
        <v>0</v>
      </c>
      <c r="Q73" s="35">
        <v>8905.5380331937904</v>
      </c>
      <c r="R73" s="200">
        <f t="shared" si="18"/>
        <v>0</v>
      </c>
    </row>
    <row r="74" spans="1:18" x14ac:dyDescent="0.2">
      <c r="A74" s="25"/>
      <c r="B74" s="25" t="s">
        <v>88</v>
      </c>
      <c r="C74" s="25"/>
      <c r="D74" s="25"/>
      <c r="E74" s="195"/>
      <c r="F74" s="21"/>
      <c r="G74" s="41"/>
      <c r="H74" s="195"/>
      <c r="I74" s="184"/>
      <c r="J74" s="182"/>
      <c r="K74" s="223"/>
      <c r="L74" s="195"/>
      <c r="M74" s="35"/>
      <c r="N74" s="182"/>
      <c r="O74" s="35"/>
      <c r="P74" s="182"/>
      <c r="Q74" s="35"/>
      <c r="R74" s="182"/>
    </row>
    <row r="75" spans="1:18" x14ac:dyDescent="0.2">
      <c r="A75" s="25"/>
      <c r="B75" s="25"/>
      <c r="C75" s="25" t="s">
        <v>102</v>
      </c>
      <c r="D75" s="41">
        <v>3.4189453125</v>
      </c>
      <c r="E75" s="130"/>
      <c r="F75" s="224" t="s">
        <v>99</v>
      </c>
      <c r="G75" s="39">
        <v>0.08</v>
      </c>
      <c r="H75" s="213"/>
      <c r="I75" s="35">
        <v>0.27351562499999998</v>
      </c>
      <c r="J75" s="200">
        <f t="shared" ref="J75:J85" si="19">E75*H75</f>
        <v>0</v>
      </c>
      <c r="K75" s="223">
        <v>0</v>
      </c>
      <c r="L75" s="212"/>
      <c r="M75" s="35">
        <v>0</v>
      </c>
      <c r="N75" s="200">
        <f>J75*L75</f>
        <v>0</v>
      </c>
      <c r="O75" s="35">
        <v>0.27351562499999998</v>
      </c>
      <c r="P75" s="200">
        <f t="shared" ref="P75:P78" si="20">+J75-N75</f>
        <v>0</v>
      </c>
      <c r="Q75" s="35">
        <v>175.04999999999998</v>
      </c>
      <c r="R75" s="200">
        <f t="shared" ref="R75:R78" si="21">+J75*E$7</f>
        <v>0</v>
      </c>
    </row>
    <row r="76" spans="1:18" x14ac:dyDescent="0.2">
      <c r="A76" s="25"/>
      <c r="B76" s="25"/>
      <c r="C76" s="25" t="s">
        <v>46</v>
      </c>
      <c r="D76" s="41">
        <v>710.9375</v>
      </c>
      <c r="E76" s="130"/>
      <c r="F76" s="224" t="s">
        <v>99</v>
      </c>
      <c r="G76" s="39">
        <v>0.08</v>
      </c>
      <c r="H76" s="213"/>
      <c r="I76" s="35">
        <v>56.875</v>
      </c>
      <c r="J76" s="200">
        <f t="shared" si="19"/>
        <v>0</v>
      </c>
      <c r="K76" s="223">
        <v>0</v>
      </c>
      <c r="L76" s="212"/>
      <c r="M76" s="35">
        <v>0</v>
      </c>
      <c r="N76" s="200">
        <f>J76*L76</f>
        <v>0</v>
      </c>
      <c r="O76" s="35">
        <v>56.875</v>
      </c>
      <c r="P76" s="200">
        <f t="shared" si="20"/>
        <v>0</v>
      </c>
      <c r="Q76" s="35">
        <v>36400</v>
      </c>
      <c r="R76" s="200">
        <f t="shared" si="21"/>
        <v>0</v>
      </c>
    </row>
    <row r="77" spans="1:18" x14ac:dyDescent="0.2">
      <c r="A77" s="25"/>
      <c r="B77" s="25"/>
      <c r="C77" s="25" t="s">
        <v>103</v>
      </c>
      <c r="D77" s="41">
        <v>90.954501302131618</v>
      </c>
      <c r="E77" s="130"/>
      <c r="F77" s="224" t="s">
        <v>99</v>
      </c>
      <c r="G77" s="39">
        <v>0.08</v>
      </c>
      <c r="H77" s="213"/>
      <c r="I77" s="35">
        <v>7.2763601041705295</v>
      </c>
      <c r="J77" s="200">
        <f t="shared" si="19"/>
        <v>0</v>
      </c>
      <c r="K77" s="223">
        <v>0</v>
      </c>
      <c r="L77" s="212"/>
      <c r="M77" s="35">
        <v>0</v>
      </c>
      <c r="N77" s="200">
        <f>J77*L77</f>
        <v>0</v>
      </c>
      <c r="O77" s="35">
        <v>7.2763601041705295</v>
      </c>
      <c r="P77" s="200">
        <f t="shared" si="20"/>
        <v>0</v>
      </c>
      <c r="Q77" s="35">
        <v>4656.8704666691392</v>
      </c>
      <c r="R77" s="200">
        <f t="shared" si="21"/>
        <v>0</v>
      </c>
    </row>
    <row r="78" spans="1:18" x14ac:dyDescent="0.2">
      <c r="A78" s="25"/>
      <c r="B78" s="25"/>
      <c r="C78" s="25" t="s">
        <v>5</v>
      </c>
      <c r="D78" s="41">
        <v>59.524863589923783</v>
      </c>
      <c r="E78" s="130"/>
      <c r="F78" s="224" t="s">
        <v>99</v>
      </c>
      <c r="G78" s="39">
        <v>0.08</v>
      </c>
      <c r="H78" s="213"/>
      <c r="I78" s="35">
        <v>4.7619890871939026</v>
      </c>
      <c r="J78" s="200">
        <f t="shared" si="19"/>
        <v>0</v>
      </c>
      <c r="K78" s="223">
        <v>0</v>
      </c>
      <c r="L78" s="212"/>
      <c r="M78" s="35">
        <v>0</v>
      </c>
      <c r="N78" s="200">
        <f>J78*L78</f>
        <v>0</v>
      </c>
      <c r="O78" s="35">
        <v>4.7619890871939026</v>
      </c>
      <c r="P78" s="200">
        <f t="shared" si="20"/>
        <v>0</v>
      </c>
      <c r="Q78" s="35">
        <v>3047.6730158040978</v>
      </c>
      <c r="R78" s="200">
        <f t="shared" si="21"/>
        <v>0</v>
      </c>
    </row>
    <row r="79" spans="1:18" x14ac:dyDescent="0.2">
      <c r="A79" s="25"/>
      <c r="B79" s="25" t="s">
        <v>156</v>
      </c>
      <c r="C79" s="25"/>
      <c r="D79" s="25">
        <v>1</v>
      </c>
      <c r="E79" s="130"/>
      <c r="F79" s="224" t="s">
        <v>42</v>
      </c>
      <c r="G79" s="41">
        <v>0</v>
      </c>
      <c r="H79" s="131"/>
      <c r="I79" s="35">
        <v>0</v>
      </c>
      <c r="J79" s="200">
        <f t="shared" si="19"/>
        <v>0</v>
      </c>
      <c r="K79" s="223">
        <v>0</v>
      </c>
      <c r="L79" s="212"/>
      <c r="M79" s="35">
        <v>0</v>
      </c>
      <c r="N79" s="200">
        <f t="shared" ref="N79:N86" si="22">J79*L79</f>
        <v>0</v>
      </c>
      <c r="O79" s="35">
        <v>0</v>
      </c>
      <c r="P79" s="200">
        <f t="shared" ref="P79:P86" si="23">+J79-N79</f>
        <v>0</v>
      </c>
      <c r="Q79" s="35">
        <v>0</v>
      </c>
      <c r="R79" s="200">
        <f t="shared" ref="R79:R86" si="24">+J79*E$7</f>
        <v>0</v>
      </c>
    </row>
    <row r="80" spans="1:18" x14ac:dyDescent="0.2">
      <c r="A80" s="25"/>
      <c r="B80" s="25" t="s">
        <v>152</v>
      </c>
      <c r="C80" s="25"/>
      <c r="D80" s="25">
        <v>1</v>
      </c>
      <c r="E80" s="130"/>
      <c r="F80" s="224" t="s">
        <v>42</v>
      </c>
      <c r="G80" s="41">
        <v>0</v>
      </c>
      <c r="H80" s="131"/>
      <c r="I80" s="35">
        <v>0</v>
      </c>
      <c r="J80" s="200">
        <f t="shared" si="19"/>
        <v>0</v>
      </c>
      <c r="K80" s="223">
        <v>0</v>
      </c>
      <c r="L80" s="212"/>
      <c r="M80" s="35">
        <v>0</v>
      </c>
      <c r="N80" s="200">
        <f t="shared" si="22"/>
        <v>0</v>
      </c>
      <c r="O80" s="35">
        <v>0</v>
      </c>
      <c r="P80" s="200">
        <f t="shared" si="23"/>
        <v>0</v>
      </c>
      <c r="Q80" s="35">
        <v>0</v>
      </c>
      <c r="R80" s="200">
        <f t="shared" si="24"/>
        <v>0</v>
      </c>
    </row>
    <row r="81" spans="1:18" x14ac:dyDescent="0.2">
      <c r="A81" s="25"/>
      <c r="B81" s="25" t="s">
        <v>137</v>
      </c>
      <c r="C81" s="25"/>
      <c r="D81" s="25">
        <v>1</v>
      </c>
      <c r="E81" s="130"/>
      <c r="F81" s="224" t="s">
        <v>42</v>
      </c>
      <c r="G81" s="41">
        <v>0</v>
      </c>
      <c r="H81" s="131"/>
      <c r="I81" s="35">
        <v>0</v>
      </c>
      <c r="J81" s="200">
        <f t="shared" si="19"/>
        <v>0</v>
      </c>
      <c r="K81" s="223">
        <v>0</v>
      </c>
      <c r="L81" s="212"/>
      <c r="M81" s="35">
        <v>0</v>
      </c>
      <c r="N81" s="200">
        <f t="shared" si="22"/>
        <v>0</v>
      </c>
      <c r="O81" s="35">
        <v>0</v>
      </c>
      <c r="P81" s="200">
        <f t="shared" si="23"/>
        <v>0</v>
      </c>
      <c r="Q81" s="35">
        <v>0</v>
      </c>
      <c r="R81" s="200">
        <f t="shared" si="24"/>
        <v>0</v>
      </c>
    </row>
    <row r="82" spans="1:18" x14ac:dyDescent="0.2">
      <c r="A82" s="25"/>
      <c r="B82" s="25" t="s">
        <v>417</v>
      </c>
      <c r="C82" s="25"/>
      <c r="D82" s="25">
        <v>1</v>
      </c>
      <c r="E82" s="130"/>
      <c r="F82" s="224" t="s">
        <v>42</v>
      </c>
      <c r="G82" s="41">
        <v>90</v>
      </c>
      <c r="H82" s="131"/>
      <c r="I82" s="35">
        <v>90</v>
      </c>
      <c r="J82" s="200">
        <f t="shared" si="19"/>
        <v>0</v>
      </c>
      <c r="K82" s="223">
        <v>0</v>
      </c>
      <c r="L82" s="212"/>
      <c r="M82" s="35">
        <v>0</v>
      </c>
      <c r="N82" s="200">
        <f t="shared" si="22"/>
        <v>0</v>
      </c>
      <c r="O82" s="35">
        <v>90</v>
      </c>
      <c r="P82" s="200">
        <f t="shared" si="23"/>
        <v>0</v>
      </c>
      <c r="Q82" s="35">
        <v>57600</v>
      </c>
      <c r="R82" s="200">
        <f t="shared" si="24"/>
        <v>0</v>
      </c>
    </row>
    <row r="83" spans="1:18" x14ac:dyDescent="0.2">
      <c r="A83" s="25"/>
      <c r="B83" s="25" t="s">
        <v>159</v>
      </c>
      <c r="C83" s="25"/>
      <c r="D83" s="25">
        <v>1</v>
      </c>
      <c r="E83" s="130"/>
      <c r="F83" s="224" t="s">
        <v>42</v>
      </c>
      <c r="G83" s="41">
        <v>0</v>
      </c>
      <c r="H83" s="131"/>
      <c r="I83" s="35">
        <v>0</v>
      </c>
      <c r="J83" s="200">
        <f t="shared" si="19"/>
        <v>0</v>
      </c>
      <c r="K83" s="223">
        <v>0</v>
      </c>
      <c r="L83" s="212"/>
      <c r="M83" s="35">
        <v>0</v>
      </c>
      <c r="N83" s="200">
        <f t="shared" si="22"/>
        <v>0</v>
      </c>
      <c r="O83" s="35">
        <v>0</v>
      </c>
      <c r="P83" s="200">
        <f t="shared" si="23"/>
        <v>0</v>
      </c>
      <c r="Q83" s="35">
        <v>0</v>
      </c>
      <c r="R83" s="200">
        <f t="shared" si="24"/>
        <v>0</v>
      </c>
    </row>
    <row r="84" spans="1:18" x14ac:dyDescent="0.2">
      <c r="A84" s="25"/>
      <c r="B84" s="25" t="s">
        <v>160</v>
      </c>
      <c r="C84" s="25"/>
      <c r="D84" s="25">
        <v>1</v>
      </c>
      <c r="E84" s="130"/>
      <c r="F84" s="224" t="s">
        <v>42</v>
      </c>
      <c r="G84" s="41">
        <v>0</v>
      </c>
      <c r="H84" s="131"/>
      <c r="I84" s="35">
        <v>0</v>
      </c>
      <c r="J84" s="200">
        <f t="shared" si="19"/>
        <v>0</v>
      </c>
      <c r="K84" s="223">
        <v>0</v>
      </c>
      <c r="L84" s="212"/>
      <c r="M84" s="35">
        <v>0</v>
      </c>
      <c r="N84" s="200">
        <f t="shared" si="22"/>
        <v>0</v>
      </c>
      <c r="O84" s="35">
        <v>0</v>
      </c>
      <c r="P84" s="200">
        <f t="shared" si="23"/>
        <v>0</v>
      </c>
      <c r="Q84" s="35">
        <v>0</v>
      </c>
      <c r="R84" s="200">
        <f t="shared" si="24"/>
        <v>0</v>
      </c>
    </row>
    <row r="85" spans="1:18" x14ac:dyDescent="0.2">
      <c r="A85" s="25"/>
      <c r="B85" s="131"/>
      <c r="C85" s="131"/>
      <c r="D85" s="25">
        <v>1</v>
      </c>
      <c r="E85" s="130"/>
      <c r="F85" s="224"/>
      <c r="G85" s="41">
        <v>0</v>
      </c>
      <c r="H85" s="131"/>
      <c r="I85" s="35">
        <v>0</v>
      </c>
      <c r="J85" s="200">
        <f t="shared" si="19"/>
        <v>0</v>
      </c>
      <c r="K85" s="223">
        <v>0</v>
      </c>
      <c r="L85" s="212"/>
      <c r="M85" s="35">
        <v>0</v>
      </c>
      <c r="N85" s="200">
        <f t="shared" si="22"/>
        <v>0</v>
      </c>
      <c r="O85" s="35">
        <v>0</v>
      </c>
      <c r="P85" s="200">
        <f t="shared" si="23"/>
        <v>0</v>
      </c>
      <c r="Q85" s="35">
        <v>0</v>
      </c>
      <c r="R85" s="200">
        <f t="shared" si="24"/>
        <v>0</v>
      </c>
    </row>
    <row r="86" spans="1:18" ht="13.5" thickBot="1" x14ac:dyDescent="0.25">
      <c r="A86" s="25"/>
      <c r="B86" s="131"/>
      <c r="C86" s="131"/>
      <c r="D86" s="25">
        <v>1</v>
      </c>
      <c r="E86" s="130"/>
      <c r="F86" s="224"/>
      <c r="G86" s="41">
        <v>0</v>
      </c>
      <c r="H86" s="131"/>
      <c r="I86" s="35">
        <v>0</v>
      </c>
      <c r="J86" s="200">
        <f>E86*H86</f>
        <v>0</v>
      </c>
      <c r="K86" s="223">
        <v>0</v>
      </c>
      <c r="L86" s="212"/>
      <c r="M86" s="35">
        <v>0</v>
      </c>
      <c r="N86" s="200">
        <f t="shared" si="22"/>
        <v>0</v>
      </c>
      <c r="O86" s="35">
        <v>0</v>
      </c>
      <c r="P86" s="200">
        <f t="shared" si="23"/>
        <v>0</v>
      </c>
      <c r="Q86" s="35">
        <v>0</v>
      </c>
      <c r="R86" s="200">
        <f t="shared" si="24"/>
        <v>0</v>
      </c>
    </row>
    <row r="87" spans="1:18" ht="13.5" thickBot="1" x14ac:dyDescent="0.25">
      <c r="A87" s="25" t="s">
        <v>37</v>
      </c>
      <c r="B87" s="25"/>
      <c r="C87" s="25"/>
      <c r="D87" s="25"/>
      <c r="E87" s="195"/>
      <c r="F87" s="25"/>
      <c r="G87" s="25"/>
      <c r="H87" s="195"/>
      <c r="I87" s="118">
        <v>209.64017293845677</v>
      </c>
      <c r="J87" s="202">
        <f>+SUM(J70:J86)</f>
        <v>0</v>
      </c>
      <c r="K87" s="35"/>
      <c r="L87" s="193"/>
      <c r="M87" s="118">
        <v>0</v>
      </c>
      <c r="N87" s="202">
        <f>+SUM(N70:N86)</f>
        <v>0</v>
      </c>
      <c r="O87" s="118">
        <v>209.64017293845677</v>
      </c>
      <c r="P87" s="202">
        <f>+SUM(P70:P86)</f>
        <v>0</v>
      </c>
      <c r="Q87" s="118">
        <v>134169.71068061233</v>
      </c>
      <c r="R87" s="202">
        <f>+SUM(R70:R86)</f>
        <v>0</v>
      </c>
    </row>
    <row r="88" spans="1:18" ht="14.25" thickTop="1" thickBot="1" x14ac:dyDescent="0.25">
      <c r="A88" s="25" t="s">
        <v>52</v>
      </c>
      <c r="B88" s="25"/>
      <c r="C88" s="25"/>
      <c r="D88" s="25"/>
      <c r="E88" s="195"/>
      <c r="F88" s="25"/>
      <c r="G88" s="25"/>
      <c r="H88" s="195"/>
      <c r="I88" s="87">
        <v>885.01979722514807</v>
      </c>
      <c r="J88" s="203">
        <f>+J64+J87</f>
        <v>0</v>
      </c>
      <c r="K88" s="35"/>
      <c r="L88" s="193"/>
      <c r="M88" s="87">
        <v>0</v>
      </c>
      <c r="N88" s="203">
        <f>+N64+N87</f>
        <v>0</v>
      </c>
      <c r="O88" s="87">
        <v>885.01979722514807</v>
      </c>
      <c r="P88" s="203">
        <f>+P64+P87</f>
        <v>0</v>
      </c>
      <c r="Q88" s="87">
        <v>566412.67022409476</v>
      </c>
      <c r="R88" s="203">
        <f>+R64+R87</f>
        <v>0</v>
      </c>
    </row>
    <row r="89" spans="1:18" ht="13.5" thickTop="1" x14ac:dyDescent="0.2">
      <c r="A89" s="25"/>
      <c r="B89" s="25"/>
      <c r="C89" s="25"/>
      <c r="D89" s="25"/>
      <c r="E89" s="195"/>
      <c r="F89" s="25"/>
      <c r="G89" s="25"/>
      <c r="H89" s="195"/>
      <c r="I89" s="35"/>
      <c r="J89" s="182"/>
      <c r="K89" s="35"/>
      <c r="L89" s="193"/>
      <c r="M89" s="35"/>
      <c r="N89" s="182"/>
      <c r="O89" s="35"/>
      <c r="P89" s="182"/>
      <c r="Q89" s="35"/>
      <c r="R89" s="182"/>
    </row>
    <row r="90" spans="1:18" x14ac:dyDescent="0.2">
      <c r="A90" s="25" t="s">
        <v>153</v>
      </c>
      <c r="B90" s="25"/>
      <c r="C90" s="25"/>
      <c r="D90" s="25"/>
      <c r="E90" s="195"/>
      <c r="F90" s="25"/>
      <c r="G90" s="25"/>
      <c r="H90" s="195"/>
      <c r="I90" s="35">
        <v>-0.35679722514794321</v>
      </c>
      <c r="J90" s="200">
        <f>+J14-J88</f>
        <v>0</v>
      </c>
      <c r="K90" s="35"/>
      <c r="L90" s="193"/>
      <c r="M90" s="35">
        <v>0</v>
      </c>
      <c r="N90" s="200">
        <f>+N14-N88</f>
        <v>0</v>
      </c>
      <c r="O90" s="35">
        <v>-0.35679722514794321</v>
      </c>
      <c r="P90" s="200">
        <f>+P14-P88</f>
        <v>0</v>
      </c>
      <c r="Q90" s="35">
        <v>-228.35022409469821</v>
      </c>
      <c r="R90" s="200">
        <f>+R14-R88</f>
        <v>0</v>
      </c>
    </row>
    <row r="91" spans="1:18" x14ac:dyDescent="0.2">
      <c r="A91" s="25"/>
      <c r="B91" s="25"/>
      <c r="C91" s="25"/>
      <c r="D91" s="25"/>
      <c r="E91" s="195"/>
      <c r="F91" s="25"/>
      <c r="G91" s="25"/>
      <c r="H91" s="195"/>
      <c r="I91" s="35"/>
      <c r="J91" s="204"/>
      <c r="K91" s="35"/>
      <c r="L91" s="193"/>
      <c r="M91" s="35"/>
      <c r="N91" s="193"/>
      <c r="O91" s="35"/>
      <c r="P91" s="193"/>
      <c r="Q91" s="35"/>
      <c r="R91" s="204"/>
    </row>
    <row r="92" spans="1:18" ht="13.5" thickBot="1" x14ac:dyDescent="0.25">
      <c r="A92" s="44" t="s">
        <v>38</v>
      </c>
      <c r="B92" s="44"/>
      <c r="C92" s="44"/>
      <c r="D92" s="44"/>
      <c r="E92" s="199"/>
      <c r="F92" s="44"/>
      <c r="G92" s="45">
        <v>0.81032673738566674</v>
      </c>
      <c r="H92" s="210" t="str">
        <f>IF(E10=0,"n/a",(YTotExp-(YTotExp+YTotRet-J10))/E10)</f>
        <v>n/a</v>
      </c>
      <c r="I92" s="44" t="s">
        <v>82</v>
      </c>
      <c r="J92" s="205"/>
      <c r="K92" s="44"/>
      <c r="L92" s="199"/>
      <c r="M92" s="44"/>
      <c r="N92" s="199"/>
      <c r="O92" s="44"/>
      <c r="P92" s="199"/>
      <c r="Q92" s="44"/>
      <c r="R92" s="205"/>
    </row>
    <row r="93" spans="1:18" ht="13.5" thickTop="1" x14ac:dyDescent="0.2"/>
    <row r="94" spans="1:18" s="17" customFormat="1" ht="15.75" x14ac:dyDescent="0.25">
      <c r="A94"/>
      <c r="B94" s="88"/>
      <c r="C94" s="89"/>
      <c r="D94" s="234" t="s">
        <v>113</v>
      </c>
      <c r="E94" s="235"/>
      <c r="F94" s="235"/>
      <c r="G94" s="235"/>
      <c r="H94" s="235"/>
      <c r="I94" s="235"/>
      <c r="J94" s="99"/>
      <c r="K94" s="99"/>
      <c r="M94"/>
      <c r="N94"/>
    </row>
    <row r="95" spans="1:18" s="17" customFormat="1" ht="15.75" x14ac:dyDescent="0.25">
      <c r="A95"/>
      <c r="B95" s="19" t="s">
        <v>114</v>
      </c>
      <c r="C95" s="19" t="s">
        <v>114</v>
      </c>
      <c r="D95" s="123" t="s">
        <v>170</v>
      </c>
      <c r="E95" s="18"/>
      <c r="F95" s="18"/>
      <c r="G95" s="123" t="s">
        <v>170</v>
      </c>
      <c r="H95" s="18"/>
      <c r="I95" s="18"/>
      <c r="J95" s="18"/>
      <c r="K95" s="18"/>
      <c r="M95"/>
      <c r="N95"/>
    </row>
    <row r="96" spans="1:18" s="17" customFormat="1" x14ac:dyDescent="0.2">
      <c r="A96"/>
      <c r="B96" s="19" t="s">
        <v>80</v>
      </c>
      <c r="C96" s="19" t="s">
        <v>80</v>
      </c>
      <c r="D96" s="123" t="s">
        <v>157</v>
      </c>
      <c r="E96" s="119"/>
      <c r="F96" s="119"/>
      <c r="G96" s="123" t="s">
        <v>12</v>
      </c>
      <c r="H96" s="119"/>
      <c r="I96" s="119"/>
      <c r="J96" s="119"/>
      <c r="K96" s="119"/>
      <c r="M96"/>
      <c r="N96"/>
    </row>
    <row r="97" spans="1:18" s="17" customFormat="1" x14ac:dyDescent="0.2">
      <c r="A97"/>
      <c r="B97" s="19" t="s">
        <v>30</v>
      </c>
      <c r="C97" s="99" t="s">
        <v>82</v>
      </c>
      <c r="D97" s="123" t="s">
        <v>98</v>
      </c>
      <c r="E97" s="119"/>
      <c r="F97" s="119"/>
      <c r="G97" s="123" t="s">
        <v>98</v>
      </c>
      <c r="H97" s="19"/>
      <c r="I97" s="19"/>
      <c r="J97" s="19"/>
      <c r="K97" s="19"/>
      <c r="M97"/>
      <c r="N97"/>
    </row>
    <row r="98" spans="1:18" s="17" customFormat="1" x14ac:dyDescent="0.2">
      <c r="A98"/>
      <c r="B98" s="90">
        <v>0.75</v>
      </c>
      <c r="C98" s="91">
        <v>819</v>
      </c>
      <c r="D98" s="92">
        <v>0.82446474271879278</v>
      </c>
      <c r="E98" s="93"/>
      <c r="F98" s="94"/>
      <c r="G98" s="92">
        <v>1.0804356498475556</v>
      </c>
      <c r="H98" s="93"/>
      <c r="I98" s="93"/>
      <c r="M98"/>
      <c r="N98"/>
    </row>
    <row r="99" spans="1:18" s="17" customFormat="1" x14ac:dyDescent="0.2">
      <c r="A99"/>
      <c r="B99" s="95">
        <v>0.9</v>
      </c>
      <c r="C99" s="96">
        <v>982.80000000000007</v>
      </c>
      <c r="D99" s="97">
        <v>0.68705395226566057</v>
      </c>
      <c r="E99" s="83"/>
      <c r="F99" s="98"/>
      <c r="G99" s="97">
        <v>0.90036304153962965</v>
      </c>
      <c r="H99" s="83"/>
      <c r="I99" s="83"/>
      <c r="M99"/>
      <c r="N99"/>
    </row>
    <row r="100" spans="1:18" s="17" customFormat="1" x14ac:dyDescent="0.2">
      <c r="A100"/>
      <c r="B100" s="90">
        <v>1</v>
      </c>
      <c r="C100" s="91">
        <v>1092</v>
      </c>
      <c r="D100" s="92">
        <v>0.61834855703909453</v>
      </c>
      <c r="E100" s="93"/>
      <c r="F100" s="94"/>
      <c r="G100" s="92">
        <v>0.81032673738566674</v>
      </c>
      <c r="H100" s="93"/>
      <c r="I100" s="93"/>
      <c r="M100"/>
      <c r="N100"/>
    </row>
    <row r="101" spans="1:18" s="17" customFormat="1" x14ac:dyDescent="0.2">
      <c r="A101"/>
      <c r="B101" s="95">
        <v>1.1000000000000001</v>
      </c>
      <c r="C101" s="96">
        <v>1201.2</v>
      </c>
      <c r="D101" s="97">
        <v>0.56213505185372237</v>
      </c>
      <c r="E101" s="83"/>
      <c r="F101" s="98"/>
      <c r="G101" s="97">
        <v>0.73666067035060612</v>
      </c>
      <c r="H101" s="83"/>
      <c r="I101" s="83"/>
      <c r="M101"/>
      <c r="N101"/>
    </row>
    <row r="102" spans="1:18" s="17" customFormat="1" x14ac:dyDescent="0.2">
      <c r="A102"/>
      <c r="B102" s="90">
        <v>1.25</v>
      </c>
      <c r="C102" s="91">
        <v>1365</v>
      </c>
      <c r="D102" s="92">
        <v>0.49467884563127568</v>
      </c>
      <c r="E102" s="93"/>
      <c r="F102" s="94"/>
      <c r="G102" s="92">
        <v>0.64826138990853333</v>
      </c>
      <c r="H102" s="93"/>
      <c r="I102" s="93"/>
      <c r="M102"/>
      <c r="N102"/>
    </row>
    <row r="103" spans="1:18" s="17" customFormat="1" x14ac:dyDescent="0.2">
      <c r="A103"/>
      <c r="M103"/>
      <c r="N103"/>
    </row>
    <row r="104" spans="1:18" x14ac:dyDescent="0.2">
      <c r="A104" s="25" t="s">
        <v>434</v>
      </c>
      <c r="B104" s="17"/>
      <c r="C104" s="17"/>
      <c r="D104" s="17"/>
      <c r="E104" s="17"/>
      <c r="F104" s="17"/>
      <c r="G104" s="17"/>
      <c r="H104" s="17"/>
      <c r="I104" s="17"/>
      <c r="J104" s="28"/>
      <c r="K104" s="17"/>
      <c r="L104" s="17"/>
      <c r="M104" s="17"/>
      <c r="N104" s="17"/>
      <c r="O104" s="17"/>
      <c r="P104" s="17"/>
      <c r="Q104" s="17"/>
    </row>
    <row r="105" spans="1:18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28"/>
      <c r="K105" s="17"/>
      <c r="L105" s="17"/>
      <c r="M105" s="17"/>
      <c r="N105" s="17"/>
      <c r="O105" s="17"/>
      <c r="P105" s="17"/>
      <c r="Q105" s="17"/>
    </row>
    <row r="106" spans="1:18" ht="26.25" customHeight="1" x14ac:dyDescent="0.2">
      <c r="A106" s="236" t="s">
        <v>140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19"/>
      <c r="N106" s="219"/>
      <c r="O106" s="219"/>
      <c r="P106" s="219"/>
      <c r="Q106" s="219"/>
      <c r="R106" s="219"/>
    </row>
  </sheetData>
  <sheetProtection sheet="1" objects="1" scenarios="1"/>
  <mergeCells count="6">
    <mergeCell ref="D94:I94"/>
    <mergeCell ref="A106:L106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09">
    <tabColor rgb="FF92D050"/>
    <pageSetUpPr fitToPage="1"/>
  </sheetPr>
  <dimension ref="A1:S108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447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133</v>
      </c>
      <c r="C10" s="25"/>
      <c r="D10" s="50">
        <v>1126</v>
      </c>
      <c r="E10" s="130"/>
      <c r="F10" s="224" t="s">
        <v>82</v>
      </c>
      <c r="G10" s="31">
        <v>0.81</v>
      </c>
      <c r="H10" s="131"/>
      <c r="I10" s="35">
        <v>912.06000000000006</v>
      </c>
      <c r="J10" s="200">
        <f t="shared" ref="J10:J13" si="0">E10*H10</f>
        <v>0</v>
      </c>
      <c r="K10" s="223">
        <v>0</v>
      </c>
      <c r="L10" s="212"/>
      <c r="M10" s="35">
        <v>0</v>
      </c>
      <c r="N10" s="200">
        <f t="shared" ref="N10:N13" si="1">J10*L10</f>
        <v>0</v>
      </c>
      <c r="O10" s="35">
        <v>912.06000000000006</v>
      </c>
      <c r="P10" s="200">
        <f>+J10-N10</f>
        <v>0</v>
      </c>
      <c r="Q10" s="35">
        <v>583718.40000000002</v>
      </c>
      <c r="R10" s="200">
        <f t="shared" ref="R10:R13" si="2">+J10*E$7</f>
        <v>0</v>
      </c>
      <c r="S10" s="12"/>
    </row>
    <row r="11" spans="1:19" x14ac:dyDescent="0.2">
      <c r="A11" s="25"/>
      <c r="B11" t="s">
        <v>134</v>
      </c>
      <c r="C11" s="25"/>
      <c r="D11" s="50">
        <v>0.65</v>
      </c>
      <c r="E11" s="130"/>
      <c r="F11" s="224" t="s">
        <v>135</v>
      </c>
      <c r="G11" s="31">
        <v>0.22</v>
      </c>
      <c r="H11" s="131"/>
      <c r="I11" s="35">
        <v>0.14300000000000002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0.14300000000000002</v>
      </c>
      <c r="P11" s="200">
        <f t="shared" ref="P11:P13" si="3">+J11-N11</f>
        <v>0</v>
      </c>
      <c r="Q11" s="35">
        <v>91.52000000000001</v>
      </c>
      <c r="R11" s="200">
        <f t="shared" si="2"/>
        <v>0</v>
      </c>
      <c r="S11" s="12"/>
    </row>
    <row r="12" spans="1:19" x14ac:dyDescent="0.2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35">
        <v>0</v>
      </c>
      <c r="J12" s="200">
        <f t="shared" si="0"/>
        <v>0</v>
      </c>
      <c r="K12" s="223">
        <v>0</v>
      </c>
      <c r="L12" s="212"/>
      <c r="M12" s="35">
        <v>0</v>
      </c>
      <c r="N12" s="200">
        <f t="shared" si="1"/>
        <v>0</v>
      </c>
      <c r="O12" s="35">
        <v>0</v>
      </c>
      <c r="P12" s="200">
        <f t="shared" si="3"/>
        <v>0</v>
      </c>
      <c r="Q12" s="35">
        <v>0</v>
      </c>
      <c r="R12" s="200">
        <f t="shared" si="2"/>
        <v>0</v>
      </c>
    </row>
    <row r="13" spans="1:19" ht="13.5" thickBot="1" x14ac:dyDescent="0.25">
      <c r="A13" s="25"/>
      <c r="B13" s="131"/>
      <c r="C13" s="131"/>
      <c r="D13" s="50">
        <v>0</v>
      </c>
      <c r="E13" s="130"/>
      <c r="F13" s="224"/>
      <c r="G13" s="31">
        <v>0</v>
      </c>
      <c r="H13" s="131"/>
      <c r="I13" s="42">
        <v>0</v>
      </c>
      <c r="J13" s="200">
        <f t="shared" si="0"/>
        <v>0</v>
      </c>
      <c r="K13" s="223">
        <v>0</v>
      </c>
      <c r="L13" s="212"/>
      <c r="M13" s="42">
        <v>0</v>
      </c>
      <c r="N13" s="200">
        <f t="shared" si="1"/>
        <v>0</v>
      </c>
      <c r="O13" s="42">
        <v>0</v>
      </c>
      <c r="P13" s="200">
        <f t="shared" si="3"/>
        <v>0</v>
      </c>
      <c r="Q13" s="42">
        <v>0</v>
      </c>
      <c r="R13" s="182">
        <f t="shared" si="2"/>
        <v>0</v>
      </c>
    </row>
    <row r="14" spans="1:19" x14ac:dyDescent="0.2">
      <c r="A14" s="25" t="s">
        <v>24</v>
      </c>
      <c r="B14" s="25"/>
      <c r="C14" s="25"/>
      <c r="D14" s="25"/>
      <c r="E14" s="198"/>
      <c r="F14" s="25"/>
      <c r="G14" s="25"/>
      <c r="H14" s="195"/>
      <c r="I14" s="36">
        <v>912.20300000000009</v>
      </c>
      <c r="J14" s="201">
        <f>SUM(J10:J13)</f>
        <v>0</v>
      </c>
      <c r="K14" s="35"/>
      <c r="L14" s="193"/>
      <c r="M14" s="36">
        <v>0</v>
      </c>
      <c r="N14" s="201">
        <f>SUM(N10:N13)</f>
        <v>0</v>
      </c>
      <c r="O14" s="36">
        <v>912.20300000000009</v>
      </c>
      <c r="P14" s="201">
        <f>SUM(P10:P13)</f>
        <v>0</v>
      </c>
      <c r="Q14" s="36">
        <v>583809.92000000004</v>
      </c>
      <c r="R14" s="201">
        <f>SUM(R10:R13)</f>
        <v>0</v>
      </c>
    </row>
    <row r="15" spans="1:19" x14ac:dyDescent="0.2">
      <c r="A15" s="25"/>
      <c r="B15" s="25"/>
      <c r="C15" s="25"/>
      <c r="D15" s="25"/>
      <c r="E15" s="176"/>
      <c r="F15" s="25"/>
      <c r="G15" s="25"/>
      <c r="H15" s="209"/>
      <c r="I15" s="35"/>
      <c r="J15" s="182"/>
      <c r="K15" s="35"/>
      <c r="L15" s="193"/>
      <c r="M15" s="35"/>
      <c r="N15" s="182"/>
      <c r="O15" s="35"/>
      <c r="P15" s="182"/>
      <c r="Q15" s="22" t="s">
        <v>19</v>
      </c>
      <c r="R15" s="182" t="s">
        <v>19</v>
      </c>
    </row>
    <row r="16" spans="1:19" x14ac:dyDescent="0.2">
      <c r="A16" s="23" t="s">
        <v>25</v>
      </c>
      <c r="B16" s="23"/>
      <c r="C16" s="23"/>
      <c r="D16" s="24" t="s">
        <v>2</v>
      </c>
      <c r="E16" s="194" t="s">
        <v>2</v>
      </c>
      <c r="F16" s="24" t="s">
        <v>21</v>
      </c>
      <c r="G16" s="24" t="s">
        <v>22</v>
      </c>
      <c r="H16" s="194" t="s">
        <v>22</v>
      </c>
      <c r="I16" s="24" t="s">
        <v>12</v>
      </c>
      <c r="J16" s="194" t="s">
        <v>12</v>
      </c>
      <c r="K16" s="24" t="s">
        <v>11</v>
      </c>
      <c r="L16" s="194" t="s">
        <v>11</v>
      </c>
      <c r="M16" s="24" t="s">
        <v>10</v>
      </c>
      <c r="N16" s="194" t="s">
        <v>10</v>
      </c>
      <c r="O16" s="24" t="s">
        <v>9</v>
      </c>
      <c r="P16" s="194" t="s">
        <v>9</v>
      </c>
      <c r="Q16" s="24" t="s">
        <v>12</v>
      </c>
      <c r="R16" s="206" t="s">
        <v>12</v>
      </c>
    </row>
    <row r="17" spans="1:18" x14ac:dyDescent="0.2">
      <c r="A17" s="25" t="s">
        <v>26</v>
      </c>
      <c r="B17" s="25"/>
      <c r="C17" s="25"/>
      <c r="D17" s="25"/>
      <c r="E17" s="176"/>
      <c r="F17" s="25"/>
      <c r="G17" s="25"/>
      <c r="H17" s="209"/>
      <c r="I17" s="25"/>
      <c r="J17" s="182"/>
      <c r="K17" s="25"/>
      <c r="L17" s="195"/>
      <c r="M17" s="25"/>
      <c r="N17" s="182"/>
      <c r="O17" s="25"/>
      <c r="P17" s="182"/>
      <c r="Q17" s="25"/>
      <c r="R17" s="182"/>
    </row>
    <row r="18" spans="1:18" x14ac:dyDescent="0.2">
      <c r="A18" s="25"/>
      <c r="B18" s="25" t="s">
        <v>50</v>
      </c>
      <c r="C18" s="25"/>
      <c r="D18" s="25"/>
      <c r="E18" s="25"/>
      <c r="F18" s="25"/>
      <c r="G18" s="25"/>
      <c r="H18" s="25"/>
      <c r="I18" s="25"/>
      <c r="J18" s="25"/>
      <c r="K18" s="223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 t="s">
        <v>458</v>
      </c>
      <c r="C19" s="25" t="s">
        <v>176</v>
      </c>
      <c r="D19" s="25">
        <v>1</v>
      </c>
      <c r="E19" s="130"/>
      <c r="F19" s="224" t="s">
        <v>42</v>
      </c>
      <c r="G19" s="41">
        <v>5</v>
      </c>
      <c r="H19" s="131"/>
      <c r="I19" s="35">
        <v>5</v>
      </c>
      <c r="J19" s="200">
        <f t="shared" ref="J19:J42" si="4">E19*H19</f>
        <v>0</v>
      </c>
      <c r="K19" s="223">
        <v>0</v>
      </c>
      <c r="L19" s="212"/>
      <c r="M19" s="35">
        <v>0</v>
      </c>
      <c r="N19" s="200">
        <f t="shared" ref="N19:N42" si="5">J19*L19</f>
        <v>0</v>
      </c>
      <c r="O19" s="35">
        <v>5</v>
      </c>
      <c r="P19" s="200">
        <f t="shared" ref="P19:P42" si="6">+J19-N19</f>
        <v>0</v>
      </c>
      <c r="Q19" s="35">
        <v>3200</v>
      </c>
      <c r="R19" s="200">
        <f t="shared" ref="R19:R42" si="7">+J19*E$7</f>
        <v>0</v>
      </c>
    </row>
    <row r="20" spans="1:18" x14ac:dyDescent="0.2">
      <c r="A20" s="25"/>
      <c r="B20" s="25" t="s">
        <v>458</v>
      </c>
      <c r="C20" s="25" t="s">
        <v>382</v>
      </c>
      <c r="D20" s="25">
        <v>1126</v>
      </c>
      <c r="E20" s="130"/>
      <c r="F20" s="224" t="s">
        <v>82</v>
      </c>
      <c r="G20" s="41">
        <v>0.13</v>
      </c>
      <c r="H20" s="131"/>
      <c r="I20" s="35">
        <v>146.38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146.38</v>
      </c>
      <c r="P20" s="200">
        <f t="shared" si="6"/>
        <v>0</v>
      </c>
      <c r="Q20" s="35">
        <v>93683.199999999997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375</v>
      </c>
      <c r="D21" s="25">
        <v>1126</v>
      </c>
      <c r="E21" s="130"/>
      <c r="F21" s="224" t="s">
        <v>82</v>
      </c>
      <c r="G21" s="41">
        <v>0.12</v>
      </c>
      <c r="H21" s="131"/>
      <c r="I21" s="35">
        <v>135.12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135.12</v>
      </c>
      <c r="P21" s="200">
        <f t="shared" si="6"/>
        <v>0</v>
      </c>
      <c r="Q21" s="35">
        <v>86476.800000000003</v>
      </c>
      <c r="R21" s="200">
        <f t="shared" si="7"/>
        <v>0</v>
      </c>
    </row>
    <row r="22" spans="1:18" x14ac:dyDescent="0.2">
      <c r="A22" s="25"/>
      <c r="B22" s="25" t="s">
        <v>0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342</v>
      </c>
      <c r="D23" s="25">
        <v>100</v>
      </c>
      <c r="E23" s="130"/>
      <c r="F23" s="224" t="s">
        <v>82</v>
      </c>
      <c r="G23" s="41">
        <v>0.53800000000000003</v>
      </c>
      <c r="H23" s="131"/>
      <c r="I23" s="35">
        <v>53.800000000000004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53.800000000000004</v>
      </c>
      <c r="P23" s="200">
        <f t="shared" si="6"/>
        <v>0</v>
      </c>
      <c r="Q23" s="35">
        <v>34432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378</v>
      </c>
      <c r="D24" s="25">
        <v>50</v>
      </c>
      <c r="E24" s="130"/>
      <c r="F24" s="224" t="s">
        <v>82</v>
      </c>
      <c r="G24" s="41">
        <v>0.56999999999999995</v>
      </c>
      <c r="H24" s="131"/>
      <c r="I24" s="35">
        <v>28.499999999999996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28.499999999999996</v>
      </c>
      <c r="P24" s="200">
        <f t="shared" si="6"/>
        <v>0</v>
      </c>
      <c r="Q24" s="35">
        <v>18239.999999999996</v>
      </c>
      <c r="R24" s="200">
        <f t="shared" si="7"/>
        <v>0</v>
      </c>
    </row>
    <row r="25" spans="1:18" x14ac:dyDescent="0.2">
      <c r="A25" s="25"/>
      <c r="B25" s="25" t="s">
        <v>49</v>
      </c>
      <c r="C25" s="25"/>
      <c r="D25" s="25"/>
      <c r="E25" s="25"/>
      <c r="F25" s="25"/>
      <c r="G25" s="25"/>
      <c r="H25" s="25"/>
      <c r="I25" s="25"/>
      <c r="J25" s="25"/>
      <c r="K25" s="223"/>
      <c r="L25" s="25"/>
      <c r="M25" s="25"/>
      <c r="N25" s="25"/>
      <c r="O25" s="25"/>
      <c r="P25" s="25"/>
      <c r="Q25" s="25"/>
      <c r="R25" s="25"/>
    </row>
    <row r="26" spans="1:18" x14ac:dyDescent="0.2">
      <c r="A26" s="25"/>
      <c r="B26" s="25" t="s">
        <v>458</v>
      </c>
      <c r="C26" s="25" t="s">
        <v>402</v>
      </c>
      <c r="D26" s="25">
        <v>4</v>
      </c>
      <c r="E26" s="130"/>
      <c r="F26" s="224" t="s">
        <v>316</v>
      </c>
      <c r="G26" s="41">
        <v>2.81</v>
      </c>
      <c r="H26" s="131"/>
      <c r="I26" s="35">
        <v>11.24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11.24</v>
      </c>
      <c r="P26" s="200">
        <f t="shared" si="6"/>
        <v>0</v>
      </c>
      <c r="Q26" s="35">
        <v>7193.6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401</v>
      </c>
      <c r="D27" s="25">
        <v>64</v>
      </c>
      <c r="E27" s="130"/>
      <c r="F27" s="224" t="s">
        <v>435</v>
      </c>
      <c r="G27" s="41">
        <v>0.41</v>
      </c>
      <c r="H27" s="131"/>
      <c r="I27" s="35">
        <v>26.24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26.24</v>
      </c>
      <c r="P27" s="200">
        <f t="shared" si="6"/>
        <v>0</v>
      </c>
      <c r="Q27" s="35">
        <v>16793.599999999999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440</v>
      </c>
      <c r="D28" s="25">
        <v>4.7</v>
      </c>
      <c r="E28" s="130"/>
      <c r="F28" s="224" t="s">
        <v>316</v>
      </c>
      <c r="G28" s="41">
        <v>5.81</v>
      </c>
      <c r="H28" s="131"/>
      <c r="I28" s="35">
        <v>27.306999999999999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27.306999999999999</v>
      </c>
      <c r="P28" s="200">
        <f t="shared" si="6"/>
        <v>0</v>
      </c>
      <c r="Q28" s="35">
        <v>17476.48</v>
      </c>
      <c r="R28" s="200">
        <f t="shared" si="7"/>
        <v>0</v>
      </c>
    </row>
    <row r="29" spans="1:18" x14ac:dyDescent="0.2">
      <c r="A29" s="25"/>
      <c r="B29" s="25" t="s">
        <v>458</v>
      </c>
      <c r="C29" s="25" t="s">
        <v>439</v>
      </c>
      <c r="D29" s="25">
        <v>29</v>
      </c>
      <c r="E29" s="130"/>
      <c r="F29" s="224" t="s">
        <v>410</v>
      </c>
      <c r="G29" s="41">
        <v>0.7</v>
      </c>
      <c r="H29" s="131"/>
      <c r="I29" s="35">
        <v>20.299999999999997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20.299999999999997</v>
      </c>
      <c r="P29" s="200">
        <f t="shared" si="6"/>
        <v>0</v>
      </c>
      <c r="Q29" s="35">
        <v>12991.999999999998</v>
      </c>
      <c r="R29" s="200">
        <f t="shared" si="7"/>
        <v>0</v>
      </c>
    </row>
    <row r="30" spans="1:18" x14ac:dyDescent="0.2">
      <c r="A30" s="25"/>
      <c r="B30" s="25" t="s">
        <v>458</v>
      </c>
      <c r="C30" s="25" t="s">
        <v>384</v>
      </c>
      <c r="D30" s="25">
        <v>1</v>
      </c>
      <c r="E30" s="130"/>
      <c r="F30" s="224" t="s">
        <v>316</v>
      </c>
      <c r="G30" s="41">
        <v>3.75</v>
      </c>
      <c r="H30" s="131"/>
      <c r="I30" s="35">
        <v>3.75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3.75</v>
      </c>
      <c r="P30" s="200">
        <f t="shared" si="6"/>
        <v>0</v>
      </c>
      <c r="Q30" s="35">
        <v>2400</v>
      </c>
      <c r="R30" s="200">
        <f t="shared" si="7"/>
        <v>0</v>
      </c>
    </row>
    <row r="31" spans="1:18" x14ac:dyDescent="0.2">
      <c r="A31" s="25"/>
      <c r="B31" s="25" t="s">
        <v>458</v>
      </c>
      <c r="C31" s="25" t="s">
        <v>386</v>
      </c>
      <c r="D31" s="25">
        <v>1</v>
      </c>
      <c r="E31" s="130"/>
      <c r="F31" s="224" t="s">
        <v>410</v>
      </c>
      <c r="G31" s="41">
        <v>0.546875</v>
      </c>
      <c r="H31" s="131"/>
      <c r="I31" s="35">
        <v>0.546875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0.546875</v>
      </c>
      <c r="P31" s="200">
        <f t="shared" si="6"/>
        <v>0</v>
      </c>
      <c r="Q31" s="35">
        <v>350</v>
      </c>
      <c r="R31" s="200">
        <f t="shared" si="7"/>
        <v>0</v>
      </c>
    </row>
    <row r="32" spans="1:18" x14ac:dyDescent="0.2">
      <c r="A32" s="25"/>
      <c r="B32" s="25" t="s">
        <v>458</v>
      </c>
      <c r="C32" s="25" t="s">
        <v>438</v>
      </c>
      <c r="D32" s="25">
        <v>1.5</v>
      </c>
      <c r="E32" s="130"/>
      <c r="F32" s="224" t="s">
        <v>316</v>
      </c>
      <c r="G32" s="41">
        <v>2.84</v>
      </c>
      <c r="H32" s="131"/>
      <c r="I32" s="35">
        <v>4.26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4.26</v>
      </c>
      <c r="P32" s="200">
        <f t="shared" si="6"/>
        <v>0</v>
      </c>
      <c r="Q32" s="35">
        <v>2726.3999999999996</v>
      </c>
      <c r="R32" s="200">
        <f t="shared" si="7"/>
        <v>0</v>
      </c>
    </row>
    <row r="33" spans="1:18" x14ac:dyDescent="0.2">
      <c r="A33" s="25"/>
      <c r="B33" s="25" t="s">
        <v>48</v>
      </c>
      <c r="C33" s="25"/>
      <c r="D33" s="25"/>
      <c r="E33" s="25"/>
      <c r="F33" s="25"/>
      <c r="G33" s="25"/>
      <c r="H33" s="25"/>
      <c r="I33" s="25"/>
      <c r="J33" s="25"/>
      <c r="K33" s="223"/>
      <c r="L33" s="25"/>
      <c r="M33" s="25"/>
      <c r="N33" s="25"/>
      <c r="O33" s="25"/>
      <c r="P33" s="25"/>
      <c r="Q33" s="25"/>
      <c r="R33" s="25"/>
    </row>
    <row r="34" spans="1:18" x14ac:dyDescent="0.2">
      <c r="A34" s="25"/>
      <c r="B34" s="25" t="s">
        <v>458</v>
      </c>
      <c r="C34" s="25" t="s">
        <v>392</v>
      </c>
      <c r="D34" s="25">
        <v>0.5</v>
      </c>
      <c r="E34" s="130"/>
      <c r="F34" s="224" t="s">
        <v>82</v>
      </c>
      <c r="G34" s="41">
        <v>7.2</v>
      </c>
      <c r="H34" s="131"/>
      <c r="I34" s="35">
        <v>3.6</v>
      </c>
      <c r="J34" s="200">
        <f t="shared" si="4"/>
        <v>0</v>
      </c>
      <c r="K34" s="223">
        <v>0</v>
      </c>
      <c r="L34" s="212"/>
      <c r="M34" s="35">
        <v>0</v>
      </c>
      <c r="N34" s="200">
        <f t="shared" si="5"/>
        <v>0</v>
      </c>
      <c r="O34" s="35">
        <v>3.6</v>
      </c>
      <c r="P34" s="200">
        <f t="shared" si="6"/>
        <v>0</v>
      </c>
      <c r="Q34" s="35">
        <v>2304</v>
      </c>
      <c r="R34" s="200">
        <f t="shared" si="7"/>
        <v>0</v>
      </c>
    </row>
    <row r="35" spans="1:18" x14ac:dyDescent="0.2">
      <c r="A35" s="25"/>
      <c r="B35" s="25" t="s">
        <v>458</v>
      </c>
      <c r="C35" s="25" t="s">
        <v>442</v>
      </c>
      <c r="D35" s="25">
        <v>16</v>
      </c>
      <c r="E35" s="130"/>
      <c r="F35" s="224" t="s">
        <v>410</v>
      </c>
      <c r="G35" s="41">
        <v>1.1599999999999999</v>
      </c>
      <c r="H35" s="131"/>
      <c r="I35" s="35">
        <v>18.559999999999999</v>
      </c>
      <c r="J35" s="200">
        <f t="shared" si="4"/>
        <v>0</v>
      </c>
      <c r="K35" s="223">
        <v>0</v>
      </c>
      <c r="L35" s="212"/>
      <c r="M35" s="35">
        <v>0</v>
      </c>
      <c r="N35" s="200">
        <f t="shared" si="5"/>
        <v>0</v>
      </c>
      <c r="O35" s="35">
        <v>18.559999999999999</v>
      </c>
      <c r="P35" s="200">
        <f t="shared" si="6"/>
        <v>0</v>
      </c>
      <c r="Q35" s="35">
        <v>11878.4</v>
      </c>
      <c r="R35" s="200">
        <f t="shared" si="7"/>
        <v>0</v>
      </c>
    </row>
    <row r="36" spans="1:18" x14ac:dyDescent="0.2">
      <c r="A36" s="25"/>
      <c r="B36" s="25" t="s">
        <v>458</v>
      </c>
      <c r="C36" s="25" t="s">
        <v>443</v>
      </c>
      <c r="D36" s="25">
        <v>2</v>
      </c>
      <c r="E36" s="130"/>
      <c r="F36" s="224" t="s">
        <v>410</v>
      </c>
      <c r="G36" s="41">
        <v>1.74875</v>
      </c>
      <c r="H36" s="131"/>
      <c r="I36" s="35">
        <v>3.4975000000000001</v>
      </c>
      <c r="J36" s="200">
        <f t="shared" si="4"/>
        <v>0</v>
      </c>
      <c r="K36" s="223">
        <v>0</v>
      </c>
      <c r="L36" s="212"/>
      <c r="M36" s="35">
        <v>0</v>
      </c>
      <c r="N36" s="200">
        <f t="shared" si="5"/>
        <v>0</v>
      </c>
      <c r="O36" s="35">
        <v>3.4975000000000001</v>
      </c>
      <c r="P36" s="200">
        <f t="shared" si="6"/>
        <v>0</v>
      </c>
      <c r="Q36" s="35">
        <v>2238.4</v>
      </c>
      <c r="R36" s="200">
        <f t="shared" si="7"/>
        <v>0</v>
      </c>
    </row>
    <row r="37" spans="1:18" x14ac:dyDescent="0.2">
      <c r="A37" s="25"/>
      <c r="B37" s="25" t="s">
        <v>27</v>
      </c>
      <c r="C37" s="25"/>
      <c r="D37" s="25"/>
      <c r="E37" s="25"/>
      <c r="F37" s="25"/>
      <c r="G37" s="25"/>
      <c r="H37" s="25"/>
      <c r="I37" s="25"/>
      <c r="J37" s="25"/>
      <c r="K37" s="223"/>
      <c r="L37" s="25"/>
      <c r="M37" s="25"/>
      <c r="N37" s="25"/>
      <c r="O37" s="25"/>
      <c r="P37" s="25"/>
      <c r="Q37" s="25"/>
      <c r="R37" s="25"/>
    </row>
    <row r="38" spans="1:18" x14ac:dyDescent="0.2">
      <c r="A38" s="25"/>
      <c r="B38" s="25" t="s">
        <v>458</v>
      </c>
      <c r="C38" s="25" t="s">
        <v>394</v>
      </c>
      <c r="D38" s="25">
        <v>1</v>
      </c>
      <c r="E38" s="130"/>
      <c r="F38" s="224" t="s">
        <v>42</v>
      </c>
      <c r="G38" s="41">
        <v>15</v>
      </c>
      <c r="H38" s="131"/>
      <c r="I38" s="35">
        <v>15</v>
      </c>
      <c r="J38" s="200">
        <f t="shared" si="4"/>
        <v>0</v>
      </c>
      <c r="K38" s="223">
        <v>0</v>
      </c>
      <c r="L38" s="212"/>
      <c r="M38" s="35">
        <v>0</v>
      </c>
      <c r="N38" s="200">
        <f t="shared" si="5"/>
        <v>0</v>
      </c>
      <c r="O38" s="35">
        <v>15</v>
      </c>
      <c r="P38" s="200">
        <f t="shared" si="6"/>
        <v>0</v>
      </c>
      <c r="Q38" s="35">
        <v>9600</v>
      </c>
      <c r="R38" s="200">
        <f t="shared" si="7"/>
        <v>0</v>
      </c>
    </row>
    <row r="39" spans="1:18" x14ac:dyDescent="0.2">
      <c r="A39" s="25"/>
      <c r="B39" s="25" t="s">
        <v>1</v>
      </c>
      <c r="C39" s="25"/>
      <c r="D39" s="25"/>
      <c r="E39" s="25"/>
      <c r="F39" s="25"/>
      <c r="G39" s="25"/>
      <c r="H39" s="25"/>
      <c r="I39" s="25"/>
      <c r="J39" s="25"/>
      <c r="K39" s="223"/>
      <c r="L39" s="25"/>
      <c r="M39" s="25"/>
      <c r="N39" s="25"/>
      <c r="O39" s="25"/>
      <c r="P39" s="25"/>
      <c r="Q39" s="25"/>
      <c r="R39" s="25"/>
    </row>
    <row r="40" spans="1:18" x14ac:dyDescent="0.2">
      <c r="A40" s="25"/>
      <c r="B40" s="25" t="s">
        <v>458</v>
      </c>
      <c r="C40" s="25" t="s">
        <v>368</v>
      </c>
      <c r="D40" s="25">
        <v>11.5</v>
      </c>
      <c r="E40" s="130"/>
      <c r="F40" s="224" t="s">
        <v>82</v>
      </c>
      <c r="G40" s="41">
        <v>8</v>
      </c>
      <c r="H40" s="131"/>
      <c r="I40" s="35">
        <v>92</v>
      </c>
      <c r="J40" s="200">
        <f t="shared" si="4"/>
        <v>0</v>
      </c>
      <c r="K40" s="223">
        <v>0</v>
      </c>
      <c r="L40" s="212"/>
      <c r="M40" s="35">
        <v>0</v>
      </c>
      <c r="N40" s="200">
        <f t="shared" si="5"/>
        <v>0</v>
      </c>
      <c r="O40" s="35">
        <v>92</v>
      </c>
      <c r="P40" s="200">
        <f t="shared" si="6"/>
        <v>0</v>
      </c>
      <c r="Q40" s="35">
        <v>58880</v>
      </c>
      <c r="R40" s="200">
        <f t="shared" si="7"/>
        <v>0</v>
      </c>
    </row>
    <row r="41" spans="1:18" x14ac:dyDescent="0.2">
      <c r="A41" s="25"/>
      <c r="B41" s="131"/>
      <c r="C41" s="131"/>
      <c r="D41" s="25">
        <v>0</v>
      </c>
      <c r="E41" s="130"/>
      <c r="F41" s="224"/>
      <c r="G41" s="41">
        <v>0</v>
      </c>
      <c r="H41" s="131"/>
      <c r="I41" s="35">
        <v>0</v>
      </c>
      <c r="J41" s="200">
        <f t="shared" si="4"/>
        <v>0</v>
      </c>
      <c r="K41" s="223">
        <v>0</v>
      </c>
      <c r="L41" s="212"/>
      <c r="M41" s="35">
        <v>0</v>
      </c>
      <c r="N41" s="200">
        <f t="shared" si="5"/>
        <v>0</v>
      </c>
      <c r="O41" s="35">
        <v>0</v>
      </c>
      <c r="P41" s="200">
        <f t="shared" si="6"/>
        <v>0</v>
      </c>
      <c r="Q41" s="35">
        <v>0</v>
      </c>
      <c r="R41" s="200">
        <f t="shared" si="7"/>
        <v>0</v>
      </c>
    </row>
    <row r="42" spans="1:18" x14ac:dyDescent="0.2">
      <c r="A42" s="25"/>
      <c r="B42" s="131"/>
      <c r="C42" s="131"/>
      <c r="D42" s="25">
        <v>0</v>
      </c>
      <c r="E42" s="130"/>
      <c r="F42" s="224"/>
      <c r="G42" s="41">
        <v>0</v>
      </c>
      <c r="H42" s="131"/>
      <c r="I42" s="35">
        <v>0</v>
      </c>
      <c r="J42" s="200">
        <f t="shared" si="4"/>
        <v>0</v>
      </c>
      <c r="K42" s="223">
        <v>0</v>
      </c>
      <c r="L42" s="212"/>
      <c r="M42" s="35">
        <v>0</v>
      </c>
      <c r="N42" s="200">
        <f t="shared" si="5"/>
        <v>0</v>
      </c>
      <c r="O42" s="35">
        <v>0</v>
      </c>
      <c r="P42" s="200">
        <f t="shared" si="6"/>
        <v>0</v>
      </c>
      <c r="Q42" s="35">
        <v>0</v>
      </c>
      <c r="R42" s="200">
        <f t="shared" si="7"/>
        <v>0</v>
      </c>
    </row>
    <row r="43" spans="1:18" x14ac:dyDescent="0.2">
      <c r="A43" s="25"/>
      <c r="B43" s="131"/>
      <c r="C43" s="131"/>
      <c r="D43" s="25">
        <v>0</v>
      </c>
      <c r="E43" s="130"/>
      <c r="F43" s="224"/>
      <c r="G43" s="41">
        <v>0</v>
      </c>
      <c r="H43" s="131"/>
      <c r="I43" s="35">
        <v>0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0</v>
      </c>
      <c r="P43" s="200">
        <f>+J43-N43</f>
        <v>0</v>
      </c>
      <c r="Q43" s="35">
        <v>0</v>
      </c>
      <c r="R43" s="200">
        <f>+J43*E$7</f>
        <v>0</v>
      </c>
    </row>
    <row r="44" spans="1:18" x14ac:dyDescent="0.2">
      <c r="A44" s="25"/>
      <c r="B44" s="25" t="s">
        <v>45</v>
      </c>
      <c r="C44" s="25"/>
      <c r="D44" s="25"/>
      <c r="E44" s="207"/>
      <c r="F44" s="21"/>
      <c r="G44" s="41"/>
      <c r="H44" s="196"/>
      <c r="I44" s="184"/>
      <c r="J44" s="182"/>
      <c r="K44" s="223"/>
      <c r="L44" s="196"/>
      <c r="M44" s="35"/>
      <c r="N44" s="182"/>
      <c r="O44" s="35"/>
      <c r="P44" s="182"/>
      <c r="Q44" s="35"/>
      <c r="R44" s="182"/>
    </row>
    <row r="45" spans="1:18" x14ac:dyDescent="0.2">
      <c r="A45" s="25"/>
      <c r="B45" s="25"/>
      <c r="C45" s="25" t="s">
        <v>136</v>
      </c>
      <c r="D45" s="34">
        <v>0.76800000000000002</v>
      </c>
      <c r="E45" s="130"/>
      <c r="F45" s="224" t="s">
        <v>44</v>
      </c>
      <c r="G45" s="41">
        <v>15</v>
      </c>
      <c r="H45" s="131"/>
      <c r="I45" s="35">
        <v>11.52</v>
      </c>
      <c r="J45" s="200">
        <f t="shared" ref="J45" si="8">E45*H45</f>
        <v>0</v>
      </c>
      <c r="K45" s="223">
        <v>0</v>
      </c>
      <c r="L45" s="212"/>
      <c r="M45" s="35">
        <v>0</v>
      </c>
      <c r="N45" s="200">
        <f t="shared" ref="N45" si="9">J45*L45</f>
        <v>0</v>
      </c>
      <c r="O45" s="35">
        <v>11.52</v>
      </c>
      <c r="P45" s="200">
        <f t="shared" ref="P45" si="10">+J45-N45</f>
        <v>0</v>
      </c>
      <c r="Q45" s="35">
        <v>7372.7999999999993</v>
      </c>
      <c r="R45" s="200">
        <f t="shared" ref="R45" si="11">+J45*E$7</f>
        <v>0</v>
      </c>
    </row>
    <row r="46" spans="1:18" x14ac:dyDescent="0.2">
      <c r="A46" s="25"/>
      <c r="B46" s="25" t="s">
        <v>106</v>
      </c>
      <c r="C46" s="25"/>
      <c r="D46" s="25"/>
      <c r="E46" s="104"/>
      <c r="H46" s="104"/>
      <c r="I46" s="121"/>
      <c r="J46" s="104"/>
      <c r="K46" s="223"/>
      <c r="L46" s="104"/>
      <c r="N46" s="104"/>
      <c r="P46" s="104"/>
      <c r="R46" s="104"/>
    </row>
    <row r="47" spans="1:18" x14ac:dyDescent="0.2">
      <c r="A47" s="25"/>
      <c r="B47" s="25"/>
      <c r="C47" s="25" t="s">
        <v>103</v>
      </c>
      <c r="D47" s="25">
        <v>0.32</v>
      </c>
      <c r="E47" s="130"/>
      <c r="F47" s="224" t="s">
        <v>44</v>
      </c>
      <c r="G47" s="41">
        <v>15</v>
      </c>
      <c r="H47" s="131"/>
      <c r="I47" s="35">
        <v>4.8</v>
      </c>
      <c r="J47" s="200">
        <f>E47*H47</f>
        <v>0</v>
      </c>
      <c r="K47" s="223">
        <v>0</v>
      </c>
      <c r="L47" s="212"/>
      <c r="M47" s="35">
        <v>0</v>
      </c>
      <c r="N47" s="200">
        <f>J47*L47</f>
        <v>0</v>
      </c>
      <c r="O47" s="35">
        <v>4.8</v>
      </c>
      <c r="P47" s="200">
        <f>+J47-N47</f>
        <v>0</v>
      </c>
      <c r="Q47" s="35">
        <v>3072</v>
      </c>
      <c r="R47" s="200">
        <f>+J47*E$7</f>
        <v>0</v>
      </c>
    </row>
    <row r="48" spans="1:18" x14ac:dyDescent="0.2">
      <c r="A48" s="25"/>
      <c r="B48" s="25"/>
      <c r="C48" s="25" t="s">
        <v>105</v>
      </c>
      <c r="D48" s="25">
        <v>0.38</v>
      </c>
      <c r="E48" s="130"/>
      <c r="F48" s="224" t="s">
        <v>44</v>
      </c>
      <c r="G48" s="41">
        <v>15</v>
      </c>
      <c r="H48" s="131"/>
      <c r="I48" s="35">
        <v>5.7</v>
      </c>
      <c r="J48" s="200">
        <f>E48*H48</f>
        <v>0</v>
      </c>
      <c r="K48" s="223">
        <v>0</v>
      </c>
      <c r="L48" s="212"/>
      <c r="M48" s="35">
        <v>0</v>
      </c>
      <c r="N48" s="200">
        <f>J48*L48</f>
        <v>0</v>
      </c>
      <c r="O48" s="35">
        <v>5.7</v>
      </c>
      <c r="P48" s="200">
        <f>+J48-N48</f>
        <v>0</v>
      </c>
      <c r="Q48" s="35">
        <v>3648</v>
      </c>
      <c r="R48" s="200">
        <f>+J48*E$7</f>
        <v>0</v>
      </c>
    </row>
    <row r="49" spans="1:18" x14ac:dyDescent="0.2">
      <c r="A49" s="25"/>
      <c r="B49" s="25"/>
      <c r="C49" s="25"/>
      <c r="D49" s="25"/>
      <c r="E49" s="207"/>
      <c r="F49" s="21"/>
      <c r="G49" s="41"/>
      <c r="H49" s="196"/>
      <c r="I49" s="35"/>
      <c r="J49" s="182"/>
      <c r="K49" s="223"/>
      <c r="L49" s="196"/>
      <c r="M49" s="35"/>
      <c r="N49" s="182"/>
      <c r="O49" s="35"/>
      <c r="P49" s="182"/>
      <c r="Q49" s="35"/>
      <c r="R49" s="182"/>
    </row>
    <row r="50" spans="1:18" x14ac:dyDescent="0.2">
      <c r="A50" s="25"/>
      <c r="B50" s="25" t="s">
        <v>51</v>
      </c>
      <c r="C50" s="25"/>
      <c r="D50" s="25"/>
      <c r="E50" s="207"/>
      <c r="F50" s="21"/>
      <c r="G50" s="41"/>
      <c r="H50" s="196"/>
      <c r="I50" s="184"/>
      <c r="J50" s="182"/>
      <c r="K50" s="223"/>
      <c r="L50" s="196"/>
      <c r="M50" s="35"/>
      <c r="N50" s="182"/>
      <c r="O50" s="35"/>
      <c r="P50" s="182"/>
      <c r="Q50" s="35"/>
      <c r="R50" s="182"/>
    </row>
    <row r="51" spans="1:18" x14ac:dyDescent="0.2">
      <c r="A51" s="25"/>
      <c r="B51" s="25"/>
      <c r="C51" s="25" t="s">
        <v>102</v>
      </c>
      <c r="D51" s="25">
        <v>1</v>
      </c>
      <c r="E51" s="130"/>
      <c r="F51" s="224" t="s">
        <v>42</v>
      </c>
      <c r="G51" s="41">
        <v>0</v>
      </c>
      <c r="H51" s="131"/>
      <c r="I51" s="35">
        <v>0</v>
      </c>
      <c r="J51" s="200">
        <f>E51*H51</f>
        <v>0</v>
      </c>
      <c r="K51" s="223">
        <v>0</v>
      </c>
      <c r="L51" s="212"/>
      <c r="M51" s="35">
        <v>0</v>
      </c>
      <c r="N51" s="200">
        <f>J51*L51</f>
        <v>0</v>
      </c>
      <c r="O51" s="35">
        <v>0</v>
      </c>
      <c r="P51" s="200">
        <f>+J51-N51</f>
        <v>0</v>
      </c>
      <c r="Q51" s="35">
        <v>0</v>
      </c>
      <c r="R51" s="200">
        <f>+J51*E$7</f>
        <v>0</v>
      </c>
    </row>
    <row r="52" spans="1:18" x14ac:dyDescent="0.2">
      <c r="A52" s="25"/>
      <c r="B52" s="25"/>
      <c r="C52" s="25" t="s">
        <v>103</v>
      </c>
      <c r="D52" s="25">
        <v>3.91</v>
      </c>
      <c r="E52" s="130"/>
      <c r="F52" s="224" t="s">
        <v>79</v>
      </c>
      <c r="G52" s="41">
        <v>3.0190000000000001</v>
      </c>
      <c r="H52" s="131"/>
      <c r="I52" s="35">
        <v>11.804290000000002</v>
      </c>
      <c r="J52" s="200">
        <f>E52*H52</f>
        <v>0</v>
      </c>
      <c r="K52" s="223">
        <v>0</v>
      </c>
      <c r="L52" s="212"/>
      <c r="M52" s="35">
        <v>0</v>
      </c>
      <c r="N52" s="200">
        <f>J52*L52</f>
        <v>0</v>
      </c>
      <c r="O52" s="35">
        <v>11.804290000000002</v>
      </c>
      <c r="P52" s="200">
        <f>+J52-N52</f>
        <v>0</v>
      </c>
      <c r="Q52" s="35">
        <v>7554.7456000000011</v>
      </c>
      <c r="R52" s="200">
        <f>+J52*E$7</f>
        <v>0</v>
      </c>
    </row>
    <row r="53" spans="1:18" x14ac:dyDescent="0.2">
      <c r="A53" s="25"/>
      <c r="B53" s="25"/>
      <c r="C53" s="25"/>
      <c r="D53" s="25"/>
      <c r="E53" s="207"/>
      <c r="F53" s="21"/>
      <c r="G53" s="41"/>
      <c r="H53" s="196"/>
      <c r="I53" s="35"/>
      <c r="J53" s="182"/>
      <c r="K53" s="223"/>
      <c r="L53" s="196"/>
      <c r="M53" s="35"/>
      <c r="N53" s="182"/>
      <c r="O53" s="35"/>
      <c r="P53" s="182"/>
      <c r="Q53" s="35"/>
      <c r="R53" s="182"/>
    </row>
    <row r="54" spans="1:18" x14ac:dyDescent="0.2">
      <c r="A54" s="25"/>
      <c r="B54" s="25" t="s">
        <v>29</v>
      </c>
      <c r="C54" s="25"/>
      <c r="D54" s="25"/>
      <c r="E54" s="207"/>
      <c r="F54" s="21"/>
      <c r="G54" s="41"/>
      <c r="H54" s="196"/>
      <c r="I54" s="184"/>
      <c r="J54" s="182"/>
      <c r="K54" s="223"/>
      <c r="L54" s="196"/>
      <c r="M54" s="35"/>
      <c r="N54" s="182"/>
      <c r="O54" s="35"/>
      <c r="P54" s="182"/>
      <c r="Q54" s="35"/>
      <c r="R54" s="182"/>
    </row>
    <row r="55" spans="1:18" x14ac:dyDescent="0.2">
      <c r="A55" s="25"/>
      <c r="B55" s="25"/>
      <c r="C55" s="25" t="s">
        <v>102</v>
      </c>
      <c r="D55" s="25">
        <v>1</v>
      </c>
      <c r="E55" s="130"/>
      <c r="F55" s="224" t="s">
        <v>42</v>
      </c>
      <c r="G55" s="41">
        <v>1.0546875</v>
      </c>
      <c r="H55" s="131"/>
      <c r="I55" s="35">
        <v>1.0546875</v>
      </c>
      <c r="J55" s="200">
        <f>E55*H55</f>
        <v>0</v>
      </c>
      <c r="K55" s="223">
        <v>0</v>
      </c>
      <c r="L55" s="212"/>
      <c r="M55" s="35">
        <v>0</v>
      </c>
      <c r="N55" s="200">
        <f>J55*L55</f>
        <v>0</v>
      </c>
      <c r="O55" s="35">
        <v>1.0546875</v>
      </c>
      <c r="P55" s="200">
        <f>+J55-N55</f>
        <v>0</v>
      </c>
      <c r="Q55" s="35">
        <v>675</v>
      </c>
      <c r="R55" s="200">
        <f>+J55*E$7</f>
        <v>0</v>
      </c>
    </row>
    <row r="56" spans="1:18" x14ac:dyDescent="0.2">
      <c r="A56" s="25"/>
      <c r="B56" s="25"/>
      <c r="C56" s="25" t="s">
        <v>103</v>
      </c>
      <c r="D56" s="25">
        <v>0</v>
      </c>
      <c r="E56" s="130"/>
      <c r="F56" s="224" t="s">
        <v>79</v>
      </c>
      <c r="G56" s="41">
        <v>3.09</v>
      </c>
      <c r="H56" s="131"/>
      <c r="I56" s="35">
        <v>0</v>
      </c>
      <c r="J56" s="200">
        <f>E56*H56</f>
        <v>0</v>
      </c>
      <c r="K56" s="223">
        <v>0</v>
      </c>
      <c r="L56" s="212"/>
      <c r="M56" s="35">
        <v>0</v>
      </c>
      <c r="N56" s="200">
        <f>J56*L56</f>
        <v>0</v>
      </c>
      <c r="O56" s="35">
        <v>0</v>
      </c>
      <c r="P56" s="200">
        <f>+J56-N56</f>
        <v>0</v>
      </c>
      <c r="Q56" s="35">
        <v>0</v>
      </c>
      <c r="R56" s="200">
        <f>+J56*E$7</f>
        <v>0</v>
      </c>
    </row>
    <row r="57" spans="1:18" x14ac:dyDescent="0.2">
      <c r="A57" s="25"/>
      <c r="B57" s="25"/>
      <c r="C57" s="25"/>
      <c r="D57" s="25"/>
      <c r="E57" s="207"/>
      <c r="F57" s="21"/>
      <c r="G57" s="41"/>
      <c r="H57" s="196"/>
      <c r="I57" s="35"/>
      <c r="J57" s="182"/>
      <c r="K57" s="223"/>
      <c r="L57" s="196"/>
      <c r="M57" s="35"/>
      <c r="N57" s="182"/>
      <c r="O57" s="35"/>
      <c r="P57" s="182"/>
      <c r="Q57" s="35"/>
      <c r="R57" s="182"/>
    </row>
    <row r="58" spans="1:18" x14ac:dyDescent="0.2">
      <c r="A58" s="25"/>
      <c r="B58" s="25" t="s">
        <v>47</v>
      </c>
      <c r="C58" s="25"/>
      <c r="D58" s="25"/>
      <c r="E58" s="207"/>
      <c r="F58" s="21"/>
      <c r="G58" s="41"/>
      <c r="H58" s="197"/>
      <c r="I58" s="184"/>
      <c r="J58" s="182"/>
      <c r="K58" s="223"/>
      <c r="L58" s="197"/>
      <c r="M58" s="35"/>
      <c r="N58" s="182"/>
      <c r="O58" s="35"/>
      <c r="P58" s="182"/>
      <c r="Q58" s="35"/>
      <c r="R58" s="182"/>
    </row>
    <row r="59" spans="1:18" x14ac:dyDescent="0.2">
      <c r="A59" s="25"/>
      <c r="B59" s="25"/>
      <c r="C59" s="25" t="s">
        <v>102</v>
      </c>
      <c r="D59" s="25">
        <v>1</v>
      </c>
      <c r="E59" s="130"/>
      <c r="F59" s="224" t="s">
        <v>42</v>
      </c>
      <c r="G59" s="41">
        <v>0.3515625</v>
      </c>
      <c r="H59" s="131"/>
      <c r="I59" s="35">
        <v>0.3515625</v>
      </c>
      <c r="J59" s="200">
        <f t="shared" ref="J59:J64" si="12">E59*H59</f>
        <v>0</v>
      </c>
      <c r="K59" s="223">
        <v>0</v>
      </c>
      <c r="L59" s="212"/>
      <c r="M59" s="35">
        <v>0</v>
      </c>
      <c r="N59" s="200">
        <f t="shared" ref="N59:N64" si="13">J59*L59</f>
        <v>0</v>
      </c>
      <c r="O59" s="35">
        <v>0.3515625</v>
      </c>
      <c r="P59" s="200">
        <f t="shared" ref="P59:P64" si="14">+J59-N59</f>
        <v>0</v>
      </c>
      <c r="Q59" s="35">
        <v>225</v>
      </c>
      <c r="R59" s="200">
        <f t="shared" ref="R59:R64" si="15">+J59*E$7</f>
        <v>0</v>
      </c>
    </row>
    <row r="60" spans="1:18" x14ac:dyDescent="0.2">
      <c r="A60" s="25"/>
      <c r="B60" s="25"/>
      <c r="C60" s="25" t="s">
        <v>46</v>
      </c>
      <c r="D60" s="25">
        <v>1</v>
      </c>
      <c r="E60" s="130"/>
      <c r="F60" s="224" t="s">
        <v>42</v>
      </c>
      <c r="G60" s="41">
        <v>8.8903999999999996</v>
      </c>
      <c r="H60" s="131"/>
      <c r="I60" s="35">
        <v>8.8903999999999996</v>
      </c>
      <c r="J60" s="200">
        <f t="shared" si="12"/>
        <v>0</v>
      </c>
      <c r="K60" s="223">
        <v>0</v>
      </c>
      <c r="L60" s="212"/>
      <c r="M60" s="35">
        <v>0</v>
      </c>
      <c r="N60" s="200">
        <f t="shared" si="13"/>
        <v>0</v>
      </c>
      <c r="O60" s="35">
        <v>8.8903999999999996</v>
      </c>
      <c r="P60" s="200">
        <f t="shared" si="14"/>
        <v>0</v>
      </c>
      <c r="Q60" s="35">
        <v>5689.8559999999998</v>
      </c>
      <c r="R60" s="200">
        <f t="shared" si="15"/>
        <v>0</v>
      </c>
    </row>
    <row r="61" spans="1:18" x14ac:dyDescent="0.2">
      <c r="A61" s="25"/>
      <c r="B61" s="25"/>
      <c r="C61" s="25" t="s">
        <v>103</v>
      </c>
      <c r="D61" s="25">
        <v>1</v>
      </c>
      <c r="E61" s="130"/>
      <c r="F61" s="224" t="s">
        <v>42</v>
      </c>
      <c r="G61" s="41">
        <v>11.302163436964687</v>
      </c>
      <c r="H61" s="131"/>
      <c r="I61" s="35">
        <v>11.302163436964687</v>
      </c>
      <c r="J61" s="200">
        <f t="shared" si="12"/>
        <v>0</v>
      </c>
      <c r="K61" s="223">
        <v>0</v>
      </c>
      <c r="L61" s="212"/>
      <c r="M61" s="35">
        <v>0</v>
      </c>
      <c r="N61" s="200">
        <f t="shared" si="13"/>
        <v>0</v>
      </c>
      <c r="O61" s="35">
        <v>11.302163436964687</v>
      </c>
      <c r="P61" s="200">
        <f t="shared" si="14"/>
        <v>0</v>
      </c>
      <c r="Q61" s="35">
        <v>7233.3845996574</v>
      </c>
      <c r="R61" s="200">
        <f t="shared" si="15"/>
        <v>0</v>
      </c>
    </row>
    <row r="62" spans="1:18" x14ac:dyDescent="0.2">
      <c r="A62" s="25"/>
      <c r="B62" s="25"/>
      <c r="C62" s="25" t="s">
        <v>5</v>
      </c>
      <c r="D62" s="25">
        <v>1</v>
      </c>
      <c r="E62" s="130"/>
      <c r="F62" s="224" t="s">
        <v>42</v>
      </c>
      <c r="G62" s="41">
        <v>8.6833756181500377</v>
      </c>
      <c r="H62" s="131"/>
      <c r="I62" s="35">
        <v>8.6833756181500377</v>
      </c>
      <c r="J62" s="200">
        <f t="shared" si="12"/>
        <v>0</v>
      </c>
      <c r="K62" s="223">
        <v>0</v>
      </c>
      <c r="L62" s="212"/>
      <c r="M62" s="35">
        <v>0</v>
      </c>
      <c r="N62" s="200">
        <f t="shared" si="13"/>
        <v>0</v>
      </c>
      <c r="O62" s="35">
        <v>8.6833756181500377</v>
      </c>
      <c r="P62" s="200">
        <f t="shared" si="14"/>
        <v>0</v>
      </c>
      <c r="Q62" s="35">
        <v>5557.3603956160241</v>
      </c>
      <c r="R62" s="200">
        <f t="shared" si="15"/>
        <v>0</v>
      </c>
    </row>
    <row r="63" spans="1:18" x14ac:dyDescent="0.2">
      <c r="A63" s="25"/>
      <c r="B63" s="131"/>
      <c r="C63" s="131"/>
      <c r="D63" s="25"/>
      <c r="E63" s="130"/>
      <c r="F63" s="224"/>
      <c r="G63" s="41"/>
      <c r="H63" s="131"/>
      <c r="I63" s="35">
        <v>0</v>
      </c>
      <c r="J63" s="200">
        <f t="shared" si="12"/>
        <v>0</v>
      </c>
      <c r="K63" s="223">
        <v>0</v>
      </c>
      <c r="L63" s="212"/>
      <c r="M63" s="35">
        <v>0</v>
      </c>
      <c r="N63" s="200">
        <f t="shared" si="13"/>
        <v>0</v>
      </c>
      <c r="O63" s="35">
        <v>0</v>
      </c>
      <c r="P63" s="200">
        <f t="shared" si="14"/>
        <v>0</v>
      </c>
      <c r="Q63" s="35">
        <v>0</v>
      </c>
      <c r="R63" s="200">
        <f t="shared" si="15"/>
        <v>0</v>
      </c>
    </row>
    <row r="64" spans="1:18" x14ac:dyDescent="0.2">
      <c r="A64" s="25"/>
      <c r="B64" s="131"/>
      <c r="C64" s="131"/>
      <c r="D64" s="25"/>
      <c r="E64" s="130"/>
      <c r="F64" s="224"/>
      <c r="G64" s="41"/>
      <c r="H64" s="131"/>
      <c r="I64" s="35">
        <v>0</v>
      </c>
      <c r="J64" s="200">
        <f t="shared" si="12"/>
        <v>0</v>
      </c>
      <c r="K64" s="223">
        <v>0</v>
      </c>
      <c r="L64" s="212"/>
      <c r="M64" s="35">
        <v>0</v>
      </c>
      <c r="N64" s="200">
        <f t="shared" si="13"/>
        <v>0</v>
      </c>
      <c r="O64" s="35">
        <v>0</v>
      </c>
      <c r="P64" s="200">
        <f t="shared" si="14"/>
        <v>0</v>
      </c>
      <c r="Q64" s="35">
        <v>0</v>
      </c>
      <c r="R64" s="200">
        <f t="shared" si="15"/>
        <v>0</v>
      </c>
    </row>
    <row r="65" spans="1:18" ht="13.5" thickBot="1" x14ac:dyDescent="0.25">
      <c r="A65" s="25"/>
      <c r="B65" s="25" t="s">
        <v>32</v>
      </c>
      <c r="C65" s="25"/>
      <c r="D65" s="25"/>
      <c r="E65" s="195"/>
      <c r="F65" s="21"/>
      <c r="G65" s="39">
        <v>0.09</v>
      </c>
      <c r="H65" s="213"/>
      <c r="I65" s="42">
        <v>21.021539884726909</v>
      </c>
      <c r="J65" s="200">
        <f>+SUM(J18:J64)/2*H65</f>
        <v>0</v>
      </c>
      <c r="K65" s="86"/>
      <c r="L65" s="135"/>
      <c r="M65" s="42">
        <v>0</v>
      </c>
      <c r="N65" s="200">
        <f>+SUM(N18:N64)/2*L65</f>
        <v>0</v>
      </c>
      <c r="O65" s="42">
        <v>21.021539884726909</v>
      </c>
      <c r="P65" s="200">
        <f>+SUM(P18:P64)/2*L65</f>
        <v>0</v>
      </c>
      <c r="Q65" s="42">
        <v>13453.785526225221</v>
      </c>
      <c r="R65" s="182">
        <f>+J65*E$7</f>
        <v>0</v>
      </c>
    </row>
    <row r="66" spans="1:18" ht="13.5" thickBot="1" x14ac:dyDescent="0.25">
      <c r="A66" s="25" t="s">
        <v>33</v>
      </c>
      <c r="B66" s="25"/>
      <c r="C66" s="25"/>
      <c r="D66" s="25"/>
      <c r="E66" s="198"/>
      <c r="F66" s="25"/>
      <c r="G66" s="25"/>
      <c r="H66" s="195"/>
      <c r="I66" s="87">
        <v>680.22939393984177</v>
      </c>
      <c r="J66" s="202">
        <f>SUM(J19:J65)</f>
        <v>0</v>
      </c>
      <c r="K66" s="35"/>
      <c r="L66" s="193"/>
      <c r="M66" s="87">
        <v>0</v>
      </c>
      <c r="N66" s="202">
        <f>SUM(N19:N65)</f>
        <v>0</v>
      </c>
      <c r="O66" s="87">
        <v>680.22939393984177</v>
      </c>
      <c r="P66" s="202">
        <f>SUM(P19:P65)</f>
        <v>0</v>
      </c>
      <c r="Q66" s="87">
        <v>435346.81212149875</v>
      </c>
      <c r="R66" s="202">
        <f>SUM(R19:R65)</f>
        <v>0</v>
      </c>
    </row>
    <row r="67" spans="1:18" ht="13.5" thickTop="1" x14ac:dyDescent="0.2">
      <c r="A67" s="25" t="s">
        <v>34</v>
      </c>
      <c r="B67" s="25"/>
      <c r="C67" s="25"/>
      <c r="D67" s="25"/>
      <c r="E67" s="198"/>
      <c r="F67" s="25"/>
      <c r="G67" s="25"/>
      <c r="H67" s="195"/>
      <c r="I67" s="35">
        <v>231.97360606015832</v>
      </c>
      <c r="J67" s="200">
        <f>+J14-J66</f>
        <v>0</v>
      </c>
      <c r="K67" s="35"/>
      <c r="L67" s="193"/>
      <c r="M67" s="35">
        <v>0</v>
      </c>
      <c r="N67" s="200">
        <f>+N14-N66</f>
        <v>0</v>
      </c>
      <c r="O67" s="35">
        <v>231.97360606015832</v>
      </c>
      <c r="P67" s="200">
        <f>+P14-P66</f>
        <v>0</v>
      </c>
      <c r="Q67" s="35">
        <v>148463.10787850129</v>
      </c>
      <c r="R67" s="200">
        <f>+R14-R66</f>
        <v>0</v>
      </c>
    </row>
    <row r="68" spans="1:18" x14ac:dyDescent="0.2">
      <c r="A68" s="25"/>
      <c r="B68" s="25" t="s">
        <v>35</v>
      </c>
      <c r="C68" s="25"/>
      <c r="D68" s="25"/>
      <c r="E68" s="208"/>
      <c r="F68" s="17"/>
      <c r="G68" s="40">
        <v>0.60398436406735501</v>
      </c>
      <c r="H68" s="208" t="str">
        <f>IF(E10=0,"n/a",(YVarExp-(YTotExp+YTotRet-J10))/E10)</f>
        <v>n/a</v>
      </c>
      <c r="I68" s="25" t="s">
        <v>82</v>
      </c>
      <c r="J68" s="182"/>
      <c r="K68" s="25"/>
      <c r="L68" s="195"/>
      <c r="M68" s="25"/>
      <c r="N68" s="182"/>
      <c r="O68" s="25"/>
      <c r="P68" s="182"/>
      <c r="Q68" s="25"/>
      <c r="R68" s="182"/>
    </row>
    <row r="69" spans="1:18" x14ac:dyDescent="0.2">
      <c r="A69" s="25"/>
      <c r="B69" s="25"/>
      <c r="C69" s="25"/>
      <c r="D69" s="25"/>
      <c r="E69" s="176"/>
      <c r="F69" s="25"/>
      <c r="G69" s="25"/>
      <c r="H69" s="209"/>
      <c r="I69" s="25"/>
      <c r="J69" s="182"/>
      <c r="K69" s="25"/>
      <c r="L69" s="195"/>
      <c r="M69" s="25"/>
      <c r="N69" s="182"/>
      <c r="O69" s="25"/>
      <c r="P69" s="182"/>
      <c r="Q69" s="22" t="s">
        <v>19</v>
      </c>
      <c r="R69" s="182" t="s">
        <v>19</v>
      </c>
    </row>
    <row r="70" spans="1:18" x14ac:dyDescent="0.2">
      <c r="A70" s="23" t="s">
        <v>36</v>
      </c>
      <c r="B70" s="23"/>
      <c r="C70" s="23"/>
      <c r="D70" s="24" t="s">
        <v>2</v>
      </c>
      <c r="E70" s="194" t="s">
        <v>2</v>
      </c>
      <c r="F70" s="24" t="s">
        <v>21</v>
      </c>
      <c r="G70" s="24" t="s">
        <v>22</v>
      </c>
      <c r="H70" s="194" t="s">
        <v>22</v>
      </c>
      <c r="I70" s="24" t="s">
        <v>12</v>
      </c>
      <c r="J70" s="194" t="s">
        <v>12</v>
      </c>
      <c r="K70" s="24" t="s">
        <v>11</v>
      </c>
      <c r="L70" s="194" t="s">
        <v>11</v>
      </c>
      <c r="M70" s="24" t="s">
        <v>10</v>
      </c>
      <c r="N70" s="194" t="s">
        <v>10</v>
      </c>
      <c r="O70" s="24" t="s">
        <v>9</v>
      </c>
      <c r="P70" s="194" t="s">
        <v>9</v>
      </c>
      <c r="Q70" s="24" t="s">
        <v>12</v>
      </c>
      <c r="R70" s="206" t="s">
        <v>12</v>
      </c>
    </row>
    <row r="71" spans="1:18" x14ac:dyDescent="0.2">
      <c r="A71" s="25"/>
      <c r="B71" s="25" t="s">
        <v>104</v>
      </c>
      <c r="C71" s="25"/>
      <c r="D71" s="25"/>
      <c r="E71" s="176"/>
      <c r="F71" s="25"/>
      <c r="G71" s="25"/>
      <c r="H71" s="209"/>
      <c r="I71" s="184"/>
      <c r="J71" s="182"/>
      <c r="K71" s="223"/>
      <c r="L71" s="195"/>
      <c r="M71" s="25"/>
      <c r="N71" s="182"/>
      <c r="O71" s="25"/>
      <c r="P71" s="182"/>
      <c r="Q71" s="25"/>
      <c r="R71" s="182"/>
    </row>
    <row r="72" spans="1:18" x14ac:dyDescent="0.2">
      <c r="A72" s="25"/>
      <c r="B72" s="25"/>
      <c r="C72" s="25" t="s">
        <v>102</v>
      </c>
      <c r="D72" s="25">
        <v>1</v>
      </c>
      <c r="E72" s="130"/>
      <c r="F72" s="224" t="s">
        <v>42</v>
      </c>
      <c r="G72" s="41">
        <v>0.48808593750000001</v>
      </c>
      <c r="H72" s="131"/>
      <c r="I72" s="35">
        <v>0.48808593750000001</v>
      </c>
      <c r="J72" s="200">
        <f t="shared" ref="J72:J75" si="16">E72*H72</f>
        <v>0</v>
      </c>
      <c r="K72" s="223">
        <v>0</v>
      </c>
      <c r="L72" s="212"/>
      <c r="M72" s="35">
        <v>0</v>
      </c>
      <c r="N72" s="200">
        <f>J72*L72</f>
        <v>0</v>
      </c>
      <c r="O72" s="35">
        <v>0.48808593750000001</v>
      </c>
      <c r="P72" s="200">
        <f t="shared" ref="P72:P75" si="17">+J72-N72</f>
        <v>0</v>
      </c>
      <c r="Q72" s="35">
        <v>312.375</v>
      </c>
      <c r="R72" s="200">
        <f t="shared" ref="R72:R75" si="18">+J72*E$7</f>
        <v>0</v>
      </c>
    </row>
    <row r="73" spans="1:18" x14ac:dyDescent="0.2">
      <c r="A73" s="25"/>
      <c r="B73" s="25"/>
      <c r="C73" s="25" t="s">
        <v>46</v>
      </c>
      <c r="D73" s="25">
        <v>1</v>
      </c>
      <c r="E73" s="130"/>
      <c r="F73" s="224" t="s">
        <v>42</v>
      </c>
      <c r="G73" s="41">
        <v>24.375</v>
      </c>
      <c r="H73" s="131"/>
      <c r="I73" s="35">
        <v>24.375</v>
      </c>
      <c r="J73" s="200">
        <f t="shared" si="16"/>
        <v>0</v>
      </c>
      <c r="K73" s="223">
        <v>0</v>
      </c>
      <c r="L73" s="212"/>
      <c r="M73" s="35">
        <v>0</v>
      </c>
      <c r="N73" s="200">
        <f>J73*L73</f>
        <v>0</v>
      </c>
      <c r="O73" s="35">
        <v>24.375</v>
      </c>
      <c r="P73" s="200">
        <f t="shared" si="17"/>
        <v>0</v>
      </c>
      <c r="Q73" s="35">
        <v>15600</v>
      </c>
      <c r="R73" s="200">
        <f t="shared" si="18"/>
        <v>0</v>
      </c>
    </row>
    <row r="74" spans="1:18" x14ac:dyDescent="0.2">
      <c r="A74" s="25"/>
      <c r="B74" s="25"/>
      <c r="C74" s="25" t="s">
        <v>103</v>
      </c>
      <c r="D74" s="25">
        <v>1</v>
      </c>
      <c r="E74" s="130"/>
      <c r="F74" s="224" t="s">
        <v>42</v>
      </c>
      <c r="G74" s="41">
        <v>16.148941857883695</v>
      </c>
      <c r="H74" s="131"/>
      <c r="I74" s="35">
        <v>16.148941857883695</v>
      </c>
      <c r="J74" s="200">
        <f t="shared" si="16"/>
        <v>0</v>
      </c>
      <c r="K74" s="223">
        <v>0</v>
      </c>
      <c r="L74" s="212"/>
      <c r="M74" s="35">
        <v>0</v>
      </c>
      <c r="N74" s="200">
        <f>J74*L74</f>
        <v>0</v>
      </c>
      <c r="O74" s="35">
        <v>16.148941857883695</v>
      </c>
      <c r="P74" s="200">
        <f t="shared" si="17"/>
        <v>0</v>
      </c>
      <c r="Q74" s="35">
        <v>10335.322789045566</v>
      </c>
      <c r="R74" s="200">
        <f t="shared" si="18"/>
        <v>0</v>
      </c>
    </row>
    <row r="75" spans="1:18" x14ac:dyDescent="0.2">
      <c r="A75" s="25"/>
      <c r="B75" s="25"/>
      <c r="C75" s="25" t="s">
        <v>5</v>
      </c>
      <c r="D75" s="25">
        <v>1</v>
      </c>
      <c r="E75" s="130"/>
      <c r="F75" s="224" t="s">
        <v>42</v>
      </c>
      <c r="G75" s="41">
        <v>11.676653054049746</v>
      </c>
      <c r="H75" s="131"/>
      <c r="I75" s="35">
        <v>11.676653054049746</v>
      </c>
      <c r="J75" s="200">
        <f t="shared" si="16"/>
        <v>0</v>
      </c>
      <c r="K75" s="223">
        <v>0</v>
      </c>
      <c r="L75" s="212"/>
      <c r="M75" s="35">
        <v>0</v>
      </c>
      <c r="N75" s="200">
        <f>J75*L75</f>
        <v>0</v>
      </c>
      <c r="O75" s="35">
        <v>11.676653054049746</v>
      </c>
      <c r="P75" s="200">
        <f t="shared" si="17"/>
        <v>0</v>
      </c>
      <c r="Q75" s="35">
        <v>7473.0579545918372</v>
      </c>
      <c r="R75" s="200">
        <f t="shared" si="18"/>
        <v>0</v>
      </c>
    </row>
    <row r="76" spans="1:18" x14ac:dyDescent="0.2">
      <c r="A76" s="25"/>
      <c r="B76" s="25" t="s">
        <v>88</v>
      </c>
      <c r="C76" s="25"/>
      <c r="D76" s="25"/>
      <c r="E76" s="195"/>
      <c r="F76" s="21"/>
      <c r="G76" s="41"/>
      <c r="H76" s="195"/>
      <c r="I76" s="184"/>
      <c r="J76" s="182"/>
      <c r="K76" s="223"/>
      <c r="L76" s="195"/>
      <c r="M76" s="35"/>
      <c r="N76" s="182"/>
      <c r="O76" s="35"/>
      <c r="P76" s="182"/>
      <c r="Q76" s="35"/>
      <c r="R76" s="182"/>
    </row>
    <row r="77" spans="1:18" x14ac:dyDescent="0.2">
      <c r="A77" s="25"/>
      <c r="B77" s="25"/>
      <c r="C77" s="25" t="s">
        <v>102</v>
      </c>
      <c r="D77" s="41">
        <v>3.4189453125</v>
      </c>
      <c r="E77" s="130"/>
      <c r="F77" s="224" t="s">
        <v>99</v>
      </c>
      <c r="G77" s="39">
        <v>0.08</v>
      </c>
      <c r="H77" s="213"/>
      <c r="I77" s="35">
        <v>0.27351562499999998</v>
      </c>
      <c r="J77" s="200">
        <f t="shared" ref="J77:J87" si="19">E77*H77</f>
        <v>0</v>
      </c>
      <c r="K77" s="223">
        <v>0</v>
      </c>
      <c r="L77" s="212"/>
      <c r="M77" s="35">
        <v>0</v>
      </c>
      <c r="N77" s="200">
        <f>J77*L77</f>
        <v>0</v>
      </c>
      <c r="O77" s="35">
        <v>0.27351562499999998</v>
      </c>
      <c r="P77" s="200">
        <f t="shared" ref="P77:P80" si="20">+J77-N77</f>
        <v>0</v>
      </c>
      <c r="Q77" s="35">
        <v>175.04999999999998</v>
      </c>
      <c r="R77" s="200">
        <f t="shared" ref="R77:R80" si="21">+J77*E$7</f>
        <v>0</v>
      </c>
    </row>
    <row r="78" spans="1:18" x14ac:dyDescent="0.2">
      <c r="A78" s="25"/>
      <c r="B78" s="25"/>
      <c r="C78" s="25" t="s">
        <v>46</v>
      </c>
      <c r="D78" s="41">
        <v>710.9375</v>
      </c>
      <c r="E78" s="130"/>
      <c r="F78" s="224" t="s">
        <v>99</v>
      </c>
      <c r="G78" s="39">
        <v>0.08</v>
      </c>
      <c r="H78" s="213"/>
      <c r="I78" s="35">
        <v>56.875</v>
      </c>
      <c r="J78" s="200">
        <f t="shared" si="19"/>
        <v>0</v>
      </c>
      <c r="K78" s="223">
        <v>0</v>
      </c>
      <c r="L78" s="212"/>
      <c r="M78" s="35">
        <v>0</v>
      </c>
      <c r="N78" s="200">
        <f>J78*L78</f>
        <v>0</v>
      </c>
      <c r="O78" s="35">
        <v>56.875</v>
      </c>
      <c r="P78" s="200">
        <f t="shared" si="20"/>
        <v>0</v>
      </c>
      <c r="Q78" s="35">
        <v>36400</v>
      </c>
      <c r="R78" s="200">
        <f t="shared" si="21"/>
        <v>0</v>
      </c>
    </row>
    <row r="79" spans="1:18" x14ac:dyDescent="0.2">
      <c r="A79" s="25"/>
      <c r="B79" s="25"/>
      <c r="C79" s="25" t="s">
        <v>103</v>
      </c>
      <c r="D79" s="41">
        <v>123.72853174362032</v>
      </c>
      <c r="E79" s="130"/>
      <c r="F79" s="224" t="s">
        <v>99</v>
      </c>
      <c r="G79" s="39">
        <v>0.08</v>
      </c>
      <c r="H79" s="213"/>
      <c r="I79" s="35">
        <v>9.8982825394896263</v>
      </c>
      <c r="J79" s="200">
        <f t="shared" si="19"/>
        <v>0</v>
      </c>
      <c r="K79" s="223">
        <v>0</v>
      </c>
      <c r="L79" s="212"/>
      <c r="M79" s="35">
        <v>0</v>
      </c>
      <c r="N79" s="200">
        <f>J79*L79</f>
        <v>0</v>
      </c>
      <c r="O79" s="35">
        <v>9.8982825394896263</v>
      </c>
      <c r="P79" s="200">
        <f t="shared" si="20"/>
        <v>0</v>
      </c>
      <c r="Q79" s="35">
        <v>6334.9008252733611</v>
      </c>
      <c r="R79" s="200">
        <f t="shared" si="21"/>
        <v>0</v>
      </c>
    </row>
    <row r="80" spans="1:18" x14ac:dyDescent="0.2">
      <c r="A80" s="25"/>
      <c r="B80" s="25"/>
      <c r="C80" s="25" t="s">
        <v>5</v>
      </c>
      <c r="D80" s="41">
        <v>49.950126953435031</v>
      </c>
      <c r="E80" s="130"/>
      <c r="F80" s="224" t="s">
        <v>99</v>
      </c>
      <c r="G80" s="39">
        <v>0.08</v>
      </c>
      <c r="H80" s="213"/>
      <c r="I80" s="35">
        <v>3.9960101562748025</v>
      </c>
      <c r="J80" s="200">
        <f t="shared" si="19"/>
        <v>0</v>
      </c>
      <c r="K80" s="223">
        <v>0</v>
      </c>
      <c r="L80" s="212"/>
      <c r="M80" s="35">
        <v>0</v>
      </c>
      <c r="N80" s="200">
        <f>J80*L80</f>
        <v>0</v>
      </c>
      <c r="O80" s="35">
        <v>3.9960101562748025</v>
      </c>
      <c r="P80" s="200">
        <f t="shared" si="20"/>
        <v>0</v>
      </c>
      <c r="Q80" s="35">
        <v>2557.4465000158734</v>
      </c>
      <c r="R80" s="200">
        <f t="shared" si="21"/>
        <v>0</v>
      </c>
    </row>
    <row r="81" spans="1:18" x14ac:dyDescent="0.2">
      <c r="A81" s="25"/>
      <c r="B81" s="25" t="s">
        <v>156</v>
      </c>
      <c r="C81" s="25"/>
      <c r="D81" s="25">
        <v>1</v>
      </c>
      <c r="E81" s="130"/>
      <c r="F81" s="224" t="s">
        <v>42</v>
      </c>
      <c r="G81" s="41">
        <v>0</v>
      </c>
      <c r="H81" s="131"/>
      <c r="I81" s="35">
        <v>0</v>
      </c>
      <c r="J81" s="200">
        <f t="shared" si="19"/>
        <v>0</v>
      </c>
      <c r="K81" s="223">
        <v>0</v>
      </c>
      <c r="L81" s="212"/>
      <c r="M81" s="35">
        <v>0</v>
      </c>
      <c r="N81" s="200">
        <f t="shared" ref="N81:N88" si="22">J81*L81</f>
        <v>0</v>
      </c>
      <c r="O81" s="35">
        <v>0</v>
      </c>
      <c r="P81" s="200">
        <f t="shared" ref="P81:P88" si="23">+J81-N81</f>
        <v>0</v>
      </c>
      <c r="Q81" s="35">
        <v>0</v>
      </c>
      <c r="R81" s="200">
        <f t="shared" ref="R81:R88" si="24">+J81*E$7</f>
        <v>0</v>
      </c>
    </row>
    <row r="82" spans="1:18" x14ac:dyDescent="0.2">
      <c r="A82" s="25"/>
      <c r="B82" s="25" t="s">
        <v>152</v>
      </c>
      <c r="C82" s="25"/>
      <c r="D82" s="25">
        <v>1</v>
      </c>
      <c r="E82" s="130"/>
      <c r="F82" s="224" t="s">
        <v>42</v>
      </c>
      <c r="G82" s="41">
        <v>0</v>
      </c>
      <c r="H82" s="131"/>
      <c r="I82" s="35">
        <v>0</v>
      </c>
      <c r="J82" s="200">
        <f t="shared" si="19"/>
        <v>0</v>
      </c>
      <c r="K82" s="223">
        <v>0</v>
      </c>
      <c r="L82" s="212"/>
      <c r="M82" s="35">
        <v>0</v>
      </c>
      <c r="N82" s="200">
        <f t="shared" si="22"/>
        <v>0</v>
      </c>
      <c r="O82" s="35">
        <v>0</v>
      </c>
      <c r="P82" s="200">
        <f t="shared" si="23"/>
        <v>0</v>
      </c>
      <c r="Q82" s="35">
        <v>0</v>
      </c>
      <c r="R82" s="200">
        <f t="shared" si="24"/>
        <v>0</v>
      </c>
    </row>
    <row r="83" spans="1:18" x14ac:dyDescent="0.2">
      <c r="A83" s="25"/>
      <c r="B83" s="25" t="s">
        <v>137</v>
      </c>
      <c r="C83" s="25"/>
      <c r="D83" s="25">
        <v>1</v>
      </c>
      <c r="E83" s="130"/>
      <c r="F83" s="224" t="s">
        <v>42</v>
      </c>
      <c r="G83" s="41">
        <v>0</v>
      </c>
      <c r="H83" s="131"/>
      <c r="I83" s="35">
        <v>0</v>
      </c>
      <c r="J83" s="200">
        <f t="shared" si="19"/>
        <v>0</v>
      </c>
      <c r="K83" s="223">
        <v>0</v>
      </c>
      <c r="L83" s="212"/>
      <c r="M83" s="35">
        <v>0</v>
      </c>
      <c r="N83" s="200">
        <f t="shared" si="22"/>
        <v>0</v>
      </c>
      <c r="O83" s="35">
        <v>0</v>
      </c>
      <c r="P83" s="200">
        <f t="shared" si="23"/>
        <v>0</v>
      </c>
      <c r="Q83" s="35">
        <v>0</v>
      </c>
      <c r="R83" s="200">
        <f t="shared" si="24"/>
        <v>0</v>
      </c>
    </row>
    <row r="84" spans="1:18" x14ac:dyDescent="0.2">
      <c r="A84" s="25"/>
      <c r="B84" s="25" t="s">
        <v>417</v>
      </c>
      <c r="C84" s="25"/>
      <c r="D84" s="25">
        <v>1</v>
      </c>
      <c r="E84" s="130"/>
      <c r="F84" s="224" t="s">
        <v>42</v>
      </c>
      <c r="G84" s="41">
        <v>90</v>
      </c>
      <c r="H84" s="131"/>
      <c r="I84" s="35">
        <v>90</v>
      </c>
      <c r="J84" s="200">
        <f t="shared" si="19"/>
        <v>0</v>
      </c>
      <c r="K84" s="223">
        <v>0</v>
      </c>
      <c r="L84" s="212"/>
      <c r="M84" s="35">
        <v>0</v>
      </c>
      <c r="N84" s="200">
        <f t="shared" si="22"/>
        <v>0</v>
      </c>
      <c r="O84" s="35">
        <v>90</v>
      </c>
      <c r="P84" s="200">
        <f t="shared" si="23"/>
        <v>0</v>
      </c>
      <c r="Q84" s="35">
        <v>57600</v>
      </c>
      <c r="R84" s="200">
        <f t="shared" si="24"/>
        <v>0</v>
      </c>
    </row>
    <row r="85" spans="1:18" x14ac:dyDescent="0.2">
      <c r="A85" s="25"/>
      <c r="B85" s="25" t="s">
        <v>159</v>
      </c>
      <c r="C85" s="25"/>
      <c r="D85" s="25">
        <v>1</v>
      </c>
      <c r="E85" s="130"/>
      <c r="F85" s="224" t="s">
        <v>42</v>
      </c>
      <c r="G85" s="41">
        <v>0</v>
      </c>
      <c r="H85" s="131"/>
      <c r="I85" s="35">
        <v>0</v>
      </c>
      <c r="J85" s="200">
        <f t="shared" si="19"/>
        <v>0</v>
      </c>
      <c r="K85" s="223">
        <v>0</v>
      </c>
      <c r="L85" s="212"/>
      <c r="M85" s="35">
        <v>0</v>
      </c>
      <c r="N85" s="200">
        <f t="shared" si="22"/>
        <v>0</v>
      </c>
      <c r="O85" s="35">
        <v>0</v>
      </c>
      <c r="P85" s="200">
        <f t="shared" si="23"/>
        <v>0</v>
      </c>
      <c r="Q85" s="35">
        <v>0</v>
      </c>
      <c r="R85" s="200">
        <f t="shared" si="24"/>
        <v>0</v>
      </c>
    </row>
    <row r="86" spans="1:18" x14ac:dyDescent="0.2">
      <c r="A86" s="25"/>
      <c r="B86" s="25" t="s">
        <v>160</v>
      </c>
      <c r="C86" s="25"/>
      <c r="D86" s="25">
        <v>1</v>
      </c>
      <c r="E86" s="130"/>
      <c r="F86" s="224" t="s">
        <v>42</v>
      </c>
      <c r="G86" s="41">
        <v>0</v>
      </c>
      <c r="H86" s="131"/>
      <c r="I86" s="35">
        <v>0</v>
      </c>
      <c r="J86" s="200">
        <f t="shared" si="19"/>
        <v>0</v>
      </c>
      <c r="K86" s="223">
        <v>0</v>
      </c>
      <c r="L86" s="212"/>
      <c r="M86" s="35">
        <v>0</v>
      </c>
      <c r="N86" s="200">
        <f t="shared" si="22"/>
        <v>0</v>
      </c>
      <c r="O86" s="35">
        <v>0</v>
      </c>
      <c r="P86" s="200">
        <f t="shared" si="23"/>
        <v>0</v>
      </c>
      <c r="Q86" s="35">
        <v>0</v>
      </c>
      <c r="R86" s="200">
        <f t="shared" si="24"/>
        <v>0</v>
      </c>
    </row>
    <row r="87" spans="1:18" x14ac:dyDescent="0.2">
      <c r="A87" s="25"/>
      <c r="B87" s="131"/>
      <c r="C87" s="131"/>
      <c r="D87" s="25">
        <v>1</v>
      </c>
      <c r="E87" s="130"/>
      <c r="F87" s="224"/>
      <c r="G87" s="41">
        <v>0</v>
      </c>
      <c r="H87" s="131"/>
      <c r="I87" s="35">
        <v>0</v>
      </c>
      <c r="J87" s="200">
        <f t="shared" si="19"/>
        <v>0</v>
      </c>
      <c r="K87" s="223">
        <v>0</v>
      </c>
      <c r="L87" s="212"/>
      <c r="M87" s="35">
        <v>0</v>
      </c>
      <c r="N87" s="200">
        <f t="shared" si="22"/>
        <v>0</v>
      </c>
      <c r="O87" s="35">
        <v>0</v>
      </c>
      <c r="P87" s="200">
        <f t="shared" si="23"/>
        <v>0</v>
      </c>
      <c r="Q87" s="35">
        <v>0</v>
      </c>
      <c r="R87" s="200">
        <f t="shared" si="24"/>
        <v>0</v>
      </c>
    </row>
    <row r="88" spans="1:18" ht="13.5" thickBot="1" x14ac:dyDescent="0.25">
      <c r="A88" s="25"/>
      <c r="B88" s="131"/>
      <c r="C88" s="131"/>
      <c r="D88" s="25">
        <v>1</v>
      </c>
      <c r="E88" s="130"/>
      <c r="F88" s="224"/>
      <c r="G88" s="41">
        <v>0</v>
      </c>
      <c r="H88" s="131"/>
      <c r="I88" s="35">
        <v>0</v>
      </c>
      <c r="J88" s="200">
        <f>E88*H88</f>
        <v>0</v>
      </c>
      <c r="K88" s="223">
        <v>0</v>
      </c>
      <c r="L88" s="212"/>
      <c r="M88" s="35">
        <v>0</v>
      </c>
      <c r="N88" s="200">
        <f t="shared" si="22"/>
        <v>0</v>
      </c>
      <c r="O88" s="35">
        <v>0</v>
      </c>
      <c r="P88" s="200">
        <f t="shared" si="23"/>
        <v>0</v>
      </c>
      <c r="Q88" s="35">
        <v>0</v>
      </c>
      <c r="R88" s="200">
        <f t="shared" si="24"/>
        <v>0</v>
      </c>
    </row>
    <row r="89" spans="1:18" ht="13.5" thickBot="1" x14ac:dyDescent="0.25">
      <c r="A89" s="25" t="s">
        <v>37</v>
      </c>
      <c r="B89" s="25"/>
      <c r="C89" s="25"/>
      <c r="D89" s="25"/>
      <c r="E89" s="195"/>
      <c r="F89" s="25"/>
      <c r="G89" s="25"/>
      <c r="H89" s="195"/>
      <c r="I89" s="118">
        <v>213.73148917019788</v>
      </c>
      <c r="J89" s="202">
        <f>+SUM(J72:J88)</f>
        <v>0</v>
      </c>
      <c r="K89" s="35"/>
      <c r="L89" s="193"/>
      <c r="M89" s="118">
        <v>0</v>
      </c>
      <c r="N89" s="202">
        <f>+SUM(N72:N88)</f>
        <v>0</v>
      </c>
      <c r="O89" s="118">
        <v>213.73148917019788</v>
      </c>
      <c r="P89" s="202">
        <f>+SUM(P72:P88)</f>
        <v>0</v>
      </c>
      <c r="Q89" s="118">
        <v>136788.15306892665</v>
      </c>
      <c r="R89" s="202">
        <f>+SUM(R72:R88)</f>
        <v>0</v>
      </c>
    </row>
    <row r="90" spans="1:18" ht="14.25" thickTop="1" thickBot="1" x14ac:dyDescent="0.25">
      <c r="A90" s="25" t="s">
        <v>52</v>
      </c>
      <c r="B90" s="25"/>
      <c r="C90" s="25"/>
      <c r="D90" s="25"/>
      <c r="E90" s="195"/>
      <c r="F90" s="25"/>
      <c r="G90" s="25"/>
      <c r="H90" s="195"/>
      <c r="I90" s="87">
        <v>893.96088311003962</v>
      </c>
      <c r="J90" s="203">
        <f>+J66+J89</f>
        <v>0</v>
      </c>
      <c r="K90" s="35"/>
      <c r="L90" s="193"/>
      <c r="M90" s="87">
        <v>0</v>
      </c>
      <c r="N90" s="203">
        <f>+N66+N89</f>
        <v>0</v>
      </c>
      <c r="O90" s="87">
        <v>893.96088311003962</v>
      </c>
      <c r="P90" s="203">
        <f>+P66+P89</f>
        <v>0</v>
      </c>
      <c r="Q90" s="87">
        <v>572134.9651904254</v>
      </c>
      <c r="R90" s="203">
        <f>+R66+R89</f>
        <v>0</v>
      </c>
    </row>
    <row r="91" spans="1:18" ht="13.5" thickTop="1" x14ac:dyDescent="0.2">
      <c r="A91" s="25"/>
      <c r="B91" s="25"/>
      <c r="C91" s="25"/>
      <c r="D91" s="25"/>
      <c r="E91" s="195"/>
      <c r="F91" s="25"/>
      <c r="G91" s="25"/>
      <c r="H91" s="195"/>
      <c r="I91" s="35"/>
      <c r="J91" s="182"/>
      <c r="K91" s="35"/>
      <c r="L91" s="193"/>
      <c r="M91" s="35"/>
      <c r="N91" s="182"/>
      <c r="O91" s="35"/>
      <c r="P91" s="182"/>
      <c r="Q91" s="35"/>
      <c r="R91" s="182"/>
    </row>
    <row r="92" spans="1:18" x14ac:dyDescent="0.2">
      <c r="A92" s="25" t="s">
        <v>153</v>
      </c>
      <c r="B92" s="25"/>
      <c r="C92" s="25"/>
      <c r="D92" s="25"/>
      <c r="E92" s="195"/>
      <c r="F92" s="25"/>
      <c r="G92" s="25"/>
      <c r="H92" s="195"/>
      <c r="I92" s="35">
        <v>18.242116889960471</v>
      </c>
      <c r="J92" s="200">
        <f>+J14-J90</f>
        <v>0</v>
      </c>
      <c r="K92" s="35"/>
      <c r="L92" s="193"/>
      <c r="M92" s="35">
        <v>0</v>
      </c>
      <c r="N92" s="200">
        <f>+N14-N90</f>
        <v>0</v>
      </c>
      <c r="O92" s="35">
        <v>18.242116889960471</v>
      </c>
      <c r="P92" s="200">
        <f>+P14-P90</f>
        <v>0</v>
      </c>
      <c r="Q92" s="35">
        <v>11674.954809574643</v>
      </c>
      <c r="R92" s="200">
        <f>+R14-R90</f>
        <v>0</v>
      </c>
    </row>
    <row r="93" spans="1:18" x14ac:dyDescent="0.2">
      <c r="A93" s="25"/>
      <c r="B93" s="25"/>
      <c r="C93" s="25"/>
      <c r="D93" s="25"/>
      <c r="E93" s="195"/>
      <c r="F93" s="25"/>
      <c r="G93" s="25"/>
      <c r="H93" s="195"/>
      <c r="I93" s="35"/>
      <c r="J93" s="204"/>
      <c r="K93" s="35"/>
      <c r="L93" s="193"/>
      <c r="M93" s="35"/>
      <c r="N93" s="193"/>
      <c r="O93" s="35"/>
      <c r="P93" s="193"/>
      <c r="Q93" s="35"/>
      <c r="R93" s="204"/>
    </row>
    <row r="94" spans="1:18" ht="13.5" thickBot="1" x14ac:dyDescent="0.25">
      <c r="A94" s="44" t="s">
        <v>38</v>
      </c>
      <c r="B94" s="44"/>
      <c r="C94" s="44"/>
      <c r="D94" s="44"/>
      <c r="E94" s="199"/>
      <c r="F94" s="44"/>
      <c r="G94" s="45">
        <v>0.79379918571051478</v>
      </c>
      <c r="H94" s="210" t="str">
        <f>IF(E10=0,"n/a",(YTotExp-(YTotExp+YTotRet-J10))/E10)</f>
        <v>n/a</v>
      </c>
      <c r="I94" s="44" t="s">
        <v>82</v>
      </c>
      <c r="J94" s="205"/>
      <c r="K94" s="44"/>
      <c r="L94" s="199"/>
      <c r="M94" s="44"/>
      <c r="N94" s="199"/>
      <c r="O94" s="44"/>
      <c r="P94" s="199"/>
      <c r="Q94" s="44"/>
      <c r="R94" s="205"/>
    </row>
    <row r="95" spans="1:18" ht="13.5" thickTop="1" x14ac:dyDescent="0.2"/>
    <row r="96" spans="1:18" s="17" customFormat="1" ht="15.75" x14ac:dyDescent="0.25">
      <c r="A96"/>
      <c r="B96" s="88"/>
      <c r="C96" s="89"/>
      <c r="D96" s="234" t="s">
        <v>113</v>
      </c>
      <c r="E96" s="235"/>
      <c r="F96" s="235"/>
      <c r="G96" s="235"/>
      <c r="H96" s="235"/>
      <c r="I96" s="235"/>
      <c r="J96" s="99"/>
      <c r="K96" s="99"/>
      <c r="M96"/>
      <c r="N96"/>
    </row>
    <row r="97" spans="1:18" s="17" customFormat="1" ht="15.75" x14ac:dyDescent="0.25">
      <c r="A97"/>
      <c r="B97" s="19" t="s">
        <v>114</v>
      </c>
      <c r="C97" s="19" t="s">
        <v>114</v>
      </c>
      <c r="D97" s="123" t="s">
        <v>170</v>
      </c>
      <c r="E97" s="18"/>
      <c r="F97" s="18"/>
      <c r="G97" s="123" t="s">
        <v>170</v>
      </c>
      <c r="H97" s="18"/>
      <c r="I97" s="18"/>
      <c r="J97" s="18"/>
      <c r="K97" s="18"/>
      <c r="M97"/>
      <c r="N97"/>
    </row>
    <row r="98" spans="1:18" s="17" customFormat="1" x14ac:dyDescent="0.2">
      <c r="A98"/>
      <c r="B98" s="19" t="s">
        <v>80</v>
      </c>
      <c r="C98" s="19" t="s">
        <v>80</v>
      </c>
      <c r="D98" s="123" t="s">
        <v>157</v>
      </c>
      <c r="E98" s="119"/>
      <c r="F98" s="119"/>
      <c r="G98" s="123" t="s">
        <v>12</v>
      </c>
      <c r="H98" s="119"/>
      <c r="I98" s="119"/>
      <c r="J98" s="119"/>
      <c r="K98" s="119"/>
      <c r="M98"/>
      <c r="N98"/>
    </row>
    <row r="99" spans="1:18" s="17" customFormat="1" x14ac:dyDescent="0.2">
      <c r="A99"/>
      <c r="B99" s="19" t="s">
        <v>30</v>
      </c>
      <c r="C99" s="99" t="s">
        <v>82</v>
      </c>
      <c r="D99" s="123" t="s">
        <v>98</v>
      </c>
      <c r="E99" s="119"/>
      <c r="F99" s="119"/>
      <c r="G99" s="123" t="s">
        <v>98</v>
      </c>
      <c r="H99" s="19"/>
      <c r="I99" s="19"/>
      <c r="J99" s="19"/>
      <c r="K99" s="19"/>
      <c r="M99"/>
      <c r="N99"/>
    </row>
    <row r="100" spans="1:18" s="17" customFormat="1" x14ac:dyDescent="0.2">
      <c r="A100"/>
      <c r="B100" s="90">
        <v>0.75</v>
      </c>
      <c r="C100" s="91">
        <v>844.5</v>
      </c>
      <c r="D100" s="92">
        <v>0.80531248542314005</v>
      </c>
      <c r="E100" s="93"/>
      <c r="F100" s="94"/>
      <c r="G100" s="92">
        <v>1.0583989142806862</v>
      </c>
      <c r="H100" s="93"/>
      <c r="I100" s="93"/>
      <c r="M100"/>
      <c r="N100"/>
    </row>
    <row r="101" spans="1:18" s="17" customFormat="1" x14ac:dyDescent="0.2">
      <c r="A101"/>
      <c r="B101" s="95">
        <v>0.9</v>
      </c>
      <c r="C101" s="96">
        <v>1013.4</v>
      </c>
      <c r="D101" s="97">
        <v>0.67109373785261672</v>
      </c>
      <c r="E101" s="83"/>
      <c r="F101" s="98"/>
      <c r="G101" s="97">
        <v>0.88199909523390529</v>
      </c>
      <c r="H101" s="83"/>
      <c r="I101" s="83"/>
      <c r="M101"/>
      <c r="N101"/>
    </row>
    <row r="102" spans="1:18" s="17" customFormat="1" x14ac:dyDescent="0.2">
      <c r="A102"/>
      <c r="B102" s="90">
        <v>1</v>
      </c>
      <c r="C102" s="91">
        <v>1126</v>
      </c>
      <c r="D102" s="92">
        <v>0.60398436406735501</v>
      </c>
      <c r="E102" s="93"/>
      <c r="F102" s="94"/>
      <c r="G102" s="92">
        <v>0.79379918571051478</v>
      </c>
      <c r="H102" s="93"/>
      <c r="I102" s="93"/>
      <c r="M102"/>
      <c r="N102"/>
    </row>
    <row r="103" spans="1:18" s="17" customFormat="1" x14ac:dyDescent="0.2">
      <c r="A103"/>
      <c r="B103" s="95">
        <v>1.1000000000000001</v>
      </c>
      <c r="C103" s="96">
        <v>1238.6000000000001</v>
      </c>
      <c r="D103" s="97">
        <v>0.54907669460668629</v>
      </c>
      <c r="E103" s="83"/>
      <c r="F103" s="98"/>
      <c r="G103" s="97">
        <v>0.72163562337319509</v>
      </c>
      <c r="H103" s="83"/>
      <c r="I103" s="83"/>
      <c r="M103"/>
      <c r="N103"/>
    </row>
    <row r="104" spans="1:18" s="17" customFormat="1" x14ac:dyDescent="0.2">
      <c r="A104"/>
      <c r="B104" s="90">
        <v>1.25</v>
      </c>
      <c r="C104" s="91">
        <v>1407.5</v>
      </c>
      <c r="D104" s="92">
        <v>0.48318749125388399</v>
      </c>
      <c r="E104" s="93"/>
      <c r="F104" s="94"/>
      <c r="G104" s="92">
        <v>0.63503934856841182</v>
      </c>
      <c r="H104" s="93"/>
      <c r="I104" s="93"/>
      <c r="M104"/>
      <c r="N104"/>
    </row>
    <row r="105" spans="1:18" s="17" customFormat="1" x14ac:dyDescent="0.2">
      <c r="A105"/>
      <c r="M105"/>
      <c r="N105"/>
    </row>
    <row r="106" spans="1:18" x14ac:dyDescent="0.2">
      <c r="A106" s="25" t="s">
        <v>434</v>
      </c>
      <c r="B106" s="17"/>
      <c r="C106" s="17"/>
      <c r="D106" s="17"/>
      <c r="E106" s="17"/>
      <c r="F106" s="17"/>
      <c r="G106" s="17"/>
      <c r="H106" s="17"/>
      <c r="I106" s="17"/>
      <c r="J106" s="28"/>
      <c r="K106" s="17"/>
      <c r="L106" s="17"/>
      <c r="M106" s="17"/>
      <c r="N106" s="17"/>
      <c r="O106" s="17"/>
      <c r="P106" s="17"/>
      <c r="Q106" s="17"/>
    </row>
    <row r="107" spans="1:18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28"/>
      <c r="K107" s="17"/>
      <c r="L107" s="17"/>
      <c r="M107" s="17"/>
      <c r="N107" s="17"/>
      <c r="O107" s="17"/>
      <c r="P107" s="17"/>
      <c r="Q107" s="17"/>
    </row>
    <row r="108" spans="1:18" ht="26.25" customHeight="1" x14ac:dyDescent="0.2">
      <c r="A108" s="236" t="s">
        <v>140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19"/>
      <c r="N108" s="219"/>
      <c r="O108" s="219"/>
      <c r="P108" s="219"/>
      <c r="Q108" s="219"/>
      <c r="R108" s="219"/>
    </row>
  </sheetData>
  <sheetProtection sheet="1" objects="1" scenarios="1"/>
  <mergeCells count="6">
    <mergeCell ref="D96:I96"/>
    <mergeCell ref="A108:L108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95">
    <tabColor rgb="FF92D050"/>
    <pageSetUpPr fitToPage="1"/>
  </sheetPr>
  <dimension ref="A1:S102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457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133</v>
      </c>
      <c r="C10" s="25"/>
      <c r="D10" s="50">
        <v>440</v>
      </c>
      <c r="E10" s="130"/>
      <c r="F10" s="224" t="s">
        <v>82</v>
      </c>
      <c r="G10" s="31">
        <v>0.81</v>
      </c>
      <c r="H10" s="131"/>
      <c r="I10" s="35">
        <v>356.40000000000003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356.40000000000003</v>
      </c>
      <c r="P10" s="200">
        <f>+J10-N10</f>
        <v>0</v>
      </c>
      <c r="Q10" s="35">
        <v>228096.00000000003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356.40000000000003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356.40000000000003</v>
      </c>
      <c r="P13" s="201">
        <f>SUM(P10:P12)</f>
        <v>0</v>
      </c>
      <c r="Q13" s="36">
        <v>228096.00000000003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50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176</v>
      </c>
      <c r="D18" s="25">
        <v>1</v>
      </c>
      <c r="E18" s="130"/>
      <c r="F18" s="224" t="s">
        <v>42</v>
      </c>
      <c r="G18" s="41">
        <v>5</v>
      </c>
      <c r="H18" s="131"/>
      <c r="I18" s="35">
        <v>5</v>
      </c>
      <c r="J18" s="200">
        <f t="shared" ref="J18:J40" si="4">E18*H18</f>
        <v>0</v>
      </c>
      <c r="K18" s="223">
        <v>0</v>
      </c>
      <c r="L18" s="212"/>
      <c r="M18" s="35">
        <v>0</v>
      </c>
      <c r="N18" s="200">
        <f t="shared" ref="N18:N40" si="5">J18*L18</f>
        <v>0</v>
      </c>
      <c r="O18" s="35">
        <v>5</v>
      </c>
      <c r="P18" s="200">
        <f t="shared" ref="P18:P40" si="6">+J18-N18</f>
        <v>0</v>
      </c>
      <c r="Q18" s="35">
        <v>3200</v>
      </c>
      <c r="R18" s="200">
        <f t="shared" ref="R18:R40" si="7">+J18*E$7</f>
        <v>0</v>
      </c>
    </row>
    <row r="19" spans="1:18" x14ac:dyDescent="0.2">
      <c r="A19" s="25"/>
      <c r="B19" s="25" t="s">
        <v>458</v>
      </c>
      <c r="C19" s="25" t="s">
        <v>375</v>
      </c>
      <c r="D19" s="25">
        <v>480</v>
      </c>
      <c r="E19" s="130"/>
      <c r="F19" s="224" t="s">
        <v>82</v>
      </c>
      <c r="G19" s="41">
        <v>0.12</v>
      </c>
      <c r="H19" s="131"/>
      <c r="I19" s="35">
        <v>57.599999999999994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57.599999999999994</v>
      </c>
      <c r="P19" s="200">
        <f t="shared" si="6"/>
        <v>0</v>
      </c>
      <c r="Q19" s="35">
        <v>36864</v>
      </c>
      <c r="R19" s="200">
        <f t="shared" si="7"/>
        <v>0</v>
      </c>
    </row>
    <row r="20" spans="1:18" x14ac:dyDescent="0.2">
      <c r="A20" s="25"/>
      <c r="B20" s="25" t="s">
        <v>0</v>
      </c>
      <c r="C20" s="25"/>
      <c r="D20" s="25"/>
      <c r="E20" s="25"/>
      <c r="F20" s="25"/>
      <c r="G20" s="25"/>
      <c r="H20" s="25"/>
      <c r="I20" s="25"/>
      <c r="J20" s="25"/>
      <c r="K20" s="223"/>
      <c r="L20" s="25"/>
      <c r="M20" s="25"/>
      <c r="N20" s="25"/>
      <c r="O20" s="25"/>
      <c r="P20" s="25"/>
      <c r="Q20" s="25"/>
      <c r="R20" s="25"/>
    </row>
    <row r="21" spans="1:18" x14ac:dyDescent="0.2">
      <c r="A21" s="25"/>
      <c r="B21" s="25" t="s">
        <v>458</v>
      </c>
      <c r="C21" s="25" t="s">
        <v>342</v>
      </c>
      <c r="D21" s="25">
        <v>57</v>
      </c>
      <c r="E21" s="130"/>
      <c r="F21" s="224" t="s">
        <v>82</v>
      </c>
      <c r="G21" s="41">
        <v>0.53800000000000003</v>
      </c>
      <c r="H21" s="131"/>
      <c r="I21" s="35">
        <v>30.666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30.666</v>
      </c>
      <c r="P21" s="200">
        <f t="shared" si="6"/>
        <v>0</v>
      </c>
      <c r="Q21" s="35">
        <v>19626.240000000002</v>
      </c>
      <c r="R21" s="200">
        <f t="shared" si="7"/>
        <v>0</v>
      </c>
    </row>
    <row r="22" spans="1:18" x14ac:dyDescent="0.2">
      <c r="A22" s="25"/>
      <c r="B22" s="25" t="s">
        <v>49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402</v>
      </c>
      <c r="D23" s="25">
        <v>4</v>
      </c>
      <c r="E23" s="130"/>
      <c r="F23" s="224" t="s">
        <v>316</v>
      </c>
      <c r="G23" s="41">
        <v>2.81</v>
      </c>
      <c r="H23" s="131"/>
      <c r="I23" s="35">
        <v>11.24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11.24</v>
      </c>
      <c r="P23" s="200">
        <f t="shared" si="6"/>
        <v>0</v>
      </c>
      <c r="Q23" s="35">
        <v>7193.6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401</v>
      </c>
      <c r="D24" s="25">
        <v>64</v>
      </c>
      <c r="E24" s="130"/>
      <c r="F24" s="224" t="s">
        <v>435</v>
      </c>
      <c r="G24" s="41">
        <v>0.41</v>
      </c>
      <c r="H24" s="131"/>
      <c r="I24" s="35">
        <v>26.24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26.24</v>
      </c>
      <c r="P24" s="200">
        <f t="shared" si="6"/>
        <v>0</v>
      </c>
      <c r="Q24" s="35">
        <v>16793.599999999999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440</v>
      </c>
      <c r="D25" s="25">
        <v>4.7</v>
      </c>
      <c r="E25" s="130"/>
      <c r="F25" s="224" t="s">
        <v>316</v>
      </c>
      <c r="G25" s="41">
        <v>5.81</v>
      </c>
      <c r="H25" s="131"/>
      <c r="I25" s="35">
        <v>27.306999999999999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27.306999999999999</v>
      </c>
      <c r="P25" s="200">
        <f t="shared" si="6"/>
        <v>0</v>
      </c>
      <c r="Q25" s="35">
        <v>17476.48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439</v>
      </c>
      <c r="D26" s="25">
        <v>29</v>
      </c>
      <c r="E26" s="130"/>
      <c r="F26" s="224" t="s">
        <v>410</v>
      </c>
      <c r="G26" s="41">
        <v>0.7</v>
      </c>
      <c r="H26" s="131"/>
      <c r="I26" s="35">
        <v>20.299999999999997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20.299999999999997</v>
      </c>
      <c r="P26" s="200">
        <f t="shared" si="6"/>
        <v>0</v>
      </c>
      <c r="Q26" s="35">
        <v>12991.999999999998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384</v>
      </c>
      <c r="D27" s="25">
        <v>1</v>
      </c>
      <c r="E27" s="130"/>
      <c r="F27" s="224" t="s">
        <v>316</v>
      </c>
      <c r="G27" s="41">
        <v>3.75</v>
      </c>
      <c r="H27" s="131"/>
      <c r="I27" s="35">
        <v>3.75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3.75</v>
      </c>
      <c r="P27" s="200">
        <f t="shared" si="6"/>
        <v>0</v>
      </c>
      <c r="Q27" s="35">
        <v>2400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386</v>
      </c>
      <c r="D28" s="25">
        <v>1</v>
      </c>
      <c r="E28" s="130"/>
      <c r="F28" s="224" t="s">
        <v>410</v>
      </c>
      <c r="G28" s="41">
        <v>0.546875</v>
      </c>
      <c r="H28" s="131"/>
      <c r="I28" s="35">
        <v>0.546875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0.546875</v>
      </c>
      <c r="P28" s="200">
        <f t="shared" si="6"/>
        <v>0</v>
      </c>
      <c r="Q28" s="35">
        <v>350</v>
      </c>
      <c r="R28" s="200">
        <f t="shared" si="7"/>
        <v>0</v>
      </c>
    </row>
    <row r="29" spans="1:18" x14ac:dyDescent="0.2">
      <c r="A29" s="25"/>
      <c r="B29" s="25" t="s">
        <v>458</v>
      </c>
      <c r="C29" s="25" t="s">
        <v>438</v>
      </c>
      <c r="D29" s="25">
        <v>2.8</v>
      </c>
      <c r="E29" s="130"/>
      <c r="F29" s="224" t="s">
        <v>316</v>
      </c>
      <c r="G29" s="41">
        <v>2.84</v>
      </c>
      <c r="H29" s="131"/>
      <c r="I29" s="35">
        <v>7.9519999999999991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7.9519999999999991</v>
      </c>
      <c r="P29" s="200">
        <f t="shared" si="6"/>
        <v>0</v>
      </c>
      <c r="Q29" s="35">
        <v>5089.28</v>
      </c>
      <c r="R29" s="200">
        <f t="shared" si="7"/>
        <v>0</v>
      </c>
    </row>
    <row r="30" spans="1:18" x14ac:dyDescent="0.2">
      <c r="A30" s="25"/>
      <c r="B30" s="25" t="s">
        <v>458</v>
      </c>
      <c r="C30" s="25" t="s">
        <v>436</v>
      </c>
      <c r="D30" s="25">
        <v>1.4</v>
      </c>
      <c r="E30" s="130"/>
      <c r="F30" s="224" t="s">
        <v>316</v>
      </c>
      <c r="G30" s="41">
        <v>4.92</v>
      </c>
      <c r="H30" s="131"/>
      <c r="I30" s="35">
        <v>6.8879999999999999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6.8879999999999999</v>
      </c>
      <c r="P30" s="200">
        <f t="shared" si="6"/>
        <v>0</v>
      </c>
      <c r="Q30" s="35">
        <v>4408.32</v>
      </c>
      <c r="R30" s="200">
        <f t="shared" si="7"/>
        <v>0</v>
      </c>
    </row>
    <row r="31" spans="1:18" x14ac:dyDescent="0.2">
      <c r="A31" s="25"/>
      <c r="B31" s="25" t="s">
        <v>458</v>
      </c>
      <c r="C31" s="25" t="s">
        <v>437</v>
      </c>
      <c r="D31" s="25">
        <v>1.3</v>
      </c>
      <c r="E31" s="130"/>
      <c r="F31" s="224" t="s">
        <v>316</v>
      </c>
      <c r="G31" s="41">
        <v>9.14</v>
      </c>
      <c r="H31" s="131"/>
      <c r="I31" s="35">
        <v>11.882000000000001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11.882000000000001</v>
      </c>
      <c r="P31" s="200">
        <f t="shared" si="6"/>
        <v>0</v>
      </c>
      <c r="Q31" s="35">
        <v>7604.4800000000014</v>
      </c>
      <c r="R31" s="200">
        <f t="shared" si="7"/>
        <v>0</v>
      </c>
    </row>
    <row r="32" spans="1:18" x14ac:dyDescent="0.2">
      <c r="A32" s="25"/>
      <c r="B32" s="25" t="s">
        <v>48</v>
      </c>
      <c r="C32" s="25"/>
      <c r="D32" s="25"/>
      <c r="E32" s="25"/>
      <c r="F32" s="25"/>
      <c r="G32" s="25"/>
      <c r="H32" s="25"/>
      <c r="I32" s="25"/>
      <c r="J32" s="25"/>
      <c r="K32" s="223"/>
      <c r="L32" s="25"/>
      <c r="M32" s="25"/>
      <c r="N32" s="25"/>
      <c r="O32" s="25"/>
      <c r="P32" s="25"/>
      <c r="Q32" s="25"/>
      <c r="R32" s="25"/>
    </row>
    <row r="33" spans="1:18" x14ac:dyDescent="0.2">
      <c r="A33" s="25"/>
      <c r="B33" s="25" t="s">
        <v>458</v>
      </c>
      <c r="C33" s="25" t="s">
        <v>442</v>
      </c>
      <c r="D33" s="25">
        <v>16</v>
      </c>
      <c r="E33" s="130"/>
      <c r="F33" s="224" t="s">
        <v>410</v>
      </c>
      <c r="G33" s="41">
        <v>1.1599999999999999</v>
      </c>
      <c r="H33" s="131"/>
      <c r="I33" s="35">
        <v>18.559999999999999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18.559999999999999</v>
      </c>
      <c r="P33" s="200">
        <f t="shared" si="6"/>
        <v>0</v>
      </c>
      <c r="Q33" s="35">
        <v>11878.4</v>
      </c>
      <c r="R33" s="200">
        <f t="shared" si="7"/>
        <v>0</v>
      </c>
    </row>
    <row r="34" spans="1:18" x14ac:dyDescent="0.2">
      <c r="A34" s="25"/>
      <c r="B34" s="25" t="s">
        <v>458</v>
      </c>
      <c r="C34" s="25" t="s">
        <v>443</v>
      </c>
      <c r="D34" s="25">
        <v>2</v>
      </c>
      <c r="E34" s="130"/>
      <c r="F34" s="224" t="s">
        <v>410</v>
      </c>
      <c r="G34" s="41">
        <v>1.74875</v>
      </c>
      <c r="H34" s="131"/>
      <c r="I34" s="35">
        <v>3.4975000000000001</v>
      </c>
      <c r="J34" s="200">
        <f t="shared" si="4"/>
        <v>0</v>
      </c>
      <c r="K34" s="223">
        <v>0</v>
      </c>
      <c r="L34" s="212"/>
      <c r="M34" s="35">
        <v>0</v>
      </c>
      <c r="N34" s="200">
        <f t="shared" si="5"/>
        <v>0</v>
      </c>
      <c r="O34" s="35">
        <v>3.4975000000000001</v>
      </c>
      <c r="P34" s="200">
        <f t="shared" si="6"/>
        <v>0</v>
      </c>
      <c r="Q34" s="35">
        <v>2238.4</v>
      </c>
      <c r="R34" s="200">
        <f t="shared" si="7"/>
        <v>0</v>
      </c>
    </row>
    <row r="35" spans="1:18" x14ac:dyDescent="0.2">
      <c r="A35" s="25"/>
      <c r="B35" s="25" t="s">
        <v>27</v>
      </c>
      <c r="C35" s="25"/>
      <c r="D35" s="25"/>
      <c r="E35" s="25"/>
      <c r="F35" s="25"/>
      <c r="G35" s="25"/>
      <c r="H35" s="25"/>
      <c r="I35" s="25"/>
      <c r="J35" s="25"/>
      <c r="K35" s="223"/>
      <c r="L35" s="25"/>
      <c r="M35" s="25"/>
      <c r="N35" s="25"/>
      <c r="O35" s="25"/>
      <c r="P35" s="25"/>
      <c r="Q35" s="25"/>
      <c r="R35" s="25"/>
    </row>
    <row r="36" spans="1:18" x14ac:dyDescent="0.2">
      <c r="A36" s="25"/>
      <c r="B36" s="25" t="s">
        <v>458</v>
      </c>
      <c r="C36" s="25" t="s">
        <v>394</v>
      </c>
      <c r="D36" s="25">
        <v>1</v>
      </c>
      <c r="E36" s="130"/>
      <c r="F36" s="224" t="s">
        <v>42</v>
      </c>
      <c r="G36" s="41">
        <v>15</v>
      </c>
      <c r="H36" s="131"/>
      <c r="I36" s="35">
        <v>15</v>
      </c>
      <c r="J36" s="200">
        <f t="shared" si="4"/>
        <v>0</v>
      </c>
      <c r="K36" s="223">
        <v>0</v>
      </c>
      <c r="L36" s="212"/>
      <c r="M36" s="35">
        <v>0</v>
      </c>
      <c r="N36" s="200">
        <f t="shared" si="5"/>
        <v>0</v>
      </c>
      <c r="O36" s="35">
        <v>15</v>
      </c>
      <c r="P36" s="200">
        <f t="shared" si="6"/>
        <v>0</v>
      </c>
      <c r="Q36" s="35">
        <v>9600</v>
      </c>
      <c r="R36" s="200">
        <f t="shared" si="7"/>
        <v>0</v>
      </c>
    </row>
    <row r="37" spans="1:18" x14ac:dyDescent="0.2">
      <c r="A37" s="25"/>
      <c r="B37" s="25" t="s">
        <v>1</v>
      </c>
      <c r="C37" s="25"/>
      <c r="D37" s="25"/>
      <c r="E37" s="25"/>
      <c r="F37" s="25"/>
      <c r="G37" s="25"/>
      <c r="H37" s="25"/>
      <c r="I37" s="25"/>
      <c r="J37" s="25"/>
      <c r="K37" s="223"/>
      <c r="L37" s="25"/>
      <c r="M37" s="25"/>
      <c r="N37" s="25"/>
      <c r="O37" s="25"/>
      <c r="P37" s="25"/>
      <c r="Q37" s="25"/>
      <c r="R37" s="25"/>
    </row>
    <row r="38" spans="1:18" x14ac:dyDescent="0.2">
      <c r="A38" s="25"/>
      <c r="B38" s="25" t="s">
        <v>458</v>
      </c>
      <c r="C38" s="25" t="s">
        <v>368</v>
      </c>
      <c r="D38" s="25">
        <v>5</v>
      </c>
      <c r="E38" s="130"/>
      <c r="F38" s="224" t="s">
        <v>82</v>
      </c>
      <c r="G38" s="41">
        <v>8</v>
      </c>
      <c r="H38" s="131"/>
      <c r="I38" s="35">
        <v>40</v>
      </c>
      <c r="J38" s="200">
        <f t="shared" si="4"/>
        <v>0</v>
      </c>
      <c r="K38" s="223">
        <v>0</v>
      </c>
      <c r="L38" s="212"/>
      <c r="M38" s="35">
        <v>0</v>
      </c>
      <c r="N38" s="200">
        <f t="shared" si="5"/>
        <v>0</v>
      </c>
      <c r="O38" s="35">
        <v>40</v>
      </c>
      <c r="P38" s="200">
        <f t="shared" si="6"/>
        <v>0</v>
      </c>
      <c r="Q38" s="35">
        <v>25600</v>
      </c>
      <c r="R38" s="200">
        <f t="shared" si="7"/>
        <v>0</v>
      </c>
    </row>
    <row r="39" spans="1:18" x14ac:dyDescent="0.2">
      <c r="A39" s="25"/>
      <c r="B39" s="131"/>
      <c r="C39" s="131"/>
      <c r="D39" s="25">
        <v>0</v>
      </c>
      <c r="E39" s="130"/>
      <c r="F39" s="224"/>
      <c r="G39" s="41">
        <v>0</v>
      </c>
      <c r="H39" s="131"/>
      <c r="I39" s="35">
        <v>0</v>
      </c>
      <c r="J39" s="200">
        <f t="shared" si="4"/>
        <v>0</v>
      </c>
      <c r="K39" s="223">
        <v>0</v>
      </c>
      <c r="L39" s="212"/>
      <c r="M39" s="35">
        <v>0</v>
      </c>
      <c r="N39" s="200">
        <f t="shared" si="5"/>
        <v>0</v>
      </c>
      <c r="O39" s="35">
        <v>0</v>
      </c>
      <c r="P39" s="200">
        <f t="shared" si="6"/>
        <v>0</v>
      </c>
      <c r="Q39" s="35">
        <v>0</v>
      </c>
      <c r="R39" s="200">
        <f t="shared" si="7"/>
        <v>0</v>
      </c>
    </row>
    <row r="40" spans="1:18" x14ac:dyDescent="0.2">
      <c r="A40" s="25"/>
      <c r="B40" s="131"/>
      <c r="C40" s="131"/>
      <c r="D40" s="25">
        <v>0</v>
      </c>
      <c r="E40" s="130"/>
      <c r="F40" s="224"/>
      <c r="G40" s="41">
        <v>0</v>
      </c>
      <c r="H40" s="131"/>
      <c r="I40" s="35">
        <v>0</v>
      </c>
      <c r="J40" s="200">
        <f t="shared" si="4"/>
        <v>0</v>
      </c>
      <c r="K40" s="223">
        <v>0</v>
      </c>
      <c r="L40" s="212"/>
      <c r="M40" s="35">
        <v>0</v>
      </c>
      <c r="N40" s="200">
        <f t="shared" si="5"/>
        <v>0</v>
      </c>
      <c r="O40" s="35">
        <v>0</v>
      </c>
      <c r="P40" s="200">
        <f t="shared" si="6"/>
        <v>0</v>
      </c>
      <c r="Q40" s="35">
        <v>0</v>
      </c>
      <c r="R40" s="200">
        <f t="shared" si="7"/>
        <v>0</v>
      </c>
    </row>
    <row r="41" spans="1:18" x14ac:dyDescent="0.2">
      <c r="A41" s="25"/>
      <c r="B41" s="131"/>
      <c r="C41" s="131"/>
      <c r="D41" s="25">
        <v>0</v>
      </c>
      <c r="E41" s="130"/>
      <c r="F41" s="224"/>
      <c r="G41" s="41">
        <v>0</v>
      </c>
      <c r="H41" s="131"/>
      <c r="I41" s="35">
        <v>0</v>
      </c>
      <c r="J41" s="200">
        <f>E41*H41</f>
        <v>0</v>
      </c>
      <c r="K41" s="223">
        <v>0</v>
      </c>
      <c r="L41" s="212"/>
      <c r="M41" s="35">
        <v>0</v>
      </c>
      <c r="N41" s="200">
        <f>J41*L41</f>
        <v>0</v>
      </c>
      <c r="O41" s="35">
        <v>0</v>
      </c>
      <c r="P41" s="200">
        <f>+J41-N41</f>
        <v>0</v>
      </c>
      <c r="Q41" s="35">
        <v>0</v>
      </c>
      <c r="R41" s="200">
        <f>+J41*E$7</f>
        <v>0</v>
      </c>
    </row>
    <row r="42" spans="1:18" x14ac:dyDescent="0.2">
      <c r="A42" s="25"/>
      <c r="B42" s="25" t="s">
        <v>106</v>
      </c>
      <c r="C42" s="25"/>
      <c r="D42" s="25"/>
      <c r="E42" s="104"/>
      <c r="H42" s="104"/>
      <c r="I42" s="121"/>
      <c r="J42" s="104"/>
      <c r="K42" s="223"/>
      <c r="L42" s="104"/>
      <c r="N42" s="104"/>
      <c r="P42" s="104"/>
      <c r="R42" s="104"/>
    </row>
    <row r="43" spans="1:18" x14ac:dyDescent="0.2">
      <c r="A43" s="25"/>
      <c r="B43" s="25"/>
      <c r="C43" s="25" t="s">
        <v>103</v>
      </c>
      <c r="D43" s="25">
        <v>0.27</v>
      </c>
      <c r="E43" s="130"/>
      <c r="F43" s="224" t="s">
        <v>44</v>
      </c>
      <c r="G43" s="41">
        <v>15</v>
      </c>
      <c r="H43" s="131"/>
      <c r="I43" s="35">
        <v>4.0500000000000007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4.0500000000000007</v>
      </c>
      <c r="P43" s="200">
        <f>+J43-N43</f>
        <v>0</v>
      </c>
      <c r="Q43" s="35">
        <v>2592.0000000000005</v>
      </c>
      <c r="R43" s="200">
        <f>+J43*E$7</f>
        <v>0</v>
      </c>
    </row>
    <row r="44" spans="1:18" x14ac:dyDescent="0.2">
      <c r="A44" s="25"/>
      <c r="B44" s="25"/>
      <c r="C44" s="25" t="s">
        <v>105</v>
      </c>
      <c r="D44" s="25">
        <v>0.32</v>
      </c>
      <c r="E44" s="130"/>
      <c r="F44" s="224" t="s">
        <v>44</v>
      </c>
      <c r="G44" s="41">
        <v>15</v>
      </c>
      <c r="H44" s="131"/>
      <c r="I44" s="35">
        <v>4.8</v>
      </c>
      <c r="J44" s="200">
        <f>E44*H44</f>
        <v>0</v>
      </c>
      <c r="K44" s="223">
        <v>0</v>
      </c>
      <c r="L44" s="212"/>
      <c r="M44" s="35">
        <v>0</v>
      </c>
      <c r="N44" s="200">
        <f>J44*L44</f>
        <v>0</v>
      </c>
      <c r="O44" s="35">
        <v>4.8</v>
      </c>
      <c r="P44" s="200">
        <f>+J44-N44</f>
        <v>0</v>
      </c>
      <c r="Q44" s="35">
        <v>3072</v>
      </c>
      <c r="R44" s="200">
        <f>+J44*E$7</f>
        <v>0</v>
      </c>
    </row>
    <row r="45" spans="1:18" x14ac:dyDescent="0.2">
      <c r="A45" s="25"/>
      <c r="B45" s="25"/>
      <c r="C45" s="25"/>
      <c r="D45" s="25"/>
      <c r="E45" s="207"/>
      <c r="F45" s="21"/>
      <c r="G45" s="41"/>
      <c r="H45" s="196"/>
      <c r="I45" s="35"/>
      <c r="J45" s="182"/>
      <c r="K45" s="223"/>
      <c r="L45" s="196"/>
      <c r="M45" s="35"/>
      <c r="N45" s="182"/>
      <c r="O45" s="35"/>
      <c r="P45" s="182"/>
      <c r="Q45" s="35"/>
      <c r="R45" s="182"/>
    </row>
    <row r="46" spans="1:18" x14ac:dyDescent="0.2">
      <c r="A46" s="25"/>
      <c r="B46" s="25" t="s">
        <v>51</v>
      </c>
      <c r="C46" s="25"/>
      <c r="D46" s="25"/>
      <c r="E46" s="207"/>
      <c r="F46" s="21"/>
      <c r="G46" s="41"/>
      <c r="H46" s="196"/>
      <c r="I46" s="184"/>
      <c r="J46" s="182"/>
      <c r="K46" s="223"/>
      <c r="L46" s="196"/>
      <c r="M46" s="35"/>
      <c r="N46" s="182"/>
      <c r="O46" s="35"/>
      <c r="P46" s="182"/>
      <c r="Q46" s="35"/>
      <c r="R46" s="182"/>
    </row>
    <row r="47" spans="1:18" x14ac:dyDescent="0.2">
      <c r="A47" s="25"/>
      <c r="B47" s="25"/>
      <c r="C47" s="25" t="s">
        <v>102</v>
      </c>
      <c r="D47" s="25">
        <v>1</v>
      </c>
      <c r="E47" s="130"/>
      <c r="F47" s="224" t="s">
        <v>42</v>
      </c>
      <c r="G47" s="41">
        <v>0</v>
      </c>
      <c r="H47" s="131"/>
      <c r="I47" s="35">
        <v>0</v>
      </c>
      <c r="J47" s="200">
        <f>E47*H47</f>
        <v>0</v>
      </c>
      <c r="K47" s="223">
        <v>0</v>
      </c>
      <c r="L47" s="212"/>
      <c r="M47" s="35">
        <v>0</v>
      </c>
      <c r="N47" s="200">
        <f>J47*L47</f>
        <v>0</v>
      </c>
      <c r="O47" s="35">
        <v>0</v>
      </c>
      <c r="P47" s="200">
        <f>+J47-N47</f>
        <v>0</v>
      </c>
      <c r="Q47" s="35">
        <v>0</v>
      </c>
      <c r="R47" s="200">
        <f>+J47*E$7</f>
        <v>0</v>
      </c>
    </row>
    <row r="48" spans="1:18" x14ac:dyDescent="0.2">
      <c r="A48" s="25"/>
      <c r="B48" s="25"/>
      <c r="C48" s="25" t="s">
        <v>103</v>
      </c>
      <c r="D48" s="25">
        <v>3.26</v>
      </c>
      <c r="E48" s="130"/>
      <c r="F48" s="224" t="s">
        <v>79</v>
      </c>
      <c r="G48" s="41">
        <v>3.0190000000000001</v>
      </c>
      <c r="H48" s="131"/>
      <c r="I48" s="35">
        <v>9.8419399999999992</v>
      </c>
      <c r="J48" s="200">
        <f>E48*H48</f>
        <v>0</v>
      </c>
      <c r="K48" s="223">
        <v>0</v>
      </c>
      <c r="L48" s="212"/>
      <c r="M48" s="35">
        <v>0</v>
      </c>
      <c r="N48" s="200">
        <f>J48*L48</f>
        <v>0</v>
      </c>
      <c r="O48" s="35">
        <v>9.8419399999999992</v>
      </c>
      <c r="P48" s="200">
        <f>+J48-N48</f>
        <v>0</v>
      </c>
      <c r="Q48" s="35">
        <v>6298.8415999999997</v>
      </c>
      <c r="R48" s="200">
        <f>+J48*E$7</f>
        <v>0</v>
      </c>
    </row>
    <row r="49" spans="1:18" x14ac:dyDescent="0.2">
      <c r="A49" s="25"/>
      <c r="B49" s="25"/>
      <c r="C49" s="25"/>
      <c r="D49" s="25"/>
      <c r="E49" s="207"/>
      <c r="F49" s="21"/>
      <c r="G49" s="41"/>
      <c r="H49" s="196"/>
      <c r="I49" s="35"/>
      <c r="J49" s="182"/>
      <c r="K49" s="223"/>
      <c r="L49" s="196"/>
      <c r="M49" s="35"/>
      <c r="N49" s="182"/>
      <c r="O49" s="35"/>
      <c r="P49" s="182"/>
      <c r="Q49" s="35"/>
      <c r="R49" s="182"/>
    </row>
    <row r="50" spans="1:18" x14ac:dyDescent="0.2">
      <c r="A50" s="25"/>
      <c r="B50" s="25" t="s">
        <v>29</v>
      </c>
      <c r="C50" s="25"/>
      <c r="D50" s="25"/>
      <c r="E50" s="207"/>
      <c r="F50" s="21"/>
      <c r="G50" s="41"/>
      <c r="H50" s="196"/>
      <c r="I50" s="184"/>
      <c r="J50" s="182"/>
      <c r="K50" s="223"/>
      <c r="L50" s="196"/>
      <c r="M50" s="35"/>
      <c r="N50" s="182"/>
      <c r="O50" s="35"/>
      <c r="P50" s="182"/>
      <c r="Q50" s="35"/>
      <c r="R50" s="182"/>
    </row>
    <row r="51" spans="1:18" x14ac:dyDescent="0.2">
      <c r="A51" s="25"/>
      <c r="B51" s="25"/>
      <c r="C51" s="25" t="s">
        <v>102</v>
      </c>
      <c r="D51" s="25">
        <v>1</v>
      </c>
      <c r="E51" s="130"/>
      <c r="F51" s="224" t="s">
        <v>42</v>
      </c>
      <c r="G51" s="41">
        <v>1.0546875</v>
      </c>
      <c r="H51" s="131"/>
      <c r="I51" s="35">
        <v>1.0546875</v>
      </c>
      <c r="J51" s="200">
        <f>E51*H51</f>
        <v>0</v>
      </c>
      <c r="K51" s="223">
        <v>0</v>
      </c>
      <c r="L51" s="212"/>
      <c r="M51" s="35">
        <v>0</v>
      </c>
      <c r="N51" s="200">
        <f>J51*L51</f>
        <v>0</v>
      </c>
      <c r="O51" s="35">
        <v>1.0546875</v>
      </c>
      <c r="P51" s="200">
        <f>+J51-N51</f>
        <v>0</v>
      </c>
      <c r="Q51" s="35">
        <v>675</v>
      </c>
      <c r="R51" s="200">
        <f>+J51*E$7</f>
        <v>0</v>
      </c>
    </row>
    <row r="52" spans="1:18" x14ac:dyDescent="0.2">
      <c r="A52" s="25"/>
      <c r="B52" s="25"/>
      <c r="C52" s="25" t="s">
        <v>103</v>
      </c>
      <c r="D52" s="25">
        <v>0</v>
      </c>
      <c r="E52" s="130"/>
      <c r="F52" s="224" t="s">
        <v>79</v>
      </c>
      <c r="G52" s="41">
        <v>3.09</v>
      </c>
      <c r="H52" s="131"/>
      <c r="I52" s="35">
        <v>0</v>
      </c>
      <c r="J52" s="200">
        <f>E52*H52</f>
        <v>0</v>
      </c>
      <c r="K52" s="223">
        <v>0</v>
      </c>
      <c r="L52" s="212"/>
      <c r="M52" s="35">
        <v>0</v>
      </c>
      <c r="N52" s="200">
        <f>J52*L52</f>
        <v>0</v>
      </c>
      <c r="O52" s="35">
        <v>0</v>
      </c>
      <c r="P52" s="200">
        <f>+J52-N52</f>
        <v>0</v>
      </c>
      <c r="Q52" s="35">
        <v>0</v>
      </c>
      <c r="R52" s="200">
        <f>+J52*E$7</f>
        <v>0</v>
      </c>
    </row>
    <row r="53" spans="1:18" x14ac:dyDescent="0.2">
      <c r="A53" s="25"/>
      <c r="B53" s="25"/>
      <c r="C53" s="25"/>
      <c r="D53" s="25"/>
      <c r="E53" s="207"/>
      <c r="F53" s="21"/>
      <c r="G53" s="41"/>
      <c r="H53" s="196"/>
      <c r="I53" s="35"/>
      <c r="J53" s="182"/>
      <c r="K53" s="223"/>
      <c r="L53" s="196"/>
      <c r="M53" s="35"/>
      <c r="N53" s="182"/>
      <c r="O53" s="35"/>
      <c r="P53" s="182"/>
      <c r="Q53" s="35"/>
      <c r="R53" s="182"/>
    </row>
    <row r="54" spans="1:18" x14ac:dyDescent="0.2">
      <c r="A54" s="25"/>
      <c r="B54" s="25" t="s">
        <v>47</v>
      </c>
      <c r="C54" s="25"/>
      <c r="D54" s="25"/>
      <c r="E54" s="207"/>
      <c r="F54" s="21"/>
      <c r="G54" s="41"/>
      <c r="H54" s="197"/>
      <c r="I54" s="184"/>
      <c r="J54" s="182"/>
      <c r="K54" s="223"/>
      <c r="L54" s="197"/>
      <c r="M54" s="35"/>
      <c r="N54" s="182"/>
      <c r="O54" s="35"/>
      <c r="P54" s="182"/>
      <c r="Q54" s="35"/>
      <c r="R54" s="182"/>
    </row>
    <row r="55" spans="1:18" x14ac:dyDescent="0.2">
      <c r="A55" s="25"/>
      <c r="B55" s="25"/>
      <c r="C55" s="25" t="s">
        <v>102</v>
      </c>
      <c r="D55" s="25">
        <v>1</v>
      </c>
      <c r="E55" s="130"/>
      <c r="F55" s="224" t="s">
        <v>42</v>
      </c>
      <c r="G55" s="41">
        <v>0.3515625</v>
      </c>
      <c r="H55" s="131"/>
      <c r="I55" s="35">
        <v>0.3515625</v>
      </c>
      <c r="J55" s="200">
        <f t="shared" ref="J55:J60" si="8">E55*H55</f>
        <v>0</v>
      </c>
      <c r="K55" s="223">
        <v>0</v>
      </c>
      <c r="L55" s="212"/>
      <c r="M55" s="35">
        <v>0</v>
      </c>
      <c r="N55" s="200">
        <f t="shared" ref="N55:N60" si="9">J55*L55</f>
        <v>0</v>
      </c>
      <c r="O55" s="35">
        <v>0.3515625</v>
      </c>
      <c r="P55" s="200">
        <f t="shared" ref="P55:P60" si="10">+J55-N55</f>
        <v>0</v>
      </c>
      <c r="Q55" s="35">
        <v>225</v>
      </c>
      <c r="R55" s="200">
        <f t="shared" ref="R55:R60" si="11">+J55*E$7</f>
        <v>0</v>
      </c>
    </row>
    <row r="56" spans="1:18" x14ac:dyDescent="0.2">
      <c r="A56" s="25"/>
      <c r="B56" s="25"/>
      <c r="C56" s="25" t="s">
        <v>46</v>
      </c>
      <c r="D56" s="25">
        <v>1</v>
      </c>
      <c r="E56" s="130"/>
      <c r="F56" s="224" t="s">
        <v>42</v>
      </c>
      <c r="G56" s="41">
        <v>0</v>
      </c>
      <c r="H56" s="131"/>
      <c r="I56" s="35">
        <v>0</v>
      </c>
      <c r="J56" s="200">
        <f t="shared" si="8"/>
        <v>0</v>
      </c>
      <c r="K56" s="223">
        <v>0</v>
      </c>
      <c r="L56" s="212"/>
      <c r="M56" s="35">
        <v>0</v>
      </c>
      <c r="N56" s="200">
        <f t="shared" si="9"/>
        <v>0</v>
      </c>
      <c r="O56" s="35">
        <v>0</v>
      </c>
      <c r="P56" s="200">
        <f t="shared" si="10"/>
        <v>0</v>
      </c>
      <c r="Q56" s="35">
        <v>0</v>
      </c>
      <c r="R56" s="200">
        <f t="shared" si="11"/>
        <v>0</v>
      </c>
    </row>
    <row r="57" spans="1:18" x14ac:dyDescent="0.2">
      <c r="A57" s="25"/>
      <c r="B57" s="25"/>
      <c r="C57" s="25" t="s">
        <v>103</v>
      </c>
      <c r="D57" s="25">
        <v>1</v>
      </c>
      <c r="E57" s="130"/>
      <c r="F57" s="224" t="s">
        <v>42</v>
      </c>
      <c r="G57" s="41">
        <v>9.1384343315754073</v>
      </c>
      <c r="H57" s="131"/>
      <c r="I57" s="35">
        <v>9.1384343315754073</v>
      </c>
      <c r="J57" s="200">
        <f t="shared" si="8"/>
        <v>0</v>
      </c>
      <c r="K57" s="223">
        <v>0</v>
      </c>
      <c r="L57" s="212"/>
      <c r="M57" s="35">
        <v>0</v>
      </c>
      <c r="N57" s="200">
        <f t="shared" si="9"/>
        <v>0</v>
      </c>
      <c r="O57" s="35">
        <v>9.1384343315754073</v>
      </c>
      <c r="P57" s="200">
        <f t="shared" si="10"/>
        <v>0</v>
      </c>
      <c r="Q57" s="35">
        <v>5848.5979722082611</v>
      </c>
      <c r="R57" s="200">
        <f t="shared" si="11"/>
        <v>0</v>
      </c>
    </row>
    <row r="58" spans="1:18" x14ac:dyDescent="0.2">
      <c r="A58" s="25"/>
      <c r="B58" s="25"/>
      <c r="C58" s="25" t="s">
        <v>5</v>
      </c>
      <c r="D58" s="25">
        <v>1</v>
      </c>
      <c r="E58" s="130"/>
      <c r="F58" s="224" t="s">
        <v>42</v>
      </c>
      <c r="G58" s="41">
        <v>3.1083200901970578</v>
      </c>
      <c r="H58" s="131"/>
      <c r="I58" s="35">
        <v>3.1083200901970578</v>
      </c>
      <c r="J58" s="200">
        <f t="shared" si="8"/>
        <v>0</v>
      </c>
      <c r="K58" s="223">
        <v>0</v>
      </c>
      <c r="L58" s="212"/>
      <c r="M58" s="35">
        <v>0</v>
      </c>
      <c r="N58" s="200">
        <f t="shared" si="9"/>
        <v>0</v>
      </c>
      <c r="O58" s="35">
        <v>3.1083200901970578</v>
      </c>
      <c r="P58" s="200">
        <f t="shared" si="10"/>
        <v>0</v>
      </c>
      <c r="Q58" s="35">
        <v>1989.324857726117</v>
      </c>
      <c r="R58" s="200">
        <f t="shared" si="11"/>
        <v>0</v>
      </c>
    </row>
    <row r="59" spans="1:18" x14ac:dyDescent="0.2">
      <c r="A59" s="25"/>
      <c r="B59" s="131"/>
      <c r="C59" s="131"/>
      <c r="D59" s="25"/>
      <c r="E59" s="130"/>
      <c r="F59" s="224"/>
      <c r="G59" s="41"/>
      <c r="H59" s="131"/>
      <c r="I59" s="35">
        <v>0</v>
      </c>
      <c r="J59" s="200">
        <f t="shared" si="8"/>
        <v>0</v>
      </c>
      <c r="K59" s="223">
        <v>0</v>
      </c>
      <c r="L59" s="212"/>
      <c r="M59" s="35">
        <v>0</v>
      </c>
      <c r="N59" s="200">
        <f t="shared" si="9"/>
        <v>0</v>
      </c>
      <c r="O59" s="35">
        <v>0</v>
      </c>
      <c r="P59" s="200">
        <f t="shared" si="10"/>
        <v>0</v>
      </c>
      <c r="Q59" s="35">
        <v>0</v>
      </c>
      <c r="R59" s="200">
        <f t="shared" si="11"/>
        <v>0</v>
      </c>
    </row>
    <row r="60" spans="1:18" x14ac:dyDescent="0.2">
      <c r="A60" s="25"/>
      <c r="B60" s="131"/>
      <c r="C60" s="131"/>
      <c r="D60" s="25"/>
      <c r="E60" s="130"/>
      <c r="F60" s="224"/>
      <c r="G60" s="41"/>
      <c r="H60" s="131"/>
      <c r="I60" s="35">
        <v>0</v>
      </c>
      <c r="J60" s="200">
        <f t="shared" si="8"/>
        <v>0</v>
      </c>
      <c r="K60" s="223">
        <v>0</v>
      </c>
      <c r="L60" s="212"/>
      <c r="M60" s="35">
        <v>0</v>
      </c>
      <c r="N60" s="200">
        <f t="shared" si="9"/>
        <v>0</v>
      </c>
      <c r="O60" s="35">
        <v>0</v>
      </c>
      <c r="P60" s="200">
        <f t="shared" si="10"/>
        <v>0</v>
      </c>
      <c r="Q60" s="35">
        <v>0</v>
      </c>
      <c r="R60" s="200">
        <f t="shared" si="11"/>
        <v>0</v>
      </c>
    </row>
    <row r="61" spans="1:18" ht="13.5" thickBot="1" x14ac:dyDescent="0.25">
      <c r="A61" s="25"/>
      <c r="B61" s="25" t="s">
        <v>32</v>
      </c>
      <c r="C61" s="25"/>
      <c r="D61" s="25"/>
      <c r="E61" s="195"/>
      <c r="F61" s="21"/>
      <c r="G61" s="39">
        <v>0.09</v>
      </c>
      <c r="H61" s="213"/>
      <c r="I61" s="42">
        <v>12.985555904530417</v>
      </c>
      <c r="J61" s="200">
        <f>+SUM(J17:J60)/2*H61</f>
        <v>0</v>
      </c>
      <c r="K61" s="86"/>
      <c r="L61" s="135"/>
      <c r="M61" s="42">
        <v>0</v>
      </c>
      <c r="N61" s="200">
        <f>+SUM(N17:N60)/2*L61</f>
        <v>0</v>
      </c>
      <c r="O61" s="42">
        <v>12.985555904530417</v>
      </c>
      <c r="P61" s="200">
        <f>+SUM(P17:P60)/2*L61</f>
        <v>0</v>
      </c>
      <c r="Q61" s="42">
        <v>8310.7557788994673</v>
      </c>
      <c r="R61" s="182">
        <f>+J61*E$7</f>
        <v>0</v>
      </c>
    </row>
    <row r="62" spans="1:18" ht="13.5" thickBot="1" x14ac:dyDescent="0.25">
      <c r="A62" s="25" t="s">
        <v>33</v>
      </c>
      <c r="B62" s="25"/>
      <c r="C62" s="25"/>
      <c r="D62" s="25"/>
      <c r="E62" s="198"/>
      <c r="F62" s="25"/>
      <c r="G62" s="25"/>
      <c r="H62" s="195"/>
      <c r="I62" s="87">
        <v>331.7598753263029</v>
      </c>
      <c r="J62" s="202">
        <f>SUM(J18:J61)</f>
        <v>0</v>
      </c>
      <c r="K62" s="35"/>
      <c r="L62" s="193"/>
      <c r="M62" s="87">
        <v>0</v>
      </c>
      <c r="N62" s="202">
        <f>SUM(N18:N61)</f>
        <v>0</v>
      </c>
      <c r="O62" s="87">
        <v>331.7598753263029</v>
      </c>
      <c r="P62" s="202">
        <f>SUM(P18:P61)</f>
        <v>0</v>
      </c>
      <c r="Q62" s="87">
        <v>212326.32020883381</v>
      </c>
      <c r="R62" s="202">
        <f>SUM(R18:R61)</f>
        <v>0</v>
      </c>
    </row>
    <row r="63" spans="1:18" ht="13.5" thickTop="1" x14ac:dyDescent="0.2">
      <c r="A63" s="25" t="s">
        <v>34</v>
      </c>
      <c r="B63" s="25"/>
      <c r="C63" s="25"/>
      <c r="D63" s="25"/>
      <c r="E63" s="198"/>
      <c r="F63" s="25"/>
      <c r="G63" s="25"/>
      <c r="H63" s="195"/>
      <c r="I63" s="35">
        <v>24.64012467369713</v>
      </c>
      <c r="J63" s="200">
        <f>+J13-J62</f>
        <v>0</v>
      </c>
      <c r="K63" s="35"/>
      <c r="L63" s="193"/>
      <c r="M63" s="35">
        <v>0</v>
      </c>
      <c r="N63" s="200">
        <f>+N13-N62</f>
        <v>0</v>
      </c>
      <c r="O63" s="35">
        <v>24.64012467369713</v>
      </c>
      <c r="P63" s="200">
        <f>+P13-P62</f>
        <v>0</v>
      </c>
      <c r="Q63" s="35">
        <v>15769.679791166214</v>
      </c>
      <c r="R63" s="200">
        <f>+R13-R62</f>
        <v>0</v>
      </c>
    </row>
    <row r="64" spans="1:18" x14ac:dyDescent="0.2">
      <c r="A64" s="25"/>
      <c r="B64" s="25" t="s">
        <v>35</v>
      </c>
      <c r="C64" s="25"/>
      <c r="D64" s="25"/>
      <c r="E64" s="208"/>
      <c r="F64" s="17"/>
      <c r="G64" s="40">
        <v>0.75399971665068843</v>
      </c>
      <c r="H64" s="208" t="str">
        <f>IF(E10=0,"n/a",(YVarExp-(YTotExp+YTotRet-J10))/E10)</f>
        <v>n/a</v>
      </c>
      <c r="I64" s="25" t="s">
        <v>82</v>
      </c>
      <c r="J64" s="182"/>
      <c r="K64" s="25"/>
      <c r="L64" s="195"/>
      <c r="M64" s="25"/>
      <c r="N64" s="182"/>
      <c r="O64" s="25"/>
      <c r="P64" s="182"/>
      <c r="Q64" s="25"/>
      <c r="R64" s="182"/>
    </row>
    <row r="65" spans="1:18" x14ac:dyDescent="0.2">
      <c r="A65" s="25"/>
      <c r="B65" s="25"/>
      <c r="C65" s="25"/>
      <c r="D65" s="25"/>
      <c r="E65" s="176"/>
      <c r="F65" s="25"/>
      <c r="G65" s="25"/>
      <c r="H65" s="209"/>
      <c r="I65" s="25"/>
      <c r="J65" s="182"/>
      <c r="K65" s="25"/>
      <c r="L65" s="195"/>
      <c r="M65" s="25"/>
      <c r="N65" s="182"/>
      <c r="O65" s="25"/>
      <c r="P65" s="182"/>
      <c r="Q65" s="22" t="s">
        <v>19</v>
      </c>
      <c r="R65" s="182" t="s">
        <v>19</v>
      </c>
    </row>
    <row r="66" spans="1:18" x14ac:dyDescent="0.2">
      <c r="A66" s="23" t="s">
        <v>36</v>
      </c>
      <c r="B66" s="23"/>
      <c r="C66" s="23"/>
      <c r="D66" s="24" t="s">
        <v>2</v>
      </c>
      <c r="E66" s="194" t="s">
        <v>2</v>
      </c>
      <c r="F66" s="24" t="s">
        <v>21</v>
      </c>
      <c r="G66" s="24" t="s">
        <v>22</v>
      </c>
      <c r="H66" s="194" t="s">
        <v>22</v>
      </c>
      <c r="I66" s="24" t="s">
        <v>12</v>
      </c>
      <c r="J66" s="194" t="s">
        <v>12</v>
      </c>
      <c r="K66" s="24" t="s">
        <v>11</v>
      </c>
      <c r="L66" s="194" t="s">
        <v>11</v>
      </c>
      <c r="M66" s="24" t="s">
        <v>10</v>
      </c>
      <c r="N66" s="194" t="s">
        <v>10</v>
      </c>
      <c r="O66" s="24" t="s">
        <v>9</v>
      </c>
      <c r="P66" s="194" t="s">
        <v>9</v>
      </c>
      <c r="Q66" s="24" t="s">
        <v>12</v>
      </c>
      <c r="R66" s="206" t="s">
        <v>12</v>
      </c>
    </row>
    <row r="67" spans="1:18" x14ac:dyDescent="0.2">
      <c r="A67" s="25"/>
      <c r="B67" s="25" t="s">
        <v>104</v>
      </c>
      <c r="C67" s="25"/>
      <c r="D67" s="25"/>
      <c r="E67" s="176"/>
      <c r="F67" s="25"/>
      <c r="G67" s="25"/>
      <c r="H67" s="209"/>
      <c r="I67" s="184"/>
      <c r="J67" s="182"/>
      <c r="K67" s="223"/>
      <c r="L67" s="195"/>
      <c r="M67" s="25"/>
      <c r="N67" s="182"/>
      <c r="O67" s="25"/>
      <c r="P67" s="182"/>
      <c r="Q67" s="25"/>
      <c r="R67" s="182"/>
    </row>
    <row r="68" spans="1:18" x14ac:dyDescent="0.2">
      <c r="A68" s="25"/>
      <c r="B68" s="25"/>
      <c r="C68" s="25" t="s">
        <v>102</v>
      </c>
      <c r="D68" s="25">
        <v>1</v>
      </c>
      <c r="E68" s="130"/>
      <c r="F68" s="224" t="s">
        <v>42</v>
      </c>
      <c r="G68" s="41">
        <v>0.48808593750000001</v>
      </c>
      <c r="H68" s="131"/>
      <c r="I68" s="35">
        <v>0.48808593750000001</v>
      </c>
      <c r="J68" s="200">
        <f t="shared" ref="J68:J70" si="12">E68*H68</f>
        <v>0</v>
      </c>
      <c r="K68" s="223">
        <v>0</v>
      </c>
      <c r="L68" s="212"/>
      <c r="M68" s="35">
        <v>0</v>
      </c>
      <c r="N68" s="200">
        <f>J68*L68</f>
        <v>0</v>
      </c>
      <c r="O68" s="35">
        <v>0.48808593750000001</v>
      </c>
      <c r="P68" s="200">
        <f t="shared" ref="P68:P70" si="13">+J68-N68</f>
        <v>0</v>
      </c>
      <c r="Q68" s="35">
        <v>312.375</v>
      </c>
      <c r="R68" s="200">
        <f t="shared" ref="R68:R70" si="14">+J68*E$7</f>
        <v>0</v>
      </c>
    </row>
    <row r="69" spans="1:18" x14ac:dyDescent="0.2">
      <c r="A69" s="25"/>
      <c r="B69" s="25"/>
      <c r="C69" s="25" t="s">
        <v>103</v>
      </c>
      <c r="D69" s="25">
        <v>1</v>
      </c>
      <c r="E69" s="130"/>
      <c r="F69" s="224" t="s">
        <v>42</v>
      </c>
      <c r="G69" s="41">
        <v>14.658095055595917</v>
      </c>
      <c r="H69" s="131"/>
      <c r="I69" s="35">
        <v>14.658095055595917</v>
      </c>
      <c r="J69" s="200">
        <f t="shared" si="12"/>
        <v>0</v>
      </c>
      <c r="K69" s="223">
        <v>0</v>
      </c>
      <c r="L69" s="212"/>
      <c r="M69" s="35">
        <v>0</v>
      </c>
      <c r="N69" s="200">
        <f>J69*L69</f>
        <v>0</v>
      </c>
      <c r="O69" s="35">
        <v>14.658095055595917</v>
      </c>
      <c r="P69" s="200">
        <f t="shared" si="13"/>
        <v>0</v>
      </c>
      <c r="Q69" s="35">
        <v>9381.1808355813864</v>
      </c>
      <c r="R69" s="200">
        <f t="shared" si="14"/>
        <v>0</v>
      </c>
    </row>
    <row r="70" spans="1:18" x14ac:dyDescent="0.2">
      <c r="A70" s="25"/>
      <c r="B70" s="25"/>
      <c r="C70" s="25" t="s">
        <v>5</v>
      </c>
      <c r="D70" s="25">
        <v>1</v>
      </c>
      <c r="E70" s="130"/>
      <c r="F70" s="224" t="s">
        <v>42</v>
      </c>
      <c r="G70" s="41">
        <v>4.6230480241309113</v>
      </c>
      <c r="H70" s="131"/>
      <c r="I70" s="35">
        <v>4.6230480241309113</v>
      </c>
      <c r="J70" s="200">
        <f t="shared" si="12"/>
        <v>0</v>
      </c>
      <c r="K70" s="223">
        <v>0</v>
      </c>
      <c r="L70" s="212"/>
      <c r="M70" s="35">
        <v>0</v>
      </c>
      <c r="N70" s="200">
        <f>J70*L70</f>
        <v>0</v>
      </c>
      <c r="O70" s="35">
        <v>4.6230480241309113</v>
      </c>
      <c r="P70" s="200">
        <f t="shared" si="13"/>
        <v>0</v>
      </c>
      <c r="Q70" s="35">
        <v>2958.750735443783</v>
      </c>
      <c r="R70" s="200">
        <f t="shared" si="14"/>
        <v>0</v>
      </c>
    </row>
    <row r="71" spans="1:18" x14ac:dyDescent="0.2">
      <c r="A71" s="25"/>
      <c r="B71" s="25" t="s">
        <v>88</v>
      </c>
      <c r="C71" s="25"/>
      <c r="D71" s="25"/>
      <c r="E71" s="195"/>
      <c r="F71" s="21"/>
      <c r="G71" s="41"/>
      <c r="H71" s="195"/>
      <c r="I71" s="184"/>
      <c r="J71" s="182"/>
      <c r="K71" s="223"/>
      <c r="L71" s="195"/>
      <c r="M71" s="35"/>
      <c r="N71" s="182"/>
      <c r="O71" s="35"/>
      <c r="P71" s="182"/>
      <c r="Q71" s="35"/>
      <c r="R71" s="182"/>
    </row>
    <row r="72" spans="1:18" x14ac:dyDescent="0.2">
      <c r="A72" s="25"/>
      <c r="B72" s="25"/>
      <c r="C72" s="25" t="s">
        <v>102</v>
      </c>
      <c r="D72" s="41">
        <v>3.4189453125</v>
      </c>
      <c r="E72" s="130"/>
      <c r="F72" s="224" t="s">
        <v>99</v>
      </c>
      <c r="G72" s="39">
        <v>0.08</v>
      </c>
      <c r="H72" s="213"/>
      <c r="I72" s="35">
        <v>0.27351562499999998</v>
      </c>
      <c r="J72" s="200">
        <f t="shared" ref="J72:J81" si="15">E72*H72</f>
        <v>0</v>
      </c>
      <c r="K72" s="223">
        <v>0</v>
      </c>
      <c r="L72" s="212"/>
      <c r="M72" s="35">
        <v>0</v>
      </c>
      <c r="N72" s="200">
        <f>J72*L72</f>
        <v>0</v>
      </c>
      <c r="O72" s="35">
        <v>0.27351562499999998</v>
      </c>
      <c r="P72" s="200">
        <f t="shared" ref="P72:P74" si="16">+J72-N72</f>
        <v>0</v>
      </c>
      <c r="Q72" s="35">
        <v>175.04999999999998</v>
      </c>
      <c r="R72" s="200">
        <f t="shared" ref="R72:R74" si="17">+J72*E$7</f>
        <v>0</v>
      </c>
    </row>
    <row r="73" spans="1:18" x14ac:dyDescent="0.2">
      <c r="A73" s="25"/>
      <c r="B73" s="25"/>
      <c r="C73" s="25" t="s">
        <v>103</v>
      </c>
      <c r="D73" s="41">
        <v>111.7681984579124</v>
      </c>
      <c r="E73" s="130"/>
      <c r="F73" s="224" t="s">
        <v>99</v>
      </c>
      <c r="G73" s="39">
        <v>0.08</v>
      </c>
      <c r="H73" s="213"/>
      <c r="I73" s="35">
        <v>8.9414558766329932</v>
      </c>
      <c r="J73" s="200">
        <f t="shared" si="15"/>
        <v>0</v>
      </c>
      <c r="K73" s="223">
        <v>0</v>
      </c>
      <c r="L73" s="212"/>
      <c r="M73" s="35">
        <v>0</v>
      </c>
      <c r="N73" s="200">
        <f>J73*L73</f>
        <v>0</v>
      </c>
      <c r="O73" s="35">
        <v>8.9414558766329932</v>
      </c>
      <c r="P73" s="200">
        <f t="shared" si="16"/>
        <v>0</v>
      </c>
      <c r="Q73" s="35">
        <v>5722.5317610451157</v>
      </c>
      <c r="R73" s="200">
        <f t="shared" si="17"/>
        <v>0</v>
      </c>
    </row>
    <row r="74" spans="1:18" x14ac:dyDescent="0.2">
      <c r="A74" s="25"/>
      <c r="B74" s="25"/>
      <c r="C74" s="25" t="s">
        <v>5</v>
      </c>
      <c r="D74" s="41">
        <v>19.776372103226677</v>
      </c>
      <c r="E74" s="130"/>
      <c r="F74" s="224" t="s">
        <v>99</v>
      </c>
      <c r="G74" s="39">
        <v>0.08</v>
      </c>
      <c r="H74" s="213"/>
      <c r="I74" s="35">
        <v>1.5821097682581342</v>
      </c>
      <c r="J74" s="200">
        <f t="shared" si="15"/>
        <v>0</v>
      </c>
      <c r="K74" s="223">
        <v>0</v>
      </c>
      <c r="L74" s="212"/>
      <c r="M74" s="35">
        <v>0</v>
      </c>
      <c r="N74" s="200">
        <f>J74*L74</f>
        <v>0</v>
      </c>
      <c r="O74" s="35">
        <v>1.5821097682581342</v>
      </c>
      <c r="P74" s="200">
        <f t="shared" si="16"/>
        <v>0</v>
      </c>
      <c r="Q74" s="35">
        <v>1012.5502516852059</v>
      </c>
      <c r="R74" s="200">
        <f t="shared" si="17"/>
        <v>0</v>
      </c>
    </row>
    <row r="75" spans="1:18" x14ac:dyDescent="0.2">
      <c r="A75" s="25"/>
      <c r="B75" s="25" t="s">
        <v>156</v>
      </c>
      <c r="C75" s="25"/>
      <c r="D75" s="25">
        <v>1</v>
      </c>
      <c r="E75" s="130"/>
      <c r="F75" s="224" t="s">
        <v>42</v>
      </c>
      <c r="G75" s="41">
        <v>0</v>
      </c>
      <c r="H75" s="131"/>
      <c r="I75" s="35">
        <v>0</v>
      </c>
      <c r="J75" s="200">
        <f t="shared" si="15"/>
        <v>0</v>
      </c>
      <c r="K75" s="223">
        <v>0</v>
      </c>
      <c r="L75" s="212"/>
      <c r="M75" s="35">
        <v>0</v>
      </c>
      <c r="N75" s="200">
        <f t="shared" ref="N75:N82" si="18">J75*L75</f>
        <v>0</v>
      </c>
      <c r="O75" s="35">
        <v>0</v>
      </c>
      <c r="P75" s="200">
        <f t="shared" ref="P75:P82" si="19">+J75-N75</f>
        <v>0</v>
      </c>
      <c r="Q75" s="35">
        <v>0</v>
      </c>
      <c r="R75" s="200">
        <f t="shared" ref="R75:R82" si="20">+J75*E$7</f>
        <v>0</v>
      </c>
    </row>
    <row r="76" spans="1:18" x14ac:dyDescent="0.2">
      <c r="A76" s="25"/>
      <c r="B76" s="25" t="s">
        <v>152</v>
      </c>
      <c r="C76" s="25"/>
      <c r="D76" s="25">
        <v>1</v>
      </c>
      <c r="E76" s="130"/>
      <c r="F76" s="224" t="s">
        <v>42</v>
      </c>
      <c r="G76" s="41">
        <v>0</v>
      </c>
      <c r="H76" s="131"/>
      <c r="I76" s="35">
        <v>0</v>
      </c>
      <c r="J76" s="200">
        <f t="shared" si="15"/>
        <v>0</v>
      </c>
      <c r="K76" s="223">
        <v>0</v>
      </c>
      <c r="L76" s="212"/>
      <c r="M76" s="35">
        <v>0</v>
      </c>
      <c r="N76" s="200">
        <f t="shared" si="18"/>
        <v>0</v>
      </c>
      <c r="O76" s="35">
        <v>0</v>
      </c>
      <c r="P76" s="200">
        <f t="shared" si="19"/>
        <v>0</v>
      </c>
      <c r="Q76" s="35">
        <v>0</v>
      </c>
      <c r="R76" s="200">
        <f t="shared" si="20"/>
        <v>0</v>
      </c>
    </row>
    <row r="77" spans="1:18" x14ac:dyDescent="0.2">
      <c r="A77" s="25"/>
      <c r="B77" s="25" t="s">
        <v>137</v>
      </c>
      <c r="C77" s="25"/>
      <c r="D77" s="25">
        <v>1</v>
      </c>
      <c r="E77" s="130"/>
      <c r="F77" s="224" t="s">
        <v>42</v>
      </c>
      <c r="G77" s="41">
        <v>0</v>
      </c>
      <c r="H77" s="131"/>
      <c r="I77" s="35">
        <v>0</v>
      </c>
      <c r="J77" s="200">
        <f t="shared" si="15"/>
        <v>0</v>
      </c>
      <c r="K77" s="223">
        <v>0</v>
      </c>
      <c r="L77" s="212"/>
      <c r="M77" s="35">
        <v>0</v>
      </c>
      <c r="N77" s="200">
        <f t="shared" si="18"/>
        <v>0</v>
      </c>
      <c r="O77" s="35">
        <v>0</v>
      </c>
      <c r="P77" s="200">
        <f t="shared" si="19"/>
        <v>0</v>
      </c>
      <c r="Q77" s="35">
        <v>0</v>
      </c>
      <c r="R77" s="200">
        <f t="shared" si="20"/>
        <v>0</v>
      </c>
    </row>
    <row r="78" spans="1:18" x14ac:dyDescent="0.2">
      <c r="A78" s="25"/>
      <c r="B78" s="25" t="s">
        <v>414</v>
      </c>
      <c r="C78" s="25"/>
      <c r="D78" s="25">
        <v>1</v>
      </c>
      <c r="E78" s="130"/>
      <c r="F78" s="224" t="s">
        <v>42</v>
      </c>
      <c r="G78" s="41">
        <v>30</v>
      </c>
      <c r="H78" s="131"/>
      <c r="I78" s="35">
        <v>30</v>
      </c>
      <c r="J78" s="200">
        <f t="shared" si="15"/>
        <v>0</v>
      </c>
      <c r="K78" s="223">
        <v>0</v>
      </c>
      <c r="L78" s="212"/>
      <c r="M78" s="35">
        <v>0</v>
      </c>
      <c r="N78" s="200">
        <f t="shared" si="18"/>
        <v>0</v>
      </c>
      <c r="O78" s="35">
        <v>30</v>
      </c>
      <c r="P78" s="200">
        <f t="shared" si="19"/>
        <v>0</v>
      </c>
      <c r="Q78" s="35">
        <v>19200</v>
      </c>
      <c r="R78" s="200">
        <f t="shared" si="20"/>
        <v>0</v>
      </c>
    </row>
    <row r="79" spans="1:18" x14ac:dyDescent="0.2">
      <c r="A79" s="25"/>
      <c r="B79" s="25" t="s">
        <v>159</v>
      </c>
      <c r="C79" s="25"/>
      <c r="D79" s="25">
        <v>1</v>
      </c>
      <c r="E79" s="130"/>
      <c r="F79" s="224" t="s">
        <v>42</v>
      </c>
      <c r="G79" s="41">
        <v>0</v>
      </c>
      <c r="H79" s="131"/>
      <c r="I79" s="35">
        <v>0</v>
      </c>
      <c r="J79" s="200">
        <f t="shared" si="15"/>
        <v>0</v>
      </c>
      <c r="K79" s="223">
        <v>0</v>
      </c>
      <c r="L79" s="212"/>
      <c r="M79" s="35">
        <v>0</v>
      </c>
      <c r="N79" s="200">
        <f t="shared" si="18"/>
        <v>0</v>
      </c>
      <c r="O79" s="35">
        <v>0</v>
      </c>
      <c r="P79" s="200">
        <f t="shared" si="19"/>
        <v>0</v>
      </c>
      <c r="Q79" s="35">
        <v>0</v>
      </c>
      <c r="R79" s="200">
        <f t="shared" si="20"/>
        <v>0</v>
      </c>
    </row>
    <row r="80" spans="1:18" x14ac:dyDescent="0.2">
      <c r="A80" s="25"/>
      <c r="B80" s="25" t="s">
        <v>160</v>
      </c>
      <c r="C80" s="25"/>
      <c r="D80" s="25">
        <v>1</v>
      </c>
      <c r="E80" s="130"/>
      <c r="F80" s="224" t="s">
        <v>42</v>
      </c>
      <c r="G80" s="41">
        <v>0</v>
      </c>
      <c r="H80" s="131"/>
      <c r="I80" s="35">
        <v>0</v>
      </c>
      <c r="J80" s="200">
        <f t="shared" si="15"/>
        <v>0</v>
      </c>
      <c r="K80" s="223">
        <v>0</v>
      </c>
      <c r="L80" s="212"/>
      <c r="M80" s="35">
        <v>0</v>
      </c>
      <c r="N80" s="200">
        <f t="shared" si="18"/>
        <v>0</v>
      </c>
      <c r="O80" s="35">
        <v>0</v>
      </c>
      <c r="P80" s="200">
        <f t="shared" si="19"/>
        <v>0</v>
      </c>
      <c r="Q80" s="35">
        <v>0</v>
      </c>
      <c r="R80" s="200">
        <f t="shared" si="20"/>
        <v>0</v>
      </c>
    </row>
    <row r="81" spans="1:18" x14ac:dyDescent="0.2">
      <c r="A81" s="25"/>
      <c r="B81" s="131"/>
      <c r="C81" s="131"/>
      <c r="D81" s="25">
        <v>1</v>
      </c>
      <c r="E81" s="130"/>
      <c r="F81" s="224"/>
      <c r="G81" s="41">
        <v>0</v>
      </c>
      <c r="H81" s="131"/>
      <c r="I81" s="35">
        <v>0</v>
      </c>
      <c r="J81" s="200">
        <f t="shared" si="15"/>
        <v>0</v>
      </c>
      <c r="K81" s="223">
        <v>0</v>
      </c>
      <c r="L81" s="212"/>
      <c r="M81" s="35">
        <v>0</v>
      </c>
      <c r="N81" s="200">
        <f t="shared" si="18"/>
        <v>0</v>
      </c>
      <c r="O81" s="35">
        <v>0</v>
      </c>
      <c r="P81" s="200">
        <f t="shared" si="19"/>
        <v>0</v>
      </c>
      <c r="Q81" s="35">
        <v>0</v>
      </c>
      <c r="R81" s="200">
        <f t="shared" si="20"/>
        <v>0</v>
      </c>
    </row>
    <row r="82" spans="1:18" ht="13.5" thickBot="1" x14ac:dyDescent="0.25">
      <c r="A82" s="25"/>
      <c r="B82" s="131"/>
      <c r="C82" s="131"/>
      <c r="D82" s="25">
        <v>1</v>
      </c>
      <c r="E82" s="130"/>
      <c r="F82" s="224"/>
      <c r="G82" s="41">
        <v>0</v>
      </c>
      <c r="H82" s="131"/>
      <c r="I82" s="35">
        <v>0</v>
      </c>
      <c r="J82" s="200">
        <f>E82*H82</f>
        <v>0</v>
      </c>
      <c r="K82" s="223">
        <v>0</v>
      </c>
      <c r="L82" s="212"/>
      <c r="M82" s="35">
        <v>0</v>
      </c>
      <c r="N82" s="200">
        <f t="shared" si="18"/>
        <v>0</v>
      </c>
      <c r="O82" s="35">
        <v>0</v>
      </c>
      <c r="P82" s="200">
        <f t="shared" si="19"/>
        <v>0</v>
      </c>
      <c r="Q82" s="35">
        <v>0</v>
      </c>
      <c r="R82" s="200">
        <f t="shared" si="20"/>
        <v>0</v>
      </c>
    </row>
    <row r="83" spans="1:18" ht="13.5" thickBot="1" x14ac:dyDescent="0.25">
      <c r="A83" s="25" t="s">
        <v>37</v>
      </c>
      <c r="B83" s="25"/>
      <c r="C83" s="25"/>
      <c r="D83" s="25"/>
      <c r="E83" s="195"/>
      <c r="F83" s="25"/>
      <c r="G83" s="25"/>
      <c r="H83" s="195"/>
      <c r="I83" s="118">
        <v>60.566310287117958</v>
      </c>
      <c r="J83" s="202">
        <f>+SUM(J68:J82)</f>
        <v>0</v>
      </c>
      <c r="K83" s="35"/>
      <c r="L83" s="193"/>
      <c r="M83" s="118">
        <v>0</v>
      </c>
      <c r="N83" s="202">
        <f>+SUM(N68:N82)</f>
        <v>0</v>
      </c>
      <c r="O83" s="118">
        <v>60.566310287117958</v>
      </c>
      <c r="P83" s="202">
        <f>+SUM(P68:P82)</f>
        <v>0</v>
      </c>
      <c r="Q83" s="118">
        <v>38762.438583755487</v>
      </c>
      <c r="R83" s="202">
        <f>+SUM(R68:R82)</f>
        <v>0</v>
      </c>
    </row>
    <row r="84" spans="1:18" ht="14.25" thickTop="1" thickBot="1" x14ac:dyDescent="0.25">
      <c r="A84" s="25" t="s">
        <v>52</v>
      </c>
      <c r="B84" s="25"/>
      <c r="C84" s="25"/>
      <c r="D84" s="25"/>
      <c r="E84" s="195"/>
      <c r="F84" s="25"/>
      <c r="G84" s="25"/>
      <c r="H84" s="195"/>
      <c r="I84" s="87">
        <v>392.32618561342088</v>
      </c>
      <c r="J84" s="203">
        <f>+J62+J83</f>
        <v>0</v>
      </c>
      <c r="K84" s="35"/>
      <c r="L84" s="193"/>
      <c r="M84" s="87">
        <v>0</v>
      </c>
      <c r="N84" s="203">
        <f>+N62+N83</f>
        <v>0</v>
      </c>
      <c r="O84" s="87">
        <v>392.32618561342088</v>
      </c>
      <c r="P84" s="203">
        <f>+P62+P83</f>
        <v>0</v>
      </c>
      <c r="Q84" s="87">
        <v>251088.7587925893</v>
      </c>
      <c r="R84" s="203">
        <f>+R62+R83</f>
        <v>0</v>
      </c>
    </row>
    <row r="85" spans="1:18" ht="13.5" thickTop="1" x14ac:dyDescent="0.2">
      <c r="A85" s="25"/>
      <c r="B85" s="25"/>
      <c r="C85" s="25"/>
      <c r="D85" s="25"/>
      <c r="E85" s="195"/>
      <c r="F85" s="25"/>
      <c r="G85" s="25"/>
      <c r="H85" s="195"/>
      <c r="I85" s="35"/>
      <c r="J85" s="182"/>
      <c r="K85" s="35"/>
      <c r="L85" s="193"/>
      <c r="M85" s="35"/>
      <c r="N85" s="182"/>
      <c r="O85" s="35"/>
      <c r="P85" s="182"/>
      <c r="Q85" s="35"/>
      <c r="R85" s="182"/>
    </row>
    <row r="86" spans="1:18" x14ac:dyDescent="0.2">
      <c r="A86" s="25" t="s">
        <v>153</v>
      </c>
      <c r="B86" s="25"/>
      <c r="C86" s="25"/>
      <c r="D86" s="25"/>
      <c r="E86" s="195"/>
      <c r="F86" s="25"/>
      <c r="G86" s="25"/>
      <c r="H86" s="195"/>
      <c r="I86" s="35">
        <v>-35.926185613420841</v>
      </c>
      <c r="J86" s="200">
        <f>+J13-J84</f>
        <v>0</v>
      </c>
      <c r="K86" s="35"/>
      <c r="L86" s="193"/>
      <c r="M86" s="35">
        <v>0</v>
      </c>
      <c r="N86" s="200">
        <f>+N13-N84</f>
        <v>0</v>
      </c>
      <c r="O86" s="35">
        <v>-35.926185613420841</v>
      </c>
      <c r="P86" s="200">
        <f>+P13-P84</f>
        <v>0</v>
      </c>
      <c r="Q86" s="35">
        <v>-22992.758792589273</v>
      </c>
      <c r="R86" s="200">
        <f>+R13-R84</f>
        <v>0</v>
      </c>
    </row>
    <row r="87" spans="1:18" x14ac:dyDescent="0.2">
      <c r="A87" s="25"/>
      <c r="B87" s="25"/>
      <c r="C87" s="25"/>
      <c r="D87" s="25"/>
      <c r="E87" s="195"/>
      <c r="F87" s="25"/>
      <c r="G87" s="25"/>
      <c r="H87" s="195"/>
      <c r="I87" s="35"/>
      <c r="J87" s="204"/>
      <c r="K87" s="35"/>
      <c r="L87" s="193"/>
      <c r="M87" s="35"/>
      <c r="N87" s="193"/>
      <c r="O87" s="35"/>
      <c r="P87" s="193"/>
      <c r="Q87" s="35"/>
      <c r="R87" s="204"/>
    </row>
    <row r="88" spans="1:18" ht="13.5" thickBot="1" x14ac:dyDescent="0.25">
      <c r="A88" s="44" t="s">
        <v>38</v>
      </c>
      <c r="B88" s="44"/>
      <c r="C88" s="44"/>
      <c r="D88" s="44"/>
      <c r="E88" s="199"/>
      <c r="F88" s="44"/>
      <c r="G88" s="45">
        <v>0.89165042184868382</v>
      </c>
      <c r="H88" s="210" t="str">
        <f>IF(E10=0,"n/a",(YTotExp-(YTotExp+YTotRet-J10))/E10)</f>
        <v>n/a</v>
      </c>
      <c r="I88" s="44" t="s">
        <v>82</v>
      </c>
      <c r="J88" s="205"/>
      <c r="K88" s="44"/>
      <c r="L88" s="199"/>
      <c r="M88" s="44"/>
      <c r="N88" s="199"/>
      <c r="O88" s="44"/>
      <c r="P88" s="199"/>
      <c r="Q88" s="44"/>
      <c r="R88" s="205"/>
    </row>
    <row r="89" spans="1:18" ht="13.5" thickTop="1" x14ac:dyDescent="0.2"/>
    <row r="90" spans="1:18" s="17" customFormat="1" ht="15.75" x14ac:dyDescent="0.25">
      <c r="A90"/>
      <c r="B90" s="88"/>
      <c r="C90" s="89"/>
      <c r="D90" s="234" t="s">
        <v>113</v>
      </c>
      <c r="E90" s="235"/>
      <c r="F90" s="235"/>
      <c r="G90" s="235"/>
      <c r="H90" s="235"/>
      <c r="I90" s="235"/>
      <c r="J90" s="99"/>
      <c r="K90" s="99"/>
      <c r="M90"/>
      <c r="N90"/>
    </row>
    <row r="91" spans="1:18" s="17" customFormat="1" ht="15.75" x14ac:dyDescent="0.25">
      <c r="A91"/>
      <c r="B91" s="19" t="s">
        <v>114</v>
      </c>
      <c r="C91" s="19" t="s">
        <v>114</v>
      </c>
      <c r="D91" s="123" t="s">
        <v>170</v>
      </c>
      <c r="E91" s="18"/>
      <c r="F91" s="18"/>
      <c r="G91" s="123" t="s">
        <v>170</v>
      </c>
      <c r="H91" s="18"/>
      <c r="I91" s="18"/>
      <c r="J91" s="18"/>
      <c r="K91" s="18"/>
      <c r="M91"/>
      <c r="N91"/>
    </row>
    <row r="92" spans="1:18" s="17" customFormat="1" x14ac:dyDescent="0.2">
      <c r="A92"/>
      <c r="B92" s="19" t="s">
        <v>80</v>
      </c>
      <c r="C92" s="19" t="s">
        <v>80</v>
      </c>
      <c r="D92" s="123" t="s">
        <v>157</v>
      </c>
      <c r="E92" s="119"/>
      <c r="F92" s="119"/>
      <c r="G92" s="123" t="s">
        <v>12</v>
      </c>
      <c r="H92" s="119"/>
      <c r="I92" s="119"/>
      <c r="J92" s="119"/>
      <c r="K92" s="119"/>
      <c r="M92"/>
      <c r="N92"/>
    </row>
    <row r="93" spans="1:18" s="17" customFormat="1" x14ac:dyDescent="0.2">
      <c r="A93"/>
      <c r="B93" s="19" t="s">
        <v>30</v>
      </c>
      <c r="C93" s="99" t="s">
        <v>82</v>
      </c>
      <c r="D93" s="123" t="s">
        <v>98</v>
      </c>
      <c r="E93" s="119"/>
      <c r="F93" s="119"/>
      <c r="G93" s="123" t="s">
        <v>98</v>
      </c>
      <c r="H93" s="19"/>
      <c r="I93" s="19"/>
      <c r="J93" s="19"/>
      <c r="K93" s="19"/>
      <c r="M93"/>
      <c r="N93"/>
    </row>
    <row r="94" spans="1:18" s="17" customFormat="1" x14ac:dyDescent="0.2">
      <c r="A94"/>
      <c r="B94" s="90">
        <v>0.75</v>
      </c>
      <c r="C94" s="91">
        <v>330</v>
      </c>
      <c r="D94" s="92">
        <v>1.0053329555342512</v>
      </c>
      <c r="E94" s="93"/>
      <c r="F94" s="94"/>
      <c r="G94" s="92">
        <v>1.1888672291315785</v>
      </c>
      <c r="H94" s="93"/>
      <c r="I94" s="93"/>
      <c r="M94"/>
      <c r="N94"/>
    </row>
    <row r="95" spans="1:18" s="17" customFormat="1" x14ac:dyDescent="0.2">
      <c r="A95"/>
      <c r="B95" s="95">
        <v>0.9</v>
      </c>
      <c r="C95" s="96">
        <v>396</v>
      </c>
      <c r="D95" s="97">
        <v>0.83777746294520938</v>
      </c>
      <c r="E95" s="83"/>
      <c r="F95" s="98"/>
      <c r="G95" s="97">
        <v>0.99072269094298204</v>
      </c>
      <c r="H95" s="83"/>
      <c r="I95" s="83"/>
      <c r="M95"/>
      <c r="N95"/>
    </row>
    <row r="96" spans="1:18" s="17" customFormat="1" x14ac:dyDescent="0.2">
      <c r="A96"/>
      <c r="B96" s="90">
        <v>1</v>
      </c>
      <c r="C96" s="91">
        <v>440</v>
      </c>
      <c r="D96" s="92">
        <v>0.75399971665068843</v>
      </c>
      <c r="E96" s="93"/>
      <c r="F96" s="94"/>
      <c r="G96" s="92">
        <v>0.89165042184868382</v>
      </c>
      <c r="H96" s="93"/>
      <c r="I96" s="93"/>
      <c r="M96"/>
      <c r="N96"/>
    </row>
    <row r="97" spans="1:18" s="17" customFormat="1" x14ac:dyDescent="0.2">
      <c r="A97"/>
      <c r="B97" s="95">
        <v>1.1000000000000001</v>
      </c>
      <c r="C97" s="96">
        <v>484.00000000000006</v>
      </c>
      <c r="D97" s="97">
        <v>0.6854542878642621</v>
      </c>
      <c r="E97" s="83"/>
      <c r="F97" s="98"/>
      <c r="G97" s="97">
        <v>0.81059129258971241</v>
      </c>
      <c r="H97" s="83"/>
      <c r="I97" s="83"/>
      <c r="M97"/>
      <c r="N97"/>
    </row>
    <row r="98" spans="1:18" s="17" customFormat="1" x14ac:dyDescent="0.2">
      <c r="A98"/>
      <c r="B98" s="90">
        <v>1.25</v>
      </c>
      <c r="C98" s="91">
        <v>550</v>
      </c>
      <c r="D98" s="92">
        <v>0.60319977332055075</v>
      </c>
      <c r="E98" s="93"/>
      <c r="F98" s="94"/>
      <c r="G98" s="92">
        <v>0.71332033747894708</v>
      </c>
      <c r="H98" s="93"/>
      <c r="I98" s="93"/>
      <c r="M98"/>
      <c r="N98"/>
    </row>
    <row r="99" spans="1:18" s="17" customFormat="1" x14ac:dyDescent="0.2">
      <c r="A99"/>
      <c r="M99"/>
      <c r="N99"/>
    </row>
    <row r="100" spans="1:18" x14ac:dyDescent="0.2">
      <c r="A100" s="25" t="s">
        <v>434</v>
      </c>
      <c r="B100" s="17"/>
      <c r="C100" s="17"/>
      <c r="D100" s="17"/>
      <c r="E100" s="17"/>
      <c r="F100" s="17"/>
      <c r="G100" s="17"/>
      <c r="H100" s="17"/>
      <c r="I100" s="17"/>
      <c r="J100" s="28"/>
      <c r="K100" s="17"/>
      <c r="L100" s="17"/>
      <c r="M100" s="17"/>
      <c r="N100" s="17"/>
      <c r="O100" s="17"/>
      <c r="P100" s="17"/>
      <c r="Q100" s="17"/>
    </row>
    <row r="101" spans="1:18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28"/>
      <c r="K101" s="17"/>
      <c r="L101" s="17"/>
      <c r="M101" s="17"/>
      <c r="N101" s="17"/>
      <c r="O101" s="17"/>
      <c r="P101" s="17"/>
      <c r="Q101" s="17"/>
    </row>
    <row r="102" spans="1:18" ht="26.25" customHeight="1" x14ac:dyDescent="0.2">
      <c r="A102" s="236" t="s">
        <v>140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19"/>
      <c r="N102" s="219"/>
      <c r="O102" s="219"/>
      <c r="P102" s="219"/>
      <c r="Q102" s="219"/>
      <c r="R102" s="219"/>
    </row>
  </sheetData>
  <sheetProtection sheet="1" objects="1" scenarios="1"/>
  <mergeCells count="6">
    <mergeCell ref="D90:I90"/>
    <mergeCell ref="A102:L102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99">
    <tabColor rgb="FF92D050"/>
    <pageSetUpPr fitToPage="1"/>
  </sheetPr>
  <dimension ref="A1:S109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456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133</v>
      </c>
      <c r="C10" s="25"/>
      <c r="D10" s="50">
        <v>1404</v>
      </c>
      <c r="E10" s="130"/>
      <c r="F10" s="224" t="s">
        <v>82</v>
      </c>
      <c r="G10" s="31">
        <v>0.81</v>
      </c>
      <c r="H10" s="131"/>
      <c r="I10" s="35">
        <v>1137.24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1137.24</v>
      </c>
      <c r="P10" s="200">
        <f>+J10-N10</f>
        <v>0</v>
      </c>
      <c r="Q10" s="35">
        <v>727833.59999999998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1137.24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1137.24</v>
      </c>
      <c r="P13" s="201">
        <f>SUM(P10:P12)</f>
        <v>0</v>
      </c>
      <c r="Q13" s="36">
        <v>727833.59999999998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50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176</v>
      </c>
      <c r="D18" s="25">
        <v>1</v>
      </c>
      <c r="E18" s="130"/>
      <c r="F18" s="224" t="s">
        <v>42</v>
      </c>
      <c r="G18" s="41">
        <v>5</v>
      </c>
      <c r="H18" s="131"/>
      <c r="I18" s="35">
        <v>5</v>
      </c>
      <c r="J18" s="200">
        <f t="shared" ref="J18:J42" si="4">E18*H18</f>
        <v>0</v>
      </c>
      <c r="K18" s="223">
        <v>0</v>
      </c>
      <c r="L18" s="212"/>
      <c r="M18" s="35">
        <v>0</v>
      </c>
      <c r="N18" s="200">
        <f t="shared" ref="N18:N42" si="5">J18*L18</f>
        <v>0</v>
      </c>
      <c r="O18" s="35">
        <v>5</v>
      </c>
      <c r="P18" s="200">
        <f t="shared" ref="P18:P42" si="6">+J18-N18</f>
        <v>0</v>
      </c>
      <c r="Q18" s="35">
        <v>3200</v>
      </c>
      <c r="R18" s="200">
        <f t="shared" ref="R18:R42" si="7">+J18*E$7</f>
        <v>0</v>
      </c>
    </row>
    <row r="19" spans="1:18" x14ac:dyDescent="0.2">
      <c r="A19" s="25"/>
      <c r="B19" s="25" t="s">
        <v>458</v>
      </c>
      <c r="C19" s="25" t="s">
        <v>375</v>
      </c>
      <c r="D19" s="25">
        <v>1404</v>
      </c>
      <c r="E19" s="130"/>
      <c r="F19" s="224" t="s">
        <v>82</v>
      </c>
      <c r="G19" s="41">
        <v>0.12</v>
      </c>
      <c r="H19" s="131"/>
      <c r="I19" s="35">
        <v>168.48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168.48</v>
      </c>
      <c r="P19" s="200">
        <f t="shared" si="6"/>
        <v>0</v>
      </c>
      <c r="Q19" s="35">
        <v>107827.2</v>
      </c>
      <c r="R19" s="200">
        <f t="shared" si="7"/>
        <v>0</v>
      </c>
    </row>
    <row r="20" spans="1:18" x14ac:dyDescent="0.2">
      <c r="A20" s="25"/>
      <c r="B20" s="25" t="s">
        <v>0</v>
      </c>
      <c r="C20" s="25"/>
      <c r="D20" s="25"/>
      <c r="E20" s="25"/>
      <c r="F20" s="25"/>
      <c r="G20" s="25"/>
      <c r="H20" s="25"/>
      <c r="I20" s="25"/>
      <c r="J20" s="25"/>
      <c r="K20" s="223"/>
      <c r="L20" s="25"/>
      <c r="M20" s="25"/>
      <c r="N20" s="25"/>
      <c r="O20" s="25"/>
      <c r="P20" s="25"/>
      <c r="Q20" s="25"/>
      <c r="R20" s="25"/>
    </row>
    <row r="21" spans="1:18" x14ac:dyDescent="0.2">
      <c r="A21" s="25"/>
      <c r="B21" s="25" t="s">
        <v>458</v>
      </c>
      <c r="C21" s="25" t="s">
        <v>342</v>
      </c>
      <c r="D21" s="25">
        <v>150</v>
      </c>
      <c r="E21" s="130"/>
      <c r="F21" s="224" t="s">
        <v>82</v>
      </c>
      <c r="G21" s="41">
        <v>0.53800000000000003</v>
      </c>
      <c r="H21" s="131"/>
      <c r="I21" s="35">
        <v>80.7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80.7</v>
      </c>
      <c r="P21" s="200">
        <f t="shared" si="6"/>
        <v>0</v>
      </c>
      <c r="Q21" s="35">
        <v>51648</v>
      </c>
      <c r="R21" s="200">
        <f t="shared" si="7"/>
        <v>0</v>
      </c>
    </row>
    <row r="22" spans="1:18" x14ac:dyDescent="0.2">
      <c r="A22" s="25"/>
      <c r="B22" s="25" t="s">
        <v>458</v>
      </c>
      <c r="C22" s="25" t="s">
        <v>378</v>
      </c>
      <c r="D22" s="25">
        <v>50</v>
      </c>
      <c r="E22" s="130"/>
      <c r="F22" s="224" t="s">
        <v>82</v>
      </c>
      <c r="G22" s="41">
        <v>0.56999999999999995</v>
      </c>
      <c r="H22" s="131"/>
      <c r="I22" s="35">
        <v>28.499999999999996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28.499999999999996</v>
      </c>
      <c r="P22" s="200">
        <f t="shared" si="6"/>
        <v>0</v>
      </c>
      <c r="Q22" s="35">
        <v>18239.999999999996</v>
      </c>
      <c r="R22" s="200">
        <f t="shared" si="7"/>
        <v>0</v>
      </c>
    </row>
    <row r="23" spans="1:18" x14ac:dyDescent="0.2">
      <c r="A23" s="25"/>
      <c r="B23" s="25" t="s">
        <v>458</v>
      </c>
      <c r="C23" s="25" t="s">
        <v>400</v>
      </c>
      <c r="D23" s="25">
        <v>80</v>
      </c>
      <c r="E23" s="130"/>
      <c r="F23" s="224" t="s">
        <v>82</v>
      </c>
      <c r="G23" s="41">
        <v>0.44167000000000001</v>
      </c>
      <c r="H23" s="131"/>
      <c r="I23" s="35">
        <v>35.333600000000004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35.333600000000004</v>
      </c>
      <c r="P23" s="200">
        <f t="shared" si="6"/>
        <v>0</v>
      </c>
      <c r="Q23" s="35">
        <v>22613.504000000001</v>
      </c>
      <c r="R23" s="200">
        <f t="shared" si="7"/>
        <v>0</v>
      </c>
    </row>
    <row r="24" spans="1:18" x14ac:dyDescent="0.2">
      <c r="A24" s="25"/>
      <c r="B24" s="25" t="s">
        <v>49</v>
      </c>
      <c r="C24" s="25"/>
      <c r="D24" s="25"/>
      <c r="E24" s="25"/>
      <c r="F24" s="25"/>
      <c r="G24" s="25"/>
      <c r="H24" s="25"/>
      <c r="I24" s="25"/>
      <c r="J24" s="25"/>
      <c r="K24" s="223"/>
      <c r="L24" s="25"/>
      <c r="M24" s="25"/>
      <c r="N24" s="25"/>
      <c r="O24" s="25"/>
      <c r="P24" s="25"/>
      <c r="Q24" s="25"/>
      <c r="R24" s="25"/>
    </row>
    <row r="25" spans="1:18" x14ac:dyDescent="0.2">
      <c r="A25" s="25"/>
      <c r="B25" s="25" t="s">
        <v>458</v>
      </c>
      <c r="C25" s="25" t="s">
        <v>402</v>
      </c>
      <c r="D25" s="25">
        <v>2</v>
      </c>
      <c r="E25" s="130"/>
      <c r="F25" s="224" t="s">
        <v>316</v>
      </c>
      <c r="G25" s="41">
        <v>2.81</v>
      </c>
      <c r="H25" s="131"/>
      <c r="I25" s="35">
        <v>5.62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5.62</v>
      </c>
      <c r="P25" s="200">
        <f t="shared" si="6"/>
        <v>0</v>
      </c>
      <c r="Q25" s="35">
        <v>3596.8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401</v>
      </c>
      <c r="D26" s="25">
        <v>64</v>
      </c>
      <c r="E26" s="130"/>
      <c r="F26" s="224" t="s">
        <v>435</v>
      </c>
      <c r="G26" s="41">
        <v>0.41</v>
      </c>
      <c r="H26" s="131"/>
      <c r="I26" s="35">
        <v>26.24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26.24</v>
      </c>
      <c r="P26" s="200">
        <f t="shared" si="6"/>
        <v>0</v>
      </c>
      <c r="Q26" s="35">
        <v>16793.599999999999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440</v>
      </c>
      <c r="D27" s="25">
        <v>4.7</v>
      </c>
      <c r="E27" s="130"/>
      <c r="F27" s="224" t="s">
        <v>316</v>
      </c>
      <c r="G27" s="41">
        <v>5.81</v>
      </c>
      <c r="H27" s="131"/>
      <c r="I27" s="35">
        <v>27.306999999999999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27.306999999999999</v>
      </c>
      <c r="P27" s="200">
        <f t="shared" si="6"/>
        <v>0</v>
      </c>
      <c r="Q27" s="35">
        <v>17476.48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439</v>
      </c>
      <c r="D28" s="25">
        <v>29</v>
      </c>
      <c r="E28" s="130"/>
      <c r="F28" s="224" t="s">
        <v>410</v>
      </c>
      <c r="G28" s="41">
        <v>0.7</v>
      </c>
      <c r="H28" s="131"/>
      <c r="I28" s="35">
        <v>20.299999999999997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20.299999999999997</v>
      </c>
      <c r="P28" s="200">
        <f t="shared" si="6"/>
        <v>0</v>
      </c>
      <c r="Q28" s="35">
        <v>12991.999999999998</v>
      </c>
      <c r="R28" s="200">
        <f t="shared" si="7"/>
        <v>0</v>
      </c>
    </row>
    <row r="29" spans="1:18" x14ac:dyDescent="0.2">
      <c r="A29" s="25"/>
      <c r="B29" s="25" t="s">
        <v>458</v>
      </c>
      <c r="C29" s="25" t="s">
        <v>384</v>
      </c>
      <c r="D29" s="25">
        <v>1</v>
      </c>
      <c r="E29" s="130"/>
      <c r="F29" s="224" t="s">
        <v>316</v>
      </c>
      <c r="G29" s="41">
        <v>3.75</v>
      </c>
      <c r="H29" s="131"/>
      <c r="I29" s="35">
        <v>3.75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3.75</v>
      </c>
      <c r="P29" s="200">
        <f t="shared" si="6"/>
        <v>0</v>
      </c>
      <c r="Q29" s="35">
        <v>2400</v>
      </c>
      <c r="R29" s="200">
        <f t="shared" si="7"/>
        <v>0</v>
      </c>
    </row>
    <row r="30" spans="1:18" x14ac:dyDescent="0.2">
      <c r="A30" s="25"/>
      <c r="B30" s="25" t="s">
        <v>458</v>
      </c>
      <c r="C30" s="25" t="s">
        <v>386</v>
      </c>
      <c r="D30" s="25">
        <v>1</v>
      </c>
      <c r="E30" s="130"/>
      <c r="F30" s="224" t="s">
        <v>410</v>
      </c>
      <c r="G30" s="41">
        <v>0.546875</v>
      </c>
      <c r="H30" s="131"/>
      <c r="I30" s="35">
        <v>0.546875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0.546875</v>
      </c>
      <c r="P30" s="200">
        <f t="shared" si="6"/>
        <v>0</v>
      </c>
      <c r="Q30" s="35">
        <v>350</v>
      </c>
      <c r="R30" s="200">
        <f t="shared" si="7"/>
        <v>0</v>
      </c>
    </row>
    <row r="31" spans="1:18" x14ac:dyDescent="0.2">
      <c r="A31" s="25"/>
      <c r="B31" s="25" t="s">
        <v>458</v>
      </c>
      <c r="C31" s="25" t="s">
        <v>438</v>
      </c>
      <c r="D31" s="25">
        <v>1.4</v>
      </c>
      <c r="E31" s="130"/>
      <c r="F31" s="224" t="s">
        <v>316</v>
      </c>
      <c r="G31" s="41">
        <v>2.84</v>
      </c>
      <c r="H31" s="131"/>
      <c r="I31" s="35">
        <v>3.9759999999999995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3.9759999999999995</v>
      </c>
      <c r="P31" s="200">
        <f t="shared" si="6"/>
        <v>0</v>
      </c>
      <c r="Q31" s="35">
        <v>2544.64</v>
      </c>
      <c r="R31" s="200">
        <f t="shared" si="7"/>
        <v>0</v>
      </c>
    </row>
    <row r="32" spans="1:18" x14ac:dyDescent="0.2">
      <c r="A32" s="25"/>
      <c r="B32" s="25" t="s">
        <v>458</v>
      </c>
      <c r="C32" s="25" t="s">
        <v>436</v>
      </c>
      <c r="D32" s="25">
        <v>1.4</v>
      </c>
      <c r="E32" s="130"/>
      <c r="F32" s="224" t="s">
        <v>316</v>
      </c>
      <c r="G32" s="41">
        <v>4.92</v>
      </c>
      <c r="H32" s="131"/>
      <c r="I32" s="35">
        <v>6.8879999999999999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6.8879999999999999</v>
      </c>
      <c r="P32" s="200">
        <f t="shared" si="6"/>
        <v>0</v>
      </c>
      <c r="Q32" s="35">
        <v>4408.32</v>
      </c>
      <c r="R32" s="200">
        <f t="shared" si="7"/>
        <v>0</v>
      </c>
    </row>
    <row r="33" spans="1:18" x14ac:dyDescent="0.2">
      <c r="A33" s="25"/>
      <c r="B33" s="25" t="s">
        <v>458</v>
      </c>
      <c r="C33" s="25" t="s">
        <v>437</v>
      </c>
      <c r="D33" s="25">
        <v>1.3</v>
      </c>
      <c r="E33" s="130"/>
      <c r="F33" s="224" t="s">
        <v>316</v>
      </c>
      <c r="G33" s="41">
        <v>9.14</v>
      </c>
      <c r="H33" s="131"/>
      <c r="I33" s="35">
        <v>11.882000000000001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11.882000000000001</v>
      </c>
      <c r="P33" s="200">
        <f t="shared" si="6"/>
        <v>0</v>
      </c>
      <c r="Q33" s="35">
        <v>7604.4800000000014</v>
      </c>
      <c r="R33" s="200">
        <f t="shared" si="7"/>
        <v>0</v>
      </c>
    </row>
    <row r="34" spans="1:18" x14ac:dyDescent="0.2">
      <c r="A34" s="25"/>
      <c r="B34" s="25" t="s">
        <v>48</v>
      </c>
      <c r="C34" s="25"/>
      <c r="D34" s="25"/>
      <c r="E34" s="25"/>
      <c r="F34" s="25"/>
      <c r="G34" s="25"/>
      <c r="H34" s="25"/>
      <c r="I34" s="25"/>
      <c r="J34" s="25"/>
      <c r="K34" s="223"/>
      <c r="L34" s="25"/>
      <c r="M34" s="25"/>
      <c r="N34" s="25"/>
      <c r="O34" s="25"/>
      <c r="P34" s="25"/>
      <c r="Q34" s="25"/>
      <c r="R34" s="25"/>
    </row>
    <row r="35" spans="1:18" x14ac:dyDescent="0.2">
      <c r="A35" s="25"/>
      <c r="B35" s="25" t="s">
        <v>458</v>
      </c>
      <c r="C35" s="25" t="s">
        <v>442</v>
      </c>
      <c r="D35" s="25">
        <v>16</v>
      </c>
      <c r="E35" s="130"/>
      <c r="F35" s="224" t="s">
        <v>410</v>
      </c>
      <c r="G35" s="41">
        <v>1.1599999999999999</v>
      </c>
      <c r="H35" s="131"/>
      <c r="I35" s="35">
        <v>18.559999999999999</v>
      </c>
      <c r="J35" s="200">
        <f t="shared" si="4"/>
        <v>0</v>
      </c>
      <c r="K35" s="223">
        <v>0</v>
      </c>
      <c r="L35" s="212"/>
      <c r="M35" s="35">
        <v>0</v>
      </c>
      <c r="N35" s="200">
        <f t="shared" si="5"/>
        <v>0</v>
      </c>
      <c r="O35" s="35">
        <v>18.559999999999999</v>
      </c>
      <c r="P35" s="200">
        <f t="shared" si="6"/>
        <v>0</v>
      </c>
      <c r="Q35" s="35">
        <v>11878.4</v>
      </c>
      <c r="R35" s="200">
        <f t="shared" si="7"/>
        <v>0</v>
      </c>
    </row>
    <row r="36" spans="1:18" x14ac:dyDescent="0.2">
      <c r="A36" s="25"/>
      <c r="B36" s="25" t="s">
        <v>458</v>
      </c>
      <c r="C36" s="25" t="s">
        <v>443</v>
      </c>
      <c r="D36" s="25">
        <v>2</v>
      </c>
      <c r="E36" s="130"/>
      <c r="F36" s="224" t="s">
        <v>410</v>
      </c>
      <c r="G36" s="41">
        <v>1.74875</v>
      </c>
      <c r="H36" s="131"/>
      <c r="I36" s="35">
        <v>3.4975000000000001</v>
      </c>
      <c r="J36" s="200">
        <f t="shared" si="4"/>
        <v>0</v>
      </c>
      <c r="K36" s="223">
        <v>0</v>
      </c>
      <c r="L36" s="212"/>
      <c r="M36" s="35">
        <v>0</v>
      </c>
      <c r="N36" s="200">
        <f t="shared" si="5"/>
        <v>0</v>
      </c>
      <c r="O36" s="35">
        <v>3.4975000000000001</v>
      </c>
      <c r="P36" s="200">
        <f t="shared" si="6"/>
        <v>0</v>
      </c>
      <c r="Q36" s="35">
        <v>2238.4</v>
      </c>
      <c r="R36" s="200">
        <f t="shared" si="7"/>
        <v>0</v>
      </c>
    </row>
    <row r="37" spans="1:18" x14ac:dyDescent="0.2">
      <c r="A37" s="25"/>
      <c r="B37" s="25" t="s">
        <v>27</v>
      </c>
      <c r="C37" s="25"/>
      <c r="D37" s="25"/>
      <c r="E37" s="25"/>
      <c r="F37" s="25"/>
      <c r="G37" s="25"/>
      <c r="H37" s="25"/>
      <c r="I37" s="25"/>
      <c r="J37" s="25"/>
      <c r="K37" s="223"/>
      <c r="L37" s="25"/>
      <c r="M37" s="25"/>
      <c r="N37" s="25"/>
      <c r="O37" s="25"/>
      <c r="P37" s="25"/>
      <c r="Q37" s="25"/>
      <c r="R37" s="25"/>
    </row>
    <row r="38" spans="1:18" x14ac:dyDescent="0.2">
      <c r="A38" s="25"/>
      <c r="B38" s="25" t="s">
        <v>458</v>
      </c>
      <c r="C38" s="25" t="s">
        <v>394</v>
      </c>
      <c r="D38" s="25">
        <v>1</v>
      </c>
      <c r="E38" s="130"/>
      <c r="F38" s="224" t="s">
        <v>42</v>
      </c>
      <c r="G38" s="41">
        <v>15</v>
      </c>
      <c r="H38" s="131"/>
      <c r="I38" s="35">
        <v>15</v>
      </c>
      <c r="J38" s="200">
        <f t="shared" si="4"/>
        <v>0</v>
      </c>
      <c r="K38" s="223">
        <v>0</v>
      </c>
      <c r="L38" s="212"/>
      <c r="M38" s="35">
        <v>0</v>
      </c>
      <c r="N38" s="200">
        <f t="shared" si="5"/>
        <v>0</v>
      </c>
      <c r="O38" s="35">
        <v>15</v>
      </c>
      <c r="P38" s="200">
        <f t="shared" si="6"/>
        <v>0</v>
      </c>
      <c r="Q38" s="35">
        <v>9600</v>
      </c>
      <c r="R38" s="200">
        <f t="shared" si="7"/>
        <v>0</v>
      </c>
    </row>
    <row r="39" spans="1:18" x14ac:dyDescent="0.2">
      <c r="A39" s="25"/>
      <c r="B39" s="25" t="s">
        <v>1</v>
      </c>
      <c r="C39" s="25"/>
      <c r="D39" s="25"/>
      <c r="E39" s="25"/>
      <c r="F39" s="25"/>
      <c r="G39" s="25"/>
      <c r="H39" s="25"/>
      <c r="I39" s="25"/>
      <c r="J39" s="25"/>
      <c r="K39" s="223"/>
      <c r="L39" s="25"/>
      <c r="M39" s="25"/>
      <c r="N39" s="25"/>
      <c r="O39" s="25"/>
      <c r="P39" s="25"/>
      <c r="Q39" s="25"/>
      <c r="R39" s="25"/>
    </row>
    <row r="40" spans="1:18" x14ac:dyDescent="0.2">
      <c r="A40" s="25"/>
      <c r="B40" s="25" t="s">
        <v>458</v>
      </c>
      <c r="C40" s="25" t="s">
        <v>368</v>
      </c>
      <c r="D40" s="25">
        <v>11.5</v>
      </c>
      <c r="E40" s="130"/>
      <c r="F40" s="224" t="s">
        <v>82</v>
      </c>
      <c r="G40" s="41">
        <v>8</v>
      </c>
      <c r="H40" s="131"/>
      <c r="I40" s="35">
        <v>92</v>
      </c>
      <c r="J40" s="200">
        <f t="shared" si="4"/>
        <v>0</v>
      </c>
      <c r="K40" s="223">
        <v>0</v>
      </c>
      <c r="L40" s="212"/>
      <c r="M40" s="35">
        <v>0</v>
      </c>
      <c r="N40" s="200">
        <f t="shared" si="5"/>
        <v>0</v>
      </c>
      <c r="O40" s="35">
        <v>92</v>
      </c>
      <c r="P40" s="200">
        <f t="shared" si="6"/>
        <v>0</v>
      </c>
      <c r="Q40" s="35">
        <v>58880</v>
      </c>
      <c r="R40" s="200">
        <f t="shared" si="7"/>
        <v>0</v>
      </c>
    </row>
    <row r="41" spans="1:18" x14ac:dyDescent="0.2">
      <c r="A41" s="25"/>
      <c r="B41" s="131"/>
      <c r="C41" s="131"/>
      <c r="D41" s="25">
        <v>0</v>
      </c>
      <c r="E41" s="130"/>
      <c r="F41" s="224"/>
      <c r="G41" s="41">
        <v>0</v>
      </c>
      <c r="H41" s="131"/>
      <c r="I41" s="35">
        <v>0</v>
      </c>
      <c r="J41" s="200">
        <f t="shared" si="4"/>
        <v>0</v>
      </c>
      <c r="K41" s="223">
        <v>0</v>
      </c>
      <c r="L41" s="212"/>
      <c r="M41" s="35">
        <v>0</v>
      </c>
      <c r="N41" s="200">
        <f t="shared" si="5"/>
        <v>0</v>
      </c>
      <c r="O41" s="35">
        <v>0</v>
      </c>
      <c r="P41" s="200">
        <f t="shared" si="6"/>
        <v>0</v>
      </c>
      <c r="Q41" s="35">
        <v>0</v>
      </c>
      <c r="R41" s="200">
        <f t="shared" si="7"/>
        <v>0</v>
      </c>
    </row>
    <row r="42" spans="1:18" x14ac:dyDescent="0.2">
      <c r="A42" s="25"/>
      <c r="B42" s="131"/>
      <c r="C42" s="131"/>
      <c r="D42" s="25">
        <v>0</v>
      </c>
      <c r="E42" s="130"/>
      <c r="F42" s="224"/>
      <c r="G42" s="41">
        <v>0</v>
      </c>
      <c r="H42" s="131"/>
      <c r="I42" s="35">
        <v>0</v>
      </c>
      <c r="J42" s="200">
        <f t="shared" si="4"/>
        <v>0</v>
      </c>
      <c r="K42" s="223">
        <v>0</v>
      </c>
      <c r="L42" s="212"/>
      <c r="M42" s="35">
        <v>0</v>
      </c>
      <c r="N42" s="200">
        <f t="shared" si="5"/>
        <v>0</v>
      </c>
      <c r="O42" s="35">
        <v>0</v>
      </c>
      <c r="P42" s="200">
        <f t="shared" si="6"/>
        <v>0</v>
      </c>
      <c r="Q42" s="35">
        <v>0</v>
      </c>
      <c r="R42" s="200">
        <f t="shared" si="7"/>
        <v>0</v>
      </c>
    </row>
    <row r="43" spans="1:18" x14ac:dyDescent="0.2">
      <c r="A43" s="25"/>
      <c r="B43" s="131"/>
      <c r="C43" s="131"/>
      <c r="D43" s="25">
        <v>0</v>
      </c>
      <c r="E43" s="130"/>
      <c r="F43" s="224"/>
      <c r="G43" s="41">
        <v>0</v>
      </c>
      <c r="H43" s="131"/>
      <c r="I43" s="35">
        <v>0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0</v>
      </c>
      <c r="P43" s="200">
        <f>+J43-N43</f>
        <v>0</v>
      </c>
      <c r="Q43" s="35">
        <v>0</v>
      </c>
      <c r="R43" s="200">
        <f>+J43*E$7</f>
        <v>0</v>
      </c>
    </row>
    <row r="44" spans="1:18" x14ac:dyDescent="0.2">
      <c r="A44" s="25"/>
      <c r="B44" s="25" t="s">
        <v>45</v>
      </c>
      <c r="C44" s="25"/>
      <c r="D44" s="25"/>
      <c r="E44" s="207"/>
      <c r="F44" s="21"/>
      <c r="G44" s="41"/>
      <c r="H44" s="196"/>
      <c r="I44" s="184"/>
      <c r="J44" s="182"/>
      <c r="K44" s="223"/>
      <c r="L44" s="196"/>
      <c r="M44" s="35"/>
      <c r="N44" s="182"/>
      <c r="O44" s="35"/>
      <c r="P44" s="182"/>
      <c r="Q44" s="35"/>
      <c r="R44" s="182"/>
    </row>
    <row r="45" spans="1:18" x14ac:dyDescent="0.2">
      <c r="A45" s="25"/>
      <c r="B45" s="25"/>
      <c r="C45" s="25" t="s">
        <v>146</v>
      </c>
      <c r="D45" s="34">
        <v>11.8</v>
      </c>
      <c r="E45" s="130"/>
      <c r="F45" s="224" t="s">
        <v>142</v>
      </c>
      <c r="G45" s="41">
        <v>6.75</v>
      </c>
      <c r="H45" s="131"/>
      <c r="I45" s="35">
        <v>79.650000000000006</v>
      </c>
      <c r="J45" s="200">
        <f t="shared" ref="J45:J46" si="8">E45*H45</f>
        <v>0</v>
      </c>
      <c r="K45" s="223">
        <v>0</v>
      </c>
      <c r="L45" s="212"/>
      <c r="M45" s="35">
        <v>0</v>
      </c>
      <c r="N45" s="200">
        <f t="shared" ref="N45:N46" si="9">J45*L45</f>
        <v>0</v>
      </c>
      <c r="O45" s="35">
        <v>79.650000000000006</v>
      </c>
      <c r="P45" s="200">
        <f t="shared" ref="P45:P46" si="10">+J45-N45</f>
        <v>0</v>
      </c>
      <c r="Q45" s="35">
        <v>50976</v>
      </c>
      <c r="R45" s="200">
        <f t="shared" ref="R45:R46" si="11">+J45*E$7</f>
        <v>0</v>
      </c>
    </row>
    <row r="46" spans="1:18" x14ac:dyDescent="0.2">
      <c r="A46" s="25"/>
      <c r="B46" s="25"/>
      <c r="C46" s="25" t="s">
        <v>136</v>
      </c>
      <c r="D46" s="34">
        <v>0.96</v>
      </c>
      <c r="E46" s="130"/>
      <c r="F46" s="224" t="s">
        <v>44</v>
      </c>
      <c r="G46" s="41">
        <v>15</v>
      </c>
      <c r="H46" s="131"/>
      <c r="I46" s="35">
        <v>14.399999999999999</v>
      </c>
      <c r="J46" s="200">
        <f t="shared" si="8"/>
        <v>0</v>
      </c>
      <c r="K46" s="223">
        <v>0</v>
      </c>
      <c r="L46" s="212"/>
      <c r="M46" s="35">
        <v>0</v>
      </c>
      <c r="N46" s="200">
        <f t="shared" si="9"/>
        <v>0</v>
      </c>
      <c r="O46" s="35">
        <v>14.399999999999999</v>
      </c>
      <c r="P46" s="200">
        <f t="shared" si="10"/>
        <v>0</v>
      </c>
      <c r="Q46" s="35">
        <v>9216</v>
      </c>
      <c r="R46" s="200">
        <f t="shared" si="11"/>
        <v>0</v>
      </c>
    </row>
    <row r="47" spans="1:18" x14ac:dyDescent="0.2">
      <c r="A47" s="25"/>
      <c r="B47" s="25" t="s">
        <v>106</v>
      </c>
      <c r="C47" s="25"/>
      <c r="D47" s="25"/>
      <c r="E47" s="104"/>
      <c r="H47" s="104"/>
      <c r="I47" s="121"/>
      <c r="J47" s="104"/>
      <c r="K47" s="223"/>
      <c r="L47" s="104"/>
      <c r="N47" s="104"/>
      <c r="P47" s="104"/>
      <c r="R47" s="104"/>
    </row>
    <row r="48" spans="1:18" x14ac:dyDescent="0.2">
      <c r="A48" s="25"/>
      <c r="B48" s="25"/>
      <c r="C48" s="25" t="s">
        <v>103</v>
      </c>
      <c r="D48" s="25">
        <v>0.26</v>
      </c>
      <c r="E48" s="130"/>
      <c r="F48" s="224" t="s">
        <v>44</v>
      </c>
      <c r="G48" s="41">
        <v>15</v>
      </c>
      <c r="H48" s="131"/>
      <c r="I48" s="35">
        <v>3.9000000000000004</v>
      </c>
      <c r="J48" s="200">
        <f>E48*H48</f>
        <v>0</v>
      </c>
      <c r="K48" s="223">
        <v>0</v>
      </c>
      <c r="L48" s="212"/>
      <c r="M48" s="35">
        <v>0</v>
      </c>
      <c r="N48" s="200">
        <f>J48*L48</f>
        <v>0</v>
      </c>
      <c r="O48" s="35">
        <v>3.9000000000000004</v>
      </c>
      <c r="P48" s="200">
        <f>+J48-N48</f>
        <v>0</v>
      </c>
      <c r="Q48" s="35">
        <v>2496</v>
      </c>
      <c r="R48" s="200">
        <f>+J48*E$7</f>
        <v>0</v>
      </c>
    </row>
    <row r="49" spans="1:18" x14ac:dyDescent="0.2">
      <c r="A49" s="25"/>
      <c r="B49" s="25"/>
      <c r="C49" s="25" t="s">
        <v>105</v>
      </c>
      <c r="D49" s="25">
        <v>0.31</v>
      </c>
      <c r="E49" s="130"/>
      <c r="F49" s="224" t="s">
        <v>44</v>
      </c>
      <c r="G49" s="41">
        <v>15</v>
      </c>
      <c r="H49" s="131"/>
      <c r="I49" s="35">
        <v>4.6500000000000004</v>
      </c>
      <c r="J49" s="200">
        <f>E49*H49</f>
        <v>0</v>
      </c>
      <c r="K49" s="223">
        <v>0</v>
      </c>
      <c r="L49" s="212"/>
      <c r="M49" s="35">
        <v>0</v>
      </c>
      <c r="N49" s="200">
        <f>J49*L49</f>
        <v>0</v>
      </c>
      <c r="O49" s="35">
        <v>4.6500000000000004</v>
      </c>
      <c r="P49" s="200">
        <f>+J49-N49</f>
        <v>0</v>
      </c>
      <c r="Q49" s="35">
        <v>2976</v>
      </c>
      <c r="R49" s="200">
        <f>+J49*E$7</f>
        <v>0</v>
      </c>
    </row>
    <row r="50" spans="1:18" x14ac:dyDescent="0.2">
      <c r="A50" s="25"/>
      <c r="B50" s="25"/>
      <c r="C50" s="25"/>
      <c r="D50" s="25"/>
      <c r="E50" s="207"/>
      <c r="F50" s="21"/>
      <c r="G50" s="41"/>
      <c r="H50" s="196"/>
      <c r="I50" s="35"/>
      <c r="J50" s="182"/>
      <c r="K50" s="223"/>
      <c r="L50" s="196"/>
      <c r="M50" s="35"/>
      <c r="N50" s="182"/>
      <c r="O50" s="35"/>
      <c r="P50" s="182"/>
      <c r="Q50" s="35"/>
      <c r="R50" s="182"/>
    </row>
    <row r="51" spans="1:18" x14ac:dyDescent="0.2">
      <c r="A51" s="25"/>
      <c r="B51" s="25" t="s">
        <v>51</v>
      </c>
      <c r="C51" s="25"/>
      <c r="D51" s="25"/>
      <c r="E51" s="207"/>
      <c r="F51" s="21"/>
      <c r="G51" s="41"/>
      <c r="H51" s="196"/>
      <c r="I51" s="184"/>
      <c r="J51" s="182"/>
      <c r="K51" s="223"/>
      <c r="L51" s="196"/>
      <c r="M51" s="35"/>
      <c r="N51" s="182"/>
      <c r="O51" s="35"/>
      <c r="P51" s="182"/>
      <c r="Q51" s="35"/>
      <c r="R51" s="182"/>
    </row>
    <row r="52" spans="1:18" x14ac:dyDescent="0.2">
      <c r="A52" s="25"/>
      <c r="B52" s="25"/>
      <c r="C52" s="25" t="s">
        <v>102</v>
      </c>
      <c r="D52" s="25">
        <v>1</v>
      </c>
      <c r="E52" s="130"/>
      <c r="F52" s="224" t="s">
        <v>42</v>
      </c>
      <c r="G52" s="41">
        <v>0</v>
      </c>
      <c r="H52" s="131"/>
      <c r="I52" s="35">
        <v>0</v>
      </c>
      <c r="J52" s="200">
        <f>E52*H52</f>
        <v>0</v>
      </c>
      <c r="K52" s="223">
        <v>0</v>
      </c>
      <c r="L52" s="212"/>
      <c r="M52" s="35">
        <v>0</v>
      </c>
      <c r="N52" s="200">
        <f>J52*L52</f>
        <v>0</v>
      </c>
      <c r="O52" s="35">
        <v>0</v>
      </c>
      <c r="P52" s="200">
        <f>+J52-N52</f>
        <v>0</v>
      </c>
      <c r="Q52" s="35">
        <v>0</v>
      </c>
      <c r="R52" s="200">
        <f>+J52*E$7</f>
        <v>0</v>
      </c>
    </row>
    <row r="53" spans="1:18" x14ac:dyDescent="0.2">
      <c r="A53" s="25"/>
      <c r="B53" s="25"/>
      <c r="C53" s="25" t="s">
        <v>103</v>
      </c>
      <c r="D53" s="25">
        <v>3.14</v>
      </c>
      <c r="E53" s="130"/>
      <c r="F53" s="224" t="s">
        <v>79</v>
      </c>
      <c r="G53" s="41">
        <v>3.0190000000000001</v>
      </c>
      <c r="H53" s="131"/>
      <c r="I53" s="35">
        <v>9.4796600000000009</v>
      </c>
      <c r="J53" s="200">
        <f>E53*H53</f>
        <v>0</v>
      </c>
      <c r="K53" s="223">
        <v>0</v>
      </c>
      <c r="L53" s="212"/>
      <c r="M53" s="35">
        <v>0</v>
      </c>
      <c r="N53" s="200">
        <f>J53*L53</f>
        <v>0</v>
      </c>
      <c r="O53" s="35">
        <v>9.4796600000000009</v>
      </c>
      <c r="P53" s="200">
        <f>+J53-N53</f>
        <v>0</v>
      </c>
      <c r="Q53" s="35">
        <v>6066.9824000000008</v>
      </c>
      <c r="R53" s="200">
        <f>+J53*E$7</f>
        <v>0</v>
      </c>
    </row>
    <row r="54" spans="1:18" x14ac:dyDescent="0.2">
      <c r="A54" s="25"/>
      <c r="B54" s="25"/>
      <c r="C54" s="25"/>
      <c r="D54" s="25"/>
      <c r="E54" s="207"/>
      <c r="F54" s="21"/>
      <c r="G54" s="41"/>
      <c r="H54" s="196"/>
      <c r="I54" s="35"/>
      <c r="J54" s="182"/>
      <c r="K54" s="223"/>
      <c r="L54" s="196"/>
      <c r="M54" s="35"/>
      <c r="N54" s="182"/>
      <c r="O54" s="35"/>
      <c r="P54" s="182"/>
      <c r="Q54" s="35"/>
      <c r="R54" s="182"/>
    </row>
    <row r="55" spans="1:18" x14ac:dyDescent="0.2">
      <c r="A55" s="25"/>
      <c r="B55" s="25" t="s">
        <v>29</v>
      </c>
      <c r="C55" s="25"/>
      <c r="D55" s="25"/>
      <c r="E55" s="207"/>
      <c r="F55" s="21"/>
      <c r="G55" s="41"/>
      <c r="H55" s="196"/>
      <c r="I55" s="184"/>
      <c r="J55" s="182"/>
      <c r="K55" s="223"/>
      <c r="L55" s="196"/>
      <c r="M55" s="35"/>
      <c r="N55" s="182"/>
      <c r="O55" s="35"/>
      <c r="P55" s="182"/>
      <c r="Q55" s="35"/>
      <c r="R55" s="182"/>
    </row>
    <row r="56" spans="1:18" x14ac:dyDescent="0.2">
      <c r="A56" s="25"/>
      <c r="B56" s="25"/>
      <c r="C56" s="25" t="s">
        <v>102</v>
      </c>
      <c r="D56" s="25">
        <v>1</v>
      </c>
      <c r="E56" s="130"/>
      <c r="F56" s="224" t="s">
        <v>42</v>
      </c>
      <c r="G56" s="41">
        <v>1.0546875</v>
      </c>
      <c r="H56" s="131"/>
      <c r="I56" s="35">
        <v>1.0546875</v>
      </c>
      <c r="J56" s="200">
        <f>E56*H56</f>
        <v>0</v>
      </c>
      <c r="K56" s="223">
        <v>0</v>
      </c>
      <c r="L56" s="212"/>
      <c r="M56" s="35">
        <v>0</v>
      </c>
      <c r="N56" s="200">
        <f>J56*L56</f>
        <v>0</v>
      </c>
      <c r="O56" s="35">
        <v>1.0546875</v>
      </c>
      <c r="P56" s="200">
        <f>+J56-N56</f>
        <v>0</v>
      </c>
      <c r="Q56" s="35">
        <v>675</v>
      </c>
      <c r="R56" s="200">
        <f>+J56*E$7</f>
        <v>0</v>
      </c>
    </row>
    <row r="57" spans="1:18" x14ac:dyDescent="0.2">
      <c r="A57" s="25"/>
      <c r="B57" s="25"/>
      <c r="C57" s="25" t="s">
        <v>103</v>
      </c>
      <c r="D57" s="25">
        <v>0</v>
      </c>
      <c r="E57" s="130"/>
      <c r="F57" s="224" t="s">
        <v>79</v>
      </c>
      <c r="G57" s="41">
        <v>3.09</v>
      </c>
      <c r="H57" s="131"/>
      <c r="I57" s="35">
        <v>0</v>
      </c>
      <c r="J57" s="200">
        <f>E57*H57</f>
        <v>0</v>
      </c>
      <c r="K57" s="223">
        <v>0</v>
      </c>
      <c r="L57" s="212"/>
      <c r="M57" s="35">
        <v>0</v>
      </c>
      <c r="N57" s="200">
        <f>J57*L57</f>
        <v>0</v>
      </c>
      <c r="O57" s="35">
        <v>0</v>
      </c>
      <c r="P57" s="200">
        <f>+J57-N57</f>
        <v>0</v>
      </c>
      <c r="Q57" s="35">
        <v>0</v>
      </c>
      <c r="R57" s="200">
        <f>+J57*E$7</f>
        <v>0</v>
      </c>
    </row>
    <row r="58" spans="1:18" x14ac:dyDescent="0.2">
      <c r="A58" s="25"/>
      <c r="B58" s="25"/>
      <c r="C58" s="25"/>
      <c r="D58" s="25"/>
      <c r="E58" s="207"/>
      <c r="F58" s="21"/>
      <c r="G58" s="41"/>
      <c r="H58" s="196"/>
      <c r="I58" s="35"/>
      <c r="J58" s="182"/>
      <c r="K58" s="223"/>
      <c r="L58" s="196"/>
      <c r="M58" s="35"/>
      <c r="N58" s="182"/>
      <c r="O58" s="35"/>
      <c r="P58" s="182"/>
      <c r="Q58" s="35"/>
      <c r="R58" s="182"/>
    </row>
    <row r="59" spans="1:18" x14ac:dyDescent="0.2">
      <c r="A59" s="25"/>
      <c r="B59" s="25" t="s">
        <v>47</v>
      </c>
      <c r="C59" s="25"/>
      <c r="D59" s="25"/>
      <c r="E59" s="207"/>
      <c r="F59" s="21"/>
      <c r="G59" s="41"/>
      <c r="H59" s="197"/>
      <c r="I59" s="184"/>
      <c r="J59" s="182"/>
      <c r="K59" s="223"/>
      <c r="L59" s="197"/>
      <c r="M59" s="35"/>
      <c r="N59" s="182"/>
      <c r="O59" s="35"/>
      <c r="P59" s="182"/>
      <c r="Q59" s="35"/>
      <c r="R59" s="182"/>
    </row>
    <row r="60" spans="1:18" x14ac:dyDescent="0.2">
      <c r="A60" s="25"/>
      <c r="B60" s="25"/>
      <c r="C60" s="25" t="s">
        <v>102</v>
      </c>
      <c r="D60" s="25">
        <v>1</v>
      </c>
      <c r="E60" s="130"/>
      <c r="F60" s="224" t="s">
        <v>42</v>
      </c>
      <c r="G60" s="41">
        <v>0.3515625</v>
      </c>
      <c r="H60" s="131"/>
      <c r="I60" s="35">
        <v>0.3515625</v>
      </c>
      <c r="J60" s="200">
        <f t="shared" ref="J60:J65" si="12">E60*H60</f>
        <v>0</v>
      </c>
      <c r="K60" s="223">
        <v>0</v>
      </c>
      <c r="L60" s="212"/>
      <c r="M60" s="35">
        <v>0</v>
      </c>
      <c r="N60" s="200">
        <f t="shared" ref="N60:N65" si="13">J60*L60</f>
        <v>0</v>
      </c>
      <c r="O60" s="35">
        <v>0.3515625</v>
      </c>
      <c r="P60" s="200">
        <f t="shared" ref="P60:P65" si="14">+J60-N60</f>
        <v>0</v>
      </c>
      <c r="Q60" s="35">
        <v>225</v>
      </c>
      <c r="R60" s="200">
        <f t="shared" ref="R60:R65" si="15">+J60*E$7</f>
        <v>0</v>
      </c>
    </row>
    <row r="61" spans="1:18" x14ac:dyDescent="0.2">
      <c r="A61" s="25"/>
      <c r="B61" s="25"/>
      <c r="C61" s="25" t="s">
        <v>46</v>
      </c>
      <c r="D61" s="25">
        <v>1</v>
      </c>
      <c r="E61" s="130"/>
      <c r="F61" s="224" t="s">
        <v>42</v>
      </c>
      <c r="G61" s="41">
        <v>13.113339999999999</v>
      </c>
      <c r="H61" s="131"/>
      <c r="I61" s="35">
        <v>13.113339999999999</v>
      </c>
      <c r="J61" s="200">
        <f t="shared" si="12"/>
        <v>0</v>
      </c>
      <c r="K61" s="223">
        <v>0</v>
      </c>
      <c r="L61" s="212"/>
      <c r="M61" s="35">
        <v>0</v>
      </c>
      <c r="N61" s="200">
        <f t="shared" si="13"/>
        <v>0</v>
      </c>
      <c r="O61" s="35">
        <v>13.113339999999999</v>
      </c>
      <c r="P61" s="200">
        <f t="shared" si="14"/>
        <v>0</v>
      </c>
      <c r="Q61" s="35">
        <v>8392.5375999999997</v>
      </c>
      <c r="R61" s="200">
        <f t="shared" si="15"/>
        <v>0</v>
      </c>
    </row>
    <row r="62" spans="1:18" x14ac:dyDescent="0.2">
      <c r="A62" s="25"/>
      <c r="B62" s="25"/>
      <c r="C62" s="25" t="s">
        <v>103</v>
      </c>
      <c r="D62" s="25">
        <v>1</v>
      </c>
      <c r="E62" s="130"/>
      <c r="F62" s="224" t="s">
        <v>42</v>
      </c>
      <c r="G62" s="41">
        <v>8.5749458751673977</v>
      </c>
      <c r="H62" s="131"/>
      <c r="I62" s="35">
        <v>8.5749458751673977</v>
      </c>
      <c r="J62" s="200">
        <f t="shared" si="12"/>
        <v>0</v>
      </c>
      <c r="K62" s="223">
        <v>0</v>
      </c>
      <c r="L62" s="212"/>
      <c r="M62" s="35">
        <v>0</v>
      </c>
      <c r="N62" s="200">
        <f t="shared" si="13"/>
        <v>0</v>
      </c>
      <c r="O62" s="35">
        <v>8.5749458751673977</v>
      </c>
      <c r="P62" s="200">
        <f t="shared" si="14"/>
        <v>0</v>
      </c>
      <c r="Q62" s="35">
        <v>5487.965360107135</v>
      </c>
      <c r="R62" s="200">
        <f t="shared" si="15"/>
        <v>0</v>
      </c>
    </row>
    <row r="63" spans="1:18" x14ac:dyDescent="0.2">
      <c r="A63" s="25"/>
      <c r="B63" s="25"/>
      <c r="C63" s="25" t="s">
        <v>5</v>
      </c>
      <c r="D63" s="25">
        <v>1</v>
      </c>
      <c r="E63" s="130"/>
      <c r="F63" s="224" t="s">
        <v>42</v>
      </c>
      <c r="G63" s="41">
        <v>6.8874207010582014</v>
      </c>
      <c r="H63" s="131"/>
      <c r="I63" s="35">
        <v>6.8874207010582014</v>
      </c>
      <c r="J63" s="200">
        <f t="shared" si="12"/>
        <v>0</v>
      </c>
      <c r="K63" s="223">
        <v>0</v>
      </c>
      <c r="L63" s="212"/>
      <c r="M63" s="35">
        <v>0</v>
      </c>
      <c r="N63" s="200">
        <f t="shared" si="13"/>
        <v>0</v>
      </c>
      <c r="O63" s="35">
        <v>6.8874207010582014</v>
      </c>
      <c r="P63" s="200">
        <f t="shared" si="14"/>
        <v>0</v>
      </c>
      <c r="Q63" s="35">
        <v>4407.9492486772488</v>
      </c>
      <c r="R63" s="200">
        <f t="shared" si="15"/>
        <v>0</v>
      </c>
    </row>
    <row r="64" spans="1:18" x14ac:dyDescent="0.2">
      <c r="A64" s="25"/>
      <c r="B64" s="131"/>
      <c r="C64" s="131"/>
      <c r="D64" s="25"/>
      <c r="E64" s="130"/>
      <c r="F64" s="224"/>
      <c r="G64" s="41"/>
      <c r="H64" s="131"/>
      <c r="I64" s="35">
        <v>0</v>
      </c>
      <c r="J64" s="200">
        <f t="shared" si="12"/>
        <v>0</v>
      </c>
      <c r="K64" s="223">
        <v>0</v>
      </c>
      <c r="L64" s="212"/>
      <c r="M64" s="35">
        <v>0</v>
      </c>
      <c r="N64" s="200">
        <f t="shared" si="13"/>
        <v>0</v>
      </c>
      <c r="O64" s="35">
        <v>0</v>
      </c>
      <c r="P64" s="200">
        <f t="shared" si="14"/>
        <v>0</v>
      </c>
      <c r="Q64" s="35">
        <v>0</v>
      </c>
      <c r="R64" s="200">
        <f t="shared" si="15"/>
        <v>0</v>
      </c>
    </row>
    <row r="65" spans="1:18" x14ac:dyDescent="0.2">
      <c r="A65" s="25"/>
      <c r="B65" s="131"/>
      <c r="C65" s="131"/>
      <c r="D65" s="25"/>
      <c r="E65" s="130"/>
      <c r="F65" s="224"/>
      <c r="G65" s="41"/>
      <c r="H65" s="131"/>
      <c r="I65" s="35">
        <v>0</v>
      </c>
      <c r="J65" s="200">
        <f t="shared" si="12"/>
        <v>0</v>
      </c>
      <c r="K65" s="223">
        <v>0</v>
      </c>
      <c r="L65" s="212"/>
      <c r="M65" s="35">
        <v>0</v>
      </c>
      <c r="N65" s="200">
        <f t="shared" si="13"/>
        <v>0</v>
      </c>
      <c r="O65" s="35">
        <v>0</v>
      </c>
      <c r="P65" s="200">
        <f t="shared" si="14"/>
        <v>0</v>
      </c>
      <c r="Q65" s="35">
        <v>0</v>
      </c>
      <c r="R65" s="200">
        <f t="shared" si="15"/>
        <v>0</v>
      </c>
    </row>
    <row r="66" spans="1:18" ht="13.5" thickBot="1" x14ac:dyDescent="0.25">
      <c r="A66" s="25"/>
      <c r="B66" s="25" t="s">
        <v>32</v>
      </c>
      <c r="C66" s="25"/>
      <c r="D66" s="25"/>
      <c r="E66" s="195"/>
      <c r="F66" s="21"/>
      <c r="G66" s="39">
        <v>0.09</v>
      </c>
      <c r="H66" s="213"/>
      <c r="I66" s="42">
        <v>28.33995434848951</v>
      </c>
      <c r="J66" s="200">
        <f>+SUM(J17:J65)/2*H66</f>
        <v>0</v>
      </c>
      <c r="K66" s="86"/>
      <c r="L66" s="135"/>
      <c r="M66" s="42">
        <v>0</v>
      </c>
      <c r="N66" s="200">
        <f>+SUM(N17:N65)/2*L66</f>
        <v>0</v>
      </c>
      <c r="O66" s="42">
        <v>28.33995434848951</v>
      </c>
      <c r="P66" s="200">
        <f>+SUM(P17:P65)/2*L66</f>
        <v>0</v>
      </c>
      <c r="Q66" s="42">
        <v>18137.570783033287</v>
      </c>
      <c r="R66" s="182">
        <f>+J66*E$7</f>
        <v>0</v>
      </c>
    </row>
    <row r="67" spans="1:18" ht="13.5" thickBot="1" x14ac:dyDescent="0.25">
      <c r="A67" s="25" t="s">
        <v>33</v>
      </c>
      <c r="B67" s="25"/>
      <c r="C67" s="25"/>
      <c r="D67" s="25"/>
      <c r="E67" s="198"/>
      <c r="F67" s="25"/>
      <c r="G67" s="25"/>
      <c r="H67" s="195"/>
      <c r="I67" s="87">
        <v>723.98254592471505</v>
      </c>
      <c r="J67" s="202">
        <f>SUM(J18:J66)</f>
        <v>0</v>
      </c>
      <c r="K67" s="35"/>
      <c r="L67" s="193"/>
      <c r="M67" s="87">
        <v>0</v>
      </c>
      <c r="N67" s="202">
        <f>SUM(N18:N66)</f>
        <v>0</v>
      </c>
      <c r="O67" s="87">
        <v>723.98254592471505</v>
      </c>
      <c r="P67" s="202">
        <f>SUM(P18:P66)</f>
        <v>0</v>
      </c>
      <c r="Q67" s="87">
        <v>463348.82939181768</v>
      </c>
      <c r="R67" s="202">
        <f>SUM(R18:R66)</f>
        <v>0</v>
      </c>
    </row>
    <row r="68" spans="1:18" ht="13.5" thickTop="1" x14ac:dyDescent="0.2">
      <c r="A68" s="25" t="s">
        <v>34</v>
      </c>
      <c r="B68" s="25"/>
      <c r="C68" s="25"/>
      <c r="D68" s="25"/>
      <c r="E68" s="198"/>
      <c r="F68" s="25"/>
      <c r="G68" s="25"/>
      <c r="H68" s="195"/>
      <c r="I68" s="35">
        <v>413.25745407528495</v>
      </c>
      <c r="J68" s="200">
        <f>+J13-J67</f>
        <v>0</v>
      </c>
      <c r="K68" s="35"/>
      <c r="L68" s="193"/>
      <c r="M68" s="35">
        <v>0</v>
      </c>
      <c r="N68" s="200">
        <f>+N13-N67</f>
        <v>0</v>
      </c>
      <c r="O68" s="35">
        <v>413.25745407528495</v>
      </c>
      <c r="P68" s="200">
        <f>+P13-P67</f>
        <v>0</v>
      </c>
      <c r="Q68" s="35">
        <v>264484.7706081823</v>
      </c>
      <c r="R68" s="200">
        <f>+R13-R67</f>
        <v>0</v>
      </c>
    </row>
    <row r="69" spans="1:18" x14ac:dyDescent="0.2">
      <c r="A69" s="25"/>
      <c r="B69" s="25" t="s">
        <v>35</v>
      </c>
      <c r="C69" s="25"/>
      <c r="D69" s="25"/>
      <c r="E69" s="208"/>
      <c r="F69" s="17"/>
      <c r="G69" s="40">
        <v>0.51565708399196231</v>
      </c>
      <c r="H69" s="208" t="str">
        <f>IF(E10=0,"n/a",(YVarExp-(YTotExp+YTotRet-J10))/E10)</f>
        <v>n/a</v>
      </c>
      <c r="I69" s="25" t="s">
        <v>82</v>
      </c>
      <c r="J69" s="182"/>
      <c r="K69" s="25"/>
      <c r="L69" s="195"/>
      <c r="M69" s="25"/>
      <c r="N69" s="182"/>
      <c r="O69" s="25"/>
      <c r="P69" s="182"/>
      <c r="Q69" s="25"/>
      <c r="R69" s="182"/>
    </row>
    <row r="70" spans="1:18" x14ac:dyDescent="0.2">
      <c r="A70" s="25"/>
      <c r="B70" s="25"/>
      <c r="C70" s="25"/>
      <c r="D70" s="25"/>
      <c r="E70" s="176"/>
      <c r="F70" s="25"/>
      <c r="G70" s="25"/>
      <c r="H70" s="209"/>
      <c r="I70" s="25"/>
      <c r="J70" s="182"/>
      <c r="K70" s="25"/>
      <c r="L70" s="195"/>
      <c r="M70" s="25"/>
      <c r="N70" s="182"/>
      <c r="O70" s="25"/>
      <c r="P70" s="182"/>
      <c r="Q70" s="22" t="s">
        <v>19</v>
      </c>
      <c r="R70" s="182" t="s">
        <v>19</v>
      </c>
    </row>
    <row r="71" spans="1:18" x14ac:dyDescent="0.2">
      <c r="A71" s="23" t="s">
        <v>36</v>
      </c>
      <c r="B71" s="23"/>
      <c r="C71" s="23"/>
      <c r="D71" s="24" t="s">
        <v>2</v>
      </c>
      <c r="E71" s="194" t="s">
        <v>2</v>
      </c>
      <c r="F71" s="24" t="s">
        <v>21</v>
      </c>
      <c r="G71" s="24" t="s">
        <v>22</v>
      </c>
      <c r="H71" s="194" t="s">
        <v>22</v>
      </c>
      <c r="I71" s="24" t="s">
        <v>12</v>
      </c>
      <c r="J71" s="194" t="s">
        <v>12</v>
      </c>
      <c r="K71" s="24" t="s">
        <v>11</v>
      </c>
      <c r="L71" s="194" t="s">
        <v>11</v>
      </c>
      <c r="M71" s="24" t="s">
        <v>10</v>
      </c>
      <c r="N71" s="194" t="s">
        <v>10</v>
      </c>
      <c r="O71" s="24" t="s">
        <v>9</v>
      </c>
      <c r="P71" s="194" t="s">
        <v>9</v>
      </c>
      <c r="Q71" s="24" t="s">
        <v>12</v>
      </c>
      <c r="R71" s="206" t="s">
        <v>12</v>
      </c>
    </row>
    <row r="72" spans="1:18" x14ac:dyDescent="0.2">
      <c r="A72" s="25"/>
      <c r="B72" s="25" t="s">
        <v>104</v>
      </c>
      <c r="C72" s="25"/>
      <c r="D72" s="25"/>
      <c r="E72" s="176"/>
      <c r="F72" s="25"/>
      <c r="G72" s="25"/>
      <c r="H72" s="209"/>
      <c r="I72" s="184"/>
      <c r="J72" s="182"/>
      <c r="K72" s="223"/>
      <c r="L72" s="195"/>
      <c r="M72" s="25"/>
      <c r="N72" s="182"/>
      <c r="O72" s="25"/>
      <c r="P72" s="182"/>
      <c r="Q72" s="25"/>
      <c r="R72" s="182"/>
    </row>
    <row r="73" spans="1:18" x14ac:dyDescent="0.2">
      <c r="A73" s="25"/>
      <c r="B73" s="25"/>
      <c r="C73" s="25" t="s">
        <v>102</v>
      </c>
      <c r="D73" s="25">
        <v>1</v>
      </c>
      <c r="E73" s="130"/>
      <c r="F73" s="224" t="s">
        <v>42</v>
      </c>
      <c r="G73" s="41">
        <v>0.48808593750000001</v>
      </c>
      <c r="H73" s="131"/>
      <c r="I73" s="35">
        <v>0.48808593750000001</v>
      </c>
      <c r="J73" s="200">
        <f t="shared" ref="J73:J76" si="16">E73*H73</f>
        <v>0</v>
      </c>
      <c r="K73" s="223">
        <v>0</v>
      </c>
      <c r="L73" s="212"/>
      <c r="M73" s="35">
        <v>0</v>
      </c>
      <c r="N73" s="200">
        <f>J73*L73</f>
        <v>0</v>
      </c>
      <c r="O73" s="35">
        <v>0.48808593750000001</v>
      </c>
      <c r="P73" s="200">
        <f t="shared" ref="P73:P76" si="17">+J73-N73</f>
        <v>0</v>
      </c>
      <c r="Q73" s="35">
        <v>312.375</v>
      </c>
      <c r="R73" s="200">
        <f t="shared" ref="R73:R76" si="18">+J73*E$7</f>
        <v>0</v>
      </c>
    </row>
    <row r="74" spans="1:18" x14ac:dyDescent="0.2">
      <c r="A74" s="25"/>
      <c r="B74" s="25"/>
      <c r="C74" s="25" t="s">
        <v>46</v>
      </c>
      <c r="D74" s="25">
        <v>1</v>
      </c>
      <c r="E74" s="130"/>
      <c r="F74" s="224" t="s">
        <v>42</v>
      </c>
      <c r="G74" s="41">
        <v>24.375</v>
      </c>
      <c r="H74" s="131"/>
      <c r="I74" s="35">
        <v>24.375</v>
      </c>
      <c r="J74" s="200">
        <f t="shared" si="16"/>
        <v>0</v>
      </c>
      <c r="K74" s="223">
        <v>0</v>
      </c>
      <c r="L74" s="212"/>
      <c r="M74" s="35">
        <v>0</v>
      </c>
      <c r="N74" s="200">
        <f>J74*L74</f>
        <v>0</v>
      </c>
      <c r="O74" s="35">
        <v>24.375</v>
      </c>
      <c r="P74" s="200">
        <f t="shared" si="17"/>
        <v>0</v>
      </c>
      <c r="Q74" s="35">
        <v>15600</v>
      </c>
      <c r="R74" s="200">
        <f t="shared" si="18"/>
        <v>0</v>
      </c>
    </row>
    <row r="75" spans="1:18" x14ac:dyDescent="0.2">
      <c r="A75" s="25"/>
      <c r="B75" s="25"/>
      <c r="C75" s="25" t="s">
        <v>103</v>
      </c>
      <c r="D75" s="25">
        <v>1</v>
      </c>
      <c r="E75" s="130"/>
      <c r="F75" s="224" t="s">
        <v>42</v>
      </c>
      <c r="G75" s="41">
        <v>13.330817044026498</v>
      </c>
      <c r="H75" s="131"/>
      <c r="I75" s="35">
        <v>13.330817044026498</v>
      </c>
      <c r="J75" s="200">
        <f t="shared" si="16"/>
        <v>0</v>
      </c>
      <c r="K75" s="223">
        <v>0</v>
      </c>
      <c r="L75" s="212"/>
      <c r="M75" s="35">
        <v>0</v>
      </c>
      <c r="N75" s="200">
        <f>J75*L75</f>
        <v>0</v>
      </c>
      <c r="O75" s="35">
        <v>13.330817044026498</v>
      </c>
      <c r="P75" s="200">
        <f t="shared" si="17"/>
        <v>0</v>
      </c>
      <c r="Q75" s="35">
        <v>8531.7229081769583</v>
      </c>
      <c r="R75" s="200">
        <f t="shared" si="18"/>
        <v>0</v>
      </c>
    </row>
    <row r="76" spans="1:18" x14ac:dyDescent="0.2">
      <c r="A76" s="25"/>
      <c r="B76" s="25"/>
      <c r="C76" s="25" t="s">
        <v>5</v>
      </c>
      <c r="D76" s="25">
        <v>1</v>
      </c>
      <c r="E76" s="130"/>
      <c r="F76" s="224" t="s">
        <v>42</v>
      </c>
      <c r="G76" s="41">
        <v>9.4818916666666659</v>
      </c>
      <c r="H76" s="131"/>
      <c r="I76" s="35">
        <v>9.4818916666666659</v>
      </c>
      <c r="J76" s="200">
        <f t="shared" si="16"/>
        <v>0</v>
      </c>
      <c r="K76" s="223">
        <v>0</v>
      </c>
      <c r="L76" s="212"/>
      <c r="M76" s="35">
        <v>0</v>
      </c>
      <c r="N76" s="200">
        <f>J76*L76</f>
        <v>0</v>
      </c>
      <c r="O76" s="35">
        <v>9.4818916666666659</v>
      </c>
      <c r="P76" s="200">
        <f t="shared" si="17"/>
        <v>0</v>
      </c>
      <c r="Q76" s="35">
        <v>6068.4106666666667</v>
      </c>
      <c r="R76" s="200">
        <f t="shared" si="18"/>
        <v>0</v>
      </c>
    </row>
    <row r="77" spans="1:18" x14ac:dyDescent="0.2">
      <c r="A77" s="25"/>
      <c r="B77" s="25" t="s">
        <v>88</v>
      </c>
      <c r="C77" s="25"/>
      <c r="D77" s="25"/>
      <c r="E77" s="195"/>
      <c r="F77" s="21"/>
      <c r="G77" s="41"/>
      <c r="H77" s="195"/>
      <c r="I77" s="184"/>
      <c r="J77" s="182"/>
      <c r="K77" s="223"/>
      <c r="L77" s="195"/>
      <c r="M77" s="35"/>
      <c r="N77" s="182"/>
      <c r="O77" s="35"/>
      <c r="P77" s="182"/>
      <c r="Q77" s="35"/>
      <c r="R77" s="182"/>
    </row>
    <row r="78" spans="1:18" x14ac:dyDescent="0.2">
      <c r="A78" s="25"/>
      <c r="B78" s="25"/>
      <c r="C78" s="25" t="s">
        <v>102</v>
      </c>
      <c r="D78" s="41">
        <v>3.4189453125</v>
      </c>
      <c r="E78" s="130"/>
      <c r="F78" s="224" t="s">
        <v>99</v>
      </c>
      <c r="G78" s="39">
        <v>0.08</v>
      </c>
      <c r="H78" s="213"/>
      <c r="I78" s="35">
        <v>0.27351562499999998</v>
      </c>
      <c r="J78" s="200">
        <f t="shared" ref="J78:J88" si="19">E78*H78</f>
        <v>0</v>
      </c>
      <c r="K78" s="223">
        <v>0</v>
      </c>
      <c r="L78" s="212"/>
      <c r="M78" s="35">
        <v>0</v>
      </c>
      <c r="N78" s="200">
        <f>J78*L78</f>
        <v>0</v>
      </c>
      <c r="O78" s="35">
        <v>0.27351562499999998</v>
      </c>
      <c r="P78" s="200">
        <f t="shared" ref="P78:P81" si="20">+J78-N78</f>
        <v>0</v>
      </c>
      <c r="Q78" s="35">
        <v>175.04999999999998</v>
      </c>
      <c r="R78" s="200">
        <f t="shared" ref="R78:R81" si="21">+J78*E$7</f>
        <v>0</v>
      </c>
    </row>
    <row r="79" spans="1:18" x14ac:dyDescent="0.2">
      <c r="A79" s="25"/>
      <c r="B79" s="25"/>
      <c r="C79" s="25" t="s">
        <v>46</v>
      </c>
      <c r="D79" s="41">
        <v>710.9375</v>
      </c>
      <c r="E79" s="130"/>
      <c r="F79" s="224" t="s">
        <v>99</v>
      </c>
      <c r="G79" s="39">
        <v>0.08</v>
      </c>
      <c r="H79" s="213"/>
      <c r="I79" s="35">
        <v>56.875</v>
      </c>
      <c r="J79" s="200">
        <f t="shared" si="19"/>
        <v>0</v>
      </c>
      <c r="K79" s="223">
        <v>0</v>
      </c>
      <c r="L79" s="212"/>
      <c r="M79" s="35">
        <v>0</v>
      </c>
      <c r="N79" s="200">
        <f>J79*L79</f>
        <v>0</v>
      </c>
      <c r="O79" s="35">
        <v>56.875</v>
      </c>
      <c r="P79" s="200">
        <f t="shared" si="20"/>
        <v>0</v>
      </c>
      <c r="Q79" s="35">
        <v>36400</v>
      </c>
      <c r="R79" s="200">
        <f t="shared" si="21"/>
        <v>0</v>
      </c>
    </row>
    <row r="80" spans="1:18" x14ac:dyDescent="0.2">
      <c r="A80" s="25"/>
      <c r="B80" s="25"/>
      <c r="C80" s="25" t="s">
        <v>103</v>
      </c>
      <c r="D80" s="41">
        <v>101.77443037115216</v>
      </c>
      <c r="E80" s="130"/>
      <c r="F80" s="224" t="s">
        <v>99</v>
      </c>
      <c r="G80" s="39">
        <v>0.08</v>
      </c>
      <c r="H80" s="213"/>
      <c r="I80" s="35">
        <v>8.1419544296921735</v>
      </c>
      <c r="J80" s="200">
        <f t="shared" si="19"/>
        <v>0</v>
      </c>
      <c r="K80" s="223">
        <v>0</v>
      </c>
      <c r="L80" s="212"/>
      <c r="M80" s="35">
        <v>0</v>
      </c>
      <c r="N80" s="200">
        <f>J80*L80</f>
        <v>0</v>
      </c>
      <c r="O80" s="35">
        <v>8.1419544296921735</v>
      </c>
      <c r="P80" s="200">
        <f t="shared" si="20"/>
        <v>0</v>
      </c>
      <c r="Q80" s="35">
        <v>5210.8508350029915</v>
      </c>
      <c r="R80" s="200">
        <f t="shared" si="21"/>
        <v>0</v>
      </c>
    </row>
    <row r="81" spans="1:18" x14ac:dyDescent="0.2">
      <c r="A81" s="25"/>
      <c r="B81" s="25"/>
      <c r="C81" s="25" t="s">
        <v>5</v>
      </c>
      <c r="D81" s="41">
        <v>40.561425462962973</v>
      </c>
      <c r="E81" s="130"/>
      <c r="F81" s="224" t="s">
        <v>99</v>
      </c>
      <c r="G81" s="39">
        <v>0.08</v>
      </c>
      <c r="H81" s="213"/>
      <c r="I81" s="35">
        <v>3.244914037037038</v>
      </c>
      <c r="J81" s="200">
        <f t="shared" si="19"/>
        <v>0</v>
      </c>
      <c r="K81" s="223">
        <v>0</v>
      </c>
      <c r="L81" s="212"/>
      <c r="M81" s="35">
        <v>0</v>
      </c>
      <c r="N81" s="200">
        <f>J81*L81</f>
        <v>0</v>
      </c>
      <c r="O81" s="35">
        <v>3.244914037037038</v>
      </c>
      <c r="P81" s="200">
        <f t="shared" si="20"/>
        <v>0</v>
      </c>
      <c r="Q81" s="35">
        <v>2076.7449837037043</v>
      </c>
      <c r="R81" s="200">
        <f t="shared" si="21"/>
        <v>0</v>
      </c>
    </row>
    <row r="82" spans="1:18" x14ac:dyDescent="0.2">
      <c r="A82" s="25"/>
      <c r="B82" s="25" t="s">
        <v>156</v>
      </c>
      <c r="C82" s="25"/>
      <c r="D82" s="25">
        <v>1</v>
      </c>
      <c r="E82" s="130"/>
      <c r="F82" s="224" t="s">
        <v>42</v>
      </c>
      <c r="G82" s="41">
        <v>0</v>
      </c>
      <c r="H82" s="131"/>
      <c r="I82" s="35">
        <v>0</v>
      </c>
      <c r="J82" s="200">
        <f t="shared" si="19"/>
        <v>0</v>
      </c>
      <c r="K82" s="223">
        <v>0</v>
      </c>
      <c r="L82" s="212"/>
      <c r="M82" s="35">
        <v>0</v>
      </c>
      <c r="N82" s="200">
        <f t="shared" ref="N82:N89" si="22">J82*L82</f>
        <v>0</v>
      </c>
      <c r="O82" s="35">
        <v>0</v>
      </c>
      <c r="P82" s="200">
        <f t="shared" ref="P82:P89" si="23">+J82-N82</f>
        <v>0</v>
      </c>
      <c r="Q82" s="35">
        <v>0</v>
      </c>
      <c r="R82" s="200">
        <f t="shared" ref="R82:R89" si="24">+J82*E$7</f>
        <v>0</v>
      </c>
    </row>
    <row r="83" spans="1:18" x14ac:dyDescent="0.2">
      <c r="A83" s="25"/>
      <c r="B83" s="25" t="s">
        <v>152</v>
      </c>
      <c r="C83" s="25"/>
      <c r="D83" s="25">
        <v>1</v>
      </c>
      <c r="E83" s="130"/>
      <c r="F83" s="224" t="s">
        <v>42</v>
      </c>
      <c r="G83" s="41">
        <v>0</v>
      </c>
      <c r="H83" s="131"/>
      <c r="I83" s="35">
        <v>0</v>
      </c>
      <c r="J83" s="200">
        <f t="shared" si="19"/>
        <v>0</v>
      </c>
      <c r="K83" s="223">
        <v>0</v>
      </c>
      <c r="L83" s="212"/>
      <c r="M83" s="35">
        <v>0</v>
      </c>
      <c r="N83" s="200">
        <f t="shared" si="22"/>
        <v>0</v>
      </c>
      <c r="O83" s="35">
        <v>0</v>
      </c>
      <c r="P83" s="200">
        <f t="shared" si="23"/>
        <v>0</v>
      </c>
      <c r="Q83" s="35">
        <v>0</v>
      </c>
      <c r="R83" s="200">
        <f t="shared" si="24"/>
        <v>0</v>
      </c>
    </row>
    <row r="84" spans="1:18" x14ac:dyDescent="0.2">
      <c r="A84" s="25"/>
      <c r="B84" s="25" t="s">
        <v>137</v>
      </c>
      <c r="C84" s="25"/>
      <c r="D84" s="25">
        <v>1</v>
      </c>
      <c r="E84" s="130"/>
      <c r="F84" s="224" t="s">
        <v>42</v>
      </c>
      <c r="G84" s="41">
        <v>0</v>
      </c>
      <c r="H84" s="131"/>
      <c r="I84" s="35">
        <v>0</v>
      </c>
      <c r="J84" s="200">
        <f t="shared" si="19"/>
        <v>0</v>
      </c>
      <c r="K84" s="223">
        <v>0</v>
      </c>
      <c r="L84" s="212"/>
      <c r="M84" s="35">
        <v>0</v>
      </c>
      <c r="N84" s="200">
        <f t="shared" si="22"/>
        <v>0</v>
      </c>
      <c r="O84" s="35">
        <v>0</v>
      </c>
      <c r="P84" s="200">
        <f t="shared" si="23"/>
        <v>0</v>
      </c>
      <c r="Q84" s="35">
        <v>0</v>
      </c>
      <c r="R84" s="200">
        <f t="shared" si="24"/>
        <v>0</v>
      </c>
    </row>
    <row r="85" spans="1:18" x14ac:dyDescent="0.2">
      <c r="A85" s="25"/>
      <c r="B85" s="25" t="s">
        <v>417</v>
      </c>
      <c r="C85" s="25"/>
      <c r="D85" s="25">
        <v>1</v>
      </c>
      <c r="E85" s="130"/>
      <c r="F85" s="224" t="s">
        <v>42</v>
      </c>
      <c r="G85" s="41">
        <v>90</v>
      </c>
      <c r="H85" s="131"/>
      <c r="I85" s="35">
        <v>90</v>
      </c>
      <c r="J85" s="200">
        <f t="shared" si="19"/>
        <v>0</v>
      </c>
      <c r="K85" s="223">
        <v>0</v>
      </c>
      <c r="L85" s="212"/>
      <c r="M85" s="35">
        <v>0</v>
      </c>
      <c r="N85" s="200">
        <f t="shared" si="22"/>
        <v>0</v>
      </c>
      <c r="O85" s="35">
        <v>90</v>
      </c>
      <c r="P85" s="200">
        <f t="shared" si="23"/>
        <v>0</v>
      </c>
      <c r="Q85" s="35">
        <v>57600</v>
      </c>
      <c r="R85" s="200">
        <f t="shared" si="24"/>
        <v>0</v>
      </c>
    </row>
    <row r="86" spans="1:18" x14ac:dyDescent="0.2">
      <c r="A86" s="25"/>
      <c r="B86" s="25" t="s">
        <v>159</v>
      </c>
      <c r="C86" s="25"/>
      <c r="D86" s="25">
        <v>1</v>
      </c>
      <c r="E86" s="130"/>
      <c r="F86" s="224" t="s">
        <v>42</v>
      </c>
      <c r="G86" s="41">
        <v>0</v>
      </c>
      <c r="H86" s="131"/>
      <c r="I86" s="35">
        <v>0</v>
      </c>
      <c r="J86" s="200">
        <f t="shared" si="19"/>
        <v>0</v>
      </c>
      <c r="K86" s="223">
        <v>0</v>
      </c>
      <c r="L86" s="212"/>
      <c r="M86" s="35">
        <v>0</v>
      </c>
      <c r="N86" s="200">
        <f t="shared" si="22"/>
        <v>0</v>
      </c>
      <c r="O86" s="35">
        <v>0</v>
      </c>
      <c r="P86" s="200">
        <f t="shared" si="23"/>
        <v>0</v>
      </c>
      <c r="Q86" s="35">
        <v>0</v>
      </c>
      <c r="R86" s="200">
        <f t="shared" si="24"/>
        <v>0</v>
      </c>
    </row>
    <row r="87" spans="1:18" x14ac:dyDescent="0.2">
      <c r="A87" s="25"/>
      <c r="B87" s="25" t="s">
        <v>160</v>
      </c>
      <c r="C87" s="25"/>
      <c r="D87" s="25">
        <v>1</v>
      </c>
      <c r="E87" s="130"/>
      <c r="F87" s="224" t="s">
        <v>42</v>
      </c>
      <c r="G87" s="41">
        <v>0</v>
      </c>
      <c r="H87" s="131"/>
      <c r="I87" s="35">
        <v>0</v>
      </c>
      <c r="J87" s="200">
        <f t="shared" si="19"/>
        <v>0</v>
      </c>
      <c r="K87" s="223">
        <v>0</v>
      </c>
      <c r="L87" s="212"/>
      <c r="M87" s="35">
        <v>0</v>
      </c>
      <c r="N87" s="200">
        <f t="shared" si="22"/>
        <v>0</v>
      </c>
      <c r="O87" s="35">
        <v>0</v>
      </c>
      <c r="P87" s="200">
        <f t="shared" si="23"/>
        <v>0</v>
      </c>
      <c r="Q87" s="35">
        <v>0</v>
      </c>
      <c r="R87" s="200">
        <f t="shared" si="24"/>
        <v>0</v>
      </c>
    </row>
    <row r="88" spans="1:18" x14ac:dyDescent="0.2">
      <c r="A88" s="25"/>
      <c r="B88" s="131"/>
      <c r="C88" s="131"/>
      <c r="D88" s="25">
        <v>1</v>
      </c>
      <c r="E88" s="130"/>
      <c r="F88" s="224"/>
      <c r="G88" s="41">
        <v>0</v>
      </c>
      <c r="H88" s="131"/>
      <c r="I88" s="35">
        <v>0</v>
      </c>
      <c r="J88" s="200">
        <f t="shared" si="19"/>
        <v>0</v>
      </c>
      <c r="K88" s="223">
        <v>0</v>
      </c>
      <c r="L88" s="212"/>
      <c r="M88" s="35">
        <v>0</v>
      </c>
      <c r="N88" s="200">
        <f t="shared" si="22"/>
        <v>0</v>
      </c>
      <c r="O88" s="35">
        <v>0</v>
      </c>
      <c r="P88" s="200">
        <f t="shared" si="23"/>
        <v>0</v>
      </c>
      <c r="Q88" s="35">
        <v>0</v>
      </c>
      <c r="R88" s="200">
        <f t="shared" si="24"/>
        <v>0</v>
      </c>
    </row>
    <row r="89" spans="1:18" ht="13.5" thickBot="1" x14ac:dyDescent="0.25">
      <c r="A89" s="25"/>
      <c r="B89" s="131"/>
      <c r="C89" s="131"/>
      <c r="D89" s="25">
        <v>1</v>
      </c>
      <c r="E89" s="130"/>
      <c r="F89" s="224"/>
      <c r="G89" s="41">
        <v>0</v>
      </c>
      <c r="H89" s="131"/>
      <c r="I89" s="35">
        <v>0</v>
      </c>
      <c r="J89" s="200">
        <f>E89*H89</f>
        <v>0</v>
      </c>
      <c r="K89" s="223">
        <v>0</v>
      </c>
      <c r="L89" s="212"/>
      <c r="M89" s="35">
        <v>0</v>
      </c>
      <c r="N89" s="200">
        <f t="shared" si="22"/>
        <v>0</v>
      </c>
      <c r="O89" s="35">
        <v>0</v>
      </c>
      <c r="P89" s="200">
        <f t="shared" si="23"/>
        <v>0</v>
      </c>
      <c r="Q89" s="35">
        <v>0</v>
      </c>
      <c r="R89" s="200">
        <f t="shared" si="24"/>
        <v>0</v>
      </c>
    </row>
    <row r="90" spans="1:18" ht="13.5" thickBot="1" x14ac:dyDescent="0.25">
      <c r="A90" s="25" t="s">
        <v>37</v>
      </c>
      <c r="B90" s="25"/>
      <c r="C90" s="25"/>
      <c r="D90" s="25"/>
      <c r="E90" s="195"/>
      <c r="F90" s="25"/>
      <c r="G90" s="25"/>
      <c r="H90" s="195"/>
      <c r="I90" s="118">
        <v>206.21117873992239</v>
      </c>
      <c r="J90" s="202">
        <f>+SUM(J73:J89)</f>
        <v>0</v>
      </c>
      <c r="K90" s="35"/>
      <c r="L90" s="193"/>
      <c r="M90" s="118">
        <v>0</v>
      </c>
      <c r="N90" s="202">
        <f>+SUM(N73:N89)</f>
        <v>0</v>
      </c>
      <c r="O90" s="118">
        <v>206.21117873992239</v>
      </c>
      <c r="P90" s="202">
        <f>+SUM(P73:P89)</f>
        <v>0</v>
      </c>
      <c r="Q90" s="118">
        <v>131975.1543935503</v>
      </c>
      <c r="R90" s="202">
        <f>+SUM(R73:R89)</f>
        <v>0</v>
      </c>
    </row>
    <row r="91" spans="1:18" ht="14.25" thickTop="1" thickBot="1" x14ac:dyDescent="0.25">
      <c r="A91" s="25" t="s">
        <v>52</v>
      </c>
      <c r="B91" s="25"/>
      <c r="C91" s="25"/>
      <c r="D91" s="25"/>
      <c r="E91" s="195"/>
      <c r="F91" s="25"/>
      <c r="G91" s="25"/>
      <c r="H91" s="195"/>
      <c r="I91" s="87">
        <v>930.19372466463744</v>
      </c>
      <c r="J91" s="203">
        <f>+J67+J90</f>
        <v>0</v>
      </c>
      <c r="K91" s="35"/>
      <c r="L91" s="193"/>
      <c r="M91" s="87">
        <v>0</v>
      </c>
      <c r="N91" s="203">
        <f>+N67+N90</f>
        <v>0</v>
      </c>
      <c r="O91" s="87">
        <v>930.19372466463744</v>
      </c>
      <c r="P91" s="203">
        <f>+P67+P90</f>
        <v>0</v>
      </c>
      <c r="Q91" s="87">
        <v>595323.98378536804</v>
      </c>
      <c r="R91" s="203">
        <f>+R67+R90</f>
        <v>0</v>
      </c>
    </row>
    <row r="92" spans="1:18" ht="13.5" thickTop="1" x14ac:dyDescent="0.2">
      <c r="A92" s="25"/>
      <c r="B92" s="25"/>
      <c r="C92" s="25"/>
      <c r="D92" s="25"/>
      <c r="E92" s="195"/>
      <c r="F92" s="25"/>
      <c r="G92" s="25"/>
      <c r="H92" s="195"/>
      <c r="I92" s="35"/>
      <c r="J92" s="182"/>
      <c r="K92" s="35"/>
      <c r="L92" s="193"/>
      <c r="M92" s="35"/>
      <c r="N92" s="182"/>
      <c r="O92" s="35"/>
      <c r="P92" s="182"/>
      <c r="Q92" s="35"/>
      <c r="R92" s="182"/>
    </row>
    <row r="93" spans="1:18" x14ac:dyDescent="0.2">
      <c r="A93" s="25" t="s">
        <v>153</v>
      </c>
      <c r="B93" s="25"/>
      <c r="C93" s="25"/>
      <c r="D93" s="25"/>
      <c r="E93" s="195"/>
      <c r="F93" s="25"/>
      <c r="G93" s="25"/>
      <c r="H93" s="195"/>
      <c r="I93" s="35">
        <v>207.04627533536257</v>
      </c>
      <c r="J93" s="200">
        <f>+J13-J91</f>
        <v>0</v>
      </c>
      <c r="K93" s="35"/>
      <c r="L93" s="193"/>
      <c r="M93" s="35">
        <v>0</v>
      </c>
      <c r="N93" s="200">
        <f>+N13-N91</f>
        <v>0</v>
      </c>
      <c r="O93" s="35">
        <v>207.04627533536257</v>
      </c>
      <c r="P93" s="200">
        <f>+P13-P91</f>
        <v>0</v>
      </c>
      <c r="Q93" s="35">
        <v>132509.61621463194</v>
      </c>
      <c r="R93" s="200">
        <f>+R13-R91</f>
        <v>0</v>
      </c>
    </row>
    <row r="94" spans="1:18" x14ac:dyDescent="0.2">
      <c r="A94" s="25"/>
      <c r="B94" s="25"/>
      <c r="C94" s="25"/>
      <c r="D94" s="25"/>
      <c r="E94" s="195"/>
      <c r="F94" s="25"/>
      <c r="G94" s="25"/>
      <c r="H94" s="195"/>
      <c r="I94" s="35"/>
      <c r="J94" s="204"/>
      <c r="K94" s="35"/>
      <c r="L94" s="193"/>
      <c r="M94" s="35"/>
      <c r="N94" s="193"/>
      <c r="O94" s="35"/>
      <c r="P94" s="193"/>
      <c r="Q94" s="35"/>
      <c r="R94" s="204"/>
    </row>
    <row r="95" spans="1:18" ht="13.5" thickBot="1" x14ac:dyDescent="0.25">
      <c r="A95" s="44" t="s">
        <v>38</v>
      </c>
      <c r="B95" s="44"/>
      <c r="C95" s="44"/>
      <c r="D95" s="44"/>
      <c r="E95" s="199"/>
      <c r="F95" s="44"/>
      <c r="G95" s="45">
        <v>0.66253114292353099</v>
      </c>
      <c r="H95" s="210" t="str">
        <f>IF(E10=0,"n/a",(YTotExp-(YTotExp+YTotRet-J10))/E10)</f>
        <v>n/a</v>
      </c>
      <c r="I95" s="44" t="s">
        <v>82</v>
      </c>
      <c r="J95" s="205"/>
      <c r="K95" s="44"/>
      <c r="L95" s="199"/>
      <c r="M95" s="44"/>
      <c r="N95" s="199"/>
      <c r="O95" s="44"/>
      <c r="P95" s="199"/>
      <c r="Q95" s="44"/>
      <c r="R95" s="205"/>
    </row>
    <row r="96" spans="1:18" ht="13.5" thickTop="1" x14ac:dyDescent="0.2"/>
    <row r="97" spans="1:18" s="17" customFormat="1" ht="15.75" x14ac:dyDescent="0.25">
      <c r="A97"/>
      <c r="B97" s="88"/>
      <c r="C97" s="89"/>
      <c r="D97" s="234" t="s">
        <v>113</v>
      </c>
      <c r="E97" s="235"/>
      <c r="F97" s="235"/>
      <c r="G97" s="235"/>
      <c r="H97" s="235"/>
      <c r="I97" s="235"/>
      <c r="J97" s="99"/>
      <c r="K97" s="99"/>
      <c r="M97"/>
      <c r="N97"/>
    </row>
    <row r="98" spans="1:18" s="17" customFormat="1" ht="15.75" x14ac:dyDescent="0.25">
      <c r="A98"/>
      <c r="B98" s="19" t="s">
        <v>114</v>
      </c>
      <c r="C98" s="19" t="s">
        <v>114</v>
      </c>
      <c r="D98" s="123" t="s">
        <v>170</v>
      </c>
      <c r="E98" s="18"/>
      <c r="F98" s="18"/>
      <c r="G98" s="123" t="s">
        <v>170</v>
      </c>
      <c r="H98" s="18"/>
      <c r="I98" s="18"/>
      <c r="J98" s="18"/>
      <c r="K98" s="18"/>
      <c r="M98"/>
      <c r="N98"/>
    </row>
    <row r="99" spans="1:18" s="17" customFormat="1" x14ac:dyDescent="0.2">
      <c r="A99"/>
      <c r="B99" s="19" t="s">
        <v>80</v>
      </c>
      <c r="C99" s="19" t="s">
        <v>80</v>
      </c>
      <c r="D99" s="123" t="s">
        <v>157</v>
      </c>
      <c r="E99" s="119"/>
      <c r="F99" s="119"/>
      <c r="G99" s="123" t="s">
        <v>12</v>
      </c>
      <c r="H99" s="119"/>
      <c r="I99" s="119"/>
      <c r="J99" s="119"/>
      <c r="K99" s="119"/>
      <c r="M99"/>
      <c r="N99"/>
    </row>
    <row r="100" spans="1:18" s="17" customFormat="1" x14ac:dyDescent="0.2">
      <c r="A100"/>
      <c r="B100" s="19" t="s">
        <v>30</v>
      </c>
      <c r="C100" s="99" t="s">
        <v>82</v>
      </c>
      <c r="D100" s="123" t="s">
        <v>98</v>
      </c>
      <c r="E100" s="119"/>
      <c r="F100" s="119"/>
      <c r="G100" s="123" t="s">
        <v>98</v>
      </c>
      <c r="H100" s="19"/>
      <c r="I100" s="19"/>
      <c r="J100" s="19"/>
      <c r="K100" s="19"/>
      <c r="M100"/>
      <c r="N100"/>
    </row>
    <row r="101" spans="1:18" s="17" customFormat="1" x14ac:dyDescent="0.2">
      <c r="A101"/>
      <c r="B101" s="90">
        <v>0.75</v>
      </c>
      <c r="C101" s="91">
        <v>1053</v>
      </c>
      <c r="D101" s="92">
        <v>0.6875427786559497</v>
      </c>
      <c r="E101" s="93"/>
      <c r="F101" s="94"/>
      <c r="G101" s="92">
        <v>0.88337485723137454</v>
      </c>
      <c r="H101" s="93"/>
      <c r="I101" s="93"/>
      <c r="M101"/>
      <c r="N101"/>
    </row>
    <row r="102" spans="1:18" s="17" customFormat="1" x14ac:dyDescent="0.2">
      <c r="A102"/>
      <c r="B102" s="95">
        <v>0.9</v>
      </c>
      <c r="C102" s="96">
        <v>1263.6000000000001</v>
      </c>
      <c r="D102" s="97">
        <v>0.57295231554662474</v>
      </c>
      <c r="E102" s="83"/>
      <c r="F102" s="98"/>
      <c r="G102" s="97">
        <v>0.73614571435947873</v>
      </c>
      <c r="H102" s="83"/>
      <c r="I102" s="83"/>
      <c r="M102"/>
      <c r="N102"/>
    </row>
    <row r="103" spans="1:18" s="17" customFormat="1" x14ac:dyDescent="0.2">
      <c r="A103"/>
      <c r="B103" s="90">
        <v>1</v>
      </c>
      <c r="C103" s="91">
        <v>1404</v>
      </c>
      <c r="D103" s="92">
        <v>0.51565708399196231</v>
      </c>
      <c r="E103" s="93"/>
      <c r="F103" s="94"/>
      <c r="G103" s="92">
        <v>0.66253114292353099</v>
      </c>
      <c r="H103" s="93"/>
      <c r="I103" s="93"/>
      <c r="M103"/>
      <c r="N103"/>
    </row>
    <row r="104" spans="1:18" s="17" customFormat="1" x14ac:dyDescent="0.2">
      <c r="A104"/>
      <c r="B104" s="95">
        <v>1.1000000000000001</v>
      </c>
      <c r="C104" s="96">
        <v>1544.4</v>
      </c>
      <c r="D104" s="97">
        <v>0.46877916726542024</v>
      </c>
      <c r="E104" s="83"/>
      <c r="F104" s="98"/>
      <c r="G104" s="97">
        <v>0.60230103902139176</v>
      </c>
      <c r="H104" s="83"/>
      <c r="I104" s="83"/>
      <c r="M104"/>
      <c r="N104"/>
    </row>
    <row r="105" spans="1:18" s="17" customFormat="1" x14ac:dyDescent="0.2">
      <c r="A105"/>
      <c r="B105" s="90">
        <v>1.25</v>
      </c>
      <c r="C105" s="91">
        <v>1755</v>
      </c>
      <c r="D105" s="92">
        <v>0.41252566719356981</v>
      </c>
      <c r="E105" s="93"/>
      <c r="F105" s="94"/>
      <c r="G105" s="92">
        <v>0.5300249143388247</v>
      </c>
      <c r="H105" s="93"/>
      <c r="I105" s="93"/>
      <c r="M105"/>
      <c r="N105"/>
    </row>
    <row r="106" spans="1:18" s="17" customFormat="1" x14ac:dyDescent="0.2">
      <c r="A106"/>
      <c r="M106"/>
      <c r="N106"/>
    </row>
    <row r="107" spans="1:18" x14ac:dyDescent="0.2">
      <c r="A107" s="25" t="s">
        <v>434</v>
      </c>
      <c r="B107" s="17"/>
      <c r="C107" s="17"/>
      <c r="D107" s="17"/>
      <c r="E107" s="17"/>
      <c r="F107" s="17"/>
      <c r="G107" s="17"/>
      <c r="H107" s="17"/>
      <c r="I107" s="17"/>
      <c r="J107" s="28"/>
      <c r="K107" s="17"/>
      <c r="L107" s="17"/>
      <c r="M107" s="17"/>
      <c r="N107" s="17"/>
      <c r="O107" s="17"/>
      <c r="P107" s="17"/>
      <c r="Q107" s="17"/>
    </row>
    <row r="108" spans="1:18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28"/>
      <c r="K108" s="17"/>
      <c r="L108" s="17"/>
      <c r="M108" s="17"/>
      <c r="N108" s="17"/>
      <c r="O108" s="17"/>
      <c r="P108" s="17"/>
      <c r="Q108" s="17"/>
    </row>
    <row r="109" spans="1:18" ht="26.25" customHeight="1" x14ac:dyDescent="0.2">
      <c r="A109" s="236" t="s">
        <v>140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19"/>
      <c r="N109" s="219"/>
      <c r="O109" s="219"/>
      <c r="P109" s="219"/>
      <c r="Q109" s="219"/>
      <c r="R109" s="219"/>
    </row>
  </sheetData>
  <sheetProtection sheet="1" objects="1" scenarios="1"/>
  <mergeCells count="6">
    <mergeCell ref="D97:I97"/>
    <mergeCell ref="A109:L109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17">
    <tabColor rgb="FF92D050"/>
    <pageSetUpPr fitToPage="1"/>
  </sheetPr>
  <dimension ref="A1:S109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453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133</v>
      </c>
      <c r="C10" s="25"/>
      <c r="D10" s="50">
        <v>1429</v>
      </c>
      <c r="E10" s="130"/>
      <c r="F10" s="224" t="s">
        <v>82</v>
      </c>
      <c r="G10" s="31">
        <v>0.81</v>
      </c>
      <c r="H10" s="131"/>
      <c r="I10" s="35">
        <v>1157.49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1157.49</v>
      </c>
      <c r="P10" s="200">
        <f>+J10-N10</f>
        <v>0</v>
      </c>
      <c r="Q10" s="35">
        <v>740793.6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1157.49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1157.49</v>
      </c>
      <c r="P13" s="201">
        <f>SUM(P10:P12)</f>
        <v>0</v>
      </c>
      <c r="Q13" s="36">
        <v>740793.6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50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176</v>
      </c>
      <c r="D18" s="25">
        <v>1</v>
      </c>
      <c r="E18" s="130"/>
      <c r="F18" s="224" t="s">
        <v>42</v>
      </c>
      <c r="G18" s="41">
        <v>5</v>
      </c>
      <c r="H18" s="131"/>
      <c r="I18" s="35">
        <v>5</v>
      </c>
      <c r="J18" s="200">
        <f t="shared" ref="J18:J42" si="4">E18*H18</f>
        <v>0</v>
      </c>
      <c r="K18" s="223">
        <v>0</v>
      </c>
      <c r="L18" s="212"/>
      <c r="M18" s="35">
        <v>0</v>
      </c>
      <c r="N18" s="200">
        <f t="shared" ref="N18:N42" si="5">J18*L18</f>
        <v>0</v>
      </c>
      <c r="O18" s="35">
        <v>5</v>
      </c>
      <c r="P18" s="200">
        <f t="shared" ref="P18:P42" si="6">+J18-N18</f>
        <v>0</v>
      </c>
      <c r="Q18" s="35">
        <v>3200</v>
      </c>
      <c r="R18" s="200">
        <f t="shared" ref="R18:R42" si="7">+J18*E$7</f>
        <v>0</v>
      </c>
    </row>
    <row r="19" spans="1:18" x14ac:dyDescent="0.2">
      <c r="A19" s="25"/>
      <c r="B19" s="25" t="s">
        <v>458</v>
      </c>
      <c r="C19" s="25" t="s">
        <v>375</v>
      </c>
      <c r="D19" s="25">
        <v>1429</v>
      </c>
      <c r="E19" s="130"/>
      <c r="F19" s="224" t="s">
        <v>82</v>
      </c>
      <c r="G19" s="41">
        <v>0.12</v>
      </c>
      <c r="H19" s="131"/>
      <c r="I19" s="35">
        <v>171.48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171.48</v>
      </c>
      <c r="P19" s="200">
        <f t="shared" si="6"/>
        <v>0</v>
      </c>
      <c r="Q19" s="35">
        <v>109747.2</v>
      </c>
      <c r="R19" s="200">
        <f t="shared" si="7"/>
        <v>0</v>
      </c>
    </row>
    <row r="20" spans="1:18" x14ac:dyDescent="0.2">
      <c r="A20" s="25"/>
      <c r="B20" s="25" t="s">
        <v>0</v>
      </c>
      <c r="C20" s="25"/>
      <c r="D20" s="25"/>
      <c r="E20" s="25"/>
      <c r="F20" s="25"/>
      <c r="G20" s="25"/>
      <c r="H20" s="25"/>
      <c r="I20" s="25"/>
      <c r="J20" s="25"/>
      <c r="K20" s="223"/>
      <c r="L20" s="25"/>
      <c r="M20" s="25"/>
      <c r="N20" s="25"/>
      <c r="O20" s="25"/>
      <c r="P20" s="25"/>
      <c r="Q20" s="25"/>
      <c r="R20" s="25"/>
    </row>
    <row r="21" spans="1:18" x14ac:dyDescent="0.2">
      <c r="A21" s="25"/>
      <c r="B21" s="25" t="s">
        <v>458</v>
      </c>
      <c r="C21" s="25" t="s">
        <v>342</v>
      </c>
      <c r="D21" s="25">
        <v>100</v>
      </c>
      <c r="E21" s="130"/>
      <c r="F21" s="224" t="s">
        <v>82</v>
      </c>
      <c r="G21" s="41">
        <v>0.53800000000000003</v>
      </c>
      <c r="H21" s="131"/>
      <c r="I21" s="35">
        <v>53.800000000000004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53.800000000000004</v>
      </c>
      <c r="P21" s="200">
        <f t="shared" si="6"/>
        <v>0</v>
      </c>
      <c r="Q21" s="35">
        <v>34432</v>
      </c>
      <c r="R21" s="200">
        <f t="shared" si="7"/>
        <v>0</v>
      </c>
    </row>
    <row r="22" spans="1:18" x14ac:dyDescent="0.2">
      <c r="A22" s="25"/>
      <c r="B22" s="25" t="s">
        <v>458</v>
      </c>
      <c r="C22" s="25" t="s">
        <v>378</v>
      </c>
      <c r="D22" s="25">
        <v>50</v>
      </c>
      <c r="E22" s="130"/>
      <c r="F22" s="224" t="s">
        <v>82</v>
      </c>
      <c r="G22" s="41">
        <v>0.56999999999999995</v>
      </c>
      <c r="H22" s="131"/>
      <c r="I22" s="35">
        <v>28.499999999999996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28.499999999999996</v>
      </c>
      <c r="P22" s="200">
        <f t="shared" si="6"/>
        <v>0</v>
      </c>
      <c r="Q22" s="35">
        <v>18239.999999999996</v>
      </c>
      <c r="R22" s="200">
        <f t="shared" si="7"/>
        <v>0</v>
      </c>
    </row>
    <row r="23" spans="1:18" x14ac:dyDescent="0.2">
      <c r="A23" s="25"/>
      <c r="B23" s="25" t="s">
        <v>49</v>
      </c>
      <c r="C23" s="25"/>
      <c r="D23" s="25"/>
      <c r="E23" s="25"/>
      <c r="F23" s="25"/>
      <c r="G23" s="25"/>
      <c r="H23" s="25"/>
      <c r="I23" s="25"/>
      <c r="J23" s="25"/>
      <c r="K23" s="223"/>
      <c r="L23" s="25"/>
      <c r="M23" s="25"/>
      <c r="N23" s="25"/>
      <c r="O23" s="25"/>
      <c r="P23" s="25"/>
      <c r="Q23" s="25"/>
      <c r="R23" s="25"/>
    </row>
    <row r="24" spans="1:18" x14ac:dyDescent="0.2">
      <c r="A24" s="25"/>
      <c r="B24" s="25" t="s">
        <v>458</v>
      </c>
      <c r="C24" s="25" t="s">
        <v>402</v>
      </c>
      <c r="D24" s="25">
        <v>2</v>
      </c>
      <c r="E24" s="130"/>
      <c r="F24" s="224" t="s">
        <v>316</v>
      </c>
      <c r="G24" s="41">
        <v>2.81</v>
      </c>
      <c r="H24" s="131"/>
      <c r="I24" s="35">
        <v>5.62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5.62</v>
      </c>
      <c r="P24" s="200">
        <f t="shared" si="6"/>
        <v>0</v>
      </c>
      <c r="Q24" s="35">
        <v>3596.8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401</v>
      </c>
      <c r="D25" s="25">
        <v>64</v>
      </c>
      <c r="E25" s="130"/>
      <c r="F25" s="224" t="s">
        <v>435</v>
      </c>
      <c r="G25" s="41">
        <v>0.41</v>
      </c>
      <c r="H25" s="131"/>
      <c r="I25" s="35">
        <v>26.24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26.24</v>
      </c>
      <c r="P25" s="200">
        <f t="shared" si="6"/>
        <v>0</v>
      </c>
      <c r="Q25" s="35">
        <v>16793.599999999999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440</v>
      </c>
      <c r="D26" s="25">
        <v>4.7</v>
      </c>
      <c r="E26" s="130"/>
      <c r="F26" s="224" t="s">
        <v>316</v>
      </c>
      <c r="G26" s="41">
        <v>5.81</v>
      </c>
      <c r="H26" s="131"/>
      <c r="I26" s="35">
        <v>27.306999999999999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27.306999999999999</v>
      </c>
      <c r="P26" s="200">
        <f t="shared" si="6"/>
        <v>0</v>
      </c>
      <c r="Q26" s="35">
        <v>17476.48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439</v>
      </c>
      <c r="D27" s="25">
        <v>29</v>
      </c>
      <c r="E27" s="130"/>
      <c r="F27" s="224" t="s">
        <v>410</v>
      </c>
      <c r="G27" s="41">
        <v>0.7</v>
      </c>
      <c r="H27" s="131"/>
      <c r="I27" s="35">
        <v>20.299999999999997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20.299999999999997</v>
      </c>
      <c r="P27" s="200">
        <f t="shared" si="6"/>
        <v>0</v>
      </c>
      <c r="Q27" s="35">
        <v>12991.999999999998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384</v>
      </c>
      <c r="D28" s="25">
        <v>1</v>
      </c>
      <c r="E28" s="130"/>
      <c r="F28" s="224" t="s">
        <v>316</v>
      </c>
      <c r="G28" s="41">
        <v>3.75</v>
      </c>
      <c r="H28" s="131"/>
      <c r="I28" s="35">
        <v>3.75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3.75</v>
      </c>
      <c r="P28" s="200">
        <f t="shared" si="6"/>
        <v>0</v>
      </c>
      <c r="Q28" s="35">
        <v>2400</v>
      </c>
      <c r="R28" s="200">
        <f t="shared" si="7"/>
        <v>0</v>
      </c>
    </row>
    <row r="29" spans="1:18" x14ac:dyDescent="0.2">
      <c r="A29" s="25"/>
      <c r="B29" s="25" t="s">
        <v>458</v>
      </c>
      <c r="C29" s="25" t="s">
        <v>386</v>
      </c>
      <c r="D29" s="25">
        <v>1</v>
      </c>
      <c r="E29" s="130"/>
      <c r="F29" s="224" t="s">
        <v>410</v>
      </c>
      <c r="G29" s="41">
        <v>0.546875</v>
      </c>
      <c r="H29" s="131"/>
      <c r="I29" s="35">
        <v>0.546875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0.546875</v>
      </c>
      <c r="P29" s="200">
        <f t="shared" si="6"/>
        <v>0</v>
      </c>
      <c r="Q29" s="35">
        <v>350</v>
      </c>
      <c r="R29" s="200">
        <f t="shared" si="7"/>
        <v>0</v>
      </c>
    </row>
    <row r="30" spans="1:18" x14ac:dyDescent="0.2">
      <c r="A30" s="25"/>
      <c r="B30" s="25" t="s">
        <v>458</v>
      </c>
      <c r="C30" s="25" t="s">
        <v>438</v>
      </c>
      <c r="D30" s="25">
        <v>1.4</v>
      </c>
      <c r="E30" s="130"/>
      <c r="F30" s="224" t="s">
        <v>316</v>
      </c>
      <c r="G30" s="41">
        <v>2.84</v>
      </c>
      <c r="H30" s="131"/>
      <c r="I30" s="35">
        <v>3.9759999999999995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3.9759999999999995</v>
      </c>
      <c r="P30" s="200">
        <f t="shared" si="6"/>
        <v>0</v>
      </c>
      <c r="Q30" s="35">
        <v>2544.64</v>
      </c>
      <c r="R30" s="200">
        <f t="shared" si="7"/>
        <v>0</v>
      </c>
    </row>
    <row r="31" spans="1:18" x14ac:dyDescent="0.2">
      <c r="A31" s="25"/>
      <c r="B31" s="25" t="s">
        <v>458</v>
      </c>
      <c r="C31" s="25" t="s">
        <v>436</v>
      </c>
      <c r="D31" s="25">
        <v>1.4</v>
      </c>
      <c r="E31" s="130"/>
      <c r="F31" s="224" t="s">
        <v>316</v>
      </c>
      <c r="G31" s="41">
        <v>4.92</v>
      </c>
      <c r="H31" s="131"/>
      <c r="I31" s="35">
        <v>6.8879999999999999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6.8879999999999999</v>
      </c>
      <c r="P31" s="200">
        <f t="shared" si="6"/>
        <v>0</v>
      </c>
      <c r="Q31" s="35">
        <v>4408.32</v>
      </c>
      <c r="R31" s="200">
        <f t="shared" si="7"/>
        <v>0</v>
      </c>
    </row>
    <row r="32" spans="1:18" x14ac:dyDescent="0.2">
      <c r="A32" s="25"/>
      <c r="B32" s="25" t="s">
        <v>458</v>
      </c>
      <c r="C32" s="25" t="s">
        <v>437</v>
      </c>
      <c r="D32" s="25">
        <v>1.3</v>
      </c>
      <c r="E32" s="130"/>
      <c r="F32" s="224" t="s">
        <v>316</v>
      </c>
      <c r="G32" s="41">
        <v>9.14</v>
      </c>
      <c r="H32" s="131"/>
      <c r="I32" s="35">
        <v>11.882000000000001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11.882000000000001</v>
      </c>
      <c r="P32" s="200">
        <f t="shared" si="6"/>
        <v>0</v>
      </c>
      <c r="Q32" s="35">
        <v>7604.4800000000014</v>
      </c>
      <c r="R32" s="200">
        <f t="shared" si="7"/>
        <v>0</v>
      </c>
    </row>
    <row r="33" spans="1:18" x14ac:dyDescent="0.2">
      <c r="A33" s="25"/>
      <c r="B33" s="25" t="s">
        <v>48</v>
      </c>
      <c r="C33" s="25"/>
      <c r="D33" s="25"/>
      <c r="E33" s="25"/>
      <c r="F33" s="25"/>
      <c r="G33" s="25"/>
      <c r="H33" s="25"/>
      <c r="I33" s="25"/>
      <c r="J33" s="25"/>
      <c r="K33" s="223"/>
      <c r="L33" s="25"/>
      <c r="M33" s="25"/>
      <c r="N33" s="25"/>
      <c r="O33" s="25"/>
      <c r="P33" s="25"/>
      <c r="Q33" s="25"/>
      <c r="R33" s="25"/>
    </row>
    <row r="34" spans="1:18" x14ac:dyDescent="0.2">
      <c r="A34" s="25"/>
      <c r="B34" s="25" t="s">
        <v>458</v>
      </c>
      <c r="C34" s="25" t="s">
        <v>442</v>
      </c>
      <c r="D34" s="25">
        <v>16</v>
      </c>
      <c r="E34" s="130"/>
      <c r="F34" s="224" t="s">
        <v>410</v>
      </c>
      <c r="G34" s="41">
        <v>1.1599999999999999</v>
      </c>
      <c r="H34" s="131"/>
      <c r="I34" s="35">
        <v>18.559999999999999</v>
      </c>
      <c r="J34" s="200">
        <f t="shared" si="4"/>
        <v>0</v>
      </c>
      <c r="K34" s="223">
        <v>0</v>
      </c>
      <c r="L34" s="212"/>
      <c r="M34" s="35">
        <v>0</v>
      </c>
      <c r="N34" s="200">
        <f t="shared" si="5"/>
        <v>0</v>
      </c>
      <c r="O34" s="35">
        <v>18.559999999999999</v>
      </c>
      <c r="P34" s="200">
        <f t="shared" si="6"/>
        <v>0</v>
      </c>
      <c r="Q34" s="35">
        <v>11878.4</v>
      </c>
      <c r="R34" s="200">
        <f t="shared" si="7"/>
        <v>0</v>
      </c>
    </row>
    <row r="35" spans="1:18" x14ac:dyDescent="0.2">
      <c r="A35" s="25"/>
      <c r="B35" s="25" t="s">
        <v>458</v>
      </c>
      <c r="C35" s="25" t="s">
        <v>443</v>
      </c>
      <c r="D35" s="25">
        <v>2</v>
      </c>
      <c r="E35" s="130"/>
      <c r="F35" s="224" t="s">
        <v>410</v>
      </c>
      <c r="G35" s="41">
        <v>1.74875</v>
      </c>
      <c r="H35" s="131"/>
      <c r="I35" s="35">
        <v>3.4975000000000001</v>
      </c>
      <c r="J35" s="200">
        <f t="shared" si="4"/>
        <v>0</v>
      </c>
      <c r="K35" s="223">
        <v>0</v>
      </c>
      <c r="L35" s="212"/>
      <c r="M35" s="35">
        <v>0</v>
      </c>
      <c r="N35" s="200">
        <f t="shared" si="5"/>
        <v>0</v>
      </c>
      <c r="O35" s="35">
        <v>3.4975000000000001</v>
      </c>
      <c r="P35" s="200">
        <f t="shared" si="6"/>
        <v>0</v>
      </c>
      <c r="Q35" s="35">
        <v>2238.4</v>
      </c>
      <c r="R35" s="200">
        <f t="shared" si="7"/>
        <v>0</v>
      </c>
    </row>
    <row r="36" spans="1:18" x14ac:dyDescent="0.2">
      <c r="A36" s="25"/>
      <c r="B36" s="25" t="s">
        <v>27</v>
      </c>
      <c r="C36" s="25"/>
      <c r="D36" s="25"/>
      <c r="E36" s="25"/>
      <c r="F36" s="25"/>
      <c r="G36" s="25"/>
      <c r="H36" s="25"/>
      <c r="I36" s="25"/>
      <c r="J36" s="25"/>
      <c r="K36" s="223"/>
      <c r="L36" s="25"/>
      <c r="M36" s="25"/>
      <c r="N36" s="25"/>
      <c r="O36" s="25"/>
      <c r="P36" s="25"/>
      <c r="Q36" s="25"/>
      <c r="R36" s="25"/>
    </row>
    <row r="37" spans="1:18" x14ac:dyDescent="0.2">
      <c r="A37" s="25"/>
      <c r="B37" s="25" t="s">
        <v>458</v>
      </c>
      <c r="C37" s="25" t="s">
        <v>394</v>
      </c>
      <c r="D37" s="25">
        <v>1</v>
      </c>
      <c r="E37" s="130"/>
      <c r="F37" s="224" t="s">
        <v>42</v>
      </c>
      <c r="G37" s="41">
        <v>15</v>
      </c>
      <c r="H37" s="131"/>
      <c r="I37" s="35">
        <v>15</v>
      </c>
      <c r="J37" s="200">
        <f t="shared" si="4"/>
        <v>0</v>
      </c>
      <c r="K37" s="223">
        <v>0</v>
      </c>
      <c r="L37" s="212"/>
      <c r="M37" s="35">
        <v>0</v>
      </c>
      <c r="N37" s="200">
        <f t="shared" si="5"/>
        <v>0</v>
      </c>
      <c r="O37" s="35">
        <v>15</v>
      </c>
      <c r="P37" s="200">
        <f t="shared" si="6"/>
        <v>0</v>
      </c>
      <c r="Q37" s="35">
        <v>9600</v>
      </c>
      <c r="R37" s="200">
        <f t="shared" si="7"/>
        <v>0</v>
      </c>
    </row>
    <row r="38" spans="1:18" x14ac:dyDescent="0.2">
      <c r="A38" s="25"/>
      <c r="B38" s="25" t="s">
        <v>1</v>
      </c>
      <c r="C38" s="25"/>
      <c r="D38" s="25"/>
      <c r="E38" s="25"/>
      <c r="F38" s="25"/>
      <c r="G38" s="25"/>
      <c r="H38" s="25"/>
      <c r="I38" s="25"/>
      <c r="J38" s="25"/>
      <c r="K38" s="223"/>
      <c r="L38" s="25"/>
      <c r="M38" s="25"/>
      <c r="N38" s="25"/>
      <c r="O38" s="25"/>
      <c r="P38" s="25"/>
      <c r="Q38" s="25"/>
      <c r="R38" s="25"/>
    </row>
    <row r="39" spans="1:18" x14ac:dyDescent="0.2">
      <c r="A39" s="25"/>
      <c r="B39" s="25" t="s">
        <v>458</v>
      </c>
      <c r="C39" s="25" t="s">
        <v>368</v>
      </c>
      <c r="D39" s="25">
        <v>11.5</v>
      </c>
      <c r="E39" s="130"/>
      <c r="F39" s="224" t="s">
        <v>82</v>
      </c>
      <c r="G39" s="41">
        <v>8</v>
      </c>
      <c r="H39" s="131"/>
      <c r="I39" s="35">
        <v>92</v>
      </c>
      <c r="J39" s="200">
        <f t="shared" si="4"/>
        <v>0</v>
      </c>
      <c r="K39" s="223">
        <v>0</v>
      </c>
      <c r="L39" s="212"/>
      <c r="M39" s="35">
        <v>0</v>
      </c>
      <c r="N39" s="200">
        <f t="shared" si="5"/>
        <v>0</v>
      </c>
      <c r="O39" s="35">
        <v>92</v>
      </c>
      <c r="P39" s="200">
        <f t="shared" si="6"/>
        <v>0</v>
      </c>
      <c r="Q39" s="35">
        <v>58880</v>
      </c>
      <c r="R39" s="200">
        <f t="shared" si="7"/>
        <v>0</v>
      </c>
    </row>
    <row r="40" spans="1:18" x14ac:dyDescent="0.2">
      <c r="A40" s="25"/>
      <c r="B40" s="25" t="s">
        <v>458</v>
      </c>
      <c r="C40" s="25" t="s">
        <v>407</v>
      </c>
      <c r="D40" s="25">
        <v>60</v>
      </c>
      <c r="E40" s="130"/>
      <c r="F40" s="224" t="s">
        <v>82</v>
      </c>
      <c r="G40" s="41">
        <v>0.23</v>
      </c>
      <c r="H40" s="131"/>
      <c r="I40" s="35">
        <v>13.8</v>
      </c>
      <c r="J40" s="200">
        <f t="shared" si="4"/>
        <v>0</v>
      </c>
      <c r="K40" s="223">
        <v>0</v>
      </c>
      <c r="L40" s="212"/>
      <c r="M40" s="35">
        <v>0</v>
      </c>
      <c r="N40" s="200">
        <f t="shared" si="5"/>
        <v>0</v>
      </c>
      <c r="O40" s="35">
        <v>13.8</v>
      </c>
      <c r="P40" s="200">
        <f t="shared" si="6"/>
        <v>0</v>
      </c>
      <c r="Q40" s="35">
        <v>8832</v>
      </c>
      <c r="R40" s="200">
        <f t="shared" si="7"/>
        <v>0</v>
      </c>
    </row>
    <row r="41" spans="1:18" x14ac:dyDescent="0.2">
      <c r="A41" s="25"/>
      <c r="B41" s="131"/>
      <c r="C41" s="131"/>
      <c r="D41" s="25">
        <v>0</v>
      </c>
      <c r="E41" s="130"/>
      <c r="F41" s="224"/>
      <c r="G41" s="41">
        <v>0</v>
      </c>
      <c r="H41" s="131"/>
      <c r="I41" s="35">
        <v>0</v>
      </c>
      <c r="J41" s="200">
        <f t="shared" si="4"/>
        <v>0</v>
      </c>
      <c r="K41" s="223">
        <v>0</v>
      </c>
      <c r="L41" s="212"/>
      <c r="M41" s="35">
        <v>0</v>
      </c>
      <c r="N41" s="200">
        <f t="shared" si="5"/>
        <v>0</v>
      </c>
      <c r="O41" s="35">
        <v>0</v>
      </c>
      <c r="P41" s="200">
        <f t="shared" si="6"/>
        <v>0</v>
      </c>
      <c r="Q41" s="35">
        <v>0</v>
      </c>
      <c r="R41" s="200">
        <f t="shared" si="7"/>
        <v>0</v>
      </c>
    </row>
    <row r="42" spans="1:18" x14ac:dyDescent="0.2">
      <c r="A42" s="25"/>
      <c r="B42" s="131"/>
      <c r="C42" s="131"/>
      <c r="D42" s="25">
        <v>0</v>
      </c>
      <c r="E42" s="130"/>
      <c r="F42" s="224"/>
      <c r="G42" s="41">
        <v>0</v>
      </c>
      <c r="H42" s="131"/>
      <c r="I42" s="35">
        <v>0</v>
      </c>
      <c r="J42" s="200">
        <f t="shared" si="4"/>
        <v>0</v>
      </c>
      <c r="K42" s="223">
        <v>0</v>
      </c>
      <c r="L42" s="212"/>
      <c r="M42" s="35">
        <v>0</v>
      </c>
      <c r="N42" s="200">
        <f t="shared" si="5"/>
        <v>0</v>
      </c>
      <c r="O42" s="35">
        <v>0</v>
      </c>
      <c r="P42" s="200">
        <f t="shared" si="6"/>
        <v>0</v>
      </c>
      <c r="Q42" s="35">
        <v>0</v>
      </c>
      <c r="R42" s="200">
        <f t="shared" si="7"/>
        <v>0</v>
      </c>
    </row>
    <row r="43" spans="1:18" x14ac:dyDescent="0.2">
      <c r="A43" s="25"/>
      <c r="B43" s="131"/>
      <c r="C43" s="131"/>
      <c r="D43" s="25">
        <v>0</v>
      </c>
      <c r="E43" s="130"/>
      <c r="F43" s="224"/>
      <c r="G43" s="41">
        <v>0</v>
      </c>
      <c r="H43" s="131"/>
      <c r="I43" s="35">
        <v>0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0</v>
      </c>
      <c r="P43" s="200">
        <f>+J43-N43</f>
        <v>0</v>
      </c>
      <c r="Q43" s="35">
        <v>0</v>
      </c>
      <c r="R43" s="200">
        <f>+J43*E$7</f>
        <v>0</v>
      </c>
    </row>
    <row r="44" spans="1:18" x14ac:dyDescent="0.2">
      <c r="A44" s="25"/>
      <c r="B44" s="25" t="s">
        <v>45</v>
      </c>
      <c r="C44" s="25"/>
      <c r="D44" s="25"/>
      <c r="E44" s="207"/>
      <c r="F44" s="21"/>
      <c r="G44" s="41"/>
      <c r="H44" s="196"/>
      <c r="I44" s="184"/>
      <c r="J44" s="182"/>
      <c r="K44" s="223"/>
      <c r="L44" s="196"/>
      <c r="M44" s="35"/>
      <c r="N44" s="182"/>
      <c r="O44" s="35"/>
      <c r="P44" s="182"/>
      <c r="Q44" s="35"/>
      <c r="R44" s="182"/>
    </row>
    <row r="45" spans="1:18" x14ac:dyDescent="0.2">
      <c r="A45" s="25"/>
      <c r="B45" s="25"/>
      <c r="C45" s="25" t="s">
        <v>146</v>
      </c>
      <c r="D45" s="34">
        <v>11.8</v>
      </c>
      <c r="E45" s="130"/>
      <c r="F45" s="224" t="s">
        <v>142</v>
      </c>
      <c r="G45" s="41">
        <v>6.75</v>
      </c>
      <c r="H45" s="131"/>
      <c r="I45" s="35">
        <v>79.650000000000006</v>
      </c>
      <c r="J45" s="200">
        <f t="shared" ref="J45:J46" si="8">E45*H45</f>
        <v>0</v>
      </c>
      <c r="K45" s="223">
        <v>0</v>
      </c>
      <c r="L45" s="212"/>
      <c r="M45" s="35">
        <v>0</v>
      </c>
      <c r="N45" s="200">
        <f t="shared" ref="N45:N46" si="9">J45*L45</f>
        <v>0</v>
      </c>
      <c r="O45" s="35">
        <v>79.650000000000006</v>
      </c>
      <c r="P45" s="200">
        <f t="shared" ref="P45:P46" si="10">+J45-N45</f>
        <v>0</v>
      </c>
      <c r="Q45" s="35">
        <v>50976</v>
      </c>
      <c r="R45" s="200">
        <f t="shared" ref="R45:R46" si="11">+J45*E$7</f>
        <v>0</v>
      </c>
    </row>
    <row r="46" spans="1:18" x14ac:dyDescent="0.2">
      <c r="A46" s="25"/>
      <c r="B46" s="25"/>
      <c r="C46" s="25" t="s">
        <v>136</v>
      </c>
      <c r="D46" s="34">
        <v>0.96</v>
      </c>
      <c r="E46" s="130"/>
      <c r="F46" s="224" t="s">
        <v>44</v>
      </c>
      <c r="G46" s="41">
        <v>15</v>
      </c>
      <c r="H46" s="131"/>
      <c r="I46" s="35">
        <v>14.399999999999999</v>
      </c>
      <c r="J46" s="200">
        <f t="shared" si="8"/>
        <v>0</v>
      </c>
      <c r="K46" s="223">
        <v>0</v>
      </c>
      <c r="L46" s="212"/>
      <c r="M46" s="35">
        <v>0</v>
      </c>
      <c r="N46" s="200">
        <f t="shared" si="9"/>
        <v>0</v>
      </c>
      <c r="O46" s="35">
        <v>14.399999999999999</v>
      </c>
      <c r="P46" s="200">
        <f t="shared" si="10"/>
        <v>0</v>
      </c>
      <c r="Q46" s="35">
        <v>9216</v>
      </c>
      <c r="R46" s="200">
        <f t="shared" si="11"/>
        <v>0</v>
      </c>
    </row>
    <row r="47" spans="1:18" x14ac:dyDescent="0.2">
      <c r="A47" s="25"/>
      <c r="B47" s="25" t="s">
        <v>106</v>
      </c>
      <c r="C47" s="25"/>
      <c r="D47" s="25"/>
      <c r="E47" s="104"/>
      <c r="H47" s="104"/>
      <c r="I47" s="121"/>
      <c r="J47" s="104"/>
      <c r="K47" s="223"/>
      <c r="L47" s="104"/>
      <c r="N47" s="104"/>
      <c r="P47" s="104"/>
      <c r="R47" s="104"/>
    </row>
    <row r="48" spans="1:18" x14ac:dyDescent="0.2">
      <c r="A48" s="25"/>
      <c r="B48" s="25"/>
      <c r="C48" s="25" t="s">
        <v>103</v>
      </c>
      <c r="D48" s="25">
        <v>0.32</v>
      </c>
      <c r="E48" s="130"/>
      <c r="F48" s="224" t="s">
        <v>44</v>
      </c>
      <c r="G48" s="41">
        <v>15</v>
      </c>
      <c r="H48" s="131"/>
      <c r="I48" s="35">
        <v>4.8</v>
      </c>
      <c r="J48" s="200">
        <f>E48*H48</f>
        <v>0</v>
      </c>
      <c r="K48" s="223">
        <v>0</v>
      </c>
      <c r="L48" s="212"/>
      <c r="M48" s="35">
        <v>0</v>
      </c>
      <c r="N48" s="200">
        <f>J48*L48</f>
        <v>0</v>
      </c>
      <c r="O48" s="35">
        <v>4.8</v>
      </c>
      <c r="P48" s="200">
        <f>+J48-N48</f>
        <v>0</v>
      </c>
      <c r="Q48" s="35">
        <v>3072</v>
      </c>
      <c r="R48" s="200">
        <f>+J48*E$7</f>
        <v>0</v>
      </c>
    </row>
    <row r="49" spans="1:18" x14ac:dyDescent="0.2">
      <c r="A49" s="25"/>
      <c r="B49" s="25"/>
      <c r="C49" s="25" t="s">
        <v>105</v>
      </c>
      <c r="D49" s="25">
        <v>0.38</v>
      </c>
      <c r="E49" s="130"/>
      <c r="F49" s="224" t="s">
        <v>44</v>
      </c>
      <c r="G49" s="41">
        <v>15</v>
      </c>
      <c r="H49" s="131"/>
      <c r="I49" s="35">
        <v>5.7</v>
      </c>
      <c r="J49" s="200">
        <f>E49*H49</f>
        <v>0</v>
      </c>
      <c r="K49" s="223">
        <v>0</v>
      </c>
      <c r="L49" s="212"/>
      <c r="M49" s="35">
        <v>0</v>
      </c>
      <c r="N49" s="200">
        <f>J49*L49</f>
        <v>0</v>
      </c>
      <c r="O49" s="35">
        <v>5.7</v>
      </c>
      <c r="P49" s="200">
        <f>+J49-N49</f>
        <v>0</v>
      </c>
      <c r="Q49" s="35">
        <v>3648</v>
      </c>
      <c r="R49" s="200">
        <f>+J49*E$7</f>
        <v>0</v>
      </c>
    </row>
    <row r="50" spans="1:18" x14ac:dyDescent="0.2">
      <c r="A50" s="25"/>
      <c r="B50" s="25"/>
      <c r="C50" s="25"/>
      <c r="D50" s="25"/>
      <c r="E50" s="207"/>
      <c r="F50" s="21"/>
      <c r="G50" s="41"/>
      <c r="H50" s="196"/>
      <c r="I50" s="35"/>
      <c r="J50" s="182"/>
      <c r="K50" s="223"/>
      <c r="L50" s="196"/>
      <c r="M50" s="35"/>
      <c r="N50" s="182"/>
      <c r="O50" s="35"/>
      <c r="P50" s="182"/>
      <c r="Q50" s="35"/>
      <c r="R50" s="182"/>
    </row>
    <row r="51" spans="1:18" x14ac:dyDescent="0.2">
      <c r="A51" s="25"/>
      <c r="B51" s="25" t="s">
        <v>51</v>
      </c>
      <c r="C51" s="25"/>
      <c r="D51" s="25"/>
      <c r="E51" s="207"/>
      <c r="F51" s="21"/>
      <c r="G51" s="41"/>
      <c r="H51" s="196"/>
      <c r="I51" s="184"/>
      <c r="J51" s="182"/>
      <c r="K51" s="223"/>
      <c r="L51" s="196"/>
      <c r="M51" s="35"/>
      <c r="N51" s="182"/>
      <c r="O51" s="35"/>
      <c r="P51" s="182"/>
      <c r="Q51" s="35"/>
      <c r="R51" s="182"/>
    </row>
    <row r="52" spans="1:18" x14ac:dyDescent="0.2">
      <c r="A52" s="25"/>
      <c r="B52" s="25"/>
      <c r="C52" s="25" t="s">
        <v>102</v>
      </c>
      <c r="D52" s="25">
        <v>1</v>
      </c>
      <c r="E52" s="130"/>
      <c r="F52" s="224" t="s">
        <v>42</v>
      </c>
      <c r="G52" s="41">
        <v>0</v>
      </c>
      <c r="H52" s="131"/>
      <c r="I52" s="35">
        <v>0</v>
      </c>
      <c r="J52" s="200">
        <f>E52*H52</f>
        <v>0</v>
      </c>
      <c r="K52" s="223">
        <v>0</v>
      </c>
      <c r="L52" s="212"/>
      <c r="M52" s="35">
        <v>0</v>
      </c>
      <c r="N52" s="200">
        <f>J52*L52</f>
        <v>0</v>
      </c>
      <c r="O52" s="35">
        <v>0</v>
      </c>
      <c r="P52" s="200">
        <f>+J52-N52</f>
        <v>0</v>
      </c>
      <c r="Q52" s="35">
        <v>0</v>
      </c>
      <c r="R52" s="200">
        <f>+J52*E$7</f>
        <v>0</v>
      </c>
    </row>
    <row r="53" spans="1:18" x14ac:dyDescent="0.2">
      <c r="A53" s="25"/>
      <c r="B53" s="25"/>
      <c r="C53" s="25" t="s">
        <v>103</v>
      </c>
      <c r="D53" s="25">
        <v>3.92</v>
      </c>
      <c r="E53" s="130"/>
      <c r="F53" s="224" t="s">
        <v>79</v>
      </c>
      <c r="G53" s="41">
        <v>3.0190000000000001</v>
      </c>
      <c r="H53" s="131"/>
      <c r="I53" s="35">
        <v>11.834480000000001</v>
      </c>
      <c r="J53" s="200">
        <f>E53*H53</f>
        <v>0</v>
      </c>
      <c r="K53" s="223">
        <v>0</v>
      </c>
      <c r="L53" s="212"/>
      <c r="M53" s="35">
        <v>0</v>
      </c>
      <c r="N53" s="200">
        <f>J53*L53</f>
        <v>0</v>
      </c>
      <c r="O53" s="35">
        <v>11.834480000000001</v>
      </c>
      <c r="P53" s="200">
        <f>+J53-N53</f>
        <v>0</v>
      </c>
      <c r="Q53" s="35">
        <v>7574.0672000000004</v>
      </c>
      <c r="R53" s="200">
        <f>+J53*E$7</f>
        <v>0</v>
      </c>
    </row>
    <row r="54" spans="1:18" x14ac:dyDescent="0.2">
      <c r="A54" s="25"/>
      <c r="B54" s="25"/>
      <c r="C54" s="25"/>
      <c r="D54" s="25"/>
      <c r="E54" s="207"/>
      <c r="F54" s="21"/>
      <c r="G54" s="41"/>
      <c r="H54" s="196"/>
      <c r="I54" s="35"/>
      <c r="J54" s="182"/>
      <c r="K54" s="223"/>
      <c r="L54" s="196"/>
      <c r="M54" s="35"/>
      <c r="N54" s="182"/>
      <c r="O54" s="35"/>
      <c r="P54" s="182"/>
      <c r="Q54" s="35"/>
      <c r="R54" s="182"/>
    </row>
    <row r="55" spans="1:18" x14ac:dyDescent="0.2">
      <c r="A55" s="25"/>
      <c r="B55" s="25" t="s">
        <v>29</v>
      </c>
      <c r="C55" s="25"/>
      <c r="D55" s="25"/>
      <c r="E55" s="207"/>
      <c r="F55" s="21"/>
      <c r="G55" s="41"/>
      <c r="H55" s="196"/>
      <c r="I55" s="184"/>
      <c r="J55" s="182"/>
      <c r="K55" s="223"/>
      <c r="L55" s="196"/>
      <c r="M55" s="35"/>
      <c r="N55" s="182"/>
      <c r="O55" s="35"/>
      <c r="P55" s="182"/>
      <c r="Q55" s="35"/>
      <c r="R55" s="182"/>
    </row>
    <row r="56" spans="1:18" x14ac:dyDescent="0.2">
      <c r="A56" s="25"/>
      <c r="B56" s="25"/>
      <c r="C56" s="25" t="s">
        <v>102</v>
      </c>
      <c r="D56" s="25">
        <v>1</v>
      </c>
      <c r="E56" s="130"/>
      <c r="F56" s="224" t="s">
        <v>42</v>
      </c>
      <c r="G56" s="41">
        <v>1.0546875</v>
      </c>
      <c r="H56" s="131"/>
      <c r="I56" s="35">
        <v>1.0546875</v>
      </c>
      <c r="J56" s="200">
        <f>E56*H56</f>
        <v>0</v>
      </c>
      <c r="K56" s="223">
        <v>0</v>
      </c>
      <c r="L56" s="212"/>
      <c r="M56" s="35">
        <v>0</v>
      </c>
      <c r="N56" s="200">
        <f>J56*L56</f>
        <v>0</v>
      </c>
      <c r="O56" s="35">
        <v>1.0546875</v>
      </c>
      <c r="P56" s="200">
        <f>+J56-N56</f>
        <v>0</v>
      </c>
      <c r="Q56" s="35">
        <v>675</v>
      </c>
      <c r="R56" s="200">
        <f>+J56*E$7</f>
        <v>0</v>
      </c>
    </row>
    <row r="57" spans="1:18" x14ac:dyDescent="0.2">
      <c r="A57" s="25"/>
      <c r="B57" s="25"/>
      <c r="C57" s="25" t="s">
        <v>103</v>
      </c>
      <c r="D57" s="25">
        <v>0</v>
      </c>
      <c r="E57" s="130"/>
      <c r="F57" s="224" t="s">
        <v>79</v>
      </c>
      <c r="G57" s="41">
        <v>3.09</v>
      </c>
      <c r="H57" s="131"/>
      <c r="I57" s="35">
        <v>0</v>
      </c>
      <c r="J57" s="200">
        <f>E57*H57</f>
        <v>0</v>
      </c>
      <c r="K57" s="223">
        <v>0</v>
      </c>
      <c r="L57" s="212"/>
      <c r="M57" s="35">
        <v>0</v>
      </c>
      <c r="N57" s="200">
        <f>J57*L57</f>
        <v>0</v>
      </c>
      <c r="O57" s="35">
        <v>0</v>
      </c>
      <c r="P57" s="200">
        <f>+J57-N57</f>
        <v>0</v>
      </c>
      <c r="Q57" s="35">
        <v>0</v>
      </c>
      <c r="R57" s="200">
        <f>+J57*E$7</f>
        <v>0</v>
      </c>
    </row>
    <row r="58" spans="1:18" x14ac:dyDescent="0.2">
      <c r="A58" s="25"/>
      <c r="B58" s="25"/>
      <c r="C58" s="25"/>
      <c r="D58" s="25"/>
      <c r="E58" s="207"/>
      <c r="F58" s="21"/>
      <c r="G58" s="41"/>
      <c r="H58" s="196"/>
      <c r="I58" s="35"/>
      <c r="J58" s="182"/>
      <c r="K58" s="223"/>
      <c r="L58" s="196"/>
      <c r="M58" s="35"/>
      <c r="N58" s="182"/>
      <c r="O58" s="35"/>
      <c r="P58" s="182"/>
      <c r="Q58" s="35"/>
      <c r="R58" s="182"/>
    </row>
    <row r="59" spans="1:18" x14ac:dyDescent="0.2">
      <c r="A59" s="25"/>
      <c r="B59" s="25" t="s">
        <v>47</v>
      </c>
      <c r="C59" s="25"/>
      <c r="D59" s="25"/>
      <c r="E59" s="207"/>
      <c r="F59" s="21"/>
      <c r="G59" s="41"/>
      <c r="H59" s="197"/>
      <c r="I59" s="184"/>
      <c r="J59" s="182"/>
      <c r="K59" s="223"/>
      <c r="L59" s="197"/>
      <c r="M59" s="35"/>
      <c r="N59" s="182"/>
      <c r="O59" s="35"/>
      <c r="P59" s="182"/>
      <c r="Q59" s="35"/>
      <c r="R59" s="182"/>
    </row>
    <row r="60" spans="1:18" x14ac:dyDescent="0.2">
      <c r="A60" s="25"/>
      <c r="B60" s="25"/>
      <c r="C60" s="25" t="s">
        <v>102</v>
      </c>
      <c r="D60" s="25">
        <v>1</v>
      </c>
      <c r="E60" s="130"/>
      <c r="F60" s="224" t="s">
        <v>42</v>
      </c>
      <c r="G60" s="41">
        <v>0.3515625</v>
      </c>
      <c r="H60" s="131"/>
      <c r="I60" s="35">
        <v>0.3515625</v>
      </c>
      <c r="J60" s="200">
        <f t="shared" ref="J60:J65" si="12">E60*H60</f>
        <v>0</v>
      </c>
      <c r="K60" s="223">
        <v>0</v>
      </c>
      <c r="L60" s="212"/>
      <c r="M60" s="35">
        <v>0</v>
      </c>
      <c r="N60" s="200">
        <f t="shared" ref="N60:N65" si="13">J60*L60</f>
        <v>0</v>
      </c>
      <c r="O60" s="35">
        <v>0.3515625</v>
      </c>
      <c r="P60" s="200">
        <f t="shared" ref="P60:P65" si="14">+J60-N60</f>
        <v>0</v>
      </c>
      <c r="Q60" s="35">
        <v>225</v>
      </c>
      <c r="R60" s="200">
        <f t="shared" ref="R60:R65" si="15">+J60*E$7</f>
        <v>0</v>
      </c>
    </row>
    <row r="61" spans="1:18" x14ac:dyDescent="0.2">
      <c r="A61" s="25"/>
      <c r="B61" s="25"/>
      <c r="C61" s="25" t="s">
        <v>46</v>
      </c>
      <c r="D61" s="25">
        <v>1</v>
      </c>
      <c r="E61" s="130"/>
      <c r="F61" s="224" t="s">
        <v>42</v>
      </c>
      <c r="G61" s="41">
        <v>13.113339999999999</v>
      </c>
      <c r="H61" s="131"/>
      <c r="I61" s="35">
        <v>13.113339999999999</v>
      </c>
      <c r="J61" s="200">
        <f t="shared" si="12"/>
        <v>0</v>
      </c>
      <c r="K61" s="223">
        <v>0</v>
      </c>
      <c r="L61" s="212"/>
      <c r="M61" s="35">
        <v>0</v>
      </c>
      <c r="N61" s="200">
        <f t="shared" si="13"/>
        <v>0</v>
      </c>
      <c r="O61" s="35">
        <v>13.113339999999999</v>
      </c>
      <c r="P61" s="200">
        <f t="shared" si="14"/>
        <v>0</v>
      </c>
      <c r="Q61" s="35">
        <v>8392.5375999999997</v>
      </c>
      <c r="R61" s="200">
        <f t="shared" si="15"/>
        <v>0</v>
      </c>
    </row>
    <row r="62" spans="1:18" x14ac:dyDescent="0.2">
      <c r="A62" s="25"/>
      <c r="B62" s="25"/>
      <c r="C62" s="25" t="s">
        <v>103</v>
      </c>
      <c r="D62" s="25">
        <v>1</v>
      </c>
      <c r="E62" s="130"/>
      <c r="F62" s="224" t="s">
        <v>42</v>
      </c>
      <c r="G62" s="41">
        <v>10.967241982007126</v>
      </c>
      <c r="H62" s="131"/>
      <c r="I62" s="35">
        <v>10.967241982007126</v>
      </c>
      <c r="J62" s="200">
        <f t="shared" si="12"/>
        <v>0</v>
      </c>
      <c r="K62" s="223">
        <v>0</v>
      </c>
      <c r="L62" s="212"/>
      <c r="M62" s="35">
        <v>0</v>
      </c>
      <c r="N62" s="200">
        <f t="shared" si="13"/>
        <v>0</v>
      </c>
      <c r="O62" s="35">
        <v>10.967241982007126</v>
      </c>
      <c r="P62" s="200">
        <f t="shared" si="14"/>
        <v>0</v>
      </c>
      <c r="Q62" s="35">
        <v>7019.0348684845603</v>
      </c>
      <c r="R62" s="200">
        <f t="shared" si="15"/>
        <v>0</v>
      </c>
    </row>
    <row r="63" spans="1:18" x14ac:dyDescent="0.2">
      <c r="A63" s="25"/>
      <c r="B63" s="25"/>
      <c r="C63" s="25" t="s">
        <v>5</v>
      </c>
      <c r="D63" s="25">
        <v>1</v>
      </c>
      <c r="E63" s="130"/>
      <c r="F63" s="224" t="s">
        <v>42</v>
      </c>
      <c r="G63" s="41">
        <v>17.329538044716344</v>
      </c>
      <c r="H63" s="131"/>
      <c r="I63" s="35">
        <v>17.329538044716344</v>
      </c>
      <c r="J63" s="200">
        <f t="shared" si="12"/>
        <v>0</v>
      </c>
      <c r="K63" s="223">
        <v>0</v>
      </c>
      <c r="L63" s="212"/>
      <c r="M63" s="35">
        <v>0</v>
      </c>
      <c r="N63" s="200">
        <f t="shared" si="13"/>
        <v>0</v>
      </c>
      <c r="O63" s="35">
        <v>17.329538044716344</v>
      </c>
      <c r="P63" s="200">
        <f t="shared" si="14"/>
        <v>0</v>
      </c>
      <c r="Q63" s="35">
        <v>11090.90434861846</v>
      </c>
      <c r="R63" s="200">
        <f t="shared" si="15"/>
        <v>0</v>
      </c>
    </row>
    <row r="64" spans="1:18" x14ac:dyDescent="0.2">
      <c r="A64" s="25"/>
      <c r="B64" s="131"/>
      <c r="C64" s="131"/>
      <c r="D64" s="25"/>
      <c r="E64" s="130"/>
      <c r="F64" s="224"/>
      <c r="G64" s="41"/>
      <c r="H64" s="131"/>
      <c r="I64" s="35">
        <v>0</v>
      </c>
      <c r="J64" s="200">
        <f t="shared" si="12"/>
        <v>0</v>
      </c>
      <c r="K64" s="223">
        <v>0</v>
      </c>
      <c r="L64" s="212"/>
      <c r="M64" s="35">
        <v>0</v>
      </c>
      <c r="N64" s="200">
        <f t="shared" si="13"/>
        <v>0</v>
      </c>
      <c r="O64" s="35">
        <v>0</v>
      </c>
      <c r="P64" s="200">
        <f t="shared" si="14"/>
        <v>0</v>
      </c>
      <c r="Q64" s="35">
        <v>0</v>
      </c>
      <c r="R64" s="200">
        <f t="shared" si="15"/>
        <v>0</v>
      </c>
    </row>
    <row r="65" spans="1:18" x14ac:dyDescent="0.2">
      <c r="A65" s="25"/>
      <c r="B65" s="131"/>
      <c r="C65" s="131"/>
      <c r="D65" s="25"/>
      <c r="E65" s="130"/>
      <c r="F65" s="224"/>
      <c r="G65" s="41"/>
      <c r="H65" s="131"/>
      <c r="I65" s="35">
        <v>0</v>
      </c>
      <c r="J65" s="200">
        <f t="shared" si="12"/>
        <v>0</v>
      </c>
      <c r="K65" s="223">
        <v>0</v>
      </c>
      <c r="L65" s="212"/>
      <c r="M65" s="35">
        <v>0</v>
      </c>
      <c r="N65" s="200">
        <f t="shared" si="13"/>
        <v>0</v>
      </c>
      <c r="O65" s="35">
        <v>0</v>
      </c>
      <c r="P65" s="200">
        <f t="shared" si="14"/>
        <v>0</v>
      </c>
      <c r="Q65" s="35">
        <v>0</v>
      </c>
      <c r="R65" s="200">
        <f t="shared" si="15"/>
        <v>0</v>
      </c>
    </row>
    <row r="66" spans="1:18" ht="13.5" thickBot="1" x14ac:dyDescent="0.25">
      <c r="A66" s="25"/>
      <c r="B66" s="25" t="s">
        <v>32</v>
      </c>
      <c r="C66" s="25"/>
      <c r="D66" s="25"/>
      <c r="E66" s="195"/>
      <c r="F66" s="21"/>
      <c r="G66" s="39">
        <v>0.09</v>
      </c>
      <c r="H66" s="213"/>
      <c r="I66" s="42">
        <v>25.236767888467309</v>
      </c>
      <c r="J66" s="200">
        <f>+SUM(J17:J65)/2*H66</f>
        <v>0</v>
      </c>
      <c r="K66" s="86"/>
      <c r="L66" s="135"/>
      <c r="M66" s="42">
        <v>0</v>
      </c>
      <c r="N66" s="200">
        <f>+SUM(N17:N65)/2*L66</f>
        <v>0</v>
      </c>
      <c r="O66" s="42">
        <v>25.236767888467309</v>
      </c>
      <c r="P66" s="200">
        <f>+SUM(P17:P65)/2*L66</f>
        <v>0</v>
      </c>
      <c r="Q66" s="42">
        <v>16151.531448619078</v>
      </c>
      <c r="R66" s="182">
        <f>+J66*E$7</f>
        <v>0</v>
      </c>
    </row>
    <row r="67" spans="1:18" ht="13.5" thickBot="1" x14ac:dyDescent="0.25">
      <c r="A67" s="25" t="s">
        <v>33</v>
      </c>
      <c r="B67" s="25"/>
      <c r="C67" s="25"/>
      <c r="D67" s="25"/>
      <c r="E67" s="198"/>
      <c r="F67" s="25"/>
      <c r="G67" s="25"/>
      <c r="H67" s="195"/>
      <c r="I67" s="87">
        <v>692.5849929151907</v>
      </c>
      <c r="J67" s="202">
        <f>SUM(J18:J66)</f>
        <v>0</v>
      </c>
      <c r="K67" s="35"/>
      <c r="L67" s="193"/>
      <c r="M67" s="87">
        <v>0</v>
      </c>
      <c r="N67" s="202">
        <f>SUM(N18:N66)</f>
        <v>0</v>
      </c>
      <c r="O67" s="87">
        <v>692.5849929151907</v>
      </c>
      <c r="P67" s="202">
        <f>SUM(P18:P66)</f>
        <v>0</v>
      </c>
      <c r="Q67" s="87">
        <v>443254.39546572213</v>
      </c>
      <c r="R67" s="202">
        <f>SUM(R18:R66)</f>
        <v>0</v>
      </c>
    </row>
    <row r="68" spans="1:18" ht="13.5" thickTop="1" x14ac:dyDescent="0.2">
      <c r="A68" s="25" t="s">
        <v>34</v>
      </c>
      <c r="B68" s="25"/>
      <c r="C68" s="25"/>
      <c r="D68" s="25"/>
      <c r="E68" s="198"/>
      <c r="F68" s="25"/>
      <c r="G68" s="25"/>
      <c r="H68" s="195"/>
      <c r="I68" s="35">
        <v>464.90500708480931</v>
      </c>
      <c r="J68" s="200">
        <f>+J13-J67</f>
        <v>0</v>
      </c>
      <c r="K68" s="35"/>
      <c r="L68" s="193"/>
      <c r="M68" s="35">
        <v>0</v>
      </c>
      <c r="N68" s="200">
        <f>+N13-N67</f>
        <v>0</v>
      </c>
      <c r="O68" s="35">
        <v>464.90500708480931</v>
      </c>
      <c r="P68" s="200">
        <f>+P13-P67</f>
        <v>0</v>
      </c>
      <c r="Q68" s="35">
        <v>297539.20453427784</v>
      </c>
      <c r="R68" s="200">
        <f>+R13-R67</f>
        <v>0</v>
      </c>
    </row>
    <row r="69" spans="1:18" x14ac:dyDescent="0.2">
      <c r="A69" s="25"/>
      <c r="B69" s="25" t="s">
        <v>35</v>
      </c>
      <c r="C69" s="25"/>
      <c r="D69" s="25"/>
      <c r="E69" s="208"/>
      <c r="F69" s="17"/>
      <c r="G69" s="40">
        <v>0.48466409581188991</v>
      </c>
      <c r="H69" s="208" t="str">
        <f>IF(E10=0,"n/a",(YVarExp-(YTotExp+YTotRet-J10))/E10)</f>
        <v>n/a</v>
      </c>
      <c r="I69" s="25" t="s">
        <v>82</v>
      </c>
      <c r="J69" s="182"/>
      <c r="K69" s="25"/>
      <c r="L69" s="195"/>
      <c r="M69" s="25"/>
      <c r="N69" s="182"/>
      <c r="O69" s="25"/>
      <c r="P69" s="182"/>
      <c r="Q69" s="25"/>
      <c r="R69" s="182"/>
    </row>
    <row r="70" spans="1:18" x14ac:dyDescent="0.2">
      <c r="A70" s="25"/>
      <c r="B70" s="25"/>
      <c r="C70" s="25"/>
      <c r="D70" s="25"/>
      <c r="E70" s="176"/>
      <c r="F70" s="25"/>
      <c r="G70" s="25"/>
      <c r="H70" s="209"/>
      <c r="I70" s="25"/>
      <c r="J70" s="182"/>
      <c r="K70" s="25"/>
      <c r="L70" s="195"/>
      <c r="M70" s="25"/>
      <c r="N70" s="182"/>
      <c r="O70" s="25"/>
      <c r="P70" s="182"/>
      <c r="Q70" s="22" t="s">
        <v>19</v>
      </c>
      <c r="R70" s="182" t="s">
        <v>19</v>
      </c>
    </row>
    <row r="71" spans="1:18" x14ac:dyDescent="0.2">
      <c r="A71" s="23" t="s">
        <v>36</v>
      </c>
      <c r="B71" s="23"/>
      <c r="C71" s="23"/>
      <c r="D71" s="24" t="s">
        <v>2</v>
      </c>
      <c r="E71" s="194" t="s">
        <v>2</v>
      </c>
      <c r="F71" s="24" t="s">
        <v>21</v>
      </c>
      <c r="G71" s="24" t="s">
        <v>22</v>
      </c>
      <c r="H71" s="194" t="s">
        <v>22</v>
      </c>
      <c r="I71" s="24" t="s">
        <v>12</v>
      </c>
      <c r="J71" s="194" t="s">
        <v>12</v>
      </c>
      <c r="K71" s="24" t="s">
        <v>11</v>
      </c>
      <c r="L71" s="194" t="s">
        <v>11</v>
      </c>
      <c r="M71" s="24" t="s">
        <v>10</v>
      </c>
      <c r="N71" s="194" t="s">
        <v>10</v>
      </c>
      <c r="O71" s="24" t="s">
        <v>9</v>
      </c>
      <c r="P71" s="194" t="s">
        <v>9</v>
      </c>
      <c r="Q71" s="24" t="s">
        <v>12</v>
      </c>
      <c r="R71" s="206" t="s">
        <v>12</v>
      </c>
    </row>
    <row r="72" spans="1:18" x14ac:dyDescent="0.2">
      <c r="A72" s="25"/>
      <c r="B72" s="25" t="s">
        <v>104</v>
      </c>
      <c r="C72" s="25"/>
      <c r="D72" s="25"/>
      <c r="E72" s="176"/>
      <c r="F72" s="25"/>
      <c r="G72" s="25"/>
      <c r="H72" s="209"/>
      <c r="I72" s="184"/>
      <c r="J72" s="182"/>
      <c r="K72" s="223"/>
      <c r="L72" s="195"/>
      <c r="M72" s="25"/>
      <c r="N72" s="182"/>
      <c r="O72" s="25"/>
      <c r="P72" s="182"/>
      <c r="Q72" s="25"/>
      <c r="R72" s="182"/>
    </row>
    <row r="73" spans="1:18" x14ac:dyDescent="0.2">
      <c r="A73" s="25"/>
      <c r="B73" s="25"/>
      <c r="C73" s="25" t="s">
        <v>102</v>
      </c>
      <c r="D73" s="25">
        <v>1</v>
      </c>
      <c r="E73" s="130"/>
      <c r="F73" s="224" t="s">
        <v>42</v>
      </c>
      <c r="G73" s="41">
        <v>0.48808593750000001</v>
      </c>
      <c r="H73" s="131"/>
      <c r="I73" s="35">
        <v>0.48808593750000001</v>
      </c>
      <c r="J73" s="200">
        <f t="shared" ref="J73:J76" si="16">E73*H73</f>
        <v>0</v>
      </c>
      <c r="K73" s="223">
        <v>0</v>
      </c>
      <c r="L73" s="212"/>
      <c r="M73" s="35">
        <v>0</v>
      </c>
      <c r="N73" s="200">
        <f>J73*L73</f>
        <v>0</v>
      </c>
      <c r="O73" s="35">
        <v>0.48808593750000001</v>
      </c>
      <c r="P73" s="200">
        <f t="shared" ref="P73:P76" si="17">+J73-N73</f>
        <v>0</v>
      </c>
      <c r="Q73" s="35">
        <v>312.375</v>
      </c>
      <c r="R73" s="200">
        <f t="shared" ref="R73:R76" si="18">+J73*E$7</f>
        <v>0</v>
      </c>
    </row>
    <row r="74" spans="1:18" x14ac:dyDescent="0.2">
      <c r="A74" s="25"/>
      <c r="B74" s="25"/>
      <c r="C74" s="25" t="s">
        <v>46</v>
      </c>
      <c r="D74" s="25">
        <v>1</v>
      </c>
      <c r="E74" s="130"/>
      <c r="F74" s="224" t="s">
        <v>42</v>
      </c>
      <c r="G74" s="41">
        <v>24.375</v>
      </c>
      <c r="H74" s="131"/>
      <c r="I74" s="35">
        <v>24.375</v>
      </c>
      <c r="J74" s="200">
        <f t="shared" si="16"/>
        <v>0</v>
      </c>
      <c r="K74" s="223">
        <v>0</v>
      </c>
      <c r="L74" s="212"/>
      <c r="M74" s="35">
        <v>0</v>
      </c>
      <c r="N74" s="200">
        <f>J74*L74</f>
        <v>0</v>
      </c>
      <c r="O74" s="35">
        <v>24.375</v>
      </c>
      <c r="P74" s="200">
        <f t="shared" si="17"/>
        <v>0</v>
      </c>
      <c r="Q74" s="35">
        <v>15600</v>
      </c>
      <c r="R74" s="200">
        <f t="shared" si="18"/>
        <v>0</v>
      </c>
    </row>
    <row r="75" spans="1:18" x14ac:dyDescent="0.2">
      <c r="A75" s="25"/>
      <c r="B75" s="25"/>
      <c r="C75" s="25" t="s">
        <v>103</v>
      </c>
      <c r="D75" s="25">
        <v>1</v>
      </c>
      <c r="E75" s="130"/>
      <c r="F75" s="224" t="s">
        <v>42</v>
      </c>
      <c r="G75" s="41">
        <v>15.802856354427547</v>
      </c>
      <c r="H75" s="131"/>
      <c r="I75" s="35">
        <v>15.802856354427547</v>
      </c>
      <c r="J75" s="200">
        <f t="shared" si="16"/>
        <v>0</v>
      </c>
      <c r="K75" s="223">
        <v>0</v>
      </c>
      <c r="L75" s="212"/>
      <c r="M75" s="35">
        <v>0</v>
      </c>
      <c r="N75" s="200">
        <f>J75*L75</f>
        <v>0</v>
      </c>
      <c r="O75" s="35">
        <v>15.802856354427547</v>
      </c>
      <c r="P75" s="200">
        <f t="shared" si="17"/>
        <v>0</v>
      </c>
      <c r="Q75" s="35">
        <v>10113.82806683363</v>
      </c>
      <c r="R75" s="200">
        <f t="shared" si="18"/>
        <v>0</v>
      </c>
    </row>
    <row r="76" spans="1:18" x14ac:dyDescent="0.2">
      <c r="A76" s="25"/>
      <c r="B76" s="25"/>
      <c r="C76" s="25" t="s">
        <v>5</v>
      </c>
      <c r="D76" s="25">
        <v>1</v>
      </c>
      <c r="E76" s="130"/>
      <c r="F76" s="224" t="s">
        <v>42</v>
      </c>
      <c r="G76" s="41">
        <v>18.879797275958996</v>
      </c>
      <c r="H76" s="131"/>
      <c r="I76" s="35">
        <v>18.879797275958996</v>
      </c>
      <c r="J76" s="200">
        <f t="shared" si="16"/>
        <v>0</v>
      </c>
      <c r="K76" s="223">
        <v>0</v>
      </c>
      <c r="L76" s="212"/>
      <c r="M76" s="35">
        <v>0</v>
      </c>
      <c r="N76" s="200">
        <f>J76*L76</f>
        <v>0</v>
      </c>
      <c r="O76" s="35">
        <v>18.879797275958996</v>
      </c>
      <c r="P76" s="200">
        <f t="shared" si="17"/>
        <v>0</v>
      </c>
      <c r="Q76" s="35">
        <v>12083.070256613757</v>
      </c>
      <c r="R76" s="200">
        <f t="shared" si="18"/>
        <v>0</v>
      </c>
    </row>
    <row r="77" spans="1:18" x14ac:dyDescent="0.2">
      <c r="A77" s="25"/>
      <c r="B77" s="25" t="s">
        <v>88</v>
      </c>
      <c r="C77" s="25"/>
      <c r="D77" s="25"/>
      <c r="E77" s="195"/>
      <c r="F77" s="21"/>
      <c r="G77" s="41"/>
      <c r="H77" s="195"/>
      <c r="I77" s="184"/>
      <c r="J77" s="182"/>
      <c r="K77" s="223"/>
      <c r="L77" s="195"/>
      <c r="M77" s="35"/>
      <c r="N77" s="182"/>
      <c r="O77" s="35"/>
      <c r="P77" s="182"/>
      <c r="Q77" s="35"/>
      <c r="R77" s="182"/>
    </row>
    <row r="78" spans="1:18" x14ac:dyDescent="0.2">
      <c r="A78" s="25"/>
      <c r="B78" s="25"/>
      <c r="C78" s="25" t="s">
        <v>102</v>
      </c>
      <c r="D78" s="41">
        <v>3.4189453125</v>
      </c>
      <c r="E78" s="130"/>
      <c r="F78" s="224" t="s">
        <v>99</v>
      </c>
      <c r="G78" s="39">
        <v>0.08</v>
      </c>
      <c r="H78" s="213"/>
      <c r="I78" s="35">
        <v>0.27351562499999998</v>
      </c>
      <c r="J78" s="200">
        <f t="shared" ref="J78:J88" si="19">E78*H78</f>
        <v>0</v>
      </c>
      <c r="K78" s="223">
        <v>0</v>
      </c>
      <c r="L78" s="212"/>
      <c r="M78" s="35">
        <v>0</v>
      </c>
      <c r="N78" s="200">
        <f>J78*L78</f>
        <v>0</v>
      </c>
      <c r="O78" s="35">
        <v>0.27351562499999998</v>
      </c>
      <c r="P78" s="200">
        <f t="shared" ref="P78:P81" si="20">+J78-N78</f>
        <v>0</v>
      </c>
      <c r="Q78" s="35">
        <v>175.04999999999998</v>
      </c>
      <c r="R78" s="200">
        <f t="shared" ref="R78:R81" si="21">+J78*E$7</f>
        <v>0</v>
      </c>
    </row>
    <row r="79" spans="1:18" x14ac:dyDescent="0.2">
      <c r="A79" s="25"/>
      <c r="B79" s="25"/>
      <c r="C79" s="25" t="s">
        <v>46</v>
      </c>
      <c r="D79" s="41">
        <v>710.9375</v>
      </c>
      <c r="E79" s="130"/>
      <c r="F79" s="224" t="s">
        <v>99</v>
      </c>
      <c r="G79" s="39">
        <v>0.08</v>
      </c>
      <c r="H79" s="213"/>
      <c r="I79" s="35">
        <v>56.875</v>
      </c>
      <c r="J79" s="200">
        <f t="shared" si="19"/>
        <v>0</v>
      </c>
      <c r="K79" s="223">
        <v>0</v>
      </c>
      <c r="L79" s="212"/>
      <c r="M79" s="35">
        <v>0</v>
      </c>
      <c r="N79" s="200">
        <f>J79*L79</f>
        <v>0</v>
      </c>
      <c r="O79" s="35">
        <v>56.875</v>
      </c>
      <c r="P79" s="200">
        <f t="shared" si="20"/>
        <v>0</v>
      </c>
      <c r="Q79" s="35">
        <v>36400</v>
      </c>
      <c r="R79" s="200">
        <f t="shared" si="21"/>
        <v>0</v>
      </c>
    </row>
    <row r="80" spans="1:18" x14ac:dyDescent="0.2">
      <c r="A80" s="25"/>
      <c r="B80" s="25"/>
      <c r="C80" s="25" t="s">
        <v>103</v>
      </c>
      <c r="D80" s="41">
        <v>121.03241403121197</v>
      </c>
      <c r="E80" s="130"/>
      <c r="F80" s="224" t="s">
        <v>99</v>
      </c>
      <c r="G80" s="39">
        <v>0.08</v>
      </c>
      <c r="H80" s="213"/>
      <c r="I80" s="35">
        <v>9.6825931224969572</v>
      </c>
      <c r="J80" s="200">
        <f t="shared" si="19"/>
        <v>0</v>
      </c>
      <c r="K80" s="223">
        <v>0</v>
      </c>
      <c r="L80" s="212"/>
      <c r="M80" s="35">
        <v>0</v>
      </c>
      <c r="N80" s="200">
        <f>J80*L80</f>
        <v>0</v>
      </c>
      <c r="O80" s="35">
        <v>9.6825931224969572</v>
      </c>
      <c r="P80" s="200">
        <f t="shared" si="20"/>
        <v>0</v>
      </c>
      <c r="Q80" s="35">
        <v>6196.8595983980522</v>
      </c>
      <c r="R80" s="200">
        <f t="shared" si="21"/>
        <v>0</v>
      </c>
    </row>
    <row r="81" spans="1:18" x14ac:dyDescent="0.2">
      <c r="A81" s="25"/>
      <c r="B81" s="25"/>
      <c r="C81" s="25" t="s">
        <v>5</v>
      </c>
      <c r="D81" s="41">
        <v>80.763577236046828</v>
      </c>
      <c r="E81" s="130"/>
      <c r="F81" s="224" t="s">
        <v>99</v>
      </c>
      <c r="G81" s="39">
        <v>0.08</v>
      </c>
      <c r="H81" s="213"/>
      <c r="I81" s="35">
        <v>6.4610861788837468</v>
      </c>
      <c r="J81" s="200">
        <f t="shared" si="19"/>
        <v>0</v>
      </c>
      <c r="K81" s="223">
        <v>0</v>
      </c>
      <c r="L81" s="212"/>
      <c r="M81" s="35">
        <v>0</v>
      </c>
      <c r="N81" s="200">
        <f>J81*L81</f>
        <v>0</v>
      </c>
      <c r="O81" s="35">
        <v>6.4610861788837468</v>
      </c>
      <c r="P81" s="200">
        <f t="shared" si="20"/>
        <v>0</v>
      </c>
      <c r="Q81" s="35">
        <v>4135.095154485598</v>
      </c>
      <c r="R81" s="200">
        <f t="shared" si="21"/>
        <v>0</v>
      </c>
    </row>
    <row r="82" spans="1:18" x14ac:dyDescent="0.2">
      <c r="A82" s="25"/>
      <c r="B82" s="25" t="s">
        <v>156</v>
      </c>
      <c r="C82" s="25"/>
      <c r="D82" s="25">
        <v>1</v>
      </c>
      <c r="E82" s="130"/>
      <c r="F82" s="224" t="s">
        <v>42</v>
      </c>
      <c r="G82" s="41">
        <v>0</v>
      </c>
      <c r="H82" s="131"/>
      <c r="I82" s="35">
        <v>0</v>
      </c>
      <c r="J82" s="200">
        <f t="shared" si="19"/>
        <v>0</v>
      </c>
      <c r="K82" s="223">
        <v>0</v>
      </c>
      <c r="L82" s="212"/>
      <c r="M82" s="35">
        <v>0</v>
      </c>
      <c r="N82" s="200">
        <f t="shared" ref="N82:N89" si="22">J82*L82</f>
        <v>0</v>
      </c>
      <c r="O82" s="35">
        <v>0</v>
      </c>
      <c r="P82" s="200">
        <f t="shared" ref="P82:P89" si="23">+J82-N82</f>
        <v>0</v>
      </c>
      <c r="Q82" s="35">
        <v>0</v>
      </c>
      <c r="R82" s="200">
        <f t="shared" ref="R82:R89" si="24">+J82*E$7</f>
        <v>0</v>
      </c>
    </row>
    <row r="83" spans="1:18" x14ac:dyDescent="0.2">
      <c r="A83" s="25"/>
      <c r="B83" s="25" t="s">
        <v>152</v>
      </c>
      <c r="C83" s="25"/>
      <c r="D83" s="25">
        <v>1</v>
      </c>
      <c r="E83" s="130"/>
      <c r="F83" s="224" t="s">
        <v>42</v>
      </c>
      <c r="G83" s="41">
        <v>0</v>
      </c>
      <c r="H83" s="131"/>
      <c r="I83" s="35">
        <v>0</v>
      </c>
      <c r="J83" s="200">
        <f t="shared" si="19"/>
        <v>0</v>
      </c>
      <c r="K83" s="223">
        <v>0</v>
      </c>
      <c r="L83" s="212"/>
      <c r="M83" s="35">
        <v>0</v>
      </c>
      <c r="N83" s="200">
        <f t="shared" si="22"/>
        <v>0</v>
      </c>
      <c r="O83" s="35">
        <v>0</v>
      </c>
      <c r="P83" s="200">
        <f t="shared" si="23"/>
        <v>0</v>
      </c>
      <c r="Q83" s="35">
        <v>0</v>
      </c>
      <c r="R83" s="200">
        <f t="shared" si="24"/>
        <v>0</v>
      </c>
    </row>
    <row r="84" spans="1:18" x14ac:dyDescent="0.2">
      <c r="A84" s="25"/>
      <c r="B84" s="25" t="s">
        <v>137</v>
      </c>
      <c r="C84" s="25"/>
      <c r="D84" s="25">
        <v>1</v>
      </c>
      <c r="E84" s="130"/>
      <c r="F84" s="224" t="s">
        <v>42</v>
      </c>
      <c r="G84" s="41">
        <v>0</v>
      </c>
      <c r="H84" s="131"/>
      <c r="I84" s="35">
        <v>0</v>
      </c>
      <c r="J84" s="200">
        <f t="shared" si="19"/>
        <v>0</v>
      </c>
      <c r="K84" s="223">
        <v>0</v>
      </c>
      <c r="L84" s="212"/>
      <c r="M84" s="35">
        <v>0</v>
      </c>
      <c r="N84" s="200">
        <f t="shared" si="22"/>
        <v>0</v>
      </c>
      <c r="O84" s="35">
        <v>0</v>
      </c>
      <c r="P84" s="200">
        <f t="shared" si="23"/>
        <v>0</v>
      </c>
      <c r="Q84" s="35">
        <v>0</v>
      </c>
      <c r="R84" s="200">
        <f t="shared" si="24"/>
        <v>0</v>
      </c>
    </row>
    <row r="85" spans="1:18" x14ac:dyDescent="0.2">
      <c r="A85" s="25"/>
      <c r="B85" s="25" t="s">
        <v>417</v>
      </c>
      <c r="C85" s="25"/>
      <c r="D85" s="25">
        <v>1</v>
      </c>
      <c r="E85" s="130"/>
      <c r="F85" s="224" t="s">
        <v>42</v>
      </c>
      <c r="G85" s="41">
        <v>90</v>
      </c>
      <c r="H85" s="131"/>
      <c r="I85" s="35">
        <v>90</v>
      </c>
      <c r="J85" s="200">
        <f t="shared" si="19"/>
        <v>0</v>
      </c>
      <c r="K85" s="223">
        <v>0</v>
      </c>
      <c r="L85" s="212"/>
      <c r="M85" s="35">
        <v>0</v>
      </c>
      <c r="N85" s="200">
        <f t="shared" si="22"/>
        <v>0</v>
      </c>
      <c r="O85" s="35">
        <v>90</v>
      </c>
      <c r="P85" s="200">
        <f t="shared" si="23"/>
        <v>0</v>
      </c>
      <c r="Q85" s="35">
        <v>57600</v>
      </c>
      <c r="R85" s="200">
        <f t="shared" si="24"/>
        <v>0</v>
      </c>
    </row>
    <row r="86" spans="1:18" x14ac:dyDescent="0.2">
      <c r="A86" s="25"/>
      <c r="B86" s="25" t="s">
        <v>159</v>
      </c>
      <c r="C86" s="25"/>
      <c r="D86" s="25">
        <v>1</v>
      </c>
      <c r="E86" s="130"/>
      <c r="F86" s="224" t="s">
        <v>42</v>
      </c>
      <c r="G86" s="41">
        <v>0</v>
      </c>
      <c r="H86" s="131"/>
      <c r="I86" s="35">
        <v>0</v>
      </c>
      <c r="J86" s="200">
        <f t="shared" si="19"/>
        <v>0</v>
      </c>
      <c r="K86" s="223">
        <v>0</v>
      </c>
      <c r="L86" s="212"/>
      <c r="M86" s="35">
        <v>0</v>
      </c>
      <c r="N86" s="200">
        <f t="shared" si="22"/>
        <v>0</v>
      </c>
      <c r="O86" s="35">
        <v>0</v>
      </c>
      <c r="P86" s="200">
        <f t="shared" si="23"/>
        <v>0</v>
      </c>
      <c r="Q86" s="35">
        <v>0</v>
      </c>
      <c r="R86" s="200">
        <f t="shared" si="24"/>
        <v>0</v>
      </c>
    </row>
    <row r="87" spans="1:18" x14ac:dyDescent="0.2">
      <c r="A87" s="25"/>
      <c r="B87" s="25" t="s">
        <v>160</v>
      </c>
      <c r="C87" s="25"/>
      <c r="D87" s="25">
        <v>1</v>
      </c>
      <c r="E87" s="130"/>
      <c r="F87" s="224" t="s">
        <v>42</v>
      </c>
      <c r="G87" s="41">
        <v>0</v>
      </c>
      <c r="H87" s="131"/>
      <c r="I87" s="35">
        <v>0</v>
      </c>
      <c r="J87" s="200">
        <f t="shared" si="19"/>
        <v>0</v>
      </c>
      <c r="K87" s="223">
        <v>0</v>
      </c>
      <c r="L87" s="212"/>
      <c r="M87" s="35">
        <v>0</v>
      </c>
      <c r="N87" s="200">
        <f t="shared" si="22"/>
        <v>0</v>
      </c>
      <c r="O87" s="35">
        <v>0</v>
      </c>
      <c r="P87" s="200">
        <f t="shared" si="23"/>
        <v>0</v>
      </c>
      <c r="Q87" s="35">
        <v>0</v>
      </c>
      <c r="R87" s="200">
        <f t="shared" si="24"/>
        <v>0</v>
      </c>
    </row>
    <row r="88" spans="1:18" x14ac:dyDescent="0.2">
      <c r="A88" s="25"/>
      <c r="B88" s="131"/>
      <c r="C88" s="131"/>
      <c r="D88" s="25">
        <v>1</v>
      </c>
      <c r="E88" s="130"/>
      <c r="F88" s="224"/>
      <c r="G88" s="41">
        <v>0</v>
      </c>
      <c r="H88" s="131"/>
      <c r="I88" s="35">
        <v>0</v>
      </c>
      <c r="J88" s="200">
        <f t="shared" si="19"/>
        <v>0</v>
      </c>
      <c r="K88" s="223">
        <v>0</v>
      </c>
      <c r="L88" s="212"/>
      <c r="M88" s="35">
        <v>0</v>
      </c>
      <c r="N88" s="200">
        <f t="shared" si="22"/>
        <v>0</v>
      </c>
      <c r="O88" s="35">
        <v>0</v>
      </c>
      <c r="P88" s="200">
        <f t="shared" si="23"/>
        <v>0</v>
      </c>
      <c r="Q88" s="35">
        <v>0</v>
      </c>
      <c r="R88" s="200">
        <f t="shared" si="24"/>
        <v>0</v>
      </c>
    </row>
    <row r="89" spans="1:18" ht="13.5" thickBot="1" x14ac:dyDescent="0.25">
      <c r="A89" s="25"/>
      <c r="B89" s="131"/>
      <c r="C89" s="131"/>
      <c r="D89" s="25">
        <v>1</v>
      </c>
      <c r="E89" s="130"/>
      <c r="F89" s="224"/>
      <c r="G89" s="41">
        <v>0</v>
      </c>
      <c r="H89" s="131"/>
      <c r="I89" s="35">
        <v>0</v>
      </c>
      <c r="J89" s="200">
        <f>E89*H89</f>
        <v>0</v>
      </c>
      <c r="K89" s="223">
        <v>0</v>
      </c>
      <c r="L89" s="212"/>
      <c r="M89" s="35">
        <v>0</v>
      </c>
      <c r="N89" s="200">
        <f t="shared" si="22"/>
        <v>0</v>
      </c>
      <c r="O89" s="35">
        <v>0</v>
      </c>
      <c r="P89" s="200">
        <f t="shared" si="23"/>
        <v>0</v>
      </c>
      <c r="Q89" s="35">
        <v>0</v>
      </c>
      <c r="R89" s="200">
        <f t="shared" si="24"/>
        <v>0</v>
      </c>
    </row>
    <row r="90" spans="1:18" ht="13.5" thickBot="1" x14ac:dyDescent="0.25">
      <c r="A90" s="25" t="s">
        <v>37</v>
      </c>
      <c r="B90" s="25"/>
      <c r="C90" s="25"/>
      <c r="D90" s="25"/>
      <c r="E90" s="195"/>
      <c r="F90" s="25"/>
      <c r="G90" s="25"/>
      <c r="H90" s="195"/>
      <c r="I90" s="118">
        <v>222.83793449426724</v>
      </c>
      <c r="J90" s="202">
        <f>+SUM(J73:J89)</f>
        <v>0</v>
      </c>
      <c r="K90" s="35"/>
      <c r="L90" s="193"/>
      <c r="M90" s="118">
        <v>0</v>
      </c>
      <c r="N90" s="202">
        <f>+SUM(N73:N89)</f>
        <v>0</v>
      </c>
      <c r="O90" s="118">
        <v>222.83793449426724</v>
      </c>
      <c r="P90" s="202">
        <f>+SUM(P73:P89)</f>
        <v>0</v>
      </c>
      <c r="Q90" s="118">
        <v>142616.27807633101</v>
      </c>
      <c r="R90" s="202">
        <f>+SUM(R73:R89)</f>
        <v>0</v>
      </c>
    </row>
    <row r="91" spans="1:18" ht="14.25" thickTop="1" thickBot="1" x14ac:dyDescent="0.25">
      <c r="A91" s="25" t="s">
        <v>52</v>
      </c>
      <c r="B91" s="25"/>
      <c r="C91" s="25"/>
      <c r="D91" s="25"/>
      <c r="E91" s="195"/>
      <c r="F91" s="25"/>
      <c r="G91" s="25"/>
      <c r="H91" s="195"/>
      <c r="I91" s="87">
        <v>915.422927409458</v>
      </c>
      <c r="J91" s="203">
        <f>+J67+J90</f>
        <v>0</v>
      </c>
      <c r="K91" s="35"/>
      <c r="L91" s="193"/>
      <c r="M91" s="87">
        <v>0</v>
      </c>
      <c r="N91" s="203">
        <f>+N67+N90</f>
        <v>0</v>
      </c>
      <c r="O91" s="87">
        <v>915.422927409458</v>
      </c>
      <c r="P91" s="203">
        <f>+P67+P90</f>
        <v>0</v>
      </c>
      <c r="Q91" s="87">
        <v>585870.67354205321</v>
      </c>
      <c r="R91" s="203">
        <f>+R67+R90</f>
        <v>0</v>
      </c>
    </row>
    <row r="92" spans="1:18" ht="13.5" thickTop="1" x14ac:dyDescent="0.2">
      <c r="A92" s="25"/>
      <c r="B92" s="25"/>
      <c r="C92" s="25"/>
      <c r="D92" s="25"/>
      <c r="E92" s="195"/>
      <c r="F92" s="25"/>
      <c r="G92" s="25"/>
      <c r="H92" s="195"/>
      <c r="I92" s="35"/>
      <c r="J92" s="182"/>
      <c r="K92" s="35"/>
      <c r="L92" s="193"/>
      <c r="M92" s="35"/>
      <c r="N92" s="182"/>
      <c r="O92" s="35"/>
      <c r="P92" s="182"/>
      <c r="Q92" s="35"/>
      <c r="R92" s="182"/>
    </row>
    <row r="93" spans="1:18" x14ac:dyDescent="0.2">
      <c r="A93" s="25" t="s">
        <v>153</v>
      </c>
      <c r="B93" s="25"/>
      <c r="C93" s="25"/>
      <c r="D93" s="25"/>
      <c r="E93" s="195"/>
      <c r="F93" s="25"/>
      <c r="G93" s="25"/>
      <c r="H93" s="195"/>
      <c r="I93" s="35">
        <v>242.06707259054201</v>
      </c>
      <c r="J93" s="200">
        <f>+J13-J91</f>
        <v>0</v>
      </c>
      <c r="K93" s="35"/>
      <c r="L93" s="193"/>
      <c r="M93" s="35">
        <v>0</v>
      </c>
      <c r="N93" s="200">
        <f>+N13-N91</f>
        <v>0</v>
      </c>
      <c r="O93" s="35">
        <v>242.06707259054201</v>
      </c>
      <c r="P93" s="200">
        <f>+P13-P91</f>
        <v>0</v>
      </c>
      <c r="Q93" s="35">
        <v>154922.92645794677</v>
      </c>
      <c r="R93" s="200">
        <f>+R13-R91</f>
        <v>0</v>
      </c>
    </row>
    <row r="94" spans="1:18" x14ac:dyDescent="0.2">
      <c r="A94" s="25"/>
      <c r="B94" s="25"/>
      <c r="C94" s="25"/>
      <c r="D94" s="25"/>
      <c r="E94" s="195"/>
      <c r="F94" s="25"/>
      <c r="G94" s="25"/>
      <c r="H94" s="195"/>
      <c r="I94" s="35"/>
      <c r="J94" s="204"/>
      <c r="K94" s="35"/>
      <c r="L94" s="193"/>
      <c r="M94" s="35"/>
      <c r="N94" s="193"/>
      <c r="O94" s="35"/>
      <c r="P94" s="193"/>
      <c r="Q94" s="35"/>
      <c r="R94" s="204"/>
    </row>
    <row r="95" spans="1:18" ht="13.5" thickBot="1" x14ac:dyDescent="0.25">
      <c r="A95" s="44" t="s">
        <v>38</v>
      </c>
      <c r="B95" s="44"/>
      <c r="C95" s="44"/>
      <c r="D95" s="44"/>
      <c r="E95" s="199"/>
      <c r="F95" s="44"/>
      <c r="G95" s="45">
        <v>0.64060386802621272</v>
      </c>
      <c r="H95" s="210" t="str">
        <f>IF(E10=0,"n/a",(YTotExp-(YTotExp+YTotRet-J10))/E10)</f>
        <v>n/a</v>
      </c>
      <c r="I95" s="44" t="s">
        <v>82</v>
      </c>
      <c r="J95" s="205"/>
      <c r="K95" s="44"/>
      <c r="L95" s="199"/>
      <c r="M95" s="44"/>
      <c r="N95" s="199"/>
      <c r="O95" s="44"/>
      <c r="P95" s="199"/>
      <c r="Q95" s="44"/>
      <c r="R95" s="205"/>
    </row>
    <row r="96" spans="1:18" ht="13.5" thickTop="1" x14ac:dyDescent="0.2"/>
    <row r="97" spans="1:18" s="17" customFormat="1" ht="15.75" x14ac:dyDescent="0.25">
      <c r="A97"/>
      <c r="B97" s="88"/>
      <c r="C97" s="89"/>
      <c r="D97" s="234" t="s">
        <v>113</v>
      </c>
      <c r="E97" s="235"/>
      <c r="F97" s="235"/>
      <c r="G97" s="235"/>
      <c r="H97" s="235"/>
      <c r="I97" s="235"/>
      <c r="J97" s="99"/>
      <c r="K97" s="99"/>
      <c r="M97"/>
      <c r="N97"/>
    </row>
    <row r="98" spans="1:18" s="17" customFormat="1" ht="15.75" x14ac:dyDescent="0.25">
      <c r="A98"/>
      <c r="B98" s="19" t="s">
        <v>114</v>
      </c>
      <c r="C98" s="19" t="s">
        <v>114</v>
      </c>
      <c r="D98" s="123" t="s">
        <v>170</v>
      </c>
      <c r="E98" s="18"/>
      <c r="F98" s="18"/>
      <c r="G98" s="123" t="s">
        <v>170</v>
      </c>
      <c r="H98" s="18"/>
      <c r="I98" s="18"/>
      <c r="J98" s="18"/>
      <c r="K98" s="18"/>
      <c r="M98"/>
      <c r="N98"/>
    </row>
    <row r="99" spans="1:18" s="17" customFormat="1" x14ac:dyDescent="0.2">
      <c r="A99"/>
      <c r="B99" s="19" t="s">
        <v>80</v>
      </c>
      <c r="C99" s="19" t="s">
        <v>80</v>
      </c>
      <c r="D99" s="123" t="s">
        <v>157</v>
      </c>
      <c r="E99" s="119"/>
      <c r="F99" s="119"/>
      <c r="G99" s="123" t="s">
        <v>12</v>
      </c>
      <c r="H99" s="119"/>
      <c r="I99" s="119"/>
      <c r="J99" s="119"/>
      <c r="K99" s="119"/>
      <c r="M99"/>
      <c r="N99"/>
    </row>
    <row r="100" spans="1:18" s="17" customFormat="1" x14ac:dyDescent="0.2">
      <c r="A100"/>
      <c r="B100" s="19" t="s">
        <v>30</v>
      </c>
      <c r="C100" s="99" t="s">
        <v>82</v>
      </c>
      <c r="D100" s="123" t="s">
        <v>98</v>
      </c>
      <c r="E100" s="119"/>
      <c r="F100" s="119"/>
      <c r="G100" s="123" t="s">
        <v>98</v>
      </c>
      <c r="H100" s="19"/>
      <c r="I100" s="19"/>
      <c r="J100" s="19"/>
      <c r="K100" s="19"/>
      <c r="M100"/>
      <c r="N100"/>
    </row>
    <row r="101" spans="1:18" s="17" customFormat="1" x14ac:dyDescent="0.2">
      <c r="A101"/>
      <c r="B101" s="90">
        <v>0.75</v>
      </c>
      <c r="C101" s="91">
        <v>1071.75</v>
      </c>
      <c r="D101" s="92">
        <v>0.64621879441585328</v>
      </c>
      <c r="E101" s="93"/>
      <c r="F101" s="94"/>
      <c r="G101" s="92">
        <v>0.85413849070161696</v>
      </c>
      <c r="H101" s="93"/>
      <c r="I101" s="93"/>
      <c r="M101"/>
      <c r="N101"/>
    </row>
    <row r="102" spans="1:18" s="17" customFormat="1" x14ac:dyDescent="0.2">
      <c r="A102"/>
      <c r="B102" s="95">
        <v>0.9</v>
      </c>
      <c r="C102" s="96">
        <v>1286.1000000000001</v>
      </c>
      <c r="D102" s="97">
        <v>0.53851566201321099</v>
      </c>
      <c r="E102" s="83"/>
      <c r="F102" s="98"/>
      <c r="G102" s="97">
        <v>0.71178207558468076</v>
      </c>
      <c r="H102" s="83"/>
      <c r="I102" s="83"/>
      <c r="M102"/>
      <c r="N102"/>
    </row>
    <row r="103" spans="1:18" s="17" customFormat="1" x14ac:dyDescent="0.2">
      <c r="A103"/>
      <c r="B103" s="90">
        <v>1</v>
      </c>
      <c r="C103" s="91">
        <v>1429</v>
      </c>
      <c r="D103" s="92">
        <v>0.48466409581188991</v>
      </c>
      <c r="E103" s="93"/>
      <c r="F103" s="94"/>
      <c r="G103" s="92">
        <v>0.64060386802621272</v>
      </c>
      <c r="H103" s="93"/>
      <c r="I103" s="93"/>
      <c r="M103"/>
      <c r="N103"/>
    </row>
    <row r="104" spans="1:18" s="17" customFormat="1" x14ac:dyDescent="0.2">
      <c r="A104"/>
      <c r="B104" s="95">
        <v>1.1000000000000001</v>
      </c>
      <c r="C104" s="96">
        <v>1571.9</v>
      </c>
      <c r="D104" s="97">
        <v>0.44060372346535442</v>
      </c>
      <c r="E104" s="83"/>
      <c r="F104" s="98"/>
      <c r="G104" s="97">
        <v>0.5823671527511024</v>
      </c>
      <c r="H104" s="83"/>
      <c r="I104" s="83"/>
      <c r="M104"/>
      <c r="N104"/>
    </row>
    <row r="105" spans="1:18" s="17" customFormat="1" x14ac:dyDescent="0.2">
      <c r="A105"/>
      <c r="B105" s="90">
        <v>1.25</v>
      </c>
      <c r="C105" s="91">
        <v>1786.25</v>
      </c>
      <c r="D105" s="92">
        <v>0.38773127664951196</v>
      </c>
      <c r="E105" s="93"/>
      <c r="F105" s="94"/>
      <c r="G105" s="92">
        <v>0.51248309442097018</v>
      </c>
      <c r="H105" s="93"/>
      <c r="I105" s="93"/>
      <c r="M105"/>
      <c r="N105"/>
    </row>
    <row r="106" spans="1:18" s="17" customFormat="1" x14ac:dyDescent="0.2">
      <c r="A106"/>
      <c r="M106"/>
      <c r="N106"/>
    </row>
    <row r="107" spans="1:18" x14ac:dyDescent="0.2">
      <c r="A107" s="25" t="s">
        <v>434</v>
      </c>
      <c r="B107" s="17"/>
      <c r="C107" s="17"/>
      <c r="D107" s="17"/>
      <c r="E107" s="17"/>
      <c r="F107" s="17"/>
      <c r="G107" s="17"/>
      <c r="H107" s="17"/>
      <c r="I107" s="17"/>
      <c r="J107" s="28"/>
      <c r="K107" s="17"/>
      <c r="L107" s="17"/>
      <c r="M107" s="17"/>
      <c r="N107" s="17"/>
      <c r="O107" s="17"/>
      <c r="P107" s="17"/>
      <c r="Q107" s="17"/>
    </row>
    <row r="108" spans="1:18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28"/>
      <c r="K108" s="17"/>
      <c r="L108" s="17"/>
      <c r="M108" s="17"/>
      <c r="N108" s="17"/>
      <c r="O108" s="17"/>
      <c r="P108" s="17"/>
      <c r="Q108" s="17"/>
    </row>
    <row r="109" spans="1:18" ht="26.25" customHeight="1" x14ac:dyDescent="0.2">
      <c r="A109" s="236" t="s">
        <v>140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19"/>
      <c r="N109" s="219"/>
      <c r="O109" s="219"/>
      <c r="P109" s="219"/>
      <c r="Q109" s="219"/>
      <c r="R109" s="219"/>
    </row>
  </sheetData>
  <sheetProtection sheet="1" objects="1" scenarios="1"/>
  <mergeCells count="6">
    <mergeCell ref="D97:I97"/>
    <mergeCell ref="A109:L109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03">
    <tabColor rgb="FF92D050"/>
    <pageSetUpPr fitToPage="1"/>
  </sheetPr>
  <dimension ref="A1:S109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445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133</v>
      </c>
      <c r="C10" s="25"/>
      <c r="D10" s="50">
        <v>1429</v>
      </c>
      <c r="E10" s="130"/>
      <c r="F10" s="224" t="s">
        <v>82</v>
      </c>
      <c r="G10" s="31">
        <v>0.81</v>
      </c>
      <c r="H10" s="131"/>
      <c r="I10" s="35">
        <v>1157.49</v>
      </c>
      <c r="J10" s="200">
        <f t="shared" ref="J10:J13" si="0">E10*H10</f>
        <v>0</v>
      </c>
      <c r="K10" s="223">
        <v>0</v>
      </c>
      <c r="L10" s="212"/>
      <c r="M10" s="35">
        <v>0</v>
      </c>
      <c r="N10" s="200">
        <f t="shared" ref="N10:N13" si="1">J10*L10</f>
        <v>0</v>
      </c>
      <c r="O10" s="35">
        <v>1157.49</v>
      </c>
      <c r="P10" s="200">
        <f>+J10-N10</f>
        <v>0</v>
      </c>
      <c r="Q10" s="35">
        <v>740793.6</v>
      </c>
      <c r="R10" s="200">
        <f t="shared" ref="R10:R13" si="2">+J10*E$7</f>
        <v>0</v>
      </c>
      <c r="S10" s="12"/>
    </row>
    <row r="11" spans="1:19" x14ac:dyDescent="0.2">
      <c r="A11" s="25"/>
      <c r="B11" t="s">
        <v>134</v>
      </c>
      <c r="C11" s="25"/>
      <c r="D11" s="50">
        <v>0.65</v>
      </c>
      <c r="E11" s="130"/>
      <c r="F11" s="224" t="s">
        <v>135</v>
      </c>
      <c r="G11" s="31">
        <v>0.22</v>
      </c>
      <c r="H11" s="131"/>
      <c r="I11" s="35">
        <v>0.14300000000000002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0.14300000000000002</v>
      </c>
      <c r="P11" s="200">
        <f t="shared" ref="P11:P13" si="3">+J11-N11</f>
        <v>0</v>
      </c>
      <c r="Q11" s="35">
        <v>91.52000000000001</v>
      </c>
      <c r="R11" s="200">
        <f t="shared" si="2"/>
        <v>0</v>
      </c>
      <c r="S11" s="12"/>
    </row>
    <row r="12" spans="1:19" x14ac:dyDescent="0.2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35">
        <v>0</v>
      </c>
      <c r="J12" s="200">
        <f t="shared" si="0"/>
        <v>0</v>
      </c>
      <c r="K12" s="223">
        <v>0</v>
      </c>
      <c r="L12" s="212"/>
      <c r="M12" s="35">
        <v>0</v>
      </c>
      <c r="N12" s="200">
        <f t="shared" si="1"/>
        <v>0</v>
      </c>
      <c r="O12" s="35">
        <v>0</v>
      </c>
      <c r="P12" s="200">
        <f t="shared" si="3"/>
        <v>0</v>
      </c>
      <c r="Q12" s="35">
        <v>0</v>
      </c>
      <c r="R12" s="200">
        <f t="shared" si="2"/>
        <v>0</v>
      </c>
    </row>
    <row r="13" spans="1:19" ht="13.5" thickBot="1" x14ac:dyDescent="0.25">
      <c r="A13" s="25"/>
      <c r="B13" s="131"/>
      <c r="C13" s="131"/>
      <c r="D13" s="50">
        <v>0</v>
      </c>
      <c r="E13" s="130"/>
      <c r="F13" s="224"/>
      <c r="G13" s="31">
        <v>0</v>
      </c>
      <c r="H13" s="131"/>
      <c r="I13" s="42">
        <v>0</v>
      </c>
      <c r="J13" s="200">
        <f t="shared" si="0"/>
        <v>0</v>
      </c>
      <c r="K13" s="223">
        <v>0</v>
      </c>
      <c r="L13" s="212"/>
      <c r="M13" s="42">
        <v>0</v>
      </c>
      <c r="N13" s="200">
        <f t="shared" si="1"/>
        <v>0</v>
      </c>
      <c r="O13" s="42">
        <v>0</v>
      </c>
      <c r="P13" s="200">
        <f t="shared" si="3"/>
        <v>0</v>
      </c>
      <c r="Q13" s="42">
        <v>0</v>
      </c>
      <c r="R13" s="182">
        <f t="shared" si="2"/>
        <v>0</v>
      </c>
    </row>
    <row r="14" spans="1:19" x14ac:dyDescent="0.2">
      <c r="A14" s="25" t="s">
        <v>24</v>
      </c>
      <c r="B14" s="25"/>
      <c r="C14" s="25"/>
      <c r="D14" s="25"/>
      <c r="E14" s="198"/>
      <c r="F14" s="25"/>
      <c r="G14" s="25"/>
      <c r="H14" s="195"/>
      <c r="I14" s="36">
        <v>1157.633</v>
      </c>
      <c r="J14" s="201">
        <f>SUM(J10:J13)</f>
        <v>0</v>
      </c>
      <c r="K14" s="35"/>
      <c r="L14" s="193"/>
      <c r="M14" s="36">
        <v>0</v>
      </c>
      <c r="N14" s="201">
        <f>SUM(N10:N13)</f>
        <v>0</v>
      </c>
      <c r="O14" s="36">
        <v>1157.633</v>
      </c>
      <c r="P14" s="201">
        <f>SUM(P10:P13)</f>
        <v>0</v>
      </c>
      <c r="Q14" s="36">
        <v>740885.12</v>
      </c>
      <c r="R14" s="201">
        <f>SUM(R10:R13)</f>
        <v>0</v>
      </c>
    </row>
    <row r="15" spans="1:19" x14ac:dyDescent="0.2">
      <c r="A15" s="25"/>
      <c r="B15" s="25"/>
      <c r="C15" s="25"/>
      <c r="D15" s="25"/>
      <c r="E15" s="176"/>
      <c r="F15" s="25"/>
      <c r="G15" s="25"/>
      <c r="H15" s="209"/>
      <c r="I15" s="35"/>
      <c r="J15" s="182"/>
      <c r="K15" s="35"/>
      <c r="L15" s="193"/>
      <c r="M15" s="35"/>
      <c r="N15" s="182"/>
      <c r="O15" s="35"/>
      <c r="P15" s="182"/>
      <c r="Q15" s="22" t="s">
        <v>19</v>
      </c>
      <c r="R15" s="182" t="s">
        <v>19</v>
      </c>
    </row>
    <row r="16" spans="1:19" x14ac:dyDescent="0.2">
      <c r="A16" s="23" t="s">
        <v>25</v>
      </c>
      <c r="B16" s="23"/>
      <c r="C16" s="23"/>
      <c r="D16" s="24" t="s">
        <v>2</v>
      </c>
      <c r="E16" s="194" t="s">
        <v>2</v>
      </c>
      <c r="F16" s="24" t="s">
        <v>21</v>
      </c>
      <c r="G16" s="24" t="s">
        <v>22</v>
      </c>
      <c r="H16" s="194" t="s">
        <v>22</v>
      </c>
      <c r="I16" s="24" t="s">
        <v>12</v>
      </c>
      <c r="J16" s="194" t="s">
        <v>12</v>
      </c>
      <c r="K16" s="24" t="s">
        <v>11</v>
      </c>
      <c r="L16" s="194" t="s">
        <v>11</v>
      </c>
      <c r="M16" s="24" t="s">
        <v>10</v>
      </c>
      <c r="N16" s="194" t="s">
        <v>10</v>
      </c>
      <c r="O16" s="24" t="s">
        <v>9</v>
      </c>
      <c r="P16" s="194" t="s">
        <v>9</v>
      </c>
      <c r="Q16" s="24" t="s">
        <v>12</v>
      </c>
      <c r="R16" s="206" t="s">
        <v>12</v>
      </c>
    </row>
    <row r="17" spans="1:18" x14ac:dyDescent="0.2">
      <c r="A17" s="25" t="s">
        <v>26</v>
      </c>
      <c r="B17" s="25"/>
      <c r="C17" s="25"/>
      <c r="D17" s="25"/>
      <c r="E17" s="176"/>
      <c r="F17" s="25"/>
      <c r="G17" s="25"/>
      <c r="H17" s="209"/>
      <c r="I17" s="25"/>
      <c r="J17" s="182"/>
      <c r="K17" s="25"/>
      <c r="L17" s="195"/>
      <c r="M17" s="25"/>
      <c r="N17" s="182"/>
      <c r="O17" s="25"/>
      <c r="P17" s="182"/>
      <c r="Q17" s="25"/>
      <c r="R17" s="182"/>
    </row>
    <row r="18" spans="1:18" x14ac:dyDescent="0.2">
      <c r="A18" s="25"/>
      <c r="B18" s="25" t="s">
        <v>50</v>
      </c>
      <c r="C18" s="25"/>
      <c r="D18" s="25"/>
      <c r="E18" s="25"/>
      <c r="F18" s="25"/>
      <c r="G18" s="25"/>
      <c r="H18" s="25"/>
      <c r="I18" s="25"/>
      <c r="J18" s="25"/>
      <c r="K18" s="223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 t="s">
        <v>458</v>
      </c>
      <c r="C19" s="25" t="s">
        <v>176</v>
      </c>
      <c r="D19" s="25">
        <v>1</v>
      </c>
      <c r="E19" s="130"/>
      <c r="F19" s="224" t="s">
        <v>42</v>
      </c>
      <c r="G19" s="41">
        <v>5</v>
      </c>
      <c r="H19" s="131"/>
      <c r="I19" s="35">
        <v>5</v>
      </c>
      <c r="J19" s="200">
        <f t="shared" ref="J19:J44" si="4">E19*H19</f>
        <v>0</v>
      </c>
      <c r="K19" s="223">
        <v>0</v>
      </c>
      <c r="L19" s="212"/>
      <c r="M19" s="35">
        <v>0</v>
      </c>
      <c r="N19" s="200">
        <f t="shared" ref="N19:N44" si="5">J19*L19</f>
        <v>0</v>
      </c>
      <c r="O19" s="35">
        <v>5</v>
      </c>
      <c r="P19" s="200">
        <f t="shared" ref="P19:P44" si="6">+J19-N19</f>
        <v>0</v>
      </c>
      <c r="Q19" s="35">
        <v>3200</v>
      </c>
      <c r="R19" s="200">
        <f t="shared" ref="R19:R44" si="7">+J19*E$7</f>
        <v>0</v>
      </c>
    </row>
    <row r="20" spans="1:18" x14ac:dyDescent="0.2">
      <c r="A20" s="25"/>
      <c r="B20" s="25" t="s">
        <v>458</v>
      </c>
      <c r="C20" s="25" t="s">
        <v>382</v>
      </c>
      <c r="D20" s="25">
        <v>1429</v>
      </c>
      <c r="E20" s="130"/>
      <c r="F20" s="224" t="s">
        <v>82</v>
      </c>
      <c r="G20" s="41">
        <v>0.13</v>
      </c>
      <c r="H20" s="131"/>
      <c r="I20" s="35">
        <v>185.77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185.77</v>
      </c>
      <c r="P20" s="200">
        <f t="shared" si="6"/>
        <v>0</v>
      </c>
      <c r="Q20" s="35">
        <v>118892.8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375</v>
      </c>
      <c r="D21" s="25">
        <v>1429</v>
      </c>
      <c r="E21" s="130"/>
      <c r="F21" s="224" t="s">
        <v>82</v>
      </c>
      <c r="G21" s="41">
        <v>0.12</v>
      </c>
      <c r="H21" s="131"/>
      <c r="I21" s="35">
        <v>171.48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171.48</v>
      </c>
      <c r="P21" s="200">
        <f t="shared" si="6"/>
        <v>0</v>
      </c>
      <c r="Q21" s="35">
        <v>109747.2</v>
      </c>
      <c r="R21" s="200">
        <f t="shared" si="7"/>
        <v>0</v>
      </c>
    </row>
    <row r="22" spans="1:18" x14ac:dyDescent="0.2">
      <c r="A22" s="25"/>
      <c r="B22" s="25" t="s">
        <v>0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342</v>
      </c>
      <c r="D23" s="25">
        <v>100</v>
      </c>
      <c r="E23" s="130"/>
      <c r="F23" s="224" t="s">
        <v>82</v>
      </c>
      <c r="G23" s="41">
        <v>0.53800000000000003</v>
      </c>
      <c r="H23" s="131"/>
      <c r="I23" s="35">
        <v>53.800000000000004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53.800000000000004</v>
      </c>
      <c r="P23" s="200">
        <f t="shared" si="6"/>
        <v>0</v>
      </c>
      <c r="Q23" s="35">
        <v>34432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400</v>
      </c>
      <c r="D24" s="25">
        <v>40</v>
      </c>
      <c r="E24" s="130"/>
      <c r="F24" s="224" t="s">
        <v>82</v>
      </c>
      <c r="G24" s="41">
        <v>0.44167000000000001</v>
      </c>
      <c r="H24" s="131"/>
      <c r="I24" s="35">
        <v>17.666800000000002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17.666800000000002</v>
      </c>
      <c r="P24" s="200">
        <f t="shared" si="6"/>
        <v>0</v>
      </c>
      <c r="Q24" s="35">
        <v>11306.752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378</v>
      </c>
      <c r="D25" s="25">
        <v>50</v>
      </c>
      <c r="E25" s="130"/>
      <c r="F25" s="224" t="s">
        <v>82</v>
      </c>
      <c r="G25" s="41">
        <v>0.56999999999999995</v>
      </c>
      <c r="H25" s="131"/>
      <c r="I25" s="35">
        <v>28.499999999999996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28.499999999999996</v>
      </c>
      <c r="P25" s="200">
        <f t="shared" si="6"/>
        <v>0</v>
      </c>
      <c r="Q25" s="35">
        <v>18239.999999999996</v>
      </c>
      <c r="R25" s="200">
        <f t="shared" si="7"/>
        <v>0</v>
      </c>
    </row>
    <row r="26" spans="1:18" x14ac:dyDescent="0.2">
      <c r="A26" s="25"/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23"/>
      <c r="L26" s="25"/>
      <c r="M26" s="25"/>
      <c r="N26" s="25"/>
      <c r="O26" s="25"/>
      <c r="P26" s="25"/>
      <c r="Q26" s="25"/>
      <c r="R26" s="25"/>
    </row>
    <row r="27" spans="1:18" x14ac:dyDescent="0.2">
      <c r="A27" s="25"/>
      <c r="B27" s="25" t="s">
        <v>458</v>
      </c>
      <c r="C27" s="25" t="s">
        <v>401</v>
      </c>
      <c r="D27" s="25">
        <v>64</v>
      </c>
      <c r="E27" s="130"/>
      <c r="F27" s="224" t="s">
        <v>435</v>
      </c>
      <c r="G27" s="41">
        <v>0.41</v>
      </c>
      <c r="H27" s="131"/>
      <c r="I27" s="35">
        <v>26.24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26.24</v>
      </c>
      <c r="P27" s="200">
        <f t="shared" si="6"/>
        <v>0</v>
      </c>
      <c r="Q27" s="35">
        <v>16793.599999999999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440</v>
      </c>
      <c r="D28" s="25">
        <v>4.7</v>
      </c>
      <c r="E28" s="130"/>
      <c r="F28" s="224" t="s">
        <v>316</v>
      </c>
      <c r="G28" s="41">
        <v>5.81</v>
      </c>
      <c r="H28" s="131"/>
      <c r="I28" s="35">
        <v>27.306999999999999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27.306999999999999</v>
      </c>
      <c r="P28" s="200">
        <f t="shared" si="6"/>
        <v>0</v>
      </c>
      <c r="Q28" s="35">
        <v>17476.48</v>
      </c>
      <c r="R28" s="200">
        <f t="shared" si="7"/>
        <v>0</v>
      </c>
    </row>
    <row r="29" spans="1:18" x14ac:dyDescent="0.2">
      <c r="A29" s="25"/>
      <c r="B29" s="25" t="s">
        <v>458</v>
      </c>
      <c r="C29" s="25" t="s">
        <v>439</v>
      </c>
      <c r="D29" s="25">
        <v>29</v>
      </c>
      <c r="E29" s="130"/>
      <c r="F29" s="224" t="s">
        <v>410</v>
      </c>
      <c r="G29" s="41">
        <v>0.7</v>
      </c>
      <c r="H29" s="131"/>
      <c r="I29" s="35">
        <v>20.299999999999997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20.299999999999997</v>
      </c>
      <c r="P29" s="200">
        <f t="shared" si="6"/>
        <v>0</v>
      </c>
      <c r="Q29" s="35">
        <v>12991.999999999998</v>
      </c>
      <c r="R29" s="200">
        <f t="shared" si="7"/>
        <v>0</v>
      </c>
    </row>
    <row r="30" spans="1:18" x14ac:dyDescent="0.2">
      <c r="A30" s="25"/>
      <c r="B30" s="25" t="s">
        <v>458</v>
      </c>
      <c r="C30" s="25" t="s">
        <v>384</v>
      </c>
      <c r="D30" s="25">
        <v>1</v>
      </c>
      <c r="E30" s="130"/>
      <c r="F30" s="224" t="s">
        <v>316</v>
      </c>
      <c r="G30" s="41">
        <v>3.75</v>
      </c>
      <c r="H30" s="131"/>
      <c r="I30" s="35">
        <v>3.75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3.75</v>
      </c>
      <c r="P30" s="200">
        <f t="shared" si="6"/>
        <v>0</v>
      </c>
      <c r="Q30" s="35">
        <v>2400</v>
      </c>
      <c r="R30" s="200">
        <f t="shared" si="7"/>
        <v>0</v>
      </c>
    </row>
    <row r="31" spans="1:18" x14ac:dyDescent="0.2">
      <c r="A31" s="25"/>
      <c r="B31" s="25" t="s">
        <v>458</v>
      </c>
      <c r="C31" s="25" t="s">
        <v>386</v>
      </c>
      <c r="D31" s="25">
        <v>1</v>
      </c>
      <c r="E31" s="130"/>
      <c r="F31" s="224" t="s">
        <v>410</v>
      </c>
      <c r="G31" s="41">
        <v>0.546875</v>
      </c>
      <c r="H31" s="131"/>
      <c r="I31" s="35">
        <v>0.546875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0.546875</v>
      </c>
      <c r="P31" s="200">
        <f t="shared" si="6"/>
        <v>0</v>
      </c>
      <c r="Q31" s="35">
        <v>350</v>
      </c>
      <c r="R31" s="200">
        <f t="shared" si="7"/>
        <v>0</v>
      </c>
    </row>
    <row r="32" spans="1:18" x14ac:dyDescent="0.2">
      <c r="A32" s="25"/>
      <c r="B32" s="25" t="s">
        <v>458</v>
      </c>
      <c r="C32" s="25" t="s">
        <v>438</v>
      </c>
      <c r="D32" s="25">
        <v>1.4</v>
      </c>
      <c r="E32" s="130"/>
      <c r="F32" s="224" t="s">
        <v>316</v>
      </c>
      <c r="G32" s="41">
        <v>2.84</v>
      </c>
      <c r="H32" s="131"/>
      <c r="I32" s="35">
        <v>3.9759999999999995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3.9759999999999995</v>
      </c>
      <c r="P32" s="200">
        <f t="shared" si="6"/>
        <v>0</v>
      </c>
      <c r="Q32" s="35">
        <v>2544.64</v>
      </c>
      <c r="R32" s="200">
        <f t="shared" si="7"/>
        <v>0</v>
      </c>
    </row>
    <row r="33" spans="1:18" x14ac:dyDescent="0.2">
      <c r="A33" s="25"/>
      <c r="B33" s="25" t="s">
        <v>458</v>
      </c>
      <c r="C33" s="25" t="s">
        <v>436</v>
      </c>
      <c r="D33" s="25">
        <v>1.4</v>
      </c>
      <c r="E33" s="130"/>
      <c r="F33" s="224" t="s">
        <v>316</v>
      </c>
      <c r="G33" s="41">
        <v>4.92</v>
      </c>
      <c r="H33" s="131"/>
      <c r="I33" s="35">
        <v>6.8879999999999999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6.8879999999999999</v>
      </c>
      <c r="P33" s="200">
        <f t="shared" si="6"/>
        <v>0</v>
      </c>
      <c r="Q33" s="35">
        <v>4408.32</v>
      </c>
      <c r="R33" s="200">
        <f t="shared" si="7"/>
        <v>0</v>
      </c>
    </row>
    <row r="34" spans="1:18" x14ac:dyDescent="0.2">
      <c r="A34" s="25"/>
      <c r="B34" s="25" t="s">
        <v>458</v>
      </c>
      <c r="C34" s="25" t="s">
        <v>437</v>
      </c>
      <c r="D34" s="25">
        <v>1.3</v>
      </c>
      <c r="E34" s="130"/>
      <c r="F34" s="224" t="s">
        <v>316</v>
      </c>
      <c r="G34" s="41">
        <v>9.14</v>
      </c>
      <c r="H34" s="131"/>
      <c r="I34" s="35">
        <v>11.882000000000001</v>
      </c>
      <c r="J34" s="200">
        <f t="shared" si="4"/>
        <v>0</v>
      </c>
      <c r="K34" s="223">
        <v>0</v>
      </c>
      <c r="L34" s="212"/>
      <c r="M34" s="35">
        <v>0</v>
      </c>
      <c r="N34" s="200">
        <f t="shared" si="5"/>
        <v>0</v>
      </c>
      <c r="O34" s="35">
        <v>11.882000000000001</v>
      </c>
      <c r="P34" s="200">
        <f t="shared" si="6"/>
        <v>0</v>
      </c>
      <c r="Q34" s="35">
        <v>7604.4800000000014</v>
      </c>
      <c r="R34" s="200">
        <f t="shared" si="7"/>
        <v>0</v>
      </c>
    </row>
    <row r="35" spans="1:18" x14ac:dyDescent="0.2">
      <c r="A35" s="25"/>
      <c r="B35" s="25" t="s">
        <v>48</v>
      </c>
      <c r="C35" s="25"/>
      <c r="D35" s="25"/>
      <c r="E35" s="25"/>
      <c r="F35" s="25"/>
      <c r="G35" s="25"/>
      <c r="H35" s="25"/>
      <c r="I35" s="25"/>
      <c r="J35" s="25"/>
      <c r="K35" s="223"/>
      <c r="L35" s="25"/>
      <c r="M35" s="25"/>
      <c r="N35" s="25"/>
      <c r="O35" s="25"/>
      <c r="P35" s="25"/>
      <c r="Q35" s="25"/>
      <c r="R35" s="25"/>
    </row>
    <row r="36" spans="1:18" x14ac:dyDescent="0.2">
      <c r="A36" s="25"/>
      <c r="B36" s="25" t="s">
        <v>458</v>
      </c>
      <c r="C36" s="25" t="s">
        <v>442</v>
      </c>
      <c r="D36" s="25">
        <v>16</v>
      </c>
      <c r="E36" s="130"/>
      <c r="F36" s="224" t="s">
        <v>410</v>
      </c>
      <c r="G36" s="41">
        <v>1.1599999999999999</v>
      </c>
      <c r="H36" s="131"/>
      <c r="I36" s="35">
        <v>18.559999999999999</v>
      </c>
      <c r="J36" s="200">
        <f t="shared" si="4"/>
        <v>0</v>
      </c>
      <c r="K36" s="223">
        <v>0</v>
      </c>
      <c r="L36" s="212"/>
      <c r="M36" s="35">
        <v>0</v>
      </c>
      <c r="N36" s="200">
        <f t="shared" si="5"/>
        <v>0</v>
      </c>
      <c r="O36" s="35">
        <v>18.559999999999999</v>
      </c>
      <c r="P36" s="200">
        <f t="shared" si="6"/>
        <v>0</v>
      </c>
      <c r="Q36" s="35">
        <v>11878.4</v>
      </c>
      <c r="R36" s="200">
        <f t="shared" si="7"/>
        <v>0</v>
      </c>
    </row>
    <row r="37" spans="1:18" x14ac:dyDescent="0.2">
      <c r="A37" s="25"/>
      <c r="B37" s="25" t="s">
        <v>458</v>
      </c>
      <c r="C37" s="25" t="s">
        <v>443</v>
      </c>
      <c r="D37" s="25">
        <v>2</v>
      </c>
      <c r="E37" s="130"/>
      <c r="F37" s="224" t="s">
        <v>410</v>
      </c>
      <c r="G37" s="41">
        <v>1.74875</v>
      </c>
      <c r="H37" s="131"/>
      <c r="I37" s="35">
        <v>3.4975000000000001</v>
      </c>
      <c r="J37" s="200">
        <f t="shared" si="4"/>
        <v>0</v>
      </c>
      <c r="K37" s="223">
        <v>0</v>
      </c>
      <c r="L37" s="212"/>
      <c r="M37" s="35">
        <v>0</v>
      </c>
      <c r="N37" s="200">
        <f t="shared" si="5"/>
        <v>0</v>
      </c>
      <c r="O37" s="35">
        <v>3.4975000000000001</v>
      </c>
      <c r="P37" s="200">
        <f t="shared" si="6"/>
        <v>0</v>
      </c>
      <c r="Q37" s="35">
        <v>2238.4</v>
      </c>
      <c r="R37" s="200">
        <f t="shared" si="7"/>
        <v>0</v>
      </c>
    </row>
    <row r="38" spans="1:18" x14ac:dyDescent="0.2">
      <c r="A38" s="25"/>
      <c r="B38" s="25" t="s">
        <v>27</v>
      </c>
      <c r="C38" s="25"/>
      <c r="D38" s="25"/>
      <c r="E38" s="25"/>
      <c r="F38" s="25"/>
      <c r="G38" s="25"/>
      <c r="H38" s="25"/>
      <c r="I38" s="25"/>
      <c r="J38" s="25"/>
      <c r="K38" s="223"/>
      <c r="L38" s="25"/>
      <c r="M38" s="25"/>
      <c r="N38" s="25"/>
      <c r="O38" s="25"/>
      <c r="P38" s="25"/>
      <c r="Q38" s="25"/>
      <c r="R38" s="25"/>
    </row>
    <row r="39" spans="1:18" x14ac:dyDescent="0.2">
      <c r="A39" s="25"/>
      <c r="B39" s="25" t="s">
        <v>458</v>
      </c>
      <c r="C39" s="25" t="s">
        <v>394</v>
      </c>
      <c r="D39" s="25">
        <v>1</v>
      </c>
      <c r="E39" s="130"/>
      <c r="F39" s="224" t="s">
        <v>42</v>
      </c>
      <c r="G39" s="41">
        <v>15</v>
      </c>
      <c r="H39" s="131"/>
      <c r="I39" s="35">
        <v>15</v>
      </c>
      <c r="J39" s="200">
        <f t="shared" si="4"/>
        <v>0</v>
      </c>
      <c r="K39" s="223">
        <v>0</v>
      </c>
      <c r="L39" s="212"/>
      <c r="M39" s="35">
        <v>0</v>
      </c>
      <c r="N39" s="200">
        <f t="shared" si="5"/>
        <v>0</v>
      </c>
      <c r="O39" s="35">
        <v>15</v>
      </c>
      <c r="P39" s="200">
        <f t="shared" si="6"/>
        <v>0</v>
      </c>
      <c r="Q39" s="35">
        <v>9600</v>
      </c>
      <c r="R39" s="200">
        <f t="shared" si="7"/>
        <v>0</v>
      </c>
    </row>
    <row r="40" spans="1:18" x14ac:dyDescent="0.2">
      <c r="A40" s="25"/>
      <c r="B40" s="25" t="s">
        <v>1</v>
      </c>
      <c r="C40" s="25"/>
      <c r="D40" s="25"/>
      <c r="E40" s="25"/>
      <c r="F40" s="25"/>
      <c r="G40" s="25"/>
      <c r="H40" s="25"/>
      <c r="I40" s="25"/>
      <c r="J40" s="25"/>
      <c r="K40" s="223"/>
      <c r="L40" s="25"/>
      <c r="M40" s="25"/>
      <c r="N40" s="25"/>
      <c r="O40" s="25"/>
      <c r="P40" s="25"/>
      <c r="Q40" s="25"/>
      <c r="R40" s="25"/>
    </row>
    <row r="41" spans="1:18" x14ac:dyDescent="0.2">
      <c r="A41" s="25"/>
      <c r="B41" s="25" t="s">
        <v>458</v>
      </c>
      <c r="C41" s="25" t="s">
        <v>368</v>
      </c>
      <c r="D41" s="25">
        <v>5</v>
      </c>
      <c r="E41" s="130"/>
      <c r="F41" s="224" t="s">
        <v>82</v>
      </c>
      <c r="G41" s="41">
        <v>8</v>
      </c>
      <c r="H41" s="131"/>
      <c r="I41" s="35">
        <v>40</v>
      </c>
      <c r="J41" s="200">
        <f t="shared" si="4"/>
        <v>0</v>
      </c>
      <c r="K41" s="223">
        <v>0</v>
      </c>
      <c r="L41" s="212"/>
      <c r="M41" s="35">
        <v>0</v>
      </c>
      <c r="N41" s="200">
        <f t="shared" si="5"/>
        <v>0</v>
      </c>
      <c r="O41" s="35">
        <v>40</v>
      </c>
      <c r="P41" s="200">
        <f t="shared" si="6"/>
        <v>0</v>
      </c>
      <c r="Q41" s="35">
        <v>25600</v>
      </c>
      <c r="R41" s="200">
        <f t="shared" si="7"/>
        <v>0</v>
      </c>
    </row>
    <row r="42" spans="1:18" x14ac:dyDescent="0.2">
      <c r="A42" s="25"/>
      <c r="B42" s="25" t="s">
        <v>458</v>
      </c>
      <c r="C42" s="25" t="s">
        <v>407</v>
      </c>
      <c r="D42" s="25">
        <v>60</v>
      </c>
      <c r="E42" s="130"/>
      <c r="F42" s="224" t="s">
        <v>82</v>
      </c>
      <c r="G42" s="41">
        <v>0.23</v>
      </c>
      <c r="H42" s="131"/>
      <c r="I42" s="35">
        <v>13.8</v>
      </c>
      <c r="J42" s="200">
        <f t="shared" si="4"/>
        <v>0</v>
      </c>
      <c r="K42" s="223">
        <v>0</v>
      </c>
      <c r="L42" s="212"/>
      <c r="M42" s="35">
        <v>0</v>
      </c>
      <c r="N42" s="200">
        <f t="shared" si="5"/>
        <v>0</v>
      </c>
      <c r="O42" s="35">
        <v>13.8</v>
      </c>
      <c r="P42" s="200">
        <f t="shared" si="6"/>
        <v>0</v>
      </c>
      <c r="Q42" s="35">
        <v>8832</v>
      </c>
      <c r="R42" s="200">
        <f t="shared" si="7"/>
        <v>0</v>
      </c>
    </row>
    <row r="43" spans="1:18" x14ac:dyDescent="0.2">
      <c r="A43" s="25"/>
      <c r="B43" s="131"/>
      <c r="C43" s="131"/>
      <c r="D43" s="25">
        <v>0</v>
      </c>
      <c r="E43" s="130"/>
      <c r="F43" s="224"/>
      <c r="G43" s="41">
        <v>0</v>
      </c>
      <c r="H43" s="131"/>
      <c r="I43" s="35">
        <v>0</v>
      </c>
      <c r="J43" s="200">
        <f t="shared" si="4"/>
        <v>0</v>
      </c>
      <c r="K43" s="223">
        <v>0</v>
      </c>
      <c r="L43" s="212"/>
      <c r="M43" s="35">
        <v>0</v>
      </c>
      <c r="N43" s="200">
        <f t="shared" si="5"/>
        <v>0</v>
      </c>
      <c r="O43" s="35">
        <v>0</v>
      </c>
      <c r="P43" s="200">
        <f t="shared" si="6"/>
        <v>0</v>
      </c>
      <c r="Q43" s="35">
        <v>0</v>
      </c>
      <c r="R43" s="200">
        <f t="shared" si="7"/>
        <v>0</v>
      </c>
    </row>
    <row r="44" spans="1:18" x14ac:dyDescent="0.2">
      <c r="A44" s="25"/>
      <c r="B44" s="131"/>
      <c r="C44" s="131"/>
      <c r="D44" s="25">
        <v>0</v>
      </c>
      <c r="E44" s="130"/>
      <c r="F44" s="224"/>
      <c r="G44" s="41">
        <v>0</v>
      </c>
      <c r="H44" s="131"/>
      <c r="I44" s="35">
        <v>0</v>
      </c>
      <c r="J44" s="200">
        <f t="shared" si="4"/>
        <v>0</v>
      </c>
      <c r="K44" s="223">
        <v>0</v>
      </c>
      <c r="L44" s="212"/>
      <c r="M44" s="35">
        <v>0</v>
      </c>
      <c r="N44" s="200">
        <f t="shared" si="5"/>
        <v>0</v>
      </c>
      <c r="O44" s="35">
        <v>0</v>
      </c>
      <c r="P44" s="200">
        <f t="shared" si="6"/>
        <v>0</v>
      </c>
      <c r="Q44" s="35">
        <v>0</v>
      </c>
      <c r="R44" s="200">
        <f t="shared" si="7"/>
        <v>0</v>
      </c>
    </row>
    <row r="45" spans="1:18" x14ac:dyDescent="0.2">
      <c r="A45" s="25"/>
      <c r="B45" s="131"/>
      <c r="C45" s="131"/>
      <c r="D45" s="25">
        <v>0</v>
      </c>
      <c r="E45" s="130"/>
      <c r="F45" s="224"/>
      <c r="G45" s="41">
        <v>0</v>
      </c>
      <c r="H45" s="131"/>
      <c r="I45" s="35">
        <v>0</v>
      </c>
      <c r="J45" s="200">
        <f>E45*H45</f>
        <v>0</v>
      </c>
      <c r="K45" s="223">
        <v>0</v>
      </c>
      <c r="L45" s="212"/>
      <c r="M45" s="35">
        <v>0</v>
      </c>
      <c r="N45" s="200">
        <f>J45*L45</f>
        <v>0</v>
      </c>
      <c r="O45" s="35">
        <v>0</v>
      </c>
      <c r="P45" s="200">
        <f>+J45-N45</f>
        <v>0</v>
      </c>
      <c r="Q45" s="35">
        <v>0</v>
      </c>
      <c r="R45" s="200">
        <f>+J45*E$7</f>
        <v>0</v>
      </c>
    </row>
    <row r="46" spans="1:18" x14ac:dyDescent="0.2">
      <c r="A46" s="25"/>
      <c r="B46" s="25" t="s">
        <v>45</v>
      </c>
      <c r="C46" s="25"/>
      <c r="D46" s="25"/>
      <c r="E46" s="207"/>
      <c r="F46" s="21"/>
      <c r="G46" s="41"/>
      <c r="H46" s="196"/>
      <c r="I46" s="184"/>
      <c r="J46" s="182"/>
      <c r="K46" s="223"/>
      <c r="L46" s="196"/>
      <c r="M46" s="35"/>
      <c r="N46" s="182"/>
      <c r="O46" s="35"/>
      <c r="P46" s="182"/>
      <c r="Q46" s="35"/>
      <c r="R46" s="182"/>
    </row>
    <row r="47" spans="1:18" x14ac:dyDescent="0.2">
      <c r="A47" s="25"/>
      <c r="B47" s="25"/>
      <c r="C47" s="25" t="s">
        <v>146</v>
      </c>
      <c r="D47" s="34">
        <v>13</v>
      </c>
      <c r="E47" s="130"/>
      <c r="F47" s="224" t="s">
        <v>142</v>
      </c>
      <c r="G47" s="41">
        <v>6.75</v>
      </c>
      <c r="H47" s="131"/>
      <c r="I47" s="35">
        <v>87.75</v>
      </c>
      <c r="J47" s="200">
        <f t="shared" ref="J47:J48" si="8">E47*H47</f>
        <v>0</v>
      </c>
      <c r="K47" s="223">
        <v>0</v>
      </c>
      <c r="L47" s="212"/>
      <c r="M47" s="35">
        <v>0</v>
      </c>
      <c r="N47" s="200">
        <f t="shared" ref="N47:N48" si="9">J47*L47</f>
        <v>0</v>
      </c>
      <c r="O47" s="35">
        <v>87.75</v>
      </c>
      <c r="P47" s="200">
        <f t="shared" ref="P47:P48" si="10">+J47-N47</f>
        <v>0</v>
      </c>
      <c r="Q47" s="35">
        <v>56160</v>
      </c>
      <c r="R47" s="200">
        <f t="shared" ref="R47:R48" si="11">+J47*E$7</f>
        <v>0</v>
      </c>
    </row>
    <row r="48" spans="1:18" x14ac:dyDescent="0.2">
      <c r="A48" s="25"/>
      <c r="B48" s="25"/>
      <c r="C48" s="25" t="s">
        <v>136</v>
      </c>
      <c r="D48" s="34">
        <v>0.96</v>
      </c>
      <c r="E48" s="130"/>
      <c r="F48" s="224" t="s">
        <v>44</v>
      </c>
      <c r="G48" s="41">
        <v>15</v>
      </c>
      <c r="H48" s="131"/>
      <c r="I48" s="35">
        <v>14.399999999999999</v>
      </c>
      <c r="J48" s="200">
        <f t="shared" si="8"/>
        <v>0</v>
      </c>
      <c r="K48" s="223">
        <v>0</v>
      </c>
      <c r="L48" s="212"/>
      <c r="M48" s="35">
        <v>0</v>
      </c>
      <c r="N48" s="200">
        <f t="shared" si="9"/>
        <v>0</v>
      </c>
      <c r="O48" s="35">
        <v>14.399999999999999</v>
      </c>
      <c r="P48" s="200">
        <f t="shared" si="10"/>
        <v>0</v>
      </c>
      <c r="Q48" s="35">
        <v>9216</v>
      </c>
      <c r="R48" s="200">
        <f t="shared" si="11"/>
        <v>0</v>
      </c>
    </row>
    <row r="49" spans="1:18" x14ac:dyDescent="0.2">
      <c r="A49" s="25"/>
      <c r="B49" s="25" t="s">
        <v>106</v>
      </c>
      <c r="C49" s="25"/>
      <c r="D49" s="25"/>
      <c r="E49" s="104"/>
      <c r="H49" s="104"/>
      <c r="I49" s="121"/>
      <c r="J49" s="104"/>
      <c r="K49" s="223"/>
      <c r="L49" s="104"/>
      <c r="N49" s="104"/>
      <c r="P49" s="104"/>
      <c r="R49" s="104"/>
    </row>
    <row r="50" spans="1:18" x14ac:dyDescent="0.2">
      <c r="A50" s="25"/>
      <c r="B50" s="25"/>
      <c r="C50" s="25" t="s">
        <v>103</v>
      </c>
      <c r="D50" s="25">
        <v>0.38</v>
      </c>
      <c r="E50" s="130"/>
      <c r="F50" s="224" t="s">
        <v>44</v>
      </c>
      <c r="G50" s="41">
        <v>15</v>
      </c>
      <c r="H50" s="131"/>
      <c r="I50" s="35">
        <v>5.7</v>
      </c>
      <c r="J50" s="200">
        <f>E50*H50</f>
        <v>0</v>
      </c>
      <c r="K50" s="223">
        <v>0</v>
      </c>
      <c r="L50" s="212"/>
      <c r="M50" s="35">
        <v>0</v>
      </c>
      <c r="N50" s="200">
        <f>J50*L50</f>
        <v>0</v>
      </c>
      <c r="O50" s="35">
        <v>5.7</v>
      </c>
      <c r="P50" s="200">
        <f>+J50-N50</f>
        <v>0</v>
      </c>
      <c r="Q50" s="35">
        <v>3648</v>
      </c>
      <c r="R50" s="200">
        <f>+J50*E$7</f>
        <v>0</v>
      </c>
    </row>
    <row r="51" spans="1:18" x14ac:dyDescent="0.2">
      <c r="A51" s="25"/>
      <c r="B51" s="25"/>
      <c r="C51" s="25" t="s">
        <v>105</v>
      </c>
      <c r="D51" s="25">
        <v>0.46</v>
      </c>
      <c r="E51" s="130"/>
      <c r="F51" s="224" t="s">
        <v>44</v>
      </c>
      <c r="G51" s="41">
        <v>15</v>
      </c>
      <c r="H51" s="131"/>
      <c r="I51" s="35">
        <v>6.9</v>
      </c>
      <c r="J51" s="200">
        <f>E51*H51</f>
        <v>0</v>
      </c>
      <c r="K51" s="223">
        <v>0</v>
      </c>
      <c r="L51" s="212"/>
      <c r="M51" s="35">
        <v>0</v>
      </c>
      <c r="N51" s="200">
        <f>J51*L51</f>
        <v>0</v>
      </c>
      <c r="O51" s="35">
        <v>6.9</v>
      </c>
      <c r="P51" s="200">
        <f>+J51-N51</f>
        <v>0</v>
      </c>
      <c r="Q51" s="35">
        <v>4416</v>
      </c>
      <c r="R51" s="200">
        <f>+J51*E$7</f>
        <v>0</v>
      </c>
    </row>
    <row r="52" spans="1:18" x14ac:dyDescent="0.2">
      <c r="A52" s="25"/>
      <c r="B52" s="25"/>
      <c r="C52" s="25"/>
      <c r="D52" s="25"/>
      <c r="E52" s="207"/>
      <c r="F52" s="21"/>
      <c r="G52" s="41"/>
      <c r="H52" s="196"/>
      <c r="I52" s="35"/>
      <c r="J52" s="182"/>
      <c r="K52" s="223"/>
      <c r="L52" s="196"/>
      <c r="M52" s="35"/>
      <c r="N52" s="182"/>
      <c r="O52" s="35"/>
      <c r="P52" s="182"/>
      <c r="Q52" s="35"/>
      <c r="R52" s="182"/>
    </row>
    <row r="53" spans="1:18" x14ac:dyDescent="0.2">
      <c r="A53" s="25"/>
      <c r="B53" s="25" t="s">
        <v>51</v>
      </c>
      <c r="C53" s="25"/>
      <c r="D53" s="25"/>
      <c r="E53" s="207"/>
      <c r="F53" s="21"/>
      <c r="G53" s="41"/>
      <c r="H53" s="196"/>
      <c r="I53" s="184"/>
      <c r="J53" s="182"/>
      <c r="K53" s="223"/>
      <c r="L53" s="196"/>
      <c r="M53" s="35"/>
      <c r="N53" s="182"/>
      <c r="O53" s="35"/>
      <c r="P53" s="182"/>
      <c r="Q53" s="35"/>
      <c r="R53" s="182"/>
    </row>
    <row r="54" spans="1:18" x14ac:dyDescent="0.2">
      <c r="A54" s="25"/>
      <c r="B54" s="25"/>
      <c r="C54" s="25" t="s">
        <v>102</v>
      </c>
      <c r="D54" s="25">
        <v>1</v>
      </c>
      <c r="E54" s="130"/>
      <c r="F54" s="224" t="s">
        <v>42</v>
      </c>
      <c r="G54" s="41">
        <v>0</v>
      </c>
      <c r="H54" s="131"/>
      <c r="I54" s="35">
        <v>0</v>
      </c>
      <c r="J54" s="200">
        <f>E54*H54</f>
        <v>0</v>
      </c>
      <c r="K54" s="223">
        <v>0</v>
      </c>
      <c r="L54" s="212"/>
      <c r="M54" s="35">
        <v>0</v>
      </c>
      <c r="N54" s="200">
        <f>J54*L54</f>
        <v>0</v>
      </c>
      <c r="O54" s="35">
        <v>0</v>
      </c>
      <c r="P54" s="200">
        <f>+J54-N54</f>
        <v>0</v>
      </c>
      <c r="Q54" s="35">
        <v>0</v>
      </c>
      <c r="R54" s="200">
        <f>+J54*E$7</f>
        <v>0</v>
      </c>
    </row>
    <row r="55" spans="1:18" x14ac:dyDescent="0.2">
      <c r="A55" s="25"/>
      <c r="B55" s="25"/>
      <c r="C55" s="25" t="s">
        <v>103</v>
      </c>
      <c r="D55" s="25">
        <v>4.7</v>
      </c>
      <c r="E55" s="130"/>
      <c r="F55" s="224" t="s">
        <v>79</v>
      </c>
      <c r="G55" s="41">
        <v>3.0190000000000001</v>
      </c>
      <c r="H55" s="131"/>
      <c r="I55" s="35">
        <v>14.189300000000001</v>
      </c>
      <c r="J55" s="200">
        <f>E55*H55</f>
        <v>0</v>
      </c>
      <c r="K55" s="223">
        <v>0</v>
      </c>
      <c r="L55" s="212"/>
      <c r="M55" s="35">
        <v>0</v>
      </c>
      <c r="N55" s="200">
        <f>J55*L55</f>
        <v>0</v>
      </c>
      <c r="O55" s="35">
        <v>14.189300000000001</v>
      </c>
      <c r="P55" s="200">
        <f>+J55-N55</f>
        <v>0</v>
      </c>
      <c r="Q55" s="35">
        <v>9081.152</v>
      </c>
      <c r="R55" s="200">
        <f>+J55*E$7</f>
        <v>0</v>
      </c>
    </row>
    <row r="56" spans="1:18" x14ac:dyDescent="0.2">
      <c r="A56" s="25"/>
      <c r="B56" s="25"/>
      <c r="C56" s="25"/>
      <c r="D56" s="25"/>
      <c r="E56" s="207"/>
      <c r="F56" s="21"/>
      <c r="G56" s="41"/>
      <c r="H56" s="196"/>
      <c r="I56" s="35"/>
      <c r="J56" s="182"/>
      <c r="K56" s="223"/>
      <c r="L56" s="196"/>
      <c r="M56" s="35"/>
      <c r="N56" s="182"/>
      <c r="O56" s="35"/>
      <c r="P56" s="182"/>
      <c r="Q56" s="35"/>
      <c r="R56" s="182"/>
    </row>
    <row r="57" spans="1:18" x14ac:dyDescent="0.2">
      <c r="A57" s="25"/>
      <c r="B57" s="25" t="s">
        <v>29</v>
      </c>
      <c r="C57" s="25"/>
      <c r="D57" s="25"/>
      <c r="E57" s="207"/>
      <c r="F57" s="21"/>
      <c r="G57" s="41"/>
      <c r="H57" s="196"/>
      <c r="I57" s="184"/>
      <c r="J57" s="182"/>
      <c r="K57" s="223"/>
      <c r="L57" s="196"/>
      <c r="M57" s="35"/>
      <c r="N57" s="182"/>
      <c r="O57" s="35"/>
      <c r="P57" s="182"/>
      <c r="Q57" s="35"/>
      <c r="R57" s="182"/>
    </row>
    <row r="58" spans="1:18" x14ac:dyDescent="0.2">
      <c r="A58" s="25"/>
      <c r="B58" s="25"/>
      <c r="C58" s="25" t="s">
        <v>102</v>
      </c>
      <c r="D58" s="25">
        <v>1</v>
      </c>
      <c r="E58" s="130"/>
      <c r="F58" s="224" t="s">
        <v>42</v>
      </c>
      <c r="G58" s="41">
        <v>1.0546875</v>
      </c>
      <c r="H58" s="131"/>
      <c r="I58" s="35">
        <v>1.0546875</v>
      </c>
      <c r="J58" s="200">
        <f>E58*H58</f>
        <v>0</v>
      </c>
      <c r="K58" s="223">
        <v>0</v>
      </c>
      <c r="L58" s="212"/>
      <c r="M58" s="35">
        <v>0</v>
      </c>
      <c r="N58" s="200">
        <f>J58*L58</f>
        <v>0</v>
      </c>
      <c r="O58" s="35">
        <v>1.0546875</v>
      </c>
      <c r="P58" s="200">
        <f>+J58-N58</f>
        <v>0</v>
      </c>
      <c r="Q58" s="35">
        <v>675</v>
      </c>
      <c r="R58" s="200">
        <f>+J58*E$7</f>
        <v>0</v>
      </c>
    </row>
    <row r="59" spans="1:18" x14ac:dyDescent="0.2">
      <c r="A59" s="25"/>
      <c r="B59" s="25"/>
      <c r="C59" s="25" t="s">
        <v>103</v>
      </c>
      <c r="D59" s="25">
        <v>0</v>
      </c>
      <c r="E59" s="130"/>
      <c r="F59" s="224" t="s">
        <v>79</v>
      </c>
      <c r="G59" s="41">
        <v>3.09</v>
      </c>
      <c r="H59" s="131"/>
      <c r="I59" s="35">
        <v>0</v>
      </c>
      <c r="J59" s="200">
        <f>E59*H59</f>
        <v>0</v>
      </c>
      <c r="K59" s="223">
        <v>0</v>
      </c>
      <c r="L59" s="212"/>
      <c r="M59" s="35">
        <v>0</v>
      </c>
      <c r="N59" s="200">
        <f>J59*L59</f>
        <v>0</v>
      </c>
      <c r="O59" s="35">
        <v>0</v>
      </c>
      <c r="P59" s="200">
        <f>+J59-N59</f>
        <v>0</v>
      </c>
      <c r="Q59" s="35">
        <v>0</v>
      </c>
      <c r="R59" s="200">
        <f>+J59*E$7</f>
        <v>0</v>
      </c>
    </row>
    <row r="60" spans="1:18" x14ac:dyDescent="0.2">
      <c r="A60" s="25"/>
      <c r="B60" s="25"/>
      <c r="C60" s="25"/>
      <c r="D60" s="25"/>
      <c r="E60" s="207"/>
      <c r="F60" s="21"/>
      <c r="G60" s="41"/>
      <c r="H60" s="196"/>
      <c r="I60" s="35"/>
      <c r="J60" s="182"/>
      <c r="K60" s="223"/>
      <c r="L60" s="196"/>
      <c r="M60" s="35"/>
      <c r="N60" s="182"/>
      <c r="O60" s="35"/>
      <c r="P60" s="182"/>
      <c r="Q60" s="35"/>
      <c r="R60" s="182"/>
    </row>
    <row r="61" spans="1:18" x14ac:dyDescent="0.2">
      <c r="A61" s="25"/>
      <c r="B61" s="25" t="s">
        <v>47</v>
      </c>
      <c r="C61" s="25"/>
      <c r="D61" s="25"/>
      <c r="E61" s="207"/>
      <c r="F61" s="21"/>
      <c r="G61" s="41"/>
      <c r="H61" s="197"/>
      <c r="I61" s="184"/>
      <c r="J61" s="182"/>
      <c r="K61" s="223"/>
      <c r="L61" s="197"/>
      <c r="M61" s="35"/>
      <c r="N61" s="182"/>
      <c r="O61" s="35"/>
      <c r="P61" s="182"/>
      <c r="Q61" s="35"/>
      <c r="R61" s="182"/>
    </row>
    <row r="62" spans="1:18" x14ac:dyDescent="0.2">
      <c r="A62" s="25"/>
      <c r="B62" s="25"/>
      <c r="C62" s="25" t="s">
        <v>102</v>
      </c>
      <c r="D62" s="25">
        <v>1</v>
      </c>
      <c r="E62" s="130"/>
      <c r="F62" s="224" t="s">
        <v>42</v>
      </c>
      <c r="G62" s="41">
        <v>0.3515625</v>
      </c>
      <c r="H62" s="131"/>
      <c r="I62" s="35">
        <v>0.3515625</v>
      </c>
      <c r="J62" s="200">
        <f t="shared" ref="J62:J67" si="12">E62*H62</f>
        <v>0</v>
      </c>
      <c r="K62" s="223">
        <v>0</v>
      </c>
      <c r="L62" s="212"/>
      <c r="M62" s="35">
        <v>0</v>
      </c>
      <c r="N62" s="200">
        <f t="shared" ref="N62:N67" si="13">J62*L62</f>
        <v>0</v>
      </c>
      <c r="O62" s="35">
        <v>0.3515625</v>
      </c>
      <c r="P62" s="200">
        <f t="shared" ref="P62:P67" si="14">+J62-N62</f>
        <v>0</v>
      </c>
      <c r="Q62" s="35">
        <v>225</v>
      </c>
      <c r="R62" s="200">
        <f t="shared" ref="R62:R67" si="15">+J62*E$7</f>
        <v>0</v>
      </c>
    </row>
    <row r="63" spans="1:18" x14ac:dyDescent="0.2">
      <c r="A63" s="25"/>
      <c r="B63" s="25"/>
      <c r="C63" s="25" t="s">
        <v>46</v>
      </c>
      <c r="D63" s="25">
        <v>1</v>
      </c>
      <c r="E63" s="130"/>
      <c r="F63" s="224" t="s">
        <v>42</v>
      </c>
      <c r="G63" s="41">
        <v>14.446899999999999</v>
      </c>
      <c r="H63" s="131"/>
      <c r="I63" s="35">
        <v>14.446899999999999</v>
      </c>
      <c r="J63" s="200">
        <f t="shared" si="12"/>
        <v>0</v>
      </c>
      <c r="K63" s="223">
        <v>0</v>
      </c>
      <c r="L63" s="212"/>
      <c r="M63" s="35">
        <v>0</v>
      </c>
      <c r="N63" s="200">
        <f t="shared" si="13"/>
        <v>0</v>
      </c>
      <c r="O63" s="35">
        <v>14.446899999999999</v>
      </c>
      <c r="P63" s="200">
        <f t="shared" si="14"/>
        <v>0</v>
      </c>
      <c r="Q63" s="35">
        <v>9246.0159999999996</v>
      </c>
      <c r="R63" s="200">
        <f t="shared" si="15"/>
        <v>0</v>
      </c>
    </row>
    <row r="64" spans="1:18" x14ac:dyDescent="0.2">
      <c r="A64" s="25"/>
      <c r="B64" s="25"/>
      <c r="C64" s="25" t="s">
        <v>103</v>
      </c>
      <c r="D64" s="25">
        <v>1</v>
      </c>
      <c r="E64" s="130"/>
      <c r="F64" s="224" t="s">
        <v>42</v>
      </c>
      <c r="G64" s="41">
        <v>13.349933300462549</v>
      </c>
      <c r="H64" s="131"/>
      <c r="I64" s="35">
        <v>13.349933300462549</v>
      </c>
      <c r="J64" s="200">
        <f t="shared" si="12"/>
        <v>0</v>
      </c>
      <c r="K64" s="223">
        <v>0</v>
      </c>
      <c r="L64" s="212"/>
      <c r="M64" s="35">
        <v>0</v>
      </c>
      <c r="N64" s="200">
        <f t="shared" si="13"/>
        <v>0</v>
      </c>
      <c r="O64" s="35">
        <v>13.349933300462549</v>
      </c>
      <c r="P64" s="200">
        <f t="shared" si="14"/>
        <v>0</v>
      </c>
      <c r="Q64" s="35">
        <v>8543.9573122960319</v>
      </c>
      <c r="R64" s="200">
        <f t="shared" si="15"/>
        <v>0</v>
      </c>
    </row>
    <row r="65" spans="1:18" x14ac:dyDescent="0.2">
      <c r="A65" s="25"/>
      <c r="B65" s="25"/>
      <c r="C65" s="25" t="s">
        <v>5</v>
      </c>
      <c r="D65" s="25">
        <v>1</v>
      </c>
      <c r="E65" s="130"/>
      <c r="F65" s="224" t="s">
        <v>42</v>
      </c>
      <c r="G65" s="41">
        <v>4.4320376827896499</v>
      </c>
      <c r="H65" s="131"/>
      <c r="I65" s="35">
        <v>4.4320376827896499</v>
      </c>
      <c r="J65" s="200">
        <f t="shared" si="12"/>
        <v>0</v>
      </c>
      <c r="K65" s="223">
        <v>0</v>
      </c>
      <c r="L65" s="212"/>
      <c r="M65" s="35">
        <v>0</v>
      </c>
      <c r="N65" s="200">
        <f t="shared" si="13"/>
        <v>0</v>
      </c>
      <c r="O65" s="35">
        <v>4.4320376827896499</v>
      </c>
      <c r="P65" s="200">
        <f t="shared" si="14"/>
        <v>0</v>
      </c>
      <c r="Q65" s="35">
        <v>2836.5041169853757</v>
      </c>
      <c r="R65" s="200">
        <f t="shared" si="15"/>
        <v>0</v>
      </c>
    </row>
    <row r="66" spans="1:18" x14ac:dyDescent="0.2">
      <c r="A66" s="25"/>
      <c r="B66" s="131"/>
      <c r="C66" s="131"/>
      <c r="D66" s="25"/>
      <c r="E66" s="130"/>
      <c r="F66" s="224"/>
      <c r="G66" s="41"/>
      <c r="H66" s="131"/>
      <c r="I66" s="35">
        <v>0</v>
      </c>
      <c r="J66" s="200">
        <f t="shared" si="12"/>
        <v>0</v>
      </c>
      <c r="K66" s="223">
        <v>0</v>
      </c>
      <c r="L66" s="212"/>
      <c r="M66" s="35">
        <v>0</v>
      </c>
      <c r="N66" s="200">
        <f t="shared" si="13"/>
        <v>0</v>
      </c>
      <c r="O66" s="35">
        <v>0</v>
      </c>
      <c r="P66" s="200">
        <f t="shared" si="14"/>
        <v>0</v>
      </c>
      <c r="Q66" s="35">
        <v>0</v>
      </c>
      <c r="R66" s="200">
        <f t="shared" si="15"/>
        <v>0</v>
      </c>
    </row>
    <row r="67" spans="1:18" x14ac:dyDescent="0.2">
      <c r="A67" s="25"/>
      <c r="B67" s="131"/>
      <c r="C67" s="131"/>
      <c r="D67" s="25"/>
      <c r="E67" s="130"/>
      <c r="F67" s="224"/>
      <c r="G67" s="41"/>
      <c r="H67" s="131"/>
      <c r="I67" s="35">
        <v>0</v>
      </c>
      <c r="J67" s="200">
        <f t="shared" si="12"/>
        <v>0</v>
      </c>
      <c r="K67" s="223">
        <v>0</v>
      </c>
      <c r="L67" s="212"/>
      <c r="M67" s="35">
        <v>0</v>
      </c>
      <c r="N67" s="200">
        <f t="shared" si="13"/>
        <v>0</v>
      </c>
      <c r="O67" s="35">
        <v>0</v>
      </c>
      <c r="P67" s="200">
        <f t="shared" si="14"/>
        <v>0</v>
      </c>
      <c r="Q67" s="35">
        <v>0</v>
      </c>
      <c r="R67" s="200">
        <f t="shared" si="15"/>
        <v>0</v>
      </c>
    </row>
    <row r="68" spans="1:18" ht="13.5" thickBot="1" x14ac:dyDescent="0.25">
      <c r="A68" s="25"/>
      <c r="B68" s="25" t="s">
        <v>32</v>
      </c>
      <c r="C68" s="25"/>
      <c r="D68" s="25"/>
      <c r="E68" s="195"/>
      <c r="F68" s="21"/>
      <c r="G68" s="39">
        <v>0.09</v>
      </c>
      <c r="H68" s="213"/>
      <c r="I68" s="42">
        <v>23.089726803221666</v>
      </c>
      <c r="J68" s="200">
        <f>+SUM(J18:J67)/2*H68</f>
        <v>0</v>
      </c>
      <c r="K68" s="86"/>
      <c r="L68" s="135"/>
      <c r="M68" s="42">
        <v>0</v>
      </c>
      <c r="N68" s="200">
        <f>+SUM(N18:N67)/2*L68</f>
        <v>0</v>
      </c>
      <c r="O68" s="42">
        <v>23.089726803221666</v>
      </c>
      <c r="P68" s="200">
        <f>+SUM(P18:P67)/2*L68</f>
        <v>0</v>
      </c>
      <c r="Q68" s="42">
        <v>14777.425154061866</v>
      </c>
      <c r="R68" s="182">
        <f>+J68*E$7</f>
        <v>0</v>
      </c>
    </row>
    <row r="69" spans="1:18" ht="13.5" thickBot="1" x14ac:dyDescent="0.25">
      <c r="A69" s="25" t="s">
        <v>33</v>
      </c>
      <c r="B69" s="25"/>
      <c r="C69" s="25"/>
      <c r="D69" s="25"/>
      <c r="E69" s="198"/>
      <c r="F69" s="25"/>
      <c r="G69" s="25"/>
      <c r="H69" s="195"/>
      <c r="I69" s="87">
        <v>839.62832278647375</v>
      </c>
      <c r="J69" s="202">
        <f>SUM(J19:J68)</f>
        <v>0</v>
      </c>
      <c r="K69" s="35"/>
      <c r="L69" s="193"/>
      <c r="M69" s="87">
        <v>0</v>
      </c>
      <c r="N69" s="202">
        <f>SUM(N19:N68)</f>
        <v>0</v>
      </c>
      <c r="O69" s="87">
        <v>839.62832278647375</v>
      </c>
      <c r="P69" s="202">
        <f>SUM(P19:P68)</f>
        <v>0</v>
      </c>
      <c r="Q69" s="87">
        <v>537362.12658334326</v>
      </c>
      <c r="R69" s="202">
        <f>SUM(R19:R68)</f>
        <v>0</v>
      </c>
    </row>
    <row r="70" spans="1:18" ht="13.5" thickTop="1" x14ac:dyDescent="0.2">
      <c r="A70" s="25" t="s">
        <v>34</v>
      </c>
      <c r="B70" s="25"/>
      <c r="C70" s="25"/>
      <c r="D70" s="25"/>
      <c r="E70" s="198"/>
      <c r="F70" s="25"/>
      <c r="G70" s="25"/>
      <c r="H70" s="195"/>
      <c r="I70" s="35">
        <v>318.00467721352629</v>
      </c>
      <c r="J70" s="200">
        <f>+J14-J69</f>
        <v>0</v>
      </c>
      <c r="K70" s="35"/>
      <c r="L70" s="193"/>
      <c r="M70" s="35">
        <v>0</v>
      </c>
      <c r="N70" s="200">
        <f>+N14-N69</f>
        <v>0</v>
      </c>
      <c r="O70" s="35">
        <v>318.00467721352629</v>
      </c>
      <c r="P70" s="200">
        <f>+P14-P69</f>
        <v>0</v>
      </c>
      <c r="Q70" s="35">
        <v>203522.99341665674</v>
      </c>
      <c r="R70" s="200">
        <f>+R14-R69</f>
        <v>0</v>
      </c>
    </row>
    <row r="71" spans="1:18" x14ac:dyDescent="0.2">
      <c r="A71" s="25"/>
      <c r="B71" s="25" t="s">
        <v>35</v>
      </c>
      <c r="C71" s="25"/>
      <c r="D71" s="25"/>
      <c r="E71" s="208"/>
      <c r="F71" s="17"/>
      <c r="G71" s="40">
        <v>0.58746348690446026</v>
      </c>
      <c r="H71" s="208" t="str">
        <f>IF(E10=0,"n/a",(YVarExp-(YTotExp+YTotRet-J10))/E10)</f>
        <v>n/a</v>
      </c>
      <c r="I71" s="25" t="s">
        <v>82</v>
      </c>
      <c r="J71" s="182"/>
      <c r="K71" s="25"/>
      <c r="L71" s="195"/>
      <c r="M71" s="25"/>
      <c r="N71" s="182"/>
      <c r="O71" s="25"/>
      <c r="P71" s="182"/>
      <c r="Q71" s="25"/>
      <c r="R71" s="182"/>
    </row>
    <row r="72" spans="1:18" x14ac:dyDescent="0.2">
      <c r="A72" s="25"/>
      <c r="B72" s="25"/>
      <c r="C72" s="25"/>
      <c r="D72" s="25"/>
      <c r="E72" s="176"/>
      <c r="F72" s="25"/>
      <c r="G72" s="25"/>
      <c r="H72" s="209"/>
      <c r="I72" s="25"/>
      <c r="J72" s="182"/>
      <c r="K72" s="25"/>
      <c r="L72" s="195"/>
      <c r="M72" s="25"/>
      <c r="N72" s="182"/>
      <c r="O72" s="25"/>
      <c r="P72" s="182"/>
      <c r="Q72" s="22" t="s">
        <v>19</v>
      </c>
      <c r="R72" s="182" t="s">
        <v>19</v>
      </c>
    </row>
    <row r="73" spans="1:18" x14ac:dyDescent="0.2">
      <c r="A73" s="23" t="s">
        <v>36</v>
      </c>
      <c r="B73" s="23"/>
      <c r="C73" s="23"/>
      <c r="D73" s="24" t="s">
        <v>2</v>
      </c>
      <c r="E73" s="194" t="s">
        <v>2</v>
      </c>
      <c r="F73" s="24" t="s">
        <v>21</v>
      </c>
      <c r="G73" s="24" t="s">
        <v>22</v>
      </c>
      <c r="H73" s="194" t="s">
        <v>22</v>
      </c>
      <c r="I73" s="24" t="s">
        <v>12</v>
      </c>
      <c r="J73" s="194" t="s">
        <v>12</v>
      </c>
      <c r="K73" s="24" t="s">
        <v>11</v>
      </c>
      <c r="L73" s="194" t="s">
        <v>11</v>
      </c>
      <c r="M73" s="24" t="s">
        <v>10</v>
      </c>
      <c r="N73" s="194" t="s">
        <v>10</v>
      </c>
      <c r="O73" s="24" t="s">
        <v>9</v>
      </c>
      <c r="P73" s="194" t="s">
        <v>9</v>
      </c>
      <c r="Q73" s="24" t="s">
        <v>12</v>
      </c>
      <c r="R73" s="206" t="s">
        <v>12</v>
      </c>
    </row>
    <row r="74" spans="1:18" x14ac:dyDescent="0.2">
      <c r="A74" s="25"/>
      <c r="B74" s="25" t="s">
        <v>104</v>
      </c>
      <c r="C74" s="25"/>
      <c r="D74" s="25"/>
      <c r="E74" s="176"/>
      <c r="F74" s="25"/>
      <c r="G74" s="25"/>
      <c r="H74" s="209"/>
      <c r="I74" s="184"/>
      <c r="J74" s="182"/>
      <c r="K74" s="223"/>
      <c r="L74" s="195"/>
      <c r="M74" s="25"/>
      <c r="N74" s="182"/>
      <c r="O74" s="25"/>
      <c r="P74" s="182"/>
      <c r="Q74" s="25"/>
      <c r="R74" s="182"/>
    </row>
    <row r="75" spans="1:18" x14ac:dyDescent="0.2">
      <c r="A75" s="25"/>
      <c r="B75" s="25"/>
      <c r="C75" s="25" t="s">
        <v>102</v>
      </c>
      <c r="D75" s="25">
        <v>1</v>
      </c>
      <c r="E75" s="130"/>
      <c r="F75" s="224" t="s">
        <v>42</v>
      </c>
      <c r="G75" s="41">
        <v>0.48808593750000001</v>
      </c>
      <c r="H75" s="131"/>
      <c r="I75" s="35">
        <v>0.48808593750000001</v>
      </c>
      <c r="J75" s="200">
        <f t="shared" ref="J75:J77" si="16">E75*H75</f>
        <v>0</v>
      </c>
      <c r="K75" s="223">
        <v>0</v>
      </c>
      <c r="L75" s="212"/>
      <c r="M75" s="35">
        <v>0</v>
      </c>
      <c r="N75" s="200">
        <f>J75*L75</f>
        <v>0</v>
      </c>
      <c r="O75" s="35">
        <v>0.48808593750000001</v>
      </c>
      <c r="P75" s="200">
        <f t="shared" ref="P75:P77" si="17">+J75-N75</f>
        <v>0</v>
      </c>
      <c r="Q75" s="35">
        <v>312.375</v>
      </c>
      <c r="R75" s="200">
        <f t="shared" ref="R75:R77" si="18">+J75*E$7</f>
        <v>0</v>
      </c>
    </row>
    <row r="76" spans="1:18" x14ac:dyDescent="0.2">
      <c r="A76" s="25"/>
      <c r="B76" s="25"/>
      <c r="C76" s="25" t="s">
        <v>103</v>
      </c>
      <c r="D76" s="25">
        <v>1</v>
      </c>
      <c r="E76" s="130"/>
      <c r="F76" s="224" t="s">
        <v>42</v>
      </c>
      <c r="G76" s="41">
        <v>18.264970716831485</v>
      </c>
      <c r="H76" s="131"/>
      <c r="I76" s="35">
        <v>18.264970716831485</v>
      </c>
      <c r="J76" s="200">
        <f t="shared" si="16"/>
        <v>0</v>
      </c>
      <c r="K76" s="223">
        <v>0</v>
      </c>
      <c r="L76" s="212"/>
      <c r="M76" s="35">
        <v>0</v>
      </c>
      <c r="N76" s="200">
        <f>J76*L76</f>
        <v>0</v>
      </c>
      <c r="O76" s="35">
        <v>18.264970716831485</v>
      </c>
      <c r="P76" s="200">
        <f t="shared" si="17"/>
        <v>0</v>
      </c>
      <c r="Q76" s="35">
        <v>11689.58125877215</v>
      </c>
      <c r="R76" s="200">
        <f t="shared" si="18"/>
        <v>0</v>
      </c>
    </row>
    <row r="77" spans="1:18" x14ac:dyDescent="0.2">
      <c r="A77" s="25"/>
      <c r="B77" s="25"/>
      <c r="C77" s="25" t="s">
        <v>5</v>
      </c>
      <c r="D77" s="25">
        <v>1</v>
      </c>
      <c r="E77" s="130"/>
      <c r="F77" s="224" t="s">
        <v>42</v>
      </c>
      <c r="G77" s="41">
        <v>6.3249706431785304</v>
      </c>
      <c r="H77" s="131"/>
      <c r="I77" s="35">
        <v>6.3249706431785304</v>
      </c>
      <c r="J77" s="200">
        <f t="shared" si="16"/>
        <v>0</v>
      </c>
      <c r="K77" s="223">
        <v>0</v>
      </c>
      <c r="L77" s="212"/>
      <c r="M77" s="35">
        <v>0</v>
      </c>
      <c r="N77" s="200">
        <f>J77*L77</f>
        <v>0</v>
      </c>
      <c r="O77" s="35">
        <v>6.3249706431785304</v>
      </c>
      <c r="P77" s="200">
        <f t="shared" si="17"/>
        <v>0</v>
      </c>
      <c r="Q77" s="35">
        <v>4047.9812116342596</v>
      </c>
      <c r="R77" s="200">
        <f t="shared" si="18"/>
        <v>0</v>
      </c>
    </row>
    <row r="78" spans="1:18" x14ac:dyDescent="0.2">
      <c r="A78" s="25"/>
      <c r="B78" s="25" t="s">
        <v>88</v>
      </c>
      <c r="C78" s="25"/>
      <c r="D78" s="25"/>
      <c r="E78" s="195"/>
      <c r="F78" s="21"/>
      <c r="G78" s="41"/>
      <c r="H78" s="195"/>
      <c r="I78" s="184"/>
      <c r="J78" s="182"/>
      <c r="K78" s="223"/>
      <c r="L78" s="195"/>
      <c r="M78" s="35"/>
      <c r="N78" s="182"/>
      <c r="O78" s="35"/>
      <c r="P78" s="182"/>
      <c r="Q78" s="35"/>
      <c r="R78" s="182"/>
    </row>
    <row r="79" spans="1:18" x14ac:dyDescent="0.2">
      <c r="A79" s="25"/>
      <c r="B79" s="25"/>
      <c r="C79" s="25" t="s">
        <v>102</v>
      </c>
      <c r="D79" s="41">
        <v>3.4189453125</v>
      </c>
      <c r="E79" s="130"/>
      <c r="F79" s="224" t="s">
        <v>99</v>
      </c>
      <c r="G79" s="39">
        <v>0.08</v>
      </c>
      <c r="H79" s="213"/>
      <c r="I79" s="35">
        <v>0.27351562499999998</v>
      </c>
      <c r="J79" s="200">
        <f t="shared" ref="J79:J88" si="19">E79*H79</f>
        <v>0</v>
      </c>
      <c r="K79" s="223">
        <v>0</v>
      </c>
      <c r="L79" s="212"/>
      <c r="M79" s="35">
        <v>0</v>
      </c>
      <c r="N79" s="200">
        <f>J79*L79</f>
        <v>0</v>
      </c>
      <c r="O79" s="35">
        <v>0.27351562499999998</v>
      </c>
      <c r="P79" s="200">
        <f t="shared" ref="P79:P81" si="20">+J79-N79</f>
        <v>0</v>
      </c>
      <c r="Q79" s="35">
        <v>175.04999999999998</v>
      </c>
      <c r="R79" s="200">
        <f t="shared" ref="R79:R81" si="21">+J79*E$7</f>
        <v>0</v>
      </c>
    </row>
    <row r="80" spans="1:18" x14ac:dyDescent="0.2">
      <c r="A80" s="25"/>
      <c r="B80" s="25"/>
      <c r="C80" s="25" t="s">
        <v>103</v>
      </c>
      <c r="D80" s="41">
        <v>140.21307914477811</v>
      </c>
      <c r="E80" s="130"/>
      <c r="F80" s="224" t="s">
        <v>99</v>
      </c>
      <c r="G80" s="39">
        <v>0.08</v>
      </c>
      <c r="H80" s="213"/>
      <c r="I80" s="35">
        <v>11.21704633158225</v>
      </c>
      <c r="J80" s="200">
        <f t="shared" si="19"/>
        <v>0</v>
      </c>
      <c r="K80" s="223">
        <v>0</v>
      </c>
      <c r="L80" s="212"/>
      <c r="M80" s="35">
        <v>0</v>
      </c>
      <c r="N80" s="200">
        <f>J80*L80</f>
        <v>0</v>
      </c>
      <c r="O80" s="35">
        <v>11.21704633158225</v>
      </c>
      <c r="P80" s="200">
        <f t="shared" si="20"/>
        <v>0</v>
      </c>
      <c r="Q80" s="35">
        <v>7178.9096522126401</v>
      </c>
      <c r="R80" s="200">
        <f t="shared" si="21"/>
        <v>0</v>
      </c>
    </row>
    <row r="81" spans="1:18" x14ac:dyDescent="0.2">
      <c r="A81" s="25"/>
      <c r="B81" s="25"/>
      <c r="C81" s="25" t="s">
        <v>5</v>
      </c>
      <c r="D81" s="41">
        <v>27.056818862485937</v>
      </c>
      <c r="E81" s="130"/>
      <c r="F81" s="224" t="s">
        <v>99</v>
      </c>
      <c r="G81" s="39">
        <v>0.08</v>
      </c>
      <c r="H81" s="213"/>
      <c r="I81" s="35">
        <v>2.164545508998875</v>
      </c>
      <c r="J81" s="200">
        <f t="shared" si="19"/>
        <v>0</v>
      </c>
      <c r="K81" s="223">
        <v>0</v>
      </c>
      <c r="L81" s="212"/>
      <c r="M81" s="35">
        <v>0</v>
      </c>
      <c r="N81" s="200">
        <f>J81*L81</f>
        <v>0</v>
      </c>
      <c r="O81" s="35">
        <v>2.164545508998875</v>
      </c>
      <c r="P81" s="200">
        <f t="shared" si="20"/>
        <v>0</v>
      </c>
      <c r="Q81" s="35">
        <v>1385.3091257592801</v>
      </c>
      <c r="R81" s="200">
        <f t="shared" si="21"/>
        <v>0</v>
      </c>
    </row>
    <row r="82" spans="1:18" x14ac:dyDescent="0.2">
      <c r="A82" s="25"/>
      <c r="B82" s="25" t="s">
        <v>156</v>
      </c>
      <c r="C82" s="25"/>
      <c r="D82" s="25">
        <v>1</v>
      </c>
      <c r="E82" s="130"/>
      <c r="F82" s="224" t="s">
        <v>42</v>
      </c>
      <c r="G82" s="41">
        <v>0</v>
      </c>
      <c r="H82" s="131"/>
      <c r="I82" s="35">
        <v>0</v>
      </c>
      <c r="J82" s="200">
        <f t="shared" si="19"/>
        <v>0</v>
      </c>
      <c r="K82" s="223">
        <v>0</v>
      </c>
      <c r="L82" s="212"/>
      <c r="M82" s="35">
        <v>0</v>
      </c>
      <c r="N82" s="200">
        <f t="shared" ref="N82:N89" si="22">J82*L82</f>
        <v>0</v>
      </c>
      <c r="O82" s="35">
        <v>0</v>
      </c>
      <c r="P82" s="200">
        <f t="shared" ref="P82:P89" si="23">+J82-N82</f>
        <v>0</v>
      </c>
      <c r="Q82" s="35">
        <v>0</v>
      </c>
      <c r="R82" s="200">
        <f t="shared" ref="R82:R89" si="24">+J82*E$7</f>
        <v>0</v>
      </c>
    </row>
    <row r="83" spans="1:18" x14ac:dyDescent="0.2">
      <c r="A83" s="25"/>
      <c r="B83" s="25" t="s">
        <v>152</v>
      </c>
      <c r="C83" s="25"/>
      <c r="D83" s="25">
        <v>1</v>
      </c>
      <c r="E83" s="130"/>
      <c r="F83" s="224" t="s">
        <v>42</v>
      </c>
      <c r="G83" s="41">
        <v>0</v>
      </c>
      <c r="H83" s="131"/>
      <c r="I83" s="35">
        <v>0</v>
      </c>
      <c r="J83" s="200">
        <f t="shared" si="19"/>
        <v>0</v>
      </c>
      <c r="K83" s="223">
        <v>0</v>
      </c>
      <c r="L83" s="212"/>
      <c r="M83" s="35">
        <v>0</v>
      </c>
      <c r="N83" s="200">
        <f t="shared" si="22"/>
        <v>0</v>
      </c>
      <c r="O83" s="35">
        <v>0</v>
      </c>
      <c r="P83" s="200">
        <f t="shared" si="23"/>
        <v>0</v>
      </c>
      <c r="Q83" s="35">
        <v>0</v>
      </c>
      <c r="R83" s="200">
        <f t="shared" si="24"/>
        <v>0</v>
      </c>
    </row>
    <row r="84" spans="1:18" x14ac:dyDescent="0.2">
      <c r="A84" s="25"/>
      <c r="B84" s="25" t="s">
        <v>137</v>
      </c>
      <c r="C84" s="25"/>
      <c r="D84" s="25">
        <v>1</v>
      </c>
      <c r="E84" s="130"/>
      <c r="F84" s="224" t="s">
        <v>42</v>
      </c>
      <c r="G84" s="41">
        <v>0</v>
      </c>
      <c r="H84" s="131"/>
      <c r="I84" s="35">
        <v>0</v>
      </c>
      <c r="J84" s="200">
        <f t="shared" si="19"/>
        <v>0</v>
      </c>
      <c r="K84" s="223">
        <v>0</v>
      </c>
      <c r="L84" s="212"/>
      <c r="M84" s="35">
        <v>0</v>
      </c>
      <c r="N84" s="200">
        <f t="shared" si="22"/>
        <v>0</v>
      </c>
      <c r="O84" s="35">
        <v>0</v>
      </c>
      <c r="P84" s="200">
        <f t="shared" si="23"/>
        <v>0</v>
      </c>
      <c r="Q84" s="35">
        <v>0</v>
      </c>
      <c r="R84" s="200">
        <f t="shared" si="24"/>
        <v>0</v>
      </c>
    </row>
    <row r="85" spans="1:18" x14ac:dyDescent="0.2">
      <c r="A85" s="25"/>
      <c r="B85" s="25" t="s">
        <v>417</v>
      </c>
      <c r="C85" s="25"/>
      <c r="D85" s="25">
        <v>1</v>
      </c>
      <c r="E85" s="130"/>
      <c r="F85" s="224" t="s">
        <v>42</v>
      </c>
      <c r="G85" s="41">
        <v>90</v>
      </c>
      <c r="H85" s="131"/>
      <c r="I85" s="35">
        <v>90</v>
      </c>
      <c r="J85" s="200">
        <f t="shared" si="19"/>
        <v>0</v>
      </c>
      <c r="K85" s="223">
        <v>0</v>
      </c>
      <c r="L85" s="212"/>
      <c r="M85" s="35">
        <v>0</v>
      </c>
      <c r="N85" s="200">
        <f t="shared" si="22"/>
        <v>0</v>
      </c>
      <c r="O85" s="35">
        <v>90</v>
      </c>
      <c r="P85" s="200">
        <f t="shared" si="23"/>
        <v>0</v>
      </c>
      <c r="Q85" s="35">
        <v>57600</v>
      </c>
      <c r="R85" s="200">
        <f t="shared" si="24"/>
        <v>0</v>
      </c>
    </row>
    <row r="86" spans="1:18" x14ac:dyDescent="0.2">
      <c r="A86" s="25"/>
      <c r="B86" s="25" t="s">
        <v>159</v>
      </c>
      <c r="C86" s="25"/>
      <c r="D86" s="25">
        <v>1</v>
      </c>
      <c r="E86" s="130"/>
      <c r="F86" s="224" t="s">
        <v>42</v>
      </c>
      <c r="G86" s="41">
        <v>0</v>
      </c>
      <c r="H86" s="131"/>
      <c r="I86" s="35">
        <v>0</v>
      </c>
      <c r="J86" s="200">
        <f t="shared" si="19"/>
        <v>0</v>
      </c>
      <c r="K86" s="223">
        <v>0</v>
      </c>
      <c r="L86" s="212"/>
      <c r="M86" s="35">
        <v>0</v>
      </c>
      <c r="N86" s="200">
        <f t="shared" si="22"/>
        <v>0</v>
      </c>
      <c r="O86" s="35">
        <v>0</v>
      </c>
      <c r="P86" s="200">
        <f t="shared" si="23"/>
        <v>0</v>
      </c>
      <c r="Q86" s="35">
        <v>0</v>
      </c>
      <c r="R86" s="200">
        <f t="shared" si="24"/>
        <v>0</v>
      </c>
    </row>
    <row r="87" spans="1:18" x14ac:dyDescent="0.2">
      <c r="A87" s="25"/>
      <c r="B87" s="25" t="s">
        <v>160</v>
      </c>
      <c r="C87" s="25"/>
      <c r="D87" s="25">
        <v>1</v>
      </c>
      <c r="E87" s="130"/>
      <c r="F87" s="224" t="s">
        <v>42</v>
      </c>
      <c r="G87" s="41">
        <v>0</v>
      </c>
      <c r="H87" s="131"/>
      <c r="I87" s="35">
        <v>0</v>
      </c>
      <c r="J87" s="200">
        <f t="shared" si="19"/>
        <v>0</v>
      </c>
      <c r="K87" s="223">
        <v>0</v>
      </c>
      <c r="L87" s="212"/>
      <c r="M87" s="35">
        <v>0</v>
      </c>
      <c r="N87" s="200">
        <f t="shared" si="22"/>
        <v>0</v>
      </c>
      <c r="O87" s="35">
        <v>0</v>
      </c>
      <c r="P87" s="200">
        <f t="shared" si="23"/>
        <v>0</v>
      </c>
      <c r="Q87" s="35">
        <v>0</v>
      </c>
      <c r="R87" s="200">
        <f t="shared" si="24"/>
        <v>0</v>
      </c>
    </row>
    <row r="88" spans="1:18" x14ac:dyDescent="0.2">
      <c r="A88" s="25"/>
      <c r="B88" s="131"/>
      <c r="C88" s="131"/>
      <c r="D88" s="25">
        <v>1</v>
      </c>
      <c r="E88" s="130"/>
      <c r="F88" s="224"/>
      <c r="G88" s="41">
        <v>0</v>
      </c>
      <c r="H88" s="131"/>
      <c r="I88" s="35">
        <v>0</v>
      </c>
      <c r="J88" s="200">
        <f t="shared" si="19"/>
        <v>0</v>
      </c>
      <c r="K88" s="223">
        <v>0</v>
      </c>
      <c r="L88" s="212"/>
      <c r="M88" s="35">
        <v>0</v>
      </c>
      <c r="N88" s="200">
        <f t="shared" si="22"/>
        <v>0</v>
      </c>
      <c r="O88" s="35">
        <v>0</v>
      </c>
      <c r="P88" s="200">
        <f t="shared" si="23"/>
        <v>0</v>
      </c>
      <c r="Q88" s="35">
        <v>0</v>
      </c>
      <c r="R88" s="200">
        <f t="shared" si="24"/>
        <v>0</v>
      </c>
    </row>
    <row r="89" spans="1:18" ht="13.5" thickBot="1" x14ac:dyDescent="0.25">
      <c r="A89" s="25"/>
      <c r="B89" s="131"/>
      <c r="C89" s="131"/>
      <c r="D89" s="25">
        <v>1</v>
      </c>
      <c r="E89" s="130"/>
      <c r="F89" s="224"/>
      <c r="G89" s="41">
        <v>0</v>
      </c>
      <c r="H89" s="131"/>
      <c r="I89" s="35">
        <v>0</v>
      </c>
      <c r="J89" s="200">
        <f>E89*H89</f>
        <v>0</v>
      </c>
      <c r="K89" s="223">
        <v>0</v>
      </c>
      <c r="L89" s="212"/>
      <c r="M89" s="35">
        <v>0</v>
      </c>
      <c r="N89" s="200">
        <f t="shared" si="22"/>
        <v>0</v>
      </c>
      <c r="O89" s="35">
        <v>0</v>
      </c>
      <c r="P89" s="200">
        <f t="shared" si="23"/>
        <v>0</v>
      </c>
      <c r="Q89" s="35">
        <v>0</v>
      </c>
      <c r="R89" s="200">
        <f t="shared" si="24"/>
        <v>0</v>
      </c>
    </row>
    <row r="90" spans="1:18" ht="13.5" thickBot="1" x14ac:dyDescent="0.25">
      <c r="A90" s="25" t="s">
        <v>37</v>
      </c>
      <c r="B90" s="25"/>
      <c r="C90" s="25"/>
      <c r="D90" s="25"/>
      <c r="E90" s="195"/>
      <c r="F90" s="25"/>
      <c r="G90" s="25"/>
      <c r="H90" s="195"/>
      <c r="I90" s="118">
        <v>128.73313476309113</v>
      </c>
      <c r="J90" s="202">
        <f>+SUM(J75:J89)</f>
        <v>0</v>
      </c>
      <c r="K90" s="35"/>
      <c r="L90" s="193"/>
      <c r="M90" s="118">
        <v>0</v>
      </c>
      <c r="N90" s="202">
        <f>+SUM(N75:N89)</f>
        <v>0</v>
      </c>
      <c r="O90" s="118">
        <v>128.73313476309113</v>
      </c>
      <c r="P90" s="202">
        <f>+SUM(P75:P89)</f>
        <v>0</v>
      </c>
      <c r="Q90" s="118">
        <v>82389.206248378323</v>
      </c>
      <c r="R90" s="202">
        <f>+SUM(R75:R89)</f>
        <v>0</v>
      </c>
    </row>
    <row r="91" spans="1:18" ht="14.25" thickTop="1" thickBot="1" x14ac:dyDescent="0.25">
      <c r="A91" s="25" t="s">
        <v>52</v>
      </c>
      <c r="B91" s="25"/>
      <c r="C91" s="25"/>
      <c r="D91" s="25"/>
      <c r="E91" s="195"/>
      <c r="F91" s="25"/>
      <c r="G91" s="25"/>
      <c r="H91" s="195"/>
      <c r="I91" s="87">
        <v>968.36145754956488</v>
      </c>
      <c r="J91" s="203">
        <f>+J69+J90</f>
        <v>0</v>
      </c>
      <c r="K91" s="35"/>
      <c r="L91" s="193"/>
      <c r="M91" s="87">
        <v>0</v>
      </c>
      <c r="N91" s="203">
        <f>+N69+N90</f>
        <v>0</v>
      </c>
      <c r="O91" s="87">
        <v>968.36145754956488</v>
      </c>
      <c r="P91" s="203">
        <f>+P69+P90</f>
        <v>0</v>
      </c>
      <c r="Q91" s="87">
        <v>619751.33283172152</v>
      </c>
      <c r="R91" s="203">
        <f>+R69+R90</f>
        <v>0</v>
      </c>
    </row>
    <row r="92" spans="1:18" ht="13.5" thickTop="1" x14ac:dyDescent="0.2">
      <c r="A92" s="25"/>
      <c r="B92" s="25"/>
      <c r="C92" s="25"/>
      <c r="D92" s="25"/>
      <c r="E92" s="195"/>
      <c r="F92" s="25"/>
      <c r="G92" s="25"/>
      <c r="H92" s="195"/>
      <c r="I92" s="35"/>
      <c r="J92" s="182"/>
      <c r="K92" s="35"/>
      <c r="L92" s="193"/>
      <c r="M92" s="35"/>
      <c r="N92" s="182"/>
      <c r="O92" s="35"/>
      <c r="P92" s="182"/>
      <c r="Q92" s="35"/>
      <c r="R92" s="182"/>
    </row>
    <row r="93" spans="1:18" x14ac:dyDescent="0.2">
      <c r="A93" s="25" t="s">
        <v>153</v>
      </c>
      <c r="B93" s="25"/>
      <c r="C93" s="25"/>
      <c r="D93" s="25"/>
      <c r="E93" s="195"/>
      <c r="F93" s="25"/>
      <c r="G93" s="25"/>
      <c r="H93" s="195"/>
      <c r="I93" s="35">
        <v>189.27154245043516</v>
      </c>
      <c r="J93" s="200">
        <f>+J14-J91</f>
        <v>0</v>
      </c>
      <c r="K93" s="35"/>
      <c r="L93" s="193"/>
      <c r="M93" s="35">
        <v>0</v>
      </c>
      <c r="N93" s="200">
        <f>+N14-N91</f>
        <v>0</v>
      </c>
      <c r="O93" s="35">
        <v>189.27154245043516</v>
      </c>
      <c r="P93" s="200">
        <f>+P14-P91</f>
        <v>0</v>
      </c>
      <c r="Q93" s="35">
        <v>121133.78716827848</v>
      </c>
      <c r="R93" s="200">
        <f>+R14-R91</f>
        <v>0</v>
      </c>
    </row>
    <row r="94" spans="1:18" x14ac:dyDescent="0.2">
      <c r="A94" s="25"/>
      <c r="B94" s="25"/>
      <c r="C94" s="25"/>
      <c r="D94" s="25"/>
      <c r="E94" s="195"/>
      <c r="F94" s="25"/>
      <c r="G94" s="25"/>
      <c r="H94" s="195"/>
      <c r="I94" s="35"/>
      <c r="J94" s="204"/>
      <c r="K94" s="35"/>
      <c r="L94" s="193"/>
      <c r="M94" s="35"/>
      <c r="N94" s="193"/>
      <c r="O94" s="35"/>
      <c r="P94" s="193"/>
      <c r="Q94" s="35"/>
      <c r="R94" s="204"/>
    </row>
    <row r="95" spans="1:18" ht="13.5" thickBot="1" x14ac:dyDescent="0.25">
      <c r="A95" s="44" t="s">
        <v>38</v>
      </c>
      <c r="B95" s="44"/>
      <c r="C95" s="44"/>
      <c r="D95" s="44"/>
      <c r="E95" s="199"/>
      <c r="F95" s="44"/>
      <c r="G95" s="45">
        <v>0.67754965538807899</v>
      </c>
      <c r="H95" s="210" t="str">
        <f>IF(E10=0,"n/a",(YTotExp-(YTotExp+YTotRet-J10))/E10)</f>
        <v>n/a</v>
      </c>
      <c r="I95" s="44" t="s">
        <v>82</v>
      </c>
      <c r="J95" s="205"/>
      <c r="K95" s="44"/>
      <c r="L95" s="199"/>
      <c r="M95" s="44"/>
      <c r="N95" s="199"/>
      <c r="O95" s="44"/>
      <c r="P95" s="199"/>
      <c r="Q95" s="44"/>
      <c r="R95" s="205"/>
    </row>
    <row r="96" spans="1:18" ht="13.5" thickTop="1" x14ac:dyDescent="0.2"/>
    <row r="97" spans="1:18" s="17" customFormat="1" ht="15.75" x14ac:dyDescent="0.25">
      <c r="A97"/>
      <c r="B97" s="88"/>
      <c r="C97" s="89"/>
      <c r="D97" s="234" t="s">
        <v>113</v>
      </c>
      <c r="E97" s="235"/>
      <c r="F97" s="235"/>
      <c r="G97" s="235"/>
      <c r="H97" s="235"/>
      <c r="I97" s="235"/>
      <c r="J97" s="99"/>
      <c r="K97" s="99"/>
      <c r="M97"/>
      <c r="N97"/>
    </row>
    <row r="98" spans="1:18" s="17" customFormat="1" ht="15.75" x14ac:dyDescent="0.25">
      <c r="A98"/>
      <c r="B98" s="19" t="s">
        <v>114</v>
      </c>
      <c r="C98" s="19" t="s">
        <v>114</v>
      </c>
      <c r="D98" s="123" t="s">
        <v>170</v>
      </c>
      <c r="E98" s="18"/>
      <c r="F98" s="18"/>
      <c r="G98" s="123" t="s">
        <v>170</v>
      </c>
      <c r="H98" s="18"/>
      <c r="I98" s="18"/>
      <c r="J98" s="18"/>
      <c r="K98" s="18"/>
      <c r="M98"/>
      <c r="N98"/>
    </row>
    <row r="99" spans="1:18" s="17" customFormat="1" x14ac:dyDescent="0.2">
      <c r="A99"/>
      <c r="B99" s="19" t="s">
        <v>80</v>
      </c>
      <c r="C99" s="19" t="s">
        <v>80</v>
      </c>
      <c r="D99" s="123" t="s">
        <v>157</v>
      </c>
      <c r="E99" s="119"/>
      <c r="F99" s="119"/>
      <c r="G99" s="123" t="s">
        <v>12</v>
      </c>
      <c r="H99" s="119"/>
      <c r="I99" s="119"/>
      <c r="J99" s="119"/>
      <c r="K99" s="119"/>
      <c r="M99"/>
      <c r="N99"/>
    </row>
    <row r="100" spans="1:18" s="17" customFormat="1" x14ac:dyDescent="0.2">
      <c r="A100"/>
      <c r="B100" s="19" t="s">
        <v>30</v>
      </c>
      <c r="C100" s="99" t="s">
        <v>82</v>
      </c>
      <c r="D100" s="123" t="s">
        <v>98</v>
      </c>
      <c r="E100" s="119"/>
      <c r="F100" s="119"/>
      <c r="G100" s="123" t="s">
        <v>98</v>
      </c>
      <c r="H100" s="19"/>
      <c r="I100" s="19"/>
      <c r="J100" s="19"/>
      <c r="K100" s="19"/>
      <c r="M100"/>
      <c r="N100"/>
    </row>
    <row r="101" spans="1:18" s="17" customFormat="1" x14ac:dyDescent="0.2">
      <c r="A101"/>
      <c r="B101" s="90">
        <v>0.75</v>
      </c>
      <c r="C101" s="91">
        <v>1071.75</v>
      </c>
      <c r="D101" s="92">
        <v>0.78328464920594698</v>
      </c>
      <c r="E101" s="93"/>
      <c r="F101" s="94"/>
      <c r="G101" s="92">
        <v>0.90339954051743865</v>
      </c>
      <c r="H101" s="93"/>
      <c r="I101" s="93"/>
      <c r="M101"/>
      <c r="N101"/>
    </row>
    <row r="102" spans="1:18" s="17" customFormat="1" x14ac:dyDescent="0.2">
      <c r="A102"/>
      <c r="B102" s="95">
        <v>0.9</v>
      </c>
      <c r="C102" s="96">
        <v>1286.1000000000001</v>
      </c>
      <c r="D102" s="97">
        <v>0.65273720767162247</v>
      </c>
      <c r="E102" s="83"/>
      <c r="F102" s="98"/>
      <c r="G102" s="97">
        <v>0.7528329504311988</v>
      </c>
      <c r="H102" s="83"/>
      <c r="I102" s="83"/>
      <c r="M102"/>
      <c r="N102"/>
    </row>
    <row r="103" spans="1:18" s="17" customFormat="1" x14ac:dyDescent="0.2">
      <c r="A103"/>
      <c r="B103" s="90">
        <v>1</v>
      </c>
      <c r="C103" s="91">
        <v>1429</v>
      </c>
      <c r="D103" s="92">
        <v>0.58746348690446026</v>
      </c>
      <c r="E103" s="93"/>
      <c r="F103" s="94"/>
      <c r="G103" s="92">
        <v>0.67754965538807899</v>
      </c>
      <c r="H103" s="93"/>
      <c r="I103" s="93"/>
      <c r="M103"/>
      <c r="N103"/>
    </row>
    <row r="104" spans="1:18" s="17" customFormat="1" x14ac:dyDescent="0.2">
      <c r="A104"/>
      <c r="B104" s="95">
        <v>1.1000000000000001</v>
      </c>
      <c r="C104" s="96">
        <v>1571.9</v>
      </c>
      <c r="D104" s="97">
        <v>0.53405771536769109</v>
      </c>
      <c r="E104" s="83"/>
      <c r="F104" s="98"/>
      <c r="G104" s="97">
        <v>0.61595423217098089</v>
      </c>
      <c r="H104" s="83"/>
      <c r="I104" s="83"/>
      <c r="M104"/>
      <c r="N104"/>
    </row>
    <row r="105" spans="1:18" s="17" customFormat="1" x14ac:dyDescent="0.2">
      <c r="A105"/>
      <c r="B105" s="90">
        <v>1.25</v>
      </c>
      <c r="C105" s="91">
        <v>1786.25</v>
      </c>
      <c r="D105" s="92">
        <v>0.46997078952356819</v>
      </c>
      <c r="E105" s="93"/>
      <c r="F105" s="94"/>
      <c r="G105" s="92">
        <v>0.54203972431046321</v>
      </c>
      <c r="H105" s="93"/>
      <c r="I105" s="93"/>
      <c r="M105"/>
      <c r="N105"/>
    </row>
    <row r="106" spans="1:18" s="17" customFormat="1" x14ac:dyDescent="0.2">
      <c r="A106"/>
      <c r="M106"/>
      <c r="N106"/>
    </row>
    <row r="107" spans="1:18" x14ac:dyDescent="0.2">
      <c r="A107" s="25" t="s">
        <v>434</v>
      </c>
      <c r="B107" s="17"/>
      <c r="C107" s="17"/>
      <c r="D107" s="17"/>
      <c r="E107" s="17"/>
      <c r="F107" s="17"/>
      <c r="G107" s="17"/>
      <c r="H107" s="17"/>
      <c r="I107" s="17"/>
      <c r="J107" s="28"/>
      <c r="K107" s="17"/>
      <c r="L107" s="17"/>
      <c r="M107" s="17"/>
      <c r="N107" s="17"/>
      <c r="O107" s="17"/>
      <c r="P107" s="17"/>
      <c r="Q107" s="17"/>
    </row>
    <row r="108" spans="1:18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28"/>
      <c r="K108" s="17"/>
      <c r="L108" s="17"/>
      <c r="M108" s="17"/>
      <c r="N108" s="17"/>
      <c r="O108" s="17"/>
      <c r="P108" s="17"/>
      <c r="Q108" s="17"/>
    </row>
    <row r="109" spans="1:18" ht="26.25" customHeight="1" x14ac:dyDescent="0.2">
      <c r="A109" s="236" t="s">
        <v>140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19"/>
      <c r="N109" s="219"/>
      <c r="O109" s="219"/>
      <c r="P109" s="219"/>
      <c r="Q109" s="219"/>
      <c r="R109" s="219"/>
    </row>
  </sheetData>
  <sheetProtection sheet="1" objects="1" scenarios="1"/>
  <mergeCells count="6">
    <mergeCell ref="D97:I97"/>
    <mergeCell ref="A109:L109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205">
    <tabColor rgb="FF92D050"/>
    <pageSetUpPr fitToPage="1"/>
  </sheetPr>
  <dimension ref="A1:S110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446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133</v>
      </c>
      <c r="C10" s="25"/>
      <c r="D10" s="50">
        <v>1250</v>
      </c>
      <c r="E10" s="130"/>
      <c r="F10" s="224" t="s">
        <v>82</v>
      </c>
      <c r="G10" s="31">
        <v>0.81</v>
      </c>
      <c r="H10" s="131"/>
      <c r="I10" s="35">
        <v>1012.5000000000001</v>
      </c>
      <c r="J10" s="200">
        <f t="shared" ref="J10:J13" si="0">E10*H10</f>
        <v>0</v>
      </c>
      <c r="K10" s="223">
        <v>0</v>
      </c>
      <c r="L10" s="212"/>
      <c r="M10" s="35">
        <v>0</v>
      </c>
      <c r="N10" s="200">
        <f t="shared" ref="N10:N13" si="1">J10*L10</f>
        <v>0</v>
      </c>
      <c r="O10" s="35">
        <v>1012.5000000000001</v>
      </c>
      <c r="P10" s="200">
        <f>+J10-N10</f>
        <v>0</v>
      </c>
      <c r="Q10" s="35">
        <v>648000.00000000012</v>
      </c>
      <c r="R10" s="200">
        <f t="shared" ref="R10:R13" si="2">+J10*E$7</f>
        <v>0</v>
      </c>
      <c r="S10" s="12"/>
    </row>
    <row r="11" spans="1:19" x14ac:dyDescent="0.2">
      <c r="A11" s="25"/>
      <c r="B11" t="s">
        <v>134</v>
      </c>
      <c r="C11" s="25"/>
      <c r="D11" s="50">
        <v>0.65</v>
      </c>
      <c r="E11" s="130"/>
      <c r="F11" s="224" t="s">
        <v>135</v>
      </c>
      <c r="G11" s="31">
        <v>0.22</v>
      </c>
      <c r="H11" s="131"/>
      <c r="I11" s="35">
        <v>0.14300000000000002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0.14300000000000002</v>
      </c>
      <c r="P11" s="200">
        <f t="shared" ref="P11:P13" si="3">+J11-N11</f>
        <v>0</v>
      </c>
      <c r="Q11" s="35">
        <v>91.52000000000001</v>
      </c>
      <c r="R11" s="200">
        <f t="shared" si="2"/>
        <v>0</v>
      </c>
      <c r="S11" s="12"/>
    </row>
    <row r="12" spans="1:19" x14ac:dyDescent="0.2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35">
        <v>0</v>
      </c>
      <c r="J12" s="200">
        <f t="shared" si="0"/>
        <v>0</v>
      </c>
      <c r="K12" s="223">
        <v>0</v>
      </c>
      <c r="L12" s="212"/>
      <c r="M12" s="35">
        <v>0</v>
      </c>
      <c r="N12" s="200">
        <f t="shared" si="1"/>
        <v>0</v>
      </c>
      <c r="O12" s="35">
        <v>0</v>
      </c>
      <c r="P12" s="200">
        <f t="shared" si="3"/>
        <v>0</v>
      </c>
      <c r="Q12" s="35">
        <v>0</v>
      </c>
      <c r="R12" s="200">
        <f t="shared" si="2"/>
        <v>0</v>
      </c>
    </row>
    <row r="13" spans="1:19" ht="13.5" thickBot="1" x14ac:dyDescent="0.25">
      <c r="A13" s="25"/>
      <c r="B13" s="131"/>
      <c r="C13" s="131"/>
      <c r="D13" s="50">
        <v>0</v>
      </c>
      <c r="E13" s="130"/>
      <c r="F13" s="224"/>
      <c r="G13" s="31">
        <v>0</v>
      </c>
      <c r="H13" s="131"/>
      <c r="I13" s="42">
        <v>0</v>
      </c>
      <c r="J13" s="200">
        <f t="shared" si="0"/>
        <v>0</v>
      </c>
      <c r="K13" s="223">
        <v>0</v>
      </c>
      <c r="L13" s="212"/>
      <c r="M13" s="42">
        <v>0</v>
      </c>
      <c r="N13" s="200">
        <f t="shared" si="1"/>
        <v>0</v>
      </c>
      <c r="O13" s="42">
        <v>0</v>
      </c>
      <c r="P13" s="200">
        <f t="shared" si="3"/>
        <v>0</v>
      </c>
      <c r="Q13" s="42">
        <v>0</v>
      </c>
      <c r="R13" s="182">
        <f t="shared" si="2"/>
        <v>0</v>
      </c>
    </row>
    <row r="14" spans="1:19" x14ac:dyDescent="0.2">
      <c r="A14" s="25" t="s">
        <v>24</v>
      </c>
      <c r="B14" s="25"/>
      <c r="C14" s="25"/>
      <c r="D14" s="25"/>
      <c r="E14" s="198"/>
      <c r="F14" s="25"/>
      <c r="G14" s="25"/>
      <c r="H14" s="195"/>
      <c r="I14" s="36">
        <v>1012.6430000000001</v>
      </c>
      <c r="J14" s="201">
        <f>SUM(J10:J13)</f>
        <v>0</v>
      </c>
      <c r="K14" s="35"/>
      <c r="L14" s="193"/>
      <c r="M14" s="36">
        <v>0</v>
      </c>
      <c r="N14" s="201">
        <f>SUM(N10:N13)</f>
        <v>0</v>
      </c>
      <c r="O14" s="36">
        <v>1012.6430000000001</v>
      </c>
      <c r="P14" s="201">
        <f>SUM(P10:P13)</f>
        <v>0</v>
      </c>
      <c r="Q14" s="36">
        <v>648091.52000000014</v>
      </c>
      <c r="R14" s="201">
        <f>SUM(R10:R13)</f>
        <v>0</v>
      </c>
    </row>
    <row r="15" spans="1:19" x14ac:dyDescent="0.2">
      <c r="A15" s="25"/>
      <c r="B15" s="25"/>
      <c r="C15" s="25"/>
      <c r="D15" s="25"/>
      <c r="E15" s="176"/>
      <c r="F15" s="25"/>
      <c r="G15" s="25"/>
      <c r="H15" s="209"/>
      <c r="I15" s="35"/>
      <c r="J15" s="182"/>
      <c r="K15" s="35"/>
      <c r="L15" s="193"/>
      <c r="M15" s="35"/>
      <c r="N15" s="182"/>
      <c r="O15" s="35"/>
      <c r="P15" s="182"/>
      <c r="Q15" s="22" t="s">
        <v>19</v>
      </c>
      <c r="R15" s="182" t="s">
        <v>19</v>
      </c>
    </row>
    <row r="16" spans="1:19" x14ac:dyDescent="0.2">
      <c r="A16" s="23" t="s">
        <v>25</v>
      </c>
      <c r="B16" s="23"/>
      <c r="C16" s="23"/>
      <c r="D16" s="24" t="s">
        <v>2</v>
      </c>
      <c r="E16" s="194" t="s">
        <v>2</v>
      </c>
      <c r="F16" s="24" t="s">
        <v>21</v>
      </c>
      <c r="G16" s="24" t="s">
        <v>22</v>
      </c>
      <c r="H16" s="194" t="s">
        <v>22</v>
      </c>
      <c r="I16" s="24" t="s">
        <v>12</v>
      </c>
      <c r="J16" s="194" t="s">
        <v>12</v>
      </c>
      <c r="K16" s="24" t="s">
        <v>11</v>
      </c>
      <c r="L16" s="194" t="s">
        <v>11</v>
      </c>
      <c r="M16" s="24" t="s">
        <v>10</v>
      </c>
      <c r="N16" s="194" t="s">
        <v>10</v>
      </c>
      <c r="O16" s="24" t="s">
        <v>9</v>
      </c>
      <c r="P16" s="194" t="s">
        <v>9</v>
      </c>
      <c r="Q16" s="24" t="s">
        <v>12</v>
      </c>
      <c r="R16" s="206" t="s">
        <v>12</v>
      </c>
    </row>
    <row r="17" spans="1:18" x14ac:dyDescent="0.2">
      <c r="A17" s="25" t="s">
        <v>26</v>
      </c>
      <c r="B17" s="25"/>
      <c r="C17" s="25"/>
      <c r="D17" s="25"/>
      <c r="E17" s="176"/>
      <c r="F17" s="25"/>
      <c r="G17" s="25"/>
      <c r="H17" s="209"/>
      <c r="I17" s="25"/>
      <c r="J17" s="182"/>
      <c r="K17" s="25"/>
      <c r="L17" s="195"/>
      <c r="M17" s="25"/>
      <c r="N17" s="182"/>
      <c r="O17" s="25"/>
      <c r="P17" s="182"/>
      <c r="Q17" s="25"/>
      <c r="R17" s="182"/>
    </row>
    <row r="18" spans="1:18" x14ac:dyDescent="0.2">
      <c r="A18" s="25"/>
      <c r="B18" s="25" t="s">
        <v>50</v>
      </c>
      <c r="C18" s="25"/>
      <c r="D18" s="25"/>
      <c r="E18" s="25"/>
      <c r="F18" s="25"/>
      <c r="G18" s="25"/>
      <c r="H18" s="25"/>
      <c r="I18" s="25"/>
      <c r="J18" s="25"/>
      <c r="K18" s="223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 t="s">
        <v>458</v>
      </c>
      <c r="C19" s="25" t="s">
        <v>176</v>
      </c>
      <c r="D19" s="25">
        <v>1</v>
      </c>
      <c r="E19" s="130"/>
      <c r="F19" s="224" t="s">
        <v>42</v>
      </c>
      <c r="G19" s="41">
        <v>5</v>
      </c>
      <c r="H19" s="131"/>
      <c r="I19" s="35">
        <v>5</v>
      </c>
      <c r="J19" s="200">
        <f t="shared" ref="J19:J43" si="4">E19*H19</f>
        <v>0</v>
      </c>
      <c r="K19" s="223">
        <v>0</v>
      </c>
      <c r="L19" s="212"/>
      <c r="M19" s="35">
        <v>0</v>
      </c>
      <c r="N19" s="200">
        <f t="shared" ref="N19:N43" si="5">J19*L19</f>
        <v>0</v>
      </c>
      <c r="O19" s="35">
        <v>5</v>
      </c>
      <c r="P19" s="200">
        <f t="shared" ref="P19:P43" si="6">+J19-N19</f>
        <v>0</v>
      </c>
      <c r="Q19" s="35">
        <v>3200</v>
      </c>
      <c r="R19" s="200">
        <f t="shared" ref="R19:R43" si="7">+J19*E$7</f>
        <v>0</v>
      </c>
    </row>
    <row r="20" spans="1:18" x14ac:dyDescent="0.2">
      <c r="A20" s="25"/>
      <c r="B20" s="25" t="s">
        <v>458</v>
      </c>
      <c r="C20" s="25" t="s">
        <v>382</v>
      </c>
      <c r="D20" s="25">
        <v>1250</v>
      </c>
      <c r="E20" s="130"/>
      <c r="F20" s="224" t="s">
        <v>82</v>
      </c>
      <c r="G20" s="41">
        <v>0.13</v>
      </c>
      <c r="H20" s="131"/>
      <c r="I20" s="35">
        <v>162.5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162.5</v>
      </c>
      <c r="P20" s="200">
        <f t="shared" si="6"/>
        <v>0</v>
      </c>
      <c r="Q20" s="35">
        <v>104000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375</v>
      </c>
      <c r="D21" s="25">
        <v>1250</v>
      </c>
      <c r="E21" s="130"/>
      <c r="F21" s="224" t="s">
        <v>82</v>
      </c>
      <c r="G21" s="41">
        <v>0.12</v>
      </c>
      <c r="H21" s="131"/>
      <c r="I21" s="35">
        <v>150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150</v>
      </c>
      <c r="P21" s="200">
        <f t="shared" si="6"/>
        <v>0</v>
      </c>
      <c r="Q21" s="35">
        <v>96000</v>
      </c>
      <c r="R21" s="200">
        <f t="shared" si="7"/>
        <v>0</v>
      </c>
    </row>
    <row r="22" spans="1:18" x14ac:dyDescent="0.2">
      <c r="A22" s="25"/>
      <c r="B22" s="25" t="s">
        <v>0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342</v>
      </c>
      <c r="D23" s="25">
        <v>100</v>
      </c>
      <c r="E23" s="130"/>
      <c r="F23" s="224" t="s">
        <v>82</v>
      </c>
      <c r="G23" s="41">
        <v>0.53800000000000003</v>
      </c>
      <c r="H23" s="131"/>
      <c r="I23" s="35">
        <v>53.800000000000004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53.800000000000004</v>
      </c>
      <c r="P23" s="200">
        <f t="shared" si="6"/>
        <v>0</v>
      </c>
      <c r="Q23" s="35">
        <v>34432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378</v>
      </c>
      <c r="D24" s="25">
        <v>50</v>
      </c>
      <c r="E24" s="130"/>
      <c r="F24" s="224" t="s">
        <v>82</v>
      </c>
      <c r="G24" s="41">
        <v>0.56999999999999995</v>
      </c>
      <c r="H24" s="131"/>
      <c r="I24" s="35">
        <v>28.499999999999996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28.499999999999996</v>
      </c>
      <c r="P24" s="200">
        <f t="shared" si="6"/>
        <v>0</v>
      </c>
      <c r="Q24" s="35">
        <v>18239.999999999996</v>
      </c>
      <c r="R24" s="200">
        <f t="shared" si="7"/>
        <v>0</v>
      </c>
    </row>
    <row r="25" spans="1:18" x14ac:dyDescent="0.2">
      <c r="A25" s="25"/>
      <c r="B25" s="25" t="s">
        <v>49</v>
      </c>
      <c r="C25" s="25"/>
      <c r="D25" s="25"/>
      <c r="E25" s="25"/>
      <c r="F25" s="25"/>
      <c r="G25" s="25"/>
      <c r="H25" s="25"/>
      <c r="I25" s="25"/>
      <c r="J25" s="25"/>
      <c r="K25" s="223"/>
      <c r="L25" s="25"/>
      <c r="M25" s="25"/>
      <c r="N25" s="25"/>
      <c r="O25" s="25"/>
      <c r="P25" s="25"/>
      <c r="Q25" s="25"/>
      <c r="R25" s="25"/>
    </row>
    <row r="26" spans="1:18" x14ac:dyDescent="0.2">
      <c r="A26" s="25"/>
      <c r="B26" s="25" t="s">
        <v>458</v>
      </c>
      <c r="C26" s="25" t="s">
        <v>401</v>
      </c>
      <c r="D26" s="25">
        <v>64</v>
      </c>
      <c r="E26" s="130"/>
      <c r="F26" s="224" t="s">
        <v>435</v>
      </c>
      <c r="G26" s="41">
        <v>0.41</v>
      </c>
      <c r="H26" s="131"/>
      <c r="I26" s="35">
        <v>26.24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26.24</v>
      </c>
      <c r="P26" s="200">
        <f t="shared" si="6"/>
        <v>0</v>
      </c>
      <c r="Q26" s="35">
        <v>16793.599999999999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440</v>
      </c>
      <c r="D27" s="25">
        <v>4.7</v>
      </c>
      <c r="E27" s="130"/>
      <c r="F27" s="224" t="s">
        <v>316</v>
      </c>
      <c r="G27" s="41">
        <v>5.81</v>
      </c>
      <c r="H27" s="131"/>
      <c r="I27" s="35">
        <v>27.306999999999999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27.306999999999999</v>
      </c>
      <c r="P27" s="200">
        <f t="shared" si="6"/>
        <v>0</v>
      </c>
      <c r="Q27" s="35">
        <v>17476.48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439</v>
      </c>
      <c r="D28" s="25">
        <v>29</v>
      </c>
      <c r="E28" s="130"/>
      <c r="F28" s="224" t="s">
        <v>410</v>
      </c>
      <c r="G28" s="41">
        <v>0.7</v>
      </c>
      <c r="H28" s="131"/>
      <c r="I28" s="35">
        <v>20.299999999999997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20.299999999999997</v>
      </c>
      <c r="P28" s="200">
        <f t="shared" si="6"/>
        <v>0</v>
      </c>
      <c r="Q28" s="35">
        <v>12991.999999999998</v>
      </c>
      <c r="R28" s="200">
        <f t="shared" si="7"/>
        <v>0</v>
      </c>
    </row>
    <row r="29" spans="1:18" x14ac:dyDescent="0.2">
      <c r="A29" s="25"/>
      <c r="B29" s="25" t="s">
        <v>458</v>
      </c>
      <c r="C29" s="25" t="s">
        <v>384</v>
      </c>
      <c r="D29" s="25">
        <v>1</v>
      </c>
      <c r="E29" s="130"/>
      <c r="F29" s="224" t="s">
        <v>316</v>
      </c>
      <c r="G29" s="41">
        <v>3.75</v>
      </c>
      <c r="H29" s="131"/>
      <c r="I29" s="35">
        <v>3.75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3.75</v>
      </c>
      <c r="P29" s="200">
        <f t="shared" si="6"/>
        <v>0</v>
      </c>
      <c r="Q29" s="35">
        <v>2400</v>
      </c>
      <c r="R29" s="200">
        <f t="shared" si="7"/>
        <v>0</v>
      </c>
    </row>
    <row r="30" spans="1:18" x14ac:dyDescent="0.2">
      <c r="A30" s="25"/>
      <c r="B30" s="25" t="s">
        <v>458</v>
      </c>
      <c r="C30" s="25" t="s">
        <v>386</v>
      </c>
      <c r="D30" s="25">
        <v>1</v>
      </c>
      <c r="E30" s="130"/>
      <c r="F30" s="224" t="s">
        <v>410</v>
      </c>
      <c r="G30" s="41">
        <v>0.546875</v>
      </c>
      <c r="H30" s="131"/>
      <c r="I30" s="35">
        <v>0.546875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0.546875</v>
      </c>
      <c r="P30" s="200">
        <f t="shared" si="6"/>
        <v>0</v>
      </c>
      <c r="Q30" s="35">
        <v>350</v>
      </c>
      <c r="R30" s="200">
        <f t="shared" si="7"/>
        <v>0</v>
      </c>
    </row>
    <row r="31" spans="1:18" x14ac:dyDescent="0.2">
      <c r="A31" s="25"/>
      <c r="B31" s="25" t="s">
        <v>458</v>
      </c>
      <c r="C31" s="25" t="s">
        <v>438</v>
      </c>
      <c r="D31" s="25">
        <v>1.4</v>
      </c>
      <c r="E31" s="130"/>
      <c r="F31" s="224" t="s">
        <v>316</v>
      </c>
      <c r="G31" s="41">
        <v>2.84</v>
      </c>
      <c r="H31" s="131"/>
      <c r="I31" s="35">
        <v>3.9759999999999995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3.9759999999999995</v>
      </c>
      <c r="P31" s="200">
        <f t="shared" si="6"/>
        <v>0</v>
      </c>
      <c r="Q31" s="35">
        <v>2544.64</v>
      </c>
      <c r="R31" s="200">
        <f t="shared" si="7"/>
        <v>0</v>
      </c>
    </row>
    <row r="32" spans="1:18" x14ac:dyDescent="0.2">
      <c r="A32" s="25"/>
      <c r="B32" s="25" t="s">
        <v>458</v>
      </c>
      <c r="C32" s="25" t="s">
        <v>436</v>
      </c>
      <c r="D32" s="25">
        <v>1.4</v>
      </c>
      <c r="E32" s="130"/>
      <c r="F32" s="224" t="s">
        <v>316</v>
      </c>
      <c r="G32" s="41">
        <v>4.92</v>
      </c>
      <c r="H32" s="131"/>
      <c r="I32" s="35">
        <v>6.8879999999999999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6.8879999999999999</v>
      </c>
      <c r="P32" s="200">
        <f t="shared" si="6"/>
        <v>0</v>
      </c>
      <c r="Q32" s="35">
        <v>4408.32</v>
      </c>
      <c r="R32" s="200">
        <f t="shared" si="7"/>
        <v>0</v>
      </c>
    </row>
    <row r="33" spans="1:18" x14ac:dyDescent="0.2">
      <c r="A33" s="25"/>
      <c r="B33" s="25" t="s">
        <v>458</v>
      </c>
      <c r="C33" s="25" t="s">
        <v>437</v>
      </c>
      <c r="D33" s="25">
        <v>1.3</v>
      </c>
      <c r="E33" s="130"/>
      <c r="F33" s="224" t="s">
        <v>316</v>
      </c>
      <c r="G33" s="41">
        <v>9.14</v>
      </c>
      <c r="H33" s="131"/>
      <c r="I33" s="35">
        <v>11.882000000000001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11.882000000000001</v>
      </c>
      <c r="P33" s="200">
        <f t="shared" si="6"/>
        <v>0</v>
      </c>
      <c r="Q33" s="35">
        <v>7604.4800000000014</v>
      </c>
      <c r="R33" s="200">
        <f t="shared" si="7"/>
        <v>0</v>
      </c>
    </row>
    <row r="34" spans="1:18" x14ac:dyDescent="0.2">
      <c r="A34" s="25"/>
      <c r="B34" s="25" t="s">
        <v>48</v>
      </c>
      <c r="C34" s="25"/>
      <c r="D34" s="25"/>
      <c r="E34" s="25"/>
      <c r="F34" s="25"/>
      <c r="G34" s="25"/>
      <c r="H34" s="25"/>
      <c r="I34" s="25"/>
      <c r="J34" s="25"/>
      <c r="K34" s="223"/>
      <c r="L34" s="25"/>
      <c r="M34" s="25"/>
      <c r="N34" s="25"/>
      <c r="O34" s="25"/>
      <c r="P34" s="25"/>
      <c r="Q34" s="25"/>
      <c r="R34" s="25"/>
    </row>
    <row r="35" spans="1:18" x14ac:dyDescent="0.2">
      <c r="A35" s="25"/>
      <c r="B35" s="25" t="s">
        <v>458</v>
      </c>
      <c r="C35" s="25" t="s">
        <v>442</v>
      </c>
      <c r="D35" s="25">
        <v>16</v>
      </c>
      <c r="E35" s="130"/>
      <c r="F35" s="224" t="s">
        <v>410</v>
      </c>
      <c r="G35" s="41">
        <v>1.1599999999999999</v>
      </c>
      <c r="H35" s="131"/>
      <c r="I35" s="35">
        <v>18.559999999999999</v>
      </c>
      <c r="J35" s="200">
        <f t="shared" si="4"/>
        <v>0</v>
      </c>
      <c r="K35" s="223">
        <v>0</v>
      </c>
      <c r="L35" s="212"/>
      <c r="M35" s="35">
        <v>0</v>
      </c>
      <c r="N35" s="200">
        <f t="shared" si="5"/>
        <v>0</v>
      </c>
      <c r="O35" s="35">
        <v>18.559999999999999</v>
      </c>
      <c r="P35" s="200">
        <f t="shared" si="6"/>
        <v>0</v>
      </c>
      <c r="Q35" s="35">
        <v>11878.4</v>
      </c>
      <c r="R35" s="200">
        <f t="shared" si="7"/>
        <v>0</v>
      </c>
    </row>
    <row r="36" spans="1:18" x14ac:dyDescent="0.2">
      <c r="A36" s="25"/>
      <c r="B36" s="25" t="s">
        <v>458</v>
      </c>
      <c r="C36" s="25" t="s">
        <v>443</v>
      </c>
      <c r="D36" s="25">
        <v>2</v>
      </c>
      <c r="E36" s="130"/>
      <c r="F36" s="224" t="s">
        <v>410</v>
      </c>
      <c r="G36" s="41">
        <v>1.74875</v>
      </c>
      <c r="H36" s="131"/>
      <c r="I36" s="35">
        <v>3.4975000000000001</v>
      </c>
      <c r="J36" s="200">
        <f t="shared" si="4"/>
        <v>0</v>
      </c>
      <c r="K36" s="223">
        <v>0</v>
      </c>
      <c r="L36" s="212"/>
      <c r="M36" s="35">
        <v>0</v>
      </c>
      <c r="N36" s="200">
        <f t="shared" si="5"/>
        <v>0</v>
      </c>
      <c r="O36" s="35">
        <v>3.4975000000000001</v>
      </c>
      <c r="P36" s="200">
        <f t="shared" si="6"/>
        <v>0</v>
      </c>
      <c r="Q36" s="35">
        <v>2238.4</v>
      </c>
      <c r="R36" s="200">
        <f t="shared" si="7"/>
        <v>0</v>
      </c>
    </row>
    <row r="37" spans="1:18" x14ac:dyDescent="0.2">
      <c r="A37" s="25"/>
      <c r="B37" s="25" t="s">
        <v>27</v>
      </c>
      <c r="C37" s="25"/>
      <c r="D37" s="25"/>
      <c r="E37" s="25"/>
      <c r="F37" s="25"/>
      <c r="G37" s="25"/>
      <c r="H37" s="25"/>
      <c r="I37" s="25"/>
      <c r="J37" s="25"/>
      <c r="K37" s="223"/>
      <c r="L37" s="25"/>
      <c r="M37" s="25"/>
      <c r="N37" s="25"/>
      <c r="O37" s="25"/>
      <c r="P37" s="25"/>
      <c r="Q37" s="25"/>
      <c r="R37" s="25"/>
    </row>
    <row r="38" spans="1:18" x14ac:dyDescent="0.2">
      <c r="A38" s="25"/>
      <c r="B38" s="25" t="s">
        <v>458</v>
      </c>
      <c r="C38" s="25" t="s">
        <v>394</v>
      </c>
      <c r="D38" s="25">
        <v>1</v>
      </c>
      <c r="E38" s="130"/>
      <c r="F38" s="224" t="s">
        <v>42</v>
      </c>
      <c r="G38" s="41">
        <v>15</v>
      </c>
      <c r="H38" s="131"/>
      <c r="I38" s="35">
        <v>15</v>
      </c>
      <c r="J38" s="200">
        <f t="shared" si="4"/>
        <v>0</v>
      </c>
      <c r="K38" s="223">
        <v>0</v>
      </c>
      <c r="L38" s="212"/>
      <c r="M38" s="35">
        <v>0</v>
      </c>
      <c r="N38" s="200">
        <f t="shared" si="5"/>
        <v>0</v>
      </c>
      <c r="O38" s="35">
        <v>15</v>
      </c>
      <c r="P38" s="200">
        <f t="shared" si="6"/>
        <v>0</v>
      </c>
      <c r="Q38" s="35">
        <v>9600</v>
      </c>
      <c r="R38" s="200">
        <f t="shared" si="7"/>
        <v>0</v>
      </c>
    </row>
    <row r="39" spans="1:18" x14ac:dyDescent="0.2">
      <c r="A39" s="25"/>
      <c r="B39" s="25" t="s">
        <v>1</v>
      </c>
      <c r="C39" s="25"/>
      <c r="D39" s="25"/>
      <c r="E39" s="25"/>
      <c r="F39" s="25"/>
      <c r="G39" s="25"/>
      <c r="H39" s="25"/>
      <c r="I39" s="25"/>
      <c r="J39" s="25"/>
      <c r="K39" s="223"/>
      <c r="L39" s="25"/>
      <c r="M39" s="25"/>
      <c r="N39" s="25"/>
      <c r="O39" s="25"/>
      <c r="P39" s="25"/>
      <c r="Q39" s="25"/>
      <c r="R39" s="25"/>
    </row>
    <row r="40" spans="1:18" x14ac:dyDescent="0.2">
      <c r="A40" s="25"/>
      <c r="B40" s="25" t="s">
        <v>458</v>
      </c>
      <c r="C40" s="25" t="s">
        <v>368</v>
      </c>
      <c r="D40" s="25">
        <v>5</v>
      </c>
      <c r="E40" s="130"/>
      <c r="F40" s="224" t="s">
        <v>82</v>
      </c>
      <c r="G40" s="41">
        <v>8</v>
      </c>
      <c r="H40" s="131"/>
      <c r="I40" s="35">
        <v>40</v>
      </c>
      <c r="J40" s="200">
        <f t="shared" si="4"/>
        <v>0</v>
      </c>
      <c r="K40" s="223">
        <v>0</v>
      </c>
      <c r="L40" s="212"/>
      <c r="M40" s="35">
        <v>0</v>
      </c>
      <c r="N40" s="200">
        <f t="shared" si="5"/>
        <v>0</v>
      </c>
      <c r="O40" s="35">
        <v>40</v>
      </c>
      <c r="P40" s="200">
        <f t="shared" si="6"/>
        <v>0</v>
      </c>
      <c r="Q40" s="35">
        <v>25600</v>
      </c>
      <c r="R40" s="200">
        <f t="shared" si="7"/>
        <v>0</v>
      </c>
    </row>
    <row r="41" spans="1:18" x14ac:dyDescent="0.2">
      <c r="A41" s="25"/>
      <c r="B41" s="25" t="s">
        <v>458</v>
      </c>
      <c r="C41" s="25" t="s">
        <v>407</v>
      </c>
      <c r="D41" s="25">
        <v>60</v>
      </c>
      <c r="E41" s="130"/>
      <c r="F41" s="224" t="s">
        <v>82</v>
      </c>
      <c r="G41" s="41">
        <v>0.23</v>
      </c>
      <c r="H41" s="131"/>
      <c r="I41" s="35">
        <v>13.8</v>
      </c>
      <c r="J41" s="200">
        <f t="shared" si="4"/>
        <v>0</v>
      </c>
      <c r="K41" s="223">
        <v>0</v>
      </c>
      <c r="L41" s="212"/>
      <c r="M41" s="35">
        <v>0</v>
      </c>
      <c r="N41" s="200">
        <f t="shared" si="5"/>
        <v>0</v>
      </c>
      <c r="O41" s="35">
        <v>13.8</v>
      </c>
      <c r="P41" s="200">
        <f t="shared" si="6"/>
        <v>0</v>
      </c>
      <c r="Q41" s="35">
        <v>8832</v>
      </c>
      <c r="R41" s="200">
        <f t="shared" si="7"/>
        <v>0</v>
      </c>
    </row>
    <row r="42" spans="1:18" x14ac:dyDescent="0.2">
      <c r="A42" s="25"/>
      <c r="B42" s="131"/>
      <c r="C42" s="131"/>
      <c r="D42" s="25">
        <v>0</v>
      </c>
      <c r="E42" s="130"/>
      <c r="F42" s="224"/>
      <c r="G42" s="41">
        <v>0</v>
      </c>
      <c r="H42" s="131"/>
      <c r="I42" s="35">
        <v>0</v>
      </c>
      <c r="J42" s="200">
        <f t="shared" si="4"/>
        <v>0</v>
      </c>
      <c r="K42" s="223">
        <v>0</v>
      </c>
      <c r="L42" s="212"/>
      <c r="M42" s="35">
        <v>0</v>
      </c>
      <c r="N42" s="200">
        <f t="shared" si="5"/>
        <v>0</v>
      </c>
      <c r="O42" s="35">
        <v>0</v>
      </c>
      <c r="P42" s="200">
        <f t="shared" si="6"/>
        <v>0</v>
      </c>
      <c r="Q42" s="35">
        <v>0</v>
      </c>
      <c r="R42" s="200">
        <f t="shared" si="7"/>
        <v>0</v>
      </c>
    </row>
    <row r="43" spans="1:18" x14ac:dyDescent="0.2">
      <c r="A43" s="25"/>
      <c r="B43" s="131"/>
      <c r="C43" s="131"/>
      <c r="D43" s="25">
        <v>0</v>
      </c>
      <c r="E43" s="130"/>
      <c r="F43" s="224"/>
      <c r="G43" s="41">
        <v>0</v>
      </c>
      <c r="H43" s="131"/>
      <c r="I43" s="35">
        <v>0</v>
      </c>
      <c r="J43" s="200">
        <f t="shared" si="4"/>
        <v>0</v>
      </c>
      <c r="K43" s="223">
        <v>0</v>
      </c>
      <c r="L43" s="212"/>
      <c r="M43" s="35">
        <v>0</v>
      </c>
      <c r="N43" s="200">
        <f t="shared" si="5"/>
        <v>0</v>
      </c>
      <c r="O43" s="35">
        <v>0</v>
      </c>
      <c r="P43" s="200">
        <f t="shared" si="6"/>
        <v>0</v>
      </c>
      <c r="Q43" s="35">
        <v>0</v>
      </c>
      <c r="R43" s="200">
        <f t="shared" si="7"/>
        <v>0</v>
      </c>
    </row>
    <row r="44" spans="1:18" x14ac:dyDescent="0.2">
      <c r="A44" s="25"/>
      <c r="B44" s="131"/>
      <c r="C44" s="131"/>
      <c r="D44" s="25">
        <v>0</v>
      </c>
      <c r="E44" s="130"/>
      <c r="F44" s="224"/>
      <c r="G44" s="41">
        <v>0</v>
      </c>
      <c r="H44" s="131"/>
      <c r="I44" s="35">
        <v>0</v>
      </c>
      <c r="J44" s="200">
        <f>E44*H44</f>
        <v>0</v>
      </c>
      <c r="K44" s="223">
        <v>0</v>
      </c>
      <c r="L44" s="212"/>
      <c r="M44" s="35">
        <v>0</v>
      </c>
      <c r="N44" s="200">
        <f>J44*L44</f>
        <v>0</v>
      </c>
      <c r="O44" s="35">
        <v>0</v>
      </c>
      <c r="P44" s="200">
        <f>+J44-N44</f>
        <v>0</v>
      </c>
      <c r="Q44" s="35">
        <v>0</v>
      </c>
      <c r="R44" s="200">
        <f>+J44*E$7</f>
        <v>0</v>
      </c>
    </row>
    <row r="45" spans="1:18" x14ac:dyDescent="0.2">
      <c r="A45" s="25"/>
      <c r="B45" s="25" t="s">
        <v>45</v>
      </c>
      <c r="C45" s="25"/>
      <c r="D45" s="25"/>
      <c r="E45" s="207"/>
      <c r="F45" s="21"/>
      <c r="G45" s="41"/>
      <c r="H45" s="196"/>
      <c r="I45" s="184"/>
      <c r="J45" s="182"/>
      <c r="K45" s="223"/>
      <c r="L45" s="196"/>
      <c r="M45" s="35"/>
      <c r="N45" s="182"/>
      <c r="O45" s="35"/>
      <c r="P45" s="182"/>
      <c r="Q45" s="35"/>
      <c r="R45" s="182"/>
    </row>
    <row r="46" spans="1:18" x14ac:dyDescent="0.2">
      <c r="A46" s="25"/>
      <c r="B46" s="25"/>
      <c r="C46" s="25" t="s">
        <v>146</v>
      </c>
      <c r="D46" s="34">
        <v>8</v>
      </c>
      <c r="E46" s="130"/>
      <c r="F46" s="224" t="s">
        <v>142</v>
      </c>
      <c r="G46" s="41">
        <v>6.75</v>
      </c>
      <c r="H46" s="131"/>
      <c r="I46" s="35">
        <v>54</v>
      </c>
      <c r="J46" s="200">
        <f t="shared" ref="J46:J47" si="8">E46*H46</f>
        <v>0</v>
      </c>
      <c r="K46" s="223">
        <v>0</v>
      </c>
      <c r="L46" s="212"/>
      <c r="M46" s="35">
        <v>0</v>
      </c>
      <c r="N46" s="200">
        <f t="shared" ref="N46:N47" si="9">J46*L46</f>
        <v>0</v>
      </c>
      <c r="O46" s="35">
        <v>54</v>
      </c>
      <c r="P46" s="200">
        <f t="shared" ref="P46:P47" si="10">+J46-N46</f>
        <v>0</v>
      </c>
      <c r="Q46" s="35">
        <v>34560</v>
      </c>
      <c r="R46" s="200">
        <f t="shared" ref="R46:R47" si="11">+J46*E$7</f>
        <v>0</v>
      </c>
    </row>
    <row r="47" spans="1:18" x14ac:dyDescent="0.2">
      <c r="A47" s="25"/>
      <c r="B47" s="25"/>
      <c r="C47" s="25" t="s">
        <v>136</v>
      </c>
      <c r="D47" s="34">
        <v>0.96</v>
      </c>
      <c r="E47" s="130"/>
      <c r="F47" s="224" t="s">
        <v>44</v>
      </c>
      <c r="G47" s="41">
        <v>15</v>
      </c>
      <c r="H47" s="131"/>
      <c r="I47" s="35">
        <v>14.399999999999999</v>
      </c>
      <c r="J47" s="200">
        <f t="shared" si="8"/>
        <v>0</v>
      </c>
      <c r="K47" s="223">
        <v>0</v>
      </c>
      <c r="L47" s="212"/>
      <c r="M47" s="35">
        <v>0</v>
      </c>
      <c r="N47" s="200">
        <f t="shared" si="9"/>
        <v>0</v>
      </c>
      <c r="O47" s="35">
        <v>14.399999999999999</v>
      </c>
      <c r="P47" s="200">
        <f t="shared" si="10"/>
        <v>0</v>
      </c>
      <c r="Q47" s="35">
        <v>9216</v>
      </c>
      <c r="R47" s="200">
        <f t="shared" si="11"/>
        <v>0</v>
      </c>
    </row>
    <row r="48" spans="1:18" x14ac:dyDescent="0.2">
      <c r="A48" s="25"/>
      <c r="B48" s="25" t="s">
        <v>106</v>
      </c>
      <c r="C48" s="25"/>
      <c r="D48" s="25"/>
      <c r="E48" s="104"/>
      <c r="H48" s="104"/>
      <c r="I48" s="121"/>
      <c r="J48" s="104"/>
      <c r="K48" s="223"/>
      <c r="L48" s="104"/>
      <c r="N48" s="104"/>
      <c r="P48" s="104"/>
      <c r="R48" s="104"/>
    </row>
    <row r="49" spans="1:18" x14ac:dyDescent="0.2">
      <c r="A49" s="25"/>
      <c r="B49" s="25"/>
      <c r="C49" s="25" t="s">
        <v>103</v>
      </c>
      <c r="D49" s="25">
        <v>0.3</v>
      </c>
      <c r="E49" s="130"/>
      <c r="F49" s="224" t="s">
        <v>44</v>
      </c>
      <c r="G49" s="41">
        <v>15</v>
      </c>
      <c r="H49" s="131"/>
      <c r="I49" s="35">
        <v>4.5</v>
      </c>
      <c r="J49" s="200">
        <f>E49*H49</f>
        <v>0</v>
      </c>
      <c r="K49" s="223">
        <v>0</v>
      </c>
      <c r="L49" s="212"/>
      <c r="M49" s="35">
        <v>0</v>
      </c>
      <c r="N49" s="200">
        <f>J49*L49</f>
        <v>0</v>
      </c>
      <c r="O49" s="35">
        <v>4.5</v>
      </c>
      <c r="P49" s="200">
        <f>+J49-N49</f>
        <v>0</v>
      </c>
      <c r="Q49" s="35">
        <v>2880</v>
      </c>
      <c r="R49" s="200">
        <f>+J49*E$7</f>
        <v>0</v>
      </c>
    </row>
    <row r="50" spans="1:18" x14ac:dyDescent="0.2">
      <c r="A50" s="25"/>
      <c r="B50" s="25"/>
      <c r="C50" s="25" t="s">
        <v>105</v>
      </c>
      <c r="D50" s="25">
        <v>0.36</v>
      </c>
      <c r="E50" s="130"/>
      <c r="F50" s="224" t="s">
        <v>44</v>
      </c>
      <c r="G50" s="41">
        <v>15</v>
      </c>
      <c r="H50" s="131"/>
      <c r="I50" s="35">
        <v>5.3999999999999995</v>
      </c>
      <c r="J50" s="200">
        <f>E50*H50</f>
        <v>0</v>
      </c>
      <c r="K50" s="223">
        <v>0</v>
      </c>
      <c r="L50" s="212"/>
      <c r="M50" s="35">
        <v>0</v>
      </c>
      <c r="N50" s="200">
        <f>J50*L50</f>
        <v>0</v>
      </c>
      <c r="O50" s="35">
        <v>5.3999999999999995</v>
      </c>
      <c r="P50" s="200">
        <f>+J50-N50</f>
        <v>0</v>
      </c>
      <c r="Q50" s="35">
        <v>3455.9999999999995</v>
      </c>
      <c r="R50" s="200">
        <f>+J50*E$7</f>
        <v>0</v>
      </c>
    </row>
    <row r="51" spans="1:18" x14ac:dyDescent="0.2">
      <c r="A51" s="25"/>
      <c r="B51" s="25"/>
      <c r="C51" s="25"/>
      <c r="D51" s="25"/>
      <c r="E51" s="207"/>
      <c r="F51" s="21"/>
      <c r="G51" s="41"/>
      <c r="H51" s="196"/>
      <c r="I51" s="35"/>
      <c r="J51" s="182"/>
      <c r="K51" s="223"/>
      <c r="L51" s="196"/>
      <c r="M51" s="35"/>
      <c r="N51" s="182"/>
      <c r="O51" s="35"/>
      <c r="P51" s="182"/>
      <c r="Q51" s="35"/>
      <c r="R51" s="182"/>
    </row>
    <row r="52" spans="1:18" x14ac:dyDescent="0.2">
      <c r="A52" s="25"/>
      <c r="B52" s="25" t="s">
        <v>51</v>
      </c>
      <c r="C52" s="25"/>
      <c r="D52" s="25"/>
      <c r="E52" s="207"/>
      <c r="F52" s="21"/>
      <c r="G52" s="41"/>
      <c r="H52" s="196"/>
      <c r="I52" s="184"/>
      <c r="J52" s="182"/>
      <c r="K52" s="223"/>
      <c r="L52" s="196"/>
      <c r="M52" s="35"/>
      <c r="N52" s="182"/>
      <c r="O52" s="35"/>
      <c r="P52" s="182"/>
      <c r="Q52" s="35"/>
      <c r="R52" s="182"/>
    </row>
    <row r="53" spans="1:18" x14ac:dyDescent="0.2">
      <c r="A53" s="25"/>
      <c r="B53" s="25"/>
      <c r="C53" s="25" t="s">
        <v>102</v>
      </c>
      <c r="D53" s="25">
        <v>1</v>
      </c>
      <c r="E53" s="130"/>
      <c r="F53" s="224" t="s">
        <v>42</v>
      </c>
      <c r="G53" s="41">
        <v>0</v>
      </c>
      <c r="H53" s="131"/>
      <c r="I53" s="35">
        <v>0</v>
      </c>
      <c r="J53" s="200">
        <f>E53*H53</f>
        <v>0</v>
      </c>
      <c r="K53" s="223">
        <v>0</v>
      </c>
      <c r="L53" s="212"/>
      <c r="M53" s="35">
        <v>0</v>
      </c>
      <c r="N53" s="200">
        <f>J53*L53</f>
        <v>0</v>
      </c>
      <c r="O53" s="35">
        <v>0</v>
      </c>
      <c r="P53" s="200">
        <f>+J53-N53</f>
        <v>0</v>
      </c>
      <c r="Q53" s="35">
        <v>0</v>
      </c>
      <c r="R53" s="200">
        <f>+J53*E$7</f>
        <v>0</v>
      </c>
    </row>
    <row r="54" spans="1:18" x14ac:dyDescent="0.2">
      <c r="A54" s="25"/>
      <c r="B54" s="25"/>
      <c r="C54" s="25" t="s">
        <v>103</v>
      </c>
      <c r="D54" s="25">
        <v>3.66</v>
      </c>
      <c r="E54" s="130"/>
      <c r="F54" s="224" t="s">
        <v>79</v>
      </c>
      <c r="G54" s="41">
        <v>3.0190000000000001</v>
      </c>
      <c r="H54" s="131"/>
      <c r="I54" s="35">
        <v>11.04954</v>
      </c>
      <c r="J54" s="200">
        <f>E54*H54</f>
        <v>0</v>
      </c>
      <c r="K54" s="223">
        <v>0</v>
      </c>
      <c r="L54" s="212"/>
      <c r="M54" s="35">
        <v>0</v>
      </c>
      <c r="N54" s="200">
        <f>J54*L54</f>
        <v>0</v>
      </c>
      <c r="O54" s="35">
        <v>11.04954</v>
      </c>
      <c r="P54" s="200">
        <f>+J54-N54</f>
        <v>0</v>
      </c>
      <c r="Q54" s="35">
        <v>7071.7056000000002</v>
      </c>
      <c r="R54" s="200">
        <f>+J54*E$7</f>
        <v>0</v>
      </c>
    </row>
    <row r="55" spans="1:18" x14ac:dyDescent="0.2">
      <c r="A55" s="25"/>
      <c r="B55" s="25"/>
      <c r="C55" s="25"/>
      <c r="D55" s="25"/>
      <c r="E55" s="207"/>
      <c r="F55" s="21"/>
      <c r="G55" s="41"/>
      <c r="H55" s="196"/>
      <c r="I55" s="35"/>
      <c r="J55" s="182"/>
      <c r="K55" s="223"/>
      <c r="L55" s="196"/>
      <c r="M55" s="35"/>
      <c r="N55" s="182"/>
      <c r="O55" s="35"/>
      <c r="P55" s="182"/>
      <c r="Q55" s="35"/>
      <c r="R55" s="182"/>
    </row>
    <row r="56" spans="1:18" x14ac:dyDescent="0.2">
      <c r="A56" s="25"/>
      <c r="B56" s="25" t="s">
        <v>29</v>
      </c>
      <c r="C56" s="25"/>
      <c r="D56" s="25"/>
      <c r="E56" s="207"/>
      <c r="F56" s="21"/>
      <c r="G56" s="41"/>
      <c r="H56" s="196"/>
      <c r="I56" s="184"/>
      <c r="J56" s="182"/>
      <c r="K56" s="223"/>
      <c r="L56" s="196"/>
      <c r="M56" s="35"/>
      <c r="N56" s="182"/>
      <c r="O56" s="35"/>
      <c r="P56" s="182"/>
      <c r="Q56" s="35"/>
      <c r="R56" s="182"/>
    </row>
    <row r="57" spans="1:18" x14ac:dyDescent="0.2">
      <c r="A57" s="25"/>
      <c r="B57" s="25"/>
      <c r="C57" s="25" t="s">
        <v>102</v>
      </c>
      <c r="D57" s="25">
        <v>1</v>
      </c>
      <c r="E57" s="130"/>
      <c r="F57" s="224" t="s">
        <v>42</v>
      </c>
      <c r="G57" s="41">
        <v>1.0546875</v>
      </c>
      <c r="H57" s="131"/>
      <c r="I57" s="35">
        <v>1.0546875</v>
      </c>
      <c r="J57" s="200">
        <f>E57*H57</f>
        <v>0</v>
      </c>
      <c r="K57" s="223">
        <v>0</v>
      </c>
      <c r="L57" s="212"/>
      <c r="M57" s="35">
        <v>0</v>
      </c>
      <c r="N57" s="200">
        <f>J57*L57</f>
        <v>0</v>
      </c>
      <c r="O57" s="35">
        <v>1.0546875</v>
      </c>
      <c r="P57" s="200">
        <f>+J57-N57</f>
        <v>0</v>
      </c>
      <c r="Q57" s="35">
        <v>675</v>
      </c>
      <c r="R57" s="200">
        <f>+J57*E$7</f>
        <v>0</v>
      </c>
    </row>
    <row r="58" spans="1:18" x14ac:dyDescent="0.2">
      <c r="A58" s="25"/>
      <c r="B58" s="25"/>
      <c r="C58" s="25" t="s">
        <v>103</v>
      </c>
      <c r="D58" s="25">
        <v>0</v>
      </c>
      <c r="E58" s="130"/>
      <c r="F58" s="224" t="s">
        <v>79</v>
      </c>
      <c r="G58" s="41">
        <v>3.09</v>
      </c>
      <c r="H58" s="131"/>
      <c r="I58" s="35">
        <v>0</v>
      </c>
      <c r="J58" s="200">
        <f>E58*H58</f>
        <v>0</v>
      </c>
      <c r="K58" s="223">
        <v>0</v>
      </c>
      <c r="L58" s="212"/>
      <c r="M58" s="35">
        <v>0</v>
      </c>
      <c r="N58" s="200">
        <f>J58*L58</f>
        <v>0</v>
      </c>
      <c r="O58" s="35">
        <v>0</v>
      </c>
      <c r="P58" s="200">
        <f>+J58-N58</f>
        <v>0</v>
      </c>
      <c r="Q58" s="35">
        <v>0</v>
      </c>
      <c r="R58" s="200">
        <f>+J58*E$7</f>
        <v>0</v>
      </c>
    </row>
    <row r="59" spans="1:18" x14ac:dyDescent="0.2">
      <c r="A59" s="25"/>
      <c r="B59" s="25"/>
      <c r="C59" s="25"/>
      <c r="D59" s="25"/>
      <c r="E59" s="207"/>
      <c r="F59" s="21"/>
      <c r="G59" s="41"/>
      <c r="H59" s="196"/>
      <c r="I59" s="35"/>
      <c r="J59" s="182"/>
      <c r="K59" s="223"/>
      <c r="L59" s="196"/>
      <c r="M59" s="35"/>
      <c r="N59" s="182"/>
      <c r="O59" s="35"/>
      <c r="P59" s="182"/>
      <c r="Q59" s="35"/>
      <c r="R59" s="182"/>
    </row>
    <row r="60" spans="1:18" x14ac:dyDescent="0.2">
      <c r="A60" s="25"/>
      <c r="B60" s="25" t="s">
        <v>47</v>
      </c>
      <c r="C60" s="25"/>
      <c r="D60" s="25"/>
      <c r="E60" s="207"/>
      <c r="F60" s="21"/>
      <c r="G60" s="41"/>
      <c r="H60" s="197"/>
      <c r="I60" s="184"/>
      <c r="J60" s="182"/>
      <c r="K60" s="223"/>
      <c r="L60" s="197"/>
      <c r="M60" s="35"/>
      <c r="N60" s="182"/>
      <c r="O60" s="35"/>
      <c r="P60" s="182"/>
      <c r="Q60" s="35"/>
      <c r="R60" s="182"/>
    </row>
    <row r="61" spans="1:18" x14ac:dyDescent="0.2">
      <c r="A61" s="25"/>
      <c r="B61" s="25"/>
      <c r="C61" s="25" t="s">
        <v>102</v>
      </c>
      <c r="D61" s="25">
        <v>1</v>
      </c>
      <c r="E61" s="130"/>
      <c r="F61" s="224" t="s">
        <v>42</v>
      </c>
      <c r="G61" s="41">
        <v>0.3515625</v>
      </c>
      <c r="H61" s="131"/>
      <c r="I61" s="35">
        <v>0.3515625</v>
      </c>
      <c r="J61" s="200">
        <f t="shared" ref="J61:J66" si="12">E61*H61</f>
        <v>0</v>
      </c>
      <c r="K61" s="223">
        <v>0</v>
      </c>
      <c r="L61" s="212"/>
      <c r="M61" s="35">
        <v>0</v>
      </c>
      <c r="N61" s="200">
        <f t="shared" ref="N61:N66" si="13">J61*L61</f>
        <v>0</v>
      </c>
      <c r="O61" s="35">
        <v>0.3515625</v>
      </c>
      <c r="P61" s="200">
        <f t="shared" ref="P61:P66" si="14">+J61-N61</f>
        <v>0</v>
      </c>
      <c r="Q61" s="35">
        <v>225</v>
      </c>
      <c r="R61" s="200">
        <f t="shared" ref="R61:R66" si="15">+J61*E$7</f>
        <v>0</v>
      </c>
    </row>
    <row r="62" spans="1:18" x14ac:dyDescent="0.2">
      <c r="A62" s="25"/>
      <c r="B62" s="25"/>
      <c r="C62" s="25" t="s">
        <v>46</v>
      </c>
      <c r="D62" s="25">
        <v>1</v>
      </c>
      <c r="E62" s="130"/>
      <c r="F62" s="224" t="s">
        <v>42</v>
      </c>
      <c r="G62" s="41">
        <v>8.8903999999999996</v>
      </c>
      <c r="H62" s="131"/>
      <c r="I62" s="35">
        <v>8.8903999999999996</v>
      </c>
      <c r="J62" s="200">
        <f t="shared" si="12"/>
        <v>0</v>
      </c>
      <c r="K62" s="223">
        <v>0</v>
      </c>
      <c r="L62" s="212"/>
      <c r="M62" s="35">
        <v>0</v>
      </c>
      <c r="N62" s="200">
        <f t="shared" si="13"/>
        <v>0</v>
      </c>
      <c r="O62" s="35">
        <v>8.8903999999999996</v>
      </c>
      <c r="P62" s="200">
        <f t="shared" si="14"/>
        <v>0</v>
      </c>
      <c r="Q62" s="35">
        <v>5689.8559999999998</v>
      </c>
      <c r="R62" s="200">
        <f t="shared" si="15"/>
        <v>0</v>
      </c>
    </row>
    <row r="63" spans="1:18" x14ac:dyDescent="0.2">
      <c r="A63" s="25"/>
      <c r="B63" s="25"/>
      <c r="C63" s="25" t="s">
        <v>103</v>
      </c>
      <c r="D63" s="25">
        <v>1</v>
      </c>
      <c r="E63" s="130"/>
      <c r="F63" s="224" t="s">
        <v>42</v>
      </c>
      <c r="G63" s="41">
        <v>10.169809946393883</v>
      </c>
      <c r="H63" s="131"/>
      <c r="I63" s="35">
        <v>10.169809946393883</v>
      </c>
      <c r="J63" s="200">
        <f t="shared" si="12"/>
        <v>0</v>
      </c>
      <c r="K63" s="223">
        <v>0</v>
      </c>
      <c r="L63" s="212"/>
      <c r="M63" s="35">
        <v>0</v>
      </c>
      <c r="N63" s="200">
        <f t="shared" si="13"/>
        <v>0</v>
      </c>
      <c r="O63" s="35">
        <v>10.169809946393883</v>
      </c>
      <c r="P63" s="200">
        <f t="shared" si="14"/>
        <v>0</v>
      </c>
      <c r="Q63" s="35">
        <v>6508.6783656920852</v>
      </c>
      <c r="R63" s="200">
        <f t="shared" si="15"/>
        <v>0</v>
      </c>
    </row>
    <row r="64" spans="1:18" x14ac:dyDescent="0.2">
      <c r="A64" s="25"/>
      <c r="B64" s="25"/>
      <c r="C64" s="25" t="s">
        <v>5</v>
      </c>
      <c r="D64" s="25">
        <v>1</v>
      </c>
      <c r="E64" s="130"/>
      <c r="F64" s="224" t="s">
        <v>42</v>
      </c>
      <c r="G64" s="41">
        <v>13.848832263496963</v>
      </c>
      <c r="H64" s="131"/>
      <c r="I64" s="35">
        <v>13.848832263496963</v>
      </c>
      <c r="J64" s="200">
        <f t="shared" si="12"/>
        <v>0</v>
      </c>
      <c r="K64" s="223">
        <v>0</v>
      </c>
      <c r="L64" s="212"/>
      <c r="M64" s="35">
        <v>0</v>
      </c>
      <c r="N64" s="200">
        <f t="shared" si="13"/>
        <v>0</v>
      </c>
      <c r="O64" s="35">
        <v>13.848832263496963</v>
      </c>
      <c r="P64" s="200">
        <f t="shared" si="14"/>
        <v>0</v>
      </c>
      <c r="Q64" s="35">
        <v>8863.2526486380557</v>
      </c>
      <c r="R64" s="200">
        <f t="shared" si="15"/>
        <v>0</v>
      </c>
    </row>
    <row r="65" spans="1:18" x14ac:dyDescent="0.2">
      <c r="A65" s="25"/>
      <c r="B65" s="131"/>
      <c r="C65" s="131"/>
      <c r="D65" s="25"/>
      <c r="E65" s="130"/>
      <c r="F65" s="224"/>
      <c r="G65" s="41"/>
      <c r="H65" s="131"/>
      <c r="I65" s="35">
        <v>0</v>
      </c>
      <c r="J65" s="200">
        <f t="shared" si="12"/>
        <v>0</v>
      </c>
      <c r="K65" s="223">
        <v>0</v>
      </c>
      <c r="L65" s="212"/>
      <c r="M65" s="35">
        <v>0</v>
      </c>
      <c r="N65" s="200">
        <f t="shared" si="13"/>
        <v>0</v>
      </c>
      <c r="O65" s="35">
        <v>0</v>
      </c>
      <c r="P65" s="200">
        <f t="shared" si="14"/>
        <v>0</v>
      </c>
      <c r="Q65" s="35">
        <v>0</v>
      </c>
      <c r="R65" s="200">
        <f t="shared" si="15"/>
        <v>0</v>
      </c>
    </row>
    <row r="66" spans="1:18" x14ac:dyDescent="0.2">
      <c r="A66" s="25"/>
      <c r="B66" s="131"/>
      <c r="C66" s="131"/>
      <c r="D66" s="25"/>
      <c r="E66" s="130"/>
      <c r="F66" s="224"/>
      <c r="G66" s="41"/>
      <c r="H66" s="131"/>
      <c r="I66" s="35">
        <v>0</v>
      </c>
      <c r="J66" s="200">
        <f t="shared" si="12"/>
        <v>0</v>
      </c>
      <c r="K66" s="223">
        <v>0</v>
      </c>
      <c r="L66" s="212"/>
      <c r="M66" s="35">
        <v>0</v>
      </c>
      <c r="N66" s="200">
        <f t="shared" si="13"/>
        <v>0</v>
      </c>
      <c r="O66" s="35">
        <v>0</v>
      </c>
      <c r="P66" s="200">
        <f t="shared" si="14"/>
        <v>0</v>
      </c>
      <c r="Q66" s="35">
        <v>0</v>
      </c>
      <c r="R66" s="200">
        <f t="shared" si="15"/>
        <v>0</v>
      </c>
    </row>
    <row r="67" spans="1:18" ht="13.5" thickBot="1" x14ac:dyDescent="0.25">
      <c r="A67" s="25"/>
      <c r="B67" s="25" t="s">
        <v>32</v>
      </c>
      <c r="C67" s="25"/>
      <c r="D67" s="25"/>
      <c r="E67" s="195"/>
      <c r="F67" s="21"/>
      <c r="G67" s="39">
        <v>0.09</v>
      </c>
      <c r="H67" s="213"/>
      <c r="I67" s="42">
        <v>21.778032828168829</v>
      </c>
      <c r="J67" s="200">
        <f>+SUM(J18:J66)/2*H67</f>
        <v>0</v>
      </c>
      <c r="K67" s="86"/>
      <c r="L67" s="135"/>
      <c r="M67" s="42">
        <v>0</v>
      </c>
      <c r="N67" s="200">
        <f>+SUM(N18:N66)/2*L67</f>
        <v>0</v>
      </c>
      <c r="O67" s="42">
        <v>21.778032828168829</v>
      </c>
      <c r="P67" s="200">
        <f>+SUM(P18:P66)/2*L67</f>
        <v>0</v>
      </c>
      <c r="Q67" s="42">
        <v>13937.941010028051</v>
      </c>
      <c r="R67" s="182">
        <f>+J67*E$7</f>
        <v>0</v>
      </c>
    </row>
    <row r="68" spans="1:18" ht="13.5" thickBot="1" x14ac:dyDescent="0.25">
      <c r="A68" s="25" t="s">
        <v>33</v>
      </c>
      <c r="B68" s="25"/>
      <c r="C68" s="25"/>
      <c r="D68" s="25"/>
      <c r="E68" s="198"/>
      <c r="F68" s="25"/>
      <c r="G68" s="25"/>
      <c r="H68" s="195"/>
      <c r="I68" s="87">
        <v>736.9902400380596</v>
      </c>
      <c r="J68" s="202">
        <f>SUM(J19:J67)</f>
        <v>0</v>
      </c>
      <c r="K68" s="35"/>
      <c r="L68" s="193"/>
      <c r="M68" s="87">
        <v>0</v>
      </c>
      <c r="N68" s="202">
        <f>SUM(N19:N67)</f>
        <v>0</v>
      </c>
      <c r="O68" s="87">
        <v>736.9902400380596</v>
      </c>
      <c r="P68" s="202">
        <f>SUM(P19:P67)</f>
        <v>0</v>
      </c>
      <c r="Q68" s="87">
        <v>471673.75362435816</v>
      </c>
      <c r="R68" s="202">
        <f>SUM(R19:R67)</f>
        <v>0</v>
      </c>
    </row>
    <row r="69" spans="1:18" ht="13.5" thickTop="1" x14ac:dyDescent="0.2">
      <c r="A69" s="25" t="s">
        <v>34</v>
      </c>
      <c r="B69" s="25"/>
      <c r="C69" s="25"/>
      <c r="D69" s="25"/>
      <c r="E69" s="198"/>
      <c r="F69" s="25"/>
      <c r="G69" s="25"/>
      <c r="H69" s="195"/>
      <c r="I69" s="35">
        <v>275.65275996194055</v>
      </c>
      <c r="J69" s="200">
        <f>+J14-J68</f>
        <v>0</v>
      </c>
      <c r="K69" s="35"/>
      <c r="L69" s="193"/>
      <c r="M69" s="35">
        <v>0</v>
      </c>
      <c r="N69" s="200">
        <f>+N14-N68</f>
        <v>0</v>
      </c>
      <c r="O69" s="35">
        <v>275.65275996194055</v>
      </c>
      <c r="P69" s="200">
        <f>+P14-P68</f>
        <v>0</v>
      </c>
      <c r="Q69" s="35">
        <v>176417.76637564198</v>
      </c>
      <c r="R69" s="200">
        <f>+R14-R68</f>
        <v>0</v>
      </c>
    </row>
    <row r="70" spans="1:18" x14ac:dyDescent="0.2">
      <c r="A70" s="25"/>
      <c r="B70" s="25" t="s">
        <v>35</v>
      </c>
      <c r="C70" s="25"/>
      <c r="D70" s="25"/>
      <c r="E70" s="208"/>
      <c r="F70" s="17"/>
      <c r="G70" s="40">
        <v>0.5894777920304477</v>
      </c>
      <c r="H70" s="208" t="str">
        <f>IF(E10=0,"n/a",(YVarExp-(YTotExp+YTotRet-J10))/E10)</f>
        <v>n/a</v>
      </c>
      <c r="I70" s="25" t="s">
        <v>82</v>
      </c>
      <c r="J70" s="182"/>
      <c r="K70" s="25"/>
      <c r="L70" s="195"/>
      <c r="M70" s="25"/>
      <c r="N70" s="182"/>
      <c r="O70" s="25"/>
      <c r="P70" s="182"/>
      <c r="Q70" s="25"/>
      <c r="R70" s="182"/>
    </row>
    <row r="71" spans="1:18" x14ac:dyDescent="0.2">
      <c r="A71" s="25"/>
      <c r="B71" s="25"/>
      <c r="C71" s="25"/>
      <c r="D71" s="25"/>
      <c r="E71" s="176"/>
      <c r="F71" s="25"/>
      <c r="G71" s="25"/>
      <c r="H71" s="209"/>
      <c r="I71" s="25"/>
      <c r="J71" s="182"/>
      <c r="K71" s="25"/>
      <c r="L71" s="195"/>
      <c r="M71" s="25"/>
      <c r="N71" s="182"/>
      <c r="O71" s="25"/>
      <c r="P71" s="182"/>
      <c r="Q71" s="22" t="s">
        <v>19</v>
      </c>
      <c r="R71" s="182" t="s">
        <v>19</v>
      </c>
    </row>
    <row r="72" spans="1:18" x14ac:dyDescent="0.2">
      <c r="A72" s="23" t="s">
        <v>36</v>
      </c>
      <c r="B72" s="23"/>
      <c r="C72" s="23"/>
      <c r="D72" s="24" t="s">
        <v>2</v>
      </c>
      <c r="E72" s="194" t="s">
        <v>2</v>
      </c>
      <c r="F72" s="24" t="s">
        <v>21</v>
      </c>
      <c r="G72" s="24" t="s">
        <v>22</v>
      </c>
      <c r="H72" s="194" t="s">
        <v>22</v>
      </c>
      <c r="I72" s="24" t="s">
        <v>12</v>
      </c>
      <c r="J72" s="194" t="s">
        <v>12</v>
      </c>
      <c r="K72" s="24" t="s">
        <v>11</v>
      </c>
      <c r="L72" s="194" t="s">
        <v>11</v>
      </c>
      <c r="M72" s="24" t="s">
        <v>10</v>
      </c>
      <c r="N72" s="194" t="s">
        <v>10</v>
      </c>
      <c r="O72" s="24" t="s">
        <v>9</v>
      </c>
      <c r="P72" s="194" t="s">
        <v>9</v>
      </c>
      <c r="Q72" s="24" t="s">
        <v>12</v>
      </c>
      <c r="R72" s="206" t="s">
        <v>12</v>
      </c>
    </row>
    <row r="73" spans="1:18" x14ac:dyDescent="0.2">
      <c r="A73" s="25"/>
      <c r="B73" s="25" t="s">
        <v>104</v>
      </c>
      <c r="C73" s="25"/>
      <c r="D73" s="25"/>
      <c r="E73" s="176"/>
      <c r="F73" s="25"/>
      <c r="G73" s="25"/>
      <c r="H73" s="209"/>
      <c r="I73" s="184"/>
      <c r="J73" s="182"/>
      <c r="K73" s="223"/>
      <c r="L73" s="195"/>
      <c r="M73" s="25"/>
      <c r="N73" s="182"/>
      <c r="O73" s="25"/>
      <c r="P73" s="182"/>
      <c r="Q73" s="25"/>
      <c r="R73" s="182"/>
    </row>
    <row r="74" spans="1:18" x14ac:dyDescent="0.2">
      <c r="A74" s="25"/>
      <c r="B74" s="25"/>
      <c r="C74" s="25" t="s">
        <v>102</v>
      </c>
      <c r="D74" s="25">
        <v>1</v>
      </c>
      <c r="E74" s="130"/>
      <c r="F74" s="224" t="s">
        <v>42</v>
      </c>
      <c r="G74" s="41">
        <v>0.48808593750000001</v>
      </c>
      <c r="H74" s="131"/>
      <c r="I74" s="35">
        <v>0.48808593750000001</v>
      </c>
      <c r="J74" s="200">
        <f t="shared" ref="J74:J77" si="16">E74*H74</f>
        <v>0</v>
      </c>
      <c r="K74" s="223">
        <v>0</v>
      </c>
      <c r="L74" s="212"/>
      <c r="M74" s="35">
        <v>0</v>
      </c>
      <c r="N74" s="200">
        <f>J74*L74</f>
        <v>0</v>
      </c>
      <c r="O74" s="35">
        <v>0.48808593750000001</v>
      </c>
      <c r="P74" s="200">
        <f t="shared" ref="P74:P77" si="17">+J74-N74</f>
        <v>0</v>
      </c>
      <c r="Q74" s="35">
        <v>312.375</v>
      </c>
      <c r="R74" s="200">
        <f t="shared" ref="R74:R77" si="18">+J74*E$7</f>
        <v>0</v>
      </c>
    </row>
    <row r="75" spans="1:18" x14ac:dyDescent="0.2">
      <c r="A75" s="25"/>
      <c r="B75" s="25"/>
      <c r="C75" s="25" t="s">
        <v>46</v>
      </c>
      <c r="D75" s="25">
        <v>1</v>
      </c>
      <c r="E75" s="130"/>
      <c r="F75" s="224" t="s">
        <v>42</v>
      </c>
      <c r="G75" s="41">
        <v>24.375</v>
      </c>
      <c r="H75" s="131"/>
      <c r="I75" s="35">
        <v>24.375</v>
      </c>
      <c r="J75" s="200">
        <f t="shared" si="16"/>
        <v>0</v>
      </c>
      <c r="K75" s="223">
        <v>0</v>
      </c>
      <c r="L75" s="212"/>
      <c r="M75" s="35">
        <v>0</v>
      </c>
      <c r="N75" s="200">
        <f>J75*L75</f>
        <v>0</v>
      </c>
      <c r="O75" s="35">
        <v>24.375</v>
      </c>
      <c r="P75" s="200">
        <f t="shared" si="17"/>
        <v>0</v>
      </c>
      <c r="Q75" s="35">
        <v>15600</v>
      </c>
      <c r="R75" s="200">
        <f t="shared" si="18"/>
        <v>0</v>
      </c>
    </row>
    <row r="76" spans="1:18" x14ac:dyDescent="0.2">
      <c r="A76" s="25"/>
      <c r="B76" s="25"/>
      <c r="C76" s="25" t="s">
        <v>103</v>
      </c>
      <c r="D76" s="25">
        <v>1</v>
      </c>
      <c r="E76" s="130"/>
      <c r="F76" s="224" t="s">
        <v>42</v>
      </c>
      <c r="G76" s="41">
        <v>14.978843250960532</v>
      </c>
      <c r="H76" s="131"/>
      <c r="I76" s="35">
        <v>14.978843250960532</v>
      </c>
      <c r="J76" s="200">
        <f t="shared" si="16"/>
        <v>0</v>
      </c>
      <c r="K76" s="223">
        <v>0</v>
      </c>
      <c r="L76" s="212"/>
      <c r="M76" s="35">
        <v>0</v>
      </c>
      <c r="N76" s="200">
        <f>J76*L76</f>
        <v>0</v>
      </c>
      <c r="O76" s="35">
        <v>14.978843250960532</v>
      </c>
      <c r="P76" s="200">
        <f t="shared" si="17"/>
        <v>0</v>
      </c>
      <c r="Q76" s="35">
        <v>9586.4596806147401</v>
      </c>
      <c r="R76" s="200">
        <f t="shared" si="18"/>
        <v>0</v>
      </c>
    </row>
    <row r="77" spans="1:18" x14ac:dyDescent="0.2">
      <c r="A77" s="25"/>
      <c r="B77" s="25"/>
      <c r="C77" s="25" t="s">
        <v>5</v>
      </c>
      <c r="D77" s="25">
        <v>1</v>
      </c>
      <c r="E77" s="130"/>
      <c r="F77" s="224" t="s">
        <v>42</v>
      </c>
      <c r="G77" s="41">
        <v>15.747162072861551</v>
      </c>
      <c r="H77" s="131"/>
      <c r="I77" s="35">
        <v>15.747162072861551</v>
      </c>
      <c r="J77" s="200">
        <f t="shared" si="16"/>
        <v>0</v>
      </c>
      <c r="K77" s="223">
        <v>0</v>
      </c>
      <c r="L77" s="212"/>
      <c r="M77" s="35">
        <v>0</v>
      </c>
      <c r="N77" s="200">
        <f>J77*L77</f>
        <v>0</v>
      </c>
      <c r="O77" s="35">
        <v>15.747162072861551</v>
      </c>
      <c r="P77" s="200">
        <f t="shared" si="17"/>
        <v>0</v>
      </c>
      <c r="Q77" s="35">
        <v>10078.183726631392</v>
      </c>
      <c r="R77" s="200">
        <f t="shared" si="18"/>
        <v>0</v>
      </c>
    </row>
    <row r="78" spans="1:18" x14ac:dyDescent="0.2">
      <c r="A78" s="25"/>
      <c r="B78" s="25" t="s">
        <v>88</v>
      </c>
      <c r="C78" s="25"/>
      <c r="D78" s="25"/>
      <c r="E78" s="195"/>
      <c r="F78" s="21"/>
      <c r="G78" s="41"/>
      <c r="H78" s="195"/>
      <c r="I78" s="184"/>
      <c r="J78" s="182"/>
      <c r="K78" s="223"/>
      <c r="L78" s="195"/>
      <c r="M78" s="35"/>
      <c r="N78" s="182"/>
      <c r="O78" s="35"/>
      <c r="P78" s="182"/>
      <c r="Q78" s="35"/>
      <c r="R78" s="182"/>
    </row>
    <row r="79" spans="1:18" x14ac:dyDescent="0.2">
      <c r="A79" s="25"/>
      <c r="B79" s="25"/>
      <c r="C79" s="25" t="s">
        <v>102</v>
      </c>
      <c r="D79" s="41">
        <v>3.4189453125</v>
      </c>
      <c r="E79" s="130"/>
      <c r="F79" s="224" t="s">
        <v>99</v>
      </c>
      <c r="G79" s="39">
        <v>0.08</v>
      </c>
      <c r="H79" s="213"/>
      <c r="I79" s="35">
        <v>0.27351562499999998</v>
      </c>
      <c r="J79" s="200">
        <f t="shared" ref="J79:J89" si="19">E79*H79</f>
        <v>0</v>
      </c>
      <c r="K79" s="223">
        <v>0</v>
      </c>
      <c r="L79" s="212"/>
      <c r="M79" s="35">
        <v>0</v>
      </c>
      <c r="N79" s="200">
        <f>J79*L79</f>
        <v>0</v>
      </c>
      <c r="O79" s="35">
        <v>0.27351562499999998</v>
      </c>
      <c r="P79" s="200">
        <f t="shared" ref="P79:P82" si="20">+J79-N79</f>
        <v>0</v>
      </c>
      <c r="Q79" s="35">
        <v>175.04999999999998</v>
      </c>
      <c r="R79" s="200">
        <f t="shared" ref="R79:R82" si="21">+J79*E$7</f>
        <v>0</v>
      </c>
    </row>
    <row r="80" spans="1:18" x14ac:dyDescent="0.2">
      <c r="A80" s="25"/>
      <c r="B80" s="25"/>
      <c r="C80" s="25" t="s">
        <v>46</v>
      </c>
      <c r="D80" s="41">
        <v>710.9375</v>
      </c>
      <c r="E80" s="130"/>
      <c r="F80" s="224" t="s">
        <v>99</v>
      </c>
      <c r="G80" s="39">
        <v>0.08</v>
      </c>
      <c r="H80" s="213"/>
      <c r="I80" s="35">
        <v>56.875</v>
      </c>
      <c r="J80" s="200">
        <f t="shared" si="19"/>
        <v>0</v>
      </c>
      <c r="K80" s="223">
        <v>0</v>
      </c>
      <c r="L80" s="212"/>
      <c r="M80" s="35">
        <v>0</v>
      </c>
      <c r="N80" s="200">
        <f>J80*L80</f>
        <v>0</v>
      </c>
      <c r="O80" s="35">
        <v>56.875</v>
      </c>
      <c r="P80" s="200">
        <f t="shared" si="20"/>
        <v>0</v>
      </c>
      <c r="Q80" s="35">
        <v>36400</v>
      </c>
      <c r="R80" s="200">
        <f t="shared" si="21"/>
        <v>0</v>
      </c>
    </row>
    <row r="81" spans="1:18" x14ac:dyDescent="0.2">
      <c r="A81" s="25"/>
      <c r="B81" s="25"/>
      <c r="C81" s="25" t="s">
        <v>103</v>
      </c>
      <c r="D81" s="41">
        <v>114.61308614452537</v>
      </c>
      <c r="E81" s="130"/>
      <c r="F81" s="224" t="s">
        <v>99</v>
      </c>
      <c r="G81" s="39">
        <v>0.08</v>
      </c>
      <c r="H81" s="213"/>
      <c r="I81" s="35">
        <v>9.1690468915620293</v>
      </c>
      <c r="J81" s="200">
        <f t="shared" si="19"/>
        <v>0</v>
      </c>
      <c r="K81" s="223">
        <v>0</v>
      </c>
      <c r="L81" s="212"/>
      <c r="M81" s="35">
        <v>0</v>
      </c>
      <c r="N81" s="200">
        <f>J81*L81</f>
        <v>0</v>
      </c>
      <c r="O81" s="35">
        <v>9.1690468915620293</v>
      </c>
      <c r="P81" s="200">
        <f t="shared" si="20"/>
        <v>0</v>
      </c>
      <c r="Q81" s="35">
        <v>5868.1900105996992</v>
      </c>
      <c r="R81" s="200">
        <f t="shared" si="21"/>
        <v>0</v>
      </c>
    </row>
    <row r="82" spans="1:18" x14ac:dyDescent="0.2">
      <c r="A82" s="25"/>
      <c r="B82" s="25"/>
      <c r="C82" s="25" t="s">
        <v>5</v>
      </c>
      <c r="D82" s="41">
        <v>67.362859978352205</v>
      </c>
      <c r="E82" s="130"/>
      <c r="F82" s="224" t="s">
        <v>99</v>
      </c>
      <c r="G82" s="39">
        <v>0.08</v>
      </c>
      <c r="H82" s="213"/>
      <c r="I82" s="35">
        <v>5.3890287982681766</v>
      </c>
      <c r="J82" s="200">
        <f t="shared" si="19"/>
        <v>0</v>
      </c>
      <c r="K82" s="223">
        <v>0</v>
      </c>
      <c r="L82" s="212"/>
      <c r="M82" s="35">
        <v>0</v>
      </c>
      <c r="N82" s="200">
        <f>J82*L82</f>
        <v>0</v>
      </c>
      <c r="O82" s="35">
        <v>5.3890287982681766</v>
      </c>
      <c r="P82" s="200">
        <f t="shared" si="20"/>
        <v>0</v>
      </c>
      <c r="Q82" s="35">
        <v>3448.9784308916333</v>
      </c>
      <c r="R82" s="200">
        <f t="shared" si="21"/>
        <v>0</v>
      </c>
    </row>
    <row r="83" spans="1:18" x14ac:dyDescent="0.2">
      <c r="A83" s="25"/>
      <c r="B83" s="25" t="s">
        <v>156</v>
      </c>
      <c r="C83" s="25"/>
      <c r="D83" s="25">
        <v>1</v>
      </c>
      <c r="E83" s="130"/>
      <c r="F83" s="224" t="s">
        <v>42</v>
      </c>
      <c r="G83" s="41">
        <v>0</v>
      </c>
      <c r="H83" s="131"/>
      <c r="I83" s="35">
        <v>0</v>
      </c>
      <c r="J83" s="200">
        <f t="shared" si="19"/>
        <v>0</v>
      </c>
      <c r="K83" s="223">
        <v>0</v>
      </c>
      <c r="L83" s="212"/>
      <c r="M83" s="35">
        <v>0</v>
      </c>
      <c r="N83" s="200">
        <f t="shared" ref="N83:N90" si="22">J83*L83</f>
        <v>0</v>
      </c>
      <c r="O83" s="35">
        <v>0</v>
      </c>
      <c r="P83" s="200">
        <f t="shared" ref="P83:P90" si="23">+J83-N83</f>
        <v>0</v>
      </c>
      <c r="Q83" s="35">
        <v>0</v>
      </c>
      <c r="R83" s="200">
        <f t="shared" ref="R83:R90" si="24">+J83*E$7</f>
        <v>0</v>
      </c>
    </row>
    <row r="84" spans="1:18" x14ac:dyDescent="0.2">
      <c r="A84" s="25"/>
      <c r="B84" s="25" t="s">
        <v>152</v>
      </c>
      <c r="C84" s="25"/>
      <c r="D84" s="25">
        <v>1</v>
      </c>
      <c r="E84" s="130"/>
      <c r="F84" s="224" t="s">
        <v>42</v>
      </c>
      <c r="G84" s="41">
        <v>0</v>
      </c>
      <c r="H84" s="131"/>
      <c r="I84" s="35">
        <v>0</v>
      </c>
      <c r="J84" s="200">
        <f t="shared" si="19"/>
        <v>0</v>
      </c>
      <c r="K84" s="223">
        <v>0</v>
      </c>
      <c r="L84" s="212"/>
      <c r="M84" s="35">
        <v>0</v>
      </c>
      <c r="N84" s="200">
        <f t="shared" si="22"/>
        <v>0</v>
      </c>
      <c r="O84" s="35">
        <v>0</v>
      </c>
      <c r="P84" s="200">
        <f t="shared" si="23"/>
        <v>0</v>
      </c>
      <c r="Q84" s="35">
        <v>0</v>
      </c>
      <c r="R84" s="200">
        <f t="shared" si="24"/>
        <v>0</v>
      </c>
    </row>
    <row r="85" spans="1:18" x14ac:dyDescent="0.2">
      <c r="A85" s="25"/>
      <c r="B85" s="25" t="s">
        <v>137</v>
      </c>
      <c r="C85" s="25"/>
      <c r="D85" s="25">
        <v>1</v>
      </c>
      <c r="E85" s="130"/>
      <c r="F85" s="224" t="s">
        <v>42</v>
      </c>
      <c r="G85" s="41">
        <v>0</v>
      </c>
      <c r="H85" s="131"/>
      <c r="I85" s="35">
        <v>0</v>
      </c>
      <c r="J85" s="200">
        <f t="shared" si="19"/>
        <v>0</v>
      </c>
      <c r="K85" s="223">
        <v>0</v>
      </c>
      <c r="L85" s="212"/>
      <c r="M85" s="35">
        <v>0</v>
      </c>
      <c r="N85" s="200">
        <f t="shared" si="22"/>
        <v>0</v>
      </c>
      <c r="O85" s="35">
        <v>0</v>
      </c>
      <c r="P85" s="200">
        <f t="shared" si="23"/>
        <v>0</v>
      </c>
      <c r="Q85" s="35">
        <v>0</v>
      </c>
      <c r="R85" s="200">
        <f t="shared" si="24"/>
        <v>0</v>
      </c>
    </row>
    <row r="86" spans="1:18" x14ac:dyDescent="0.2">
      <c r="A86" s="25"/>
      <c r="B86" s="25" t="s">
        <v>417</v>
      </c>
      <c r="C86" s="25"/>
      <c r="D86" s="25">
        <v>1</v>
      </c>
      <c r="E86" s="130"/>
      <c r="F86" s="224" t="s">
        <v>42</v>
      </c>
      <c r="G86" s="41">
        <v>90</v>
      </c>
      <c r="H86" s="131"/>
      <c r="I86" s="35">
        <v>90</v>
      </c>
      <c r="J86" s="200">
        <f t="shared" si="19"/>
        <v>0</v>
      </c>
      <c r="K86" s="223">
        <v>0</v>
      </c>
      <c r="L86" s="212"/>
      <c r="M86" s="35">
        <v>0</v>
      </c>
      <c r="N86" s="200">
        <f t="shared" si="22"/>
        <v>0</v>
      </c>
      <c r="O86" s="35">
        <v>90</v>
      </c>
      <c r="P86" s="200">
        <f t="shared" si="23"/>
        <v>0</v>
      </c>
      <c r="Q86" s="35">
        <v>57600</v>
      </c>
      <c r="R86" s="200">
        <f t="shared" si="24"/>
        <v>0</v>
      </c>
    </row>
    <row r="87" spans="1:18" x14ac:dyDescent="0.2">
      <c r="A87" s="25"/>
      <c r="B87" s="25" t="s">
        <v>159</v>
      </c>
      <c r="C87" s="25"/>
      <c r="D87" s="25">
        <v>1</v>
      </c>
      <c r="E87" s="130"/>
      <c r="F87" s="224" t="s">
        <v>42</v>
      </c>
      <c r="G87" s="41">
        <v>0</v>
      </c>
      <c r="H87" s="131"/>
      <c r="I87" s="35">
        <v>0</v>
      </c>
      <c r="J87" s="200">
        <f t="shared" si="19"/>
        <v>0</v>
      </c>
      <c r="K87" s="223">
        <v>0</v>
      </c>
      <c r="L87" s="212"/>
      <c r="M87" s="35">
        <v>0</v>
      </c>
      <c r="N87" s="200">
        <f t="shared" si="22"/>
        <v>0</v>
      </c>
      <c r="O87" s="35">
        <v>0</v>
      </c>
      <c r="P87" s="200">
        <f t="shared" si="23"/>
        <v>0</v>
      </c>
      <c r="Q87" s="35">
        <v>0</v>
      </c>
      <c r="R87" s="200">
        <f t="shared" si="24"/>
        <v>0</v>
      </c>
    </row>
    <row r="88" spans="1:18" x14ac:dyDescent="0.2">
      <c r="A88" s="25"/>
      <c r="B88" s="25" t="s">
        <v>160</v>
      </c>
      <c r="C88" s="25"/>
      <c r="D88" s="25">
        <v>1</v>
      </c>
      <c r="E88" s="130"/>
      <c r="F88" s="224" t="s">
        <v>42</v>
      </c>
      <c r="G88" s="41">
        <v>0</v>
      </c>
      <c r="H88" s="131"/>
      <c r="I88" s="35">
        <v>0</v>
      </c>
      <c r="J88" s="200">
        <f t="shared" si="19"/>
        <v>0</v>
      </c>
      <c r="K88" s="223">
        <v>0</v>
      </c>
      <c r="L88" s="212"/>
      <c r="M88" s="35">
        <v>0</v>
      </c>
      <c r="N88" s="200">
        <f t="shared" si="22"/>
        <v>0</v>
      </c>
      <c r="O88" s="35">
        <v>0</v>
      </c>
      <c r="P88" s="200">
        <f t="shared" si="23"/>
        <v>0</v>
      </c>
      <c r="Q88" s="35">
        <v>0</v>
      </c>
      <c r="R88" s="200">
        <f t="shared" si="24"/>
        <v>0</v>
      </c>
    </row>
    <row r="89" spans="1:18" x14ac:dyDescent="0.2">
      <c r="A89" s="25"/>
      <c r="B89" s="131"/>
      <c r="C89" s="131"/>
      <c r="D89" s="25">
        <v>1</v>
      </c>
      <c r="E89" s="130"/>
      <c r="F89" s="224"/>
      <c r="G89" s="41">
        <v>0</v>
      </c>
      <c r="H89" s="131"/>
      <c r="I89" s="35">
        <v>0</v>
      </c>
      <c r="J89" s="200">
        <f t="shared" si="19"/>
        <v>0</v>
      </c>
      <c r="K89" s="223">
        <v>0</v>
      </c>
      <c r="L89" s="212"/>
      <c r="M89" s="35">
        <v>0</v>
      </c>
      <c r="N89" s="200">
        <f t="shared" si="22"/>
        <v>0</v>
      </c>
      <c r="O89" s="35">
        <v>0</v>
      </c>
      <c r="P89" s="200">
        <f t="shared" si="23"/>
        <v>0</v>
      </c>
      <c r="Q89" s="35">
        <v>0</v>
      </c>
      <c r="R89" s="200">
        <f t="shared" si="24"/>
        <v>0</v>
      </c>
    </row>
    <row r="90" spans="1:18" ht="13.5" thickBot="1" x14ac:dyDescent="0.25">
      <c r="A90" s="25"/>
      <c r="B90" s="131"/>
      <c r="C90" s="131"/>
      <c r="D90" s="25">
        <v>1</v>
      </c>
      <c r="E90" s="130"/>
      <c r="F90" s="224"/>
      <c r="G90" s="41">
        <v>0</v>
      </c>
      <c r="H90" s="131"/>
      <c r="I90" s="35">
        <v>0</v>
      </c>
      <c r="J90" s="200">
        <f>E90*H90</f>
        <v>0</v>
      </c>
      <c r="K90" s="223">
        <v>0</v>
      </c>
      <c r="L90" s="212"/>
      <c r="M90" s="35">
        <v>0</v>
      </c>
      <c r="N90" s="200">
        <f t="shared" si="22"/>
        <v>0</v>
      </c>
      <c r="O90" s="35">
        <v>0</v>
      </c>
      <c r="P90" s="200">
        <f t="shared" si="23"/>
        <v>0</v>
      </c>
      <c r="Q90" s="35">
        <v>0</v>
      </c>
      <c r="R90" s="200">
        <f t="shared" si="24"/>
        <v>0</v>
      </c>
    </row>
    <row r="91" spans="1:18" ht="13.5" thickBot="1" x14ac:dyDescent="0.25">
      <c r="A91" s="25" t="s">
        <v>37</v>
      </c>
      <c r="B91" s="25"/>
      <c r="C91" s="25"/>
      <c r="D91" s="25"/>
      <c r="E91" s="195"/>
      <c r="F91" s="25"/>
      <c r="G91" s="25"/>
      <c r="H91" s="195"/>
      <c r="I91" s="118">
        <v>217.29568257615227</v>
      </c>
      <c r="J91" s="202">
        <f>+SUM(J74:J90)</f>
        <v>0</v>
      </c>
      <c r="K91" s="35"/>
      <c r="L91" s="193"/>
      <c r="M91" s="118">
        <v>0</v>
      </c>
      <c r="N91" s="202">
        <f>+SUM(N74:N90)</f>
        <v>0</v>
      </c>
      <c r="O91" s="118">
        <v>217.29568257615227</v>
      </c>
      <c r="P91" s="202">
        <f>+SUM(P74:P90)</f>
        <v>0</v>
      </c>
      <c r="Q91" s="118">
        <v>139069.23684873746</v>
      </c>
      <c r="R91" s="202">
        <f>+SUM(R74:R90)</f>
        <v>0</v>
      </c>
    </row>
    <row r="92" spans="1:18" ht="14.25" thickTop="1" thickBot="1" x14ac:dyDescent="0.25">
      <c r="A92" s="25" t="s">
        <v>52</v>
      </c>
      <c r="B92" s="25"/>
      <c r="C92" s="25"/>
      <c r="D92" s="25"/>
      <c r="E92" s="195"/>
      <c r="F92" s="25"/>
      <c r="G92" s="25"/>
      <c r="H92" s="195"/>
      <c r="I92" s="87">
        <v>954.28592261421181</v>
      </c>
      <c r="J92" s="203">
        <f>+J68+J91</f>
        <v>0</v>
      </c>
      <c r="K92" s="35"/>
      <c r="L92" s="193"/>
      <c r="M92" s="87">
        <v>0</v>
      </c>
      <c r="N92" s="203">
        <f>+N68+N91</f>
        <v>0</v>
      </c>
      <c r="O92" s="87">
        <v>954.28592261421181</v>
      </c>
      <c r="P92" s="203">
        <f>+P68+P91</f>
        <v>0</v>
      </c>
      <c r="Q92" s="87">
        <v>610742.99047309556</v>
      </c>
      <c r="R92" s="203">
        <f>+R68+R91</f>
        <v>0</v>
      </c>
    </row>
    <row r="93" spans="1:18" ht="13.5" thickTop="1" x14ac:dyDescent="0.2">
      <c r="A93" s="25"/>
      <c r="B93" s="25"/>
      <c r="C93" s="25"/>
      <c r="D93" s="25"/>
      <c r="E93" s="195"/>
      <c r="F93" s="25"/>
      <c r="G93" s="25"/>
      <c r="H93" s="195"/>
      <c r="I93" s="35"/>
      <c r="J93" s="182"/>
      <c r="K93" s="35"/>
      <c r="L93" s="193"/>
      <c r="M93" s="35"/>
      <c r="N93" s="182"/>
      <c r="O93" s="35"/>
      <c r="P93" s="182"/>
      <c r="Q93" s="35"/>
      <c r="R93" s="182"/>
    </row>
    <row r="94" spans="1:18" x14ac:dyDescent="0.2">
      <c r="A94" s="25" t="s">
        <v>153</v>
      </c>
      <c r="B94" s="25"/>
      <c r="C94" s="25"/>
      <c r="D94" s="25"/>
      <c r="E94" s="195"/>
      <c r="F94" s="25"/>
      <c r="G94" s="25"/>
      <c r="H94" s="195"/>
      <c r="I94" s="35">
        <v>58.35707738578833</v>
      </c>
      <c r="J94" s="200">
        <f>+J14-J92</f>
        <v>0</v>
      </c>
      <c r="K94" s="35"/>
      <c r="L94" s="193"/>
      <c r="M94" s="35">
        <v>0</v>
      </c>
      <c r="N94" s="200">
        <f>+N14-N92</f>
        <v>0</v>
      </c>
      <c r="O94" s="35">
        <v>58.35707738578833</v>
      </c>
      <c r="P94" s="200">
        <f>+P14-P92</f>
        <v>0</v>
      </c>
      <c r="Q94" s="35">
        <v>37348.529526904575</v>
      </c>
      <c r="R94" s="200">
        <f>+R14-R92</f>
        <v>0</v>
      </c>
    </row>
    <row r="95" spans="1:18" x14ac:dyDescent="0.2">
      <c r="A95" s="25"/>
      <c r="B95" s="25"/>
      <c r="C95" s="25"/>
      <c r="D95" s="25"/>
      <c r="E95" s="195"/>
      <c r="F95" s="25"/>
      <c r="G95" s="25"/>
      <c r="H95" s="195"/>
      <c r="I95" s="35"/>
      <c r="J95" s="204"/>
      <c r="K95" s="35"/>
      <c r="L95" s="193"/>
      <c r="M95" s="35"/>
      <c r="N95" s="193"/>
      <c r="O95" s="35"/>
      <c r="P95" s="193"/>
      <c r="Q95" s="35"/>
      <c r="R95" s="204"/>
    </row>
    <row r="96" spans="1:18" ht="13.5" thickBot="1" x14ac:dyDescent="0.25">
      <c r="A96" s="44" t="s">
        <v>38</v>
      </c>
      <c r="B96" s="44"/>
      <c r="C96" s="44"/>
      <c r="D96" s="44"/>
      <c r="E96" s="199"/>
      <c r="F96" s="44"/>
      <c r="G96" s="45">
        <v>0.76331433809136939</v>
      </c>
      <c r="H96" s="210" t="str">
        <f>IF(E10=0,"n/a",(YTotExp-(YTotExp+YTotRet-J10))/E10)</f>
        <v>n/a</v>
      </c>
      <c r="I96" s="44" t="s">
        <v>82</v>
      </c>
      <c r="J96" s="205"/>
      <c r="K96" s="44"/>
      <c r="L96" s="199"/>
      <c r="M96" s="44"/>
      <c r="N96" s="199"/>
      <c r="O96" s="44"/>
      <c r="P96" s="199"/>
      <c r="Q96" s="44"/>
      <c r="R96" s="205"/>
    </row>
    <row r="97" spans="1:18" ht="13.5" thickTop="1" x14ac:dyDescent="0.2"/>
    <row r="98" spans="1:18" s="17" customFormat="1" ht="15.75" x14ac:dyDescent="0.25">
      <c r="A98"/>
      <c r="B98" s="88"/>
      <c r="C98" s="89"/>
      <c r="D98" s="234" t="s">
        <v>113</v>
      </c>
      <c r="E98" s="235"/>
      <c r="F98" s="235"/>
      <c r="G98" s="235"/>
      <c r="H98" s="235"/>
      <c r="I98" s="235"/>
      <c r="J98" s="99"/>
      <c r="K98" s="99"/>
      <c r="M98"/>
      <c r="N98"/>
    </row>
    <row r="99" spans="1:18" s="17" customFormat="1" ht="15.75" x14ac:dyDescent="0.25">
      <c r="A99"/>
      <c r="B99" s="19" t="s">
        <v>114</v>
      </c>
      <c r="C99" s="19" t="s">
        <v>114</v>
      </c>
      <c r="D99" s="123" t="s">
        <v>170</v>
      </c>
      <c r="E99" s="18"/>
      <c r="F99" s="18"/>
      <c r="G99" s="123" t="s">
        <v>170</v>
      </c>
      <c r="H99" s="18"/>
      <c r="I99" s="18"/>
      <c r="J99" s="18"/>
      <c r="K99" s="18"/>
      <c r="M99"/>
      <c r="N99"/>
    </row>
    <row r="100" spans="1:18" s="17" customFormat="1" x14ac:dyDescent="0.2">
      <c r="A100"/>
      <c r="B100" s="19" t="s">
        <v>80</v>
      </c>
      <c r="C100" s="19" t="s">
        <v>80</v>
      </c>
      <c r="D100" s="123" t="s">
        <v>157</v>
      </c>
      <c r="E100" s="119"/>
      <c r="F100" s="119"/>
      <c r="G100" s="123" t="s">
        <v>12</v>
      </c>
      <c r="H100" s="119"/>
      <c r="I100" s="119"/>
      <c r="J100" s="119"/>
      <c r="K100" s="119"/>
      <c r="M100"/>
      <c r="N100"/>
    </row>
    <row r="101" spans="1:18" s="17" customFormat="1" x14ac:dyDescent="0.2">
      <c r="A101"/>
      <c r="B101" s="19" t="s">
        <v>30</v>
      </c>
      <c r="C101" s="99" t="s">
        <v>82</v>
      </c>
      <c r="D101" s="123" t="s">
        <v>98</v>
      </c>
      <c r="E101" s="119"/>
      <c r="F101" s="119"/>
      <c r="G101" s="123" t="s">
        <v>98</v>
      </c>
      <c r="H101" s="19"/>
      <c r="I101" s="19"/>
      <c r="J101" s="19"/>
      <c r="K101" s="19"/>
      <c r="M101"/>
      <c r="N101"/>
    </row>
    <row r="102" spans="1:18" s="17" customFormat="1" x14ac:dyDescent="0.2">
      <c r="A102"/>
      <c r="B102" s="90">
        <v>0.75</v>
      </c>
      <c r="C102" s="91">
        <v>937.5</v>
      </c>
      <c r="D102" s="92">
        <v>0.78597038937393016</v>
      </c>
      <c r="E102" s="93"/>
      <c r="F102" s="94"/>
      <c r="G102" s="92">
        <v>1.0177524507884925</v>
      </c>
      <c r="H102" s="93"/>
      <c r="I102" s="93"/>
      <c r="M102"/>
      <c r="N102"/>
    </row>
    <row r="103" spans="1:18" s="17" customFormat="1" x14ac:dyDescent="0.2">
      <c r="A103"/>
      <c r="B103" s="95">
        <v>0.9</v>
      </c>
      <c r="C103" s="96">
        <v>1125</v>
      </c>
      <c r="D103" s="97">
        <v>0.65497532447827522</v>
      </c>
      <c r="E103" s="83"/>
      <c r="F103" s="98"/>
      <c r="G103" s="97">
        <v>0.84812704232374381</v>
      </c>
      <c r="H103" s="83"/>
      <c r="I103" s="83"/>
      <c r="M103"/>
      <c r="N103"/>
    </row>
    <row r="104" spans="1:18" s="17" customFormat="1" x14ac:dyDescent="0.2">
      <c r="A104"/>
      <c r="B104" s="90">
        <v>1</v>
      </c>
      <c r="C104" s="91">
        <v>1250</v>
      </c>
      <c r="D104" s="92">
        <v>0.5894777920304477</v>
      </c>
      <c r="E104" s="93"/>
      <c r="F104" s="94"/>
      <c r="G104" s="92">
        <v>0.76331433809136939</v>
      </c>
      <c r="H104" s="93"/>
      <c r="I104" s="93"/>
      <c r="M104"/>
      <c r="N104"/>
    </row>
    <row r="105" spans="1:18" s="17" customFormat="1" x14ac:dyDescent="0.2">
      <c r="A105"/>
      <c r="B105" s="95">
        <v>1.1000000000000001</v>
      </c>
      <c r="C105" s="96">
        <v>1375</v>
      </c>
      <c r="D105" s="97">
        <v>0.53588890184586147</v>
      </c>
      <c r="E105" s="83"/>
      <c r="F105" s="98"/>
      <c r="G105" s="97">
        <v>0.69392212553760857</v>
      </c>
      <c r="H105" s="83"/>
      <c r="I105" s="83"/>
      <c r="M105"/>
      <c r="N105"/>
    </row>
    <row r="106" spans="1:18" s="17" customFormat="1" x14ac:dyDescent="0.2">
      <c r="A106"/>
      <c r="B106" s="90">
        <v>1.25</v>
      </c>
      <c r="C106" s="91">
        <v>1562.5</v>
      </c>
      <c r="D106" s="92">
        <v>0.47158223362435814</v>
      </c>
      <c r="E106" s="93"/>
      <c r="F106" s="94"/>
      <c r="G106" s="92">
        <v>0.61065147047309554</v>
      </c>
      <c r="H106" s="93"/>
      <c r="I106" s="93"/>
      <c r="M106"/>
      <c r="N106"/>
    </row>
    <row r="107" spans="1:18" s="17" customFormat="1" x14ac:dyDescent="0.2">
      <c r="A107"/>
      <c r="M107"/>
      <c r="N107"/>
    </row>
    <row r="108" spans="1:18" x14ac:dyDescent="0.2">
      <c r="A108" s="25" t="s">
        <v>434</v>
      </c>
      <c r="B108" s="17"/>
      <c r="C108" s="17"/>
      <c r="D108" s="17"/>
      <c r="E108" s="17"/>
      <c r="F108" s="17"/>
      <c r="G108" s="17"/>
      <c r="H108" s="17"/>
      <c r="I108" s="17"/>
      <c r="J108" s="28"/>
      <c r="K108" s="17"/>
      <c r="L108" s="17"/>
      <c r="M108" s="17"/>
      <c r="N108" s="17"/>
      <c r="O108" s="17"/>
      <c r="P108" s="17"/>
      <c r="Q108" s="17"/>
    </row>
    <row r="109" spans="1:18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28"/>
      <c r="K109" s="17"/>
      <c r="L109" s="17"/>
      <c r="M109" s="17"/>
      <c r="N109" s="17"/>
      <c r="O109" s="17"/>
      <c r="P109" s="17"/>
      <c r="Q109" s="17"/>
    </row>
    <row r="110" spans="1:18" ht="26.25" customHeight="1" x14ac:dyDescent="0.2">
      <c r="A110" s="236" t="s">
        <v>140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19"/>
      <c r="N110" s="219"/>
      <c r="O110" s="219"/>
      <c r="P110" s="219"/>
      <c r="Q110" s="219"/>
      <c r="R110" s="219"/>
    </row>
  </sheetData>
  <sheetProtection sheet="1" objects="1" scenarios="1"/>
  <mergeCells count="6">
    <mergeCell ref="D98:I98"/>
    <mergeCell ref="A110:L110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2:I29"/>
  <sheetViews>
    <sheetView showGridLines="0" showRowColHeaders="0" zoomScale="130" zoomScaleNormal="130" zoomScaleSheetLayoutView="125" workbookViewId="0">
      <selection activeCell="B2" sqref="B2:I2"/>
    </sheetView>
  </sheetViews>
  <sheetFormatPr defaultColWidth="8.5703125" defaultRowHeight="12.75" x14ac:dyDescent="0.2"/>
  <cols>
    <col min="1" max="1" width="5.140625" customWidth="1"/>
    <col min="2" max="2" width="14.140625" customWidth="1"/>
    <col min="3" max="3" width="10.42578125" customWidth="1"/>
    <col min="5" max="5" width="8.85546875" customWidth="1"/>
    <col min="10" max="10" width="12.42578125" customWidth="1"/>
  </cols>
  <sheetData>
    <row r="2" spans="2:9" ht="15.75" x14ac:dyDescent="0.25">
      <c r="B2" s="226" t="s">
        <v>131</v>
      </c>
      <c r="C2" s="229"/>
      <c r="D2" s="229"/>
      <c r="E2" s="229"/>
      <c r="F2" s="229"/>
      <c r="G2" s="229"/>
      <c r="H2" s="229"/>
      <c r="I2" s="229"/>
    </row>
    <row r="3" spans="2:9" x14ac:dyDescent="0.2">
      <c r="B3" s="230" t="s">
        <v>338</v>
      </c>
      <c r="C3" s="229"/>
      <c r="D3" s="229"/>
      <c r="E3" s="229"/>
      <c r="F3" s="229"/>
      <c r="G3" s="229"/>
      <c r="H3" s="229"/>
      <c r="I3" s="229"/>
    </row>
    <row r="4" spans="2:9" x14ac:dyDescent="0.2">
      <c r="B4" s="230" t="s">
        <v>339</v>
      </c>
      <c r="C4" s="229"/>
      <c r="D4" s="229"/>
      <c r="E4" s="229"/>
      <c r="F4" s="229"/>
      <c r="G4" s="229"/>
      <c r="H4" s="229"/>
      <c r="I4" s="229"/>
    </row>
    <row r="6" spans="2:9" ht="12.95" customHeight="1" x14ac:dyDescent="0.2">
      <c r="B6" s="231" t="s">
        <v>340</v>
      </c>
      <c r="C6" s="229"/>
      <c r="D6" s="229"/>
      <c r="E6" s="229"/>
      <c r="F6" s="229"/>
      <c r="G6" s="229"/>
      <c r="H6" s="229"/>
      <c r="I6" s="229"/>
    </row>
    <row r="7" spans="2:9" x14ac:dyDescent="0.2">
      <c r="B7" s="3"/>
      <c r="C7" s="3"/>
      <c r="D7" s="3"/>
      <c r="E7" s="3"/>
      <c r="F7" s="3"/>
      <c r="G7" s="3"/>
      <c r="H7" s="12"/>
    </row>
    <row r="8" spans="2:9" x14ac:dyDescent="0.2">
      <c r="B8" s="233" t="s">
        <v>14</v>
      </c>
      <c r="C8" s="233"/>
      <c r="D8" s="3"/>
      <c r="E8" s="3"/>
      <c r="F8" s="3"/>
      <c r="G8" s="19" t="s">
        <v>337</v>
      </c>
    </row>
    <row r="9" spans="2:9" x14ac:dyDescent="0.2">
      <c r="B9" s="3"/>
      <c r="C9" s="3"/>
      <c r="D9" s="3"/>
      <c r="E9" s="3"/>
      <c r="F9" s="3"/>
      <c r="G9" s="3"/>
    </row>
    <row r="10" spans="2:9" x14ac:dyDescent="0.2">
      <c r="B10" s="233" t="s">
        <v>332</v>
      </c>
      <c r="C10" s="233"/>
      <c r="D10" s="3"/>
      <c r="E10" s="3"/>
      <c r="F10" s="3"/>
      <c r="G10" s="3"/>
    </row>
    <row r="11" spans="2:9" x14ac:dyDescent="0.2">
      <c r="B11" s="3"/>
      <c r="C11" s="3"/>
      <c r="D11" s="3"/>
      <c r="E11" s="3"/>
      <c r="F11" s="3"/>
      <c r="G11" s="3"/>
    </row>
    <row r="12" spans="2:9" ht="26.45" customHeight="1" x14ac:dyDescent="0.2">
      <c r="B12" s="227" t="s">
        <v>335</v>
      </c>
      <c r="C12" s="232"/>
      <c r="D12" s="3"/>
      <c r="E12" s="3"/>
      <c r="F12" s="3"/>
    </row>
    <row r="13" spans="2:9" ht="12.95" customHeight="1" x14ac:dyDescent="0.2">
      <c r="B13" s="3"/>
      <c r="C13" s="3"/>
      <c r="D13" s="3"/>
      <c r="E13" s="3"/>
      <c r="F13" s="3"/>
      <c r="G13" s="3"/>
    </row>
    <row r="14" spans="2:9" x14ac:dyDescent="0.2">
      <c r="B14" s="233" t="s">
        <v>334</v>
      </c>
      <c r="C14" s="233"/>
      <c r="D14" s="3"/>
      <c r="E14" s="3"/>
      <c r="F14" s="3"/>
      <c r="G14" s="3"/>
    </row>
    <row r="15" spans="2:9" x14ac:dyDescent="0.2">
      <c r="B15" s="3"/>
      <c r="C15" s="3"/>
      <c r="D15" s="3"/>
      <c r="E15" s="3"/>
      <c r="F15" s="3"/>
      <c r="G15" s="217"/>
    </row>
    <row r="16" spans="2:9" x14ac:dyDescent="0.2">
      <c r="B16" s="233" t="s">
        <v>333</v>
      </c>
      <c r="C16" s="23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233" t="s">
        <v>16</v>
      </c>
      <c r="C18" s="23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233" t="s">
        <v>15</v>
      </c>
      <c r="C20" s="233"/>
      <c r="D20" s="3"/>
      <c r="E20" s="3"/>
      <c r="F20" s="3"/>
      <c r="G20" s="3"/>
    </row>
    <row r="21" spans="2:7" x14ac:dyDescent="0.2">
      <c r="B21" s="3"/>
      <c r="C21" s="3"/>
      <c r="D21" s="3"/>
      <c r="E21" s="7"/>
      <c r="F21" s="3"/>
    </row>
    <row r="22" spans="2:7" ht="25.5" customHeight="1" x14ac:dyDescent="0.2">
      <c r="B22" s="227" t="s">
        <v>336</v>
      </c>
      <c r="C22" s="228"/>
      <c r="D22" s="12"/>
      <c r="E22" s="12"/>
      <c r="F22" s="3"/>
    </row>
    <row r="23" spans="2:7" x14ac:dyDescent="0.2">
      <c r="B23" s="3"/>
      <c r="C23" s="3"/>
      <c r="D23" s="3"/>
      <c r="E23" s="217"/>
      <c r="F23" s="217"/>
    </row>
    <row r="24" spans="2:7" x14ac:dyDescent="0.2">
      <c r="B24" s="216" t="s">
        <v>341</v>
      </c>
      <c r="C24" s="216"/>
      <c r="D24" s="218"/>
      <c r="E24" s="218"/>
      <c r="F24" s="3"/>
    </row>
    <row r="25" spans="2:7" x14ac:dyDescent="0.2">
      <c r="B25" s="3"/>
      <c r="C25" s="3"/>
      <c r="D25" s="3"/>
      <c r="E25" s="3"/>
      <c r="F25" s="3"/>
    </row>
    <row r="26" spans="2:7" x14ac:dyDescent="0.2">
      <c r="B26" s="12" t="s">
        <v>501</v>
      </c>
      <c r="C26" s="3"/>
      <c r="D26" s="3"/>
      <c r="E26" s="3"/>
      <c r="F26" s="3"/>
    </row>
    <row r="27" spans="2:7" ht="12.6" customHeight="1" x14ac:dyDescent="0.2">
      <c r="B27" s="3"/>
      <c r="C27" s="3"/>
      <c r="D27" s="3"/>
      <c r="E27" s="3"/>
      <c r="F27" s="3"/>
    </row>
    <row r="28" spans="2:7" x14ac:dyDescent="0.2">
      <c r="B28" s="3"/>
      <c r="C28" s="3"/>
      <c r="D28" s="3"/>
      <c r="E28" s="3"/>
      <c r="F28" s="3"/>
    </row>
    <row r="29" spans="2:7" x14ac:dyDescent="0.2">
      <c r="B29" s="3"/>
      <c r="C29" s="3"/>
      <c r="D29" s="3"/>
      <c r="E29" s="3"/>
      <c r="F29" s="3"/>
    </row>
  </sheetData>
  <sheetProtection sheet="1" objects="1" scenarios="1"/>
  <mergeCells count="12">
    <mergeCell ref="B22:C22"/>
    <mergeCell ref="B2:I2"/>
    <mergeCell ref="B3:I3"/>
    <mergeCell ref="B4:I4"/>
    <mergeCell ref="B6:I6"/>
    <mergeCell ref="B12:C12"/>
    <mergeCell ref="B8:C8"/>
    <mergeCell ref="B14:C14"/>
    <mergeCell ref="B10:C10"/>
    <mergeCell ref="B20:C20"/>
    <mergeCell ref="B18:C18"/>
    <mergeCell ref="B16:C16"/>
  </mergeCells>
  <phoneticPr fontId="0" type="noConversion"/>
  <hyperlinks>
    <hyperlink ref="B8" r:id="rId1" xr:uid="{00000000-0004-0000-0100-000000000000}"/>
    <hyperlink ref="B20" r:id="rId2" xr:uid="{00000000-0004-0000-0100-000001000000}"/>
    <hyperlink ref="B18" r:id="rId3" xr:uid="{00000000-0004-0000-0100-000002000000}"/>
    <hyperlink ref="B16" r:id="rId4" display="Market Outlook" xr:uid="{00000000-0004-0000-0100-000003000000}"/>
    <hyperlink ref="B14" r:id="rId5" display="Lubbock A&amp;M Center" xr:uid="{00000000-0004-0000-0100-000004000000}"/>
    <hyperlink ref="B10:C10" r:id="rId6" display="Supporting Resources" xr:uid="{00000000-0004-0000-0100-000005000000}"/>
    <hyperlink ref="B8:C8" r:id="rId7" display="Contact Us" xr:uid="{00000000-0004-0000-0100-000006000000}"/>
    <hyperlink ref="B16:C16" r:id="rId8" display="Basis Tables" xr:uid="{00000000-0004-0000-0100-000007000000}"/>
    <hyperlink ref="B14:C14" r:id="rId9" display="Lubbock A&amp;M Center" xr:uid="{00000000-0004-0000-0100-000008000000}"/>
    <hyperlink ref="B24:C24" r:id="rId10" display="Events" xr:uid="{00000000-0004-0000-0100-000009000000}"/>
    <hyperlink ref="B24:E24" location="Menu!A1" display="Menu Page" xr:uid="{00000000-0004-0000-0100-00000A000000}"/>
    <hyperlink ref="B12" r:id="rId11" display="Futures Charts and Prices" xr:uid="{00000000-0004-0000-0100-00000B000000}"/>
  </hyperlinks>
  <pageMargins left="0.75" right="0.75" top="1" bottom="1" header="0.5" footer="0.5"/>
  <pageSetup orientation="portrait" r:id="rId12"/>
  <headerFooter alignWithMargins="0">
    <oddFooter>&amp;CTexas AgriLife Extension Service provides this software for educational use, solely on an “AS IS” basis and  assumes no liability for its use.</oddFooter>
  </headerFooter>
  <drawing r:id="rId1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201">
    <tabColor rgb="FF92D050"/>
    <pageSetUpPr fitToPage="1"/>
  </sheetPr>
  <dimension ref="A1:S110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444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133</v>
      </c>
      <c r="C10" s="25"/>
      <c r="D10" s="50">
        <v>1188</v>
      </c>
      <c r="E10" s="130"/>
      <c r="F10" s="224" t="s">
        <v>82</v>
      </c>
      <c r="G10" s="31">
        <v>0.81</v>
      </c>
      <c r="H10" s="131"/>
      <c r="I10" s="35">
        <v>962.28000000000009</v>
      </c>
      <c r="J10" s="200">
        <f t="shared" ref="J10:J13" si="0">E10*H10</f>
        <v>0</v>
      </c>
      <c r="K10" s="223">
        <v>0</v>
      </c>
      <c r="L10" s="212"/>
      <c r="M10" s="35">
        <v>0</v>
      </c>
      <c r="N10" s="200">
        <f t="shared" ref="N10:N13" si="1">J10*L10</f>
        <v>0</v>
      </c>
      <c r="O10" s="35">
        <v>962.28000000000009</v>
      </c>
      <c r="P10" s="200">
        <f>+J10-N10</f>
        <v>0</v>
      </c>
      <c r="Q10" s="35">
        <v>615859.20000000007</v>
      </c>
      <c r="R10" s="200">
        <f t="shared" ref="R10:R13" si="2">+J10*E$7</f>
        <v>0</v>
      </c>
      <c r="S10" s="12"/>
    </row>
    <row r="11" spans="1:19" x14ac:dyDescent="0.2">
      <c r="A11" s="25"/>
      <c r="B11" t="s">
        <v>134</v>
      </c>
      <c r="C11" s="25"/>
      <c r="D11" s="50">
        <v>0.65</v>
      </c>
      <c r="E11" s="130"/>
      <c r="F11" s="224" t="s">
        <v>135</v>
      </c>
      <c r="G11" s="31">
        <v>0.22</v>
      </c>
      <c r="H11" s="131"/>
      <c r="I11" s="35">
        <v>0.14300000000000002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0.14300000000000002</v>
      </c>
      <c r="P11" s="200">
        <f t="shared" ref="P11:P13" si="3">+J11-N11</f>
        <v>0</v>
      </c>
      <c r="Q11" s="35">
        <v>91.52000000000001</v>
      </c>
      <c r="R11" s="200">
        <f t="shared" si="2"/>
        <v>0</v>
      </c>
      <c r="S11" s="12"/>
    </row>
    <row r="12" spans="1:19" x14ac:dyDescent="0.2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35">
        <v>0</v>
      </c>
      <c r="J12" s="200">
        <f t="shared" si="0"/>
        <v>0</v>
      </c>
      <c r="K12" s="223">
        <v>0</v>
      </c>
      <c r="L12" s="212"/>
      <c r="M12" s="35">
        <v>0</v>
      </c>
      <c r="N12" s="200">
        <f t="shared" si="1"/>
        <v>0</v>
      </c>
      <c r="O12" s="35">
        <v>0</v>
      </c>
      <c r="P12" s="200">
        <f t="shared" si="3"/>
        <v>0</v>
      </c>
      <c r="Q12" s="35">
        <v>0</v>
      </c>
      <c r="R12" s="200">
        <f t="shared" si="2"/>
        <v>0</v>
      </c>
    </row>
    <row r="13" spans="1:19" ht="13.5" thickBot="1" x14ac:dyDescent="0.25">
      <c r="A13" s="25"/>
      <c r="B13" s="131"/>
      <c r="C13" s="131"/>
      <c r="D13" s="50">
        <v>0</v>
      </c>
      <c r="E13" s="130"/>
      <c r="F13" s="224"/>
      <c r="G13" s="31">
        <v>0</v>
      </c>
      <c r="H13" s="131"/>
      <c r="I13" s="42">
        <v>0</v>
      </c>
      <c r="J13" s="200">
        <f t="shared" si="0"/>
        <v>0</v>
      </c>
      <c r="K13" s="223">
        <v>0</v>
      </c>
      <c r="L13" s="212"/>
      <c r="M13" s="42">
        <v>0</v>
      </c>
      <c r="N13" s="200">
        <f t="shared" si="1"/>
        <v>0</v>
      </c>
      <c r="O13" s="42">
        <v>0</v>
      </c>
      <c r="P13" s="200">
        <f t="shared" si="3"/>
        <v>0</v>
      </c>
      <c r="Q13" s="42">
        <v>0</v>
      </c>
      <c r="R13" s="182">
        <f t="shared" si="2"/>
        <v>0</v>
      </c>
    </row>
    <row r="14" spans="1:19" x14ac:dyDescent="0.2">
      <c r="A14" s="25" t="s">
        <v>24</v>
      </c>
      <c r="B14" s="25"/>
      <c r="C14" s="25"/>
      <c r="D14" s="25"/>
      <c r="E14" s="198"/>
      <c r="F14" s="25"/>
      <c r="G14" s="25"/>
      <c r="H14" s="195"/>
      <c r="I14" s="36">
        <v>962.42300000000012</v>
      </c>
      <c r="J14" s="201">
        <f>SUM(J10:J13)</f>
        <v>0</v>
      </c>
      <c r="K14" s="35"/>
      <c r="L14" s="193"/>
      <c r="M14" s="36">
        <v>0</v>
      </c>
      <c r="N14" s="201">
        <f>SUM(N10:N13)</f>
        <v>0</v>
      </c>
      <c r="O14" s="36">
        <v>962.42300000000012</v>
      </c>
      <c r="P14" s="201">
        <f>SUM(P10:P13)</f>
        <v>0</v>
      </c>
      <c r="Q14" s="36">
        <v>615950.72000000009</v>
      </c>
      <c r="R14" s="201">
        <f>SUM(R10:R13)</f>
        <v>0</v>
      </c>
    </row>
    <row r="15" spans="1:19" x14ac:dyDescent="0.2">
      <c r="A15" s="25"/>
      <c r="B15" s="25"/>
      <c r="C15" s="25"/>
      <c r="D15" s="25"/>
      <c r="E15" s="176"/>
      <c r="F15" s="25"/>
      <c r="G15" s="25"/>
      <c r="H15" s="209"/>
      <c r="I15" s="35"/>
      <c r="J15" s="182"/>
      <c r="K15" s="35"/>
      <c r="L15" s="193"/>
      <c r="M15" s="35"/>
      <c r="N15" s="182"/>
      <c r="O15" s="35"/>
      <c r="P15" s="182"/>
      <c r="Q15" s="22" t="s">
        <v>19</v>
      </c>
      <c r="R15" s="182" t="s">
        <v>19</v>
      </c>
    </row>
    <row r="16" spans="1:19" x14ac:dyDescent="0.2">
      <c r="A16" s="23" t="s">
        <v>25</v>
      </c>
      <c r="B16" s="23"/>
      <c r="C16" s="23"/>
      <c r="D16" s="24" t="s">
        <v>2</v>
      </c>
      <c r="E16" s="194" t="s">
        <v>2</v>
      </c>
      <c r="F16" s="24" t="s">
        <v>21</v>
      </c>
      <c r="G16" s="24" t="s">
        <v>22</v>
      </c>
      <c r="H16" s="194" t="s">
        <v>22</v>
      </c>
      <c r="I16" s="24" t="s">
        <v>12</v>
      </c>
      <c r="J16" s="194" t="s">
        <v>12</v>
      </c>
      <c r="K16" s="24" t="s">
        <v>11</v>
      </c>
      <c r="L16" s="194" t="s">
        <v>11</v>
      </c>
      <c r="M16" s="24" t="s">
        <v>10</v>
      </c>
      <c r="N16" s="194" t="s">
        <v>10</v>
      </c>
      <c r="O16" s="24" t="s">
        <v>9</v>
      </c>
      <c r="P16" s="194" t="s">
        <v>9</v>
      </c>
      <c r="Q16" s="24" t="s">
        <v>12</v>
      </c>
      <c r="R16" s="206" t="s">
        <v>12</v>
      </c>
    </row>
    <row r="17" spans="1:18" x14ac:dyDescent="0.2">
      <c r="A17" s="25" t="s">
        <v>26</v>
      </c>
      <c r="B17" s="25"/>
      <c r="C17" s="25"/>
      <c r="D17" s="25"/>
      <c r="E17" s="176"/>
      <c r="F17" s="25"/>
      <c r="G17" s="25"/>
      <c r="H17" s="209"/>
      <c r="I17" s="25"/>
      <c r="J17" s="182"/>
      <c r="K17" s="25"/>
      <c r="L17" s="195"/>
      <c r="M17" s="25"/>
      <c r="N17" s="182"/>
      <c r="O17" s="25"/>
      <c r="P17" s="182"/>
      <c r="Q17" s="25"/>
      <c r="R17" s="182"/>
    </row>
    <row r="18" spans="1:18" x14ac:dyDescent="0.2">
      <c r="A18" s="25"/>
      <c r="B18" s="25" t="s">
        <v>50</v>
      </c>
      <c r="C18" s="25"/>
      <c r="D18" s="25"/>
      <c r="E18" s="25"/>
      <c r="F18" s="25"/>
      <c r="G18" s="25"/>
      <c r="H18" s="25"/>
      <c r="I18" s="25"/>
      <c r="J18" s="25"/>
      <c r="K18" s="223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 t="s">
        <v>458</v>
      </c>
      <c r="C19" s="25" t="s">
        <v>176</v>
      </c>
      <c r="D19" s="25">
        <v>1</v>
      </c>
      <c r="E19" s="130"/>
      <c r="F19" s="224" t="s">
        <v>42</v>
      </c>
      <c r="G19" s="41">
        <v>5</v>
      </c>
      <c r="H19" s="131"/>
      <c r="I19" s="35">
        <v>5</v>
      </c>
      <c r="J19" s="200">
        <f t="shared" ref="J19:J43" si="4">E19*H19</f>
        <v>0</v>
      </c>
      <c r="K19" s="223">
        <v>0</v>
      </c>
      <c r="L19" s="212"/>
      <c r="M19" s="35">
        <v>0</v>
      </c>
      <c r="N19" s="200">
        <f t="shared" ref="N19:N43" si="5">J19*L19</f>
        <v>0</v>
      </c>
      <c r="O19" s="35">
        <v>5</v>
      </c>
      <c r="P19" s="200">
        <f t="shared" ref="P19:P43" si="6">+J19-N19</f>
        <v>0</v>
      </c>
      <c r="Q19" s="35">
        <v>3200</v>
      </c>
      <c r="R19" s="200">
        <f t="shared" ref="R19:R43" si="7">+J19*E$7</f>
        <v>0</v>
      </c>
    </row>
    <row r="20" spans="1:18" x14ac:dyDescent="0.2">
      <c r="A20" s="25"/>
      <c r="B20" s="25" t="s">
        <v>458</v>
      </c>
      <c r="C20" s="25" t="s">
        <v>382</v>
      </c>
      <c r="D20" s="25">
        <v>1188</v>
      </c>
      <c r="E20" s="130"/>
      <c r="F20" s="224" t="s">
        <v>82</v>
      </c>
      <c r="G20" s="41">
        <v>0.13</v>
      </c>
      <c r="H20" s="131"/>
      <c r="I20" s="35">
        <v>154.44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154.44</v>
      </c>
      <c r="P20" s="200">
        <f t="shared" si="6"/>
        <v>0</v>
      </c>
      <c r="Q20" s="35">
        <v>98841.600000000006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375</v>
      </c>
      <c r="D21" s="25">
        <v>1188</v>
      </c>
      <c r="E21" s="130"/>
      <c r="F21" s="224" t="s">
        <v>82</v>
      </c>
      <c r="G21" s="41">
        <v>0.12</v>
      </c>
      <c r="H21" s="131"/>
      <c r="I21" s="35">
        <v>142.56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142.56</v>
      </c>
      <c r="P21" s="200">
        <f t="shared" si="6"/>
        <v>0</v>
      </c>
      <c r="Q21" s="35">
        <v>91238.399999999994</v>
      </c>
      <c r="R21" s="200">
        <f t="shared" si="7"/>
        <v>0</v>
      </c>
    </row>
    <row r="22" spans="1:18" x14ac:dyDescent="0.2">
      <c r="A22" s="25"/>
      <c r="B22" s="25" t="s">
        <v>0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342</v>
      </c>
      <c r="D23" s="25">
        <v>100</v>
      </c>
      <c r="E23" s="130"/>
      <c r="F23" s="224" t="s">
        <v>82</v>
      </c>
      <c r="G23" s="41">
        <v>0.53800000000000003</v>
      </c>
      <c r="H23" s="131"/>
      <c r="I23" s="35">
        <v>53.800000000000004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53.800000000000004</v>
      </c>
      <c r="P23" s="200">
        <f t="shared" si="6"/>
        <v>0</v>
      </c>
      <c r="Q23" s="35">
        <v>34432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378</v>
      </c>
      <c r="D24" s="25">
        <v>50</v>
      </c>
      <c r="E24" s="130"/>
      <c r="F24" s="224" t="s">
        <v>82</v>
      </c>
      <c r="G24" s="41">
        <v>0.56999999999999995</v>
      </c>
      <c r="H24" s="131"/>
      <c r="I24" s="35">
        <v>28.499999999999996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28.499999999999996</v>
      </c>
      <c r="P24" s="200">
        <f t="shared" si="6"/>
        <v>0</v>
      </c>
      <c r="Q24" s="35">
        <v>18239.999999999996</v>
      </c>
      <c r="R24" s="200">
        <f t="shared" si="7"/>
        <v>0</v>
      </c>
    </row>
    <row r="25" spans="1:18" x14ac:dyDescent="0.2">
      <c r="A25" s="25"/>
      <c r="B25" s="25" t="s">
        <v>49</v>
      </c>
      <c r="C25" s="25"/>
      <c r="D25" s="25"/>
      <c r="E25" s="25"/>
      <c r="F25" s="25"/>
      <c r="G25" s="25"/>
      <c r="H25" s="25"/>
      <c r="I25" s="25"/>
      <c r="J25" s="25"/>
      <c r="K25" s="223"/>
      <c r="L25" s="25"/>
      <c r="M25" s="25"/>
      <c r="N25" s="25"/>
      <c r="O25" s="25"/>
      <c r="P25" s="25"/>
      <c r="Q25" s="25"/>
      <c r="R25" s="25"/>
    </row>
    <row r="26" spans="1:18" x14ac:dyDescent="0.2">
      <c r="A26" s="25"/>
      <c r="B26" s="25" t="s">
        <v>458</v>
      </c>
      <c r="C26" s="25" t="s">
        <v>402</v>
      </c>
      <c r="D26" s="25">
        <v>2</v>
      </c>
      <c r="E26" s="130"/>
      <c r="F26" s="224" t="s">
        <v>316</v>
      </c>
      <c r="G26" s="41">
        <v>2.81</v>
      </c>
      <c r="H26" s="131"/>
      <c r="I26" s="35">
        <v>5.62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5.62</v>
      </c>
      <c r="P26" s="200">
        <f t="shared" si="6"/>
        <v>0</v>
      </c>
      <c r="Q26" s="35">
        <v>3596.8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401</v>
      </c>
      <c r="D27" s="25">
        <v>64</v>
      </c>
      <c r="E27" s="130"/>
      <c r="F27" s="224" t="s">
        <v>435</v>
      </c>
      <c r="G27" s="41">
        <v>0.41</v>
      </c>
      <c r="H27" s="131"/>
      <c r="I27" s="35">
        <v>26.24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26.24</v>
      </c>
      <c r="P27" s="200">
        <f t="shared" si="6"/>
        <v>0</v>
      </c>
      <c r="Q27" s="35">
        <v>16793.599999999999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440</v>
      </c>
      <c r="D28" s="25">
        <v>4.7</v>
      </c>
      <c r="E28" s="130"/>
      <c r="F28" s="224" t="s">
        <v>316</v>
      </c>
      <c r="G28" s="41">
        <v>5.81</v>
      </c>
      <c r="H28" s="131"/>
      <c r="I28" s="35">
        <v>27.306999999999999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27.306999999999999</v>
      </c>
      <c r="P28" s="200">
        <f t="shared" si="6"/>
        <v>0</v>
      </c>
      <c r="Q28" s="35">
        <v>17476.48</v>
      </c>
      <c r="R28" s="200">
        <f t="shared" si="7"/>
        <v>0</v>
      </c>
    </row>
    <row r="29" spans="1:18" x14ac:dyDescent="0.2">
      <c r="A29" s="25"/>
      <c r="B29" s="25" t="s">
        <v>458</v>
      </c>
      <c r="C29" s="25" t="s">
        <v>439</v>
      </c>
      <c r="D29" s="25">
        <v>29</v>
      </c>
      <c r="E29" s="130"/>
      <c r="F29" s="224" t="s">
        <v>410</v>
      </c>
      <c r="G29" s="41">
        <v>0.7</v>
      </c>
      <c r="H29" s="131"/>
      <c r="I29" s="35">
        <v>20.299999999999997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20.299999999999997</v>
      </c>
      <c r="P29" s="200">
        <f t="shared" si="6"/>
        <v>0</v>
      </c>
      <c r="Q29" s="35">
        <v>12991.999999999998</v>
      </c>
      <c r="R29" s="200">
        <f t="shared" si="7"/>
        <v>0</v>
      </c>
    </row>
    <row r="30" spans="1:18" x14ac:dyDescent="0.2">
      <c r="A30" s="25"/>
      <c r="B30" s="25" t="s">
        <v>458</v>
      </c>
      <c r="C30" s="25" t="s">
        <v>384</v>
      </c>
      <c r="D30" s="25">
        <v>1</v>
      </c>
      <c r="E30" s="130"/>
      <c r="F30" s="224" t="s">
        <v>316</v>
      </c>
      <c r="G30" s="41">
        <v>3.75</v>
      </c>
      <c r="H30" s="131"/>
      <c r="I30" s="35">
        <v>3.75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3.75</v>
      </c>
      <c r="P30" s="200">
        <f t="shared" si="6"/>
        <v>0</v>
      </c>
      <c r="Q30" s="35">
        <v>2400</v>
      </c>
      <c r="R30" s="200">
        <f t="shared" si="7"/>
        <v>0</v>
      </c>
    </row>
    <row r="31" spans="1:18" x14ac:dyDescent="0.2">
      <c r="A31" s="25"/>
      <c r="B31" s="25" t="s">
        <v>458</v>
      </c>
      <c r="C31" s="25" t="s">
        <v>386</v>
      </c>
      <c r="D31" s="25">
        <v>1</v>
      </c>
      <c r="E31" s="130"/>
      <c r="F31" s="224" t="s">
        <v>410</v>
      </c>
      <c r="G31" s="41">
        <v>0.546875</v>
      </c>
      <c r="H31" s="131"/>
      <c r="I31" s="35">
        <v>0.546875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0.546875</v>
      </c>
      <c r="P31" s="200">
        <f t="shared" si="6"/>
        <v>0</v>
      </c>
      <c r="Q31" s="35">
        <v>350</v>
      </c>
      <c r="R31" s="200">
        <f t="shared" si="7"/>
        <v>0</v>
      </c>
    </row>
    <row r="32" spans="1:18" x14ac:dyDescent="0.2">
      <c r="A32" s="25"/>
      <c r="B32" s="25" t="s">
        <v>458</v>
      </c>
      <c r="C32" s="25" t="s">
        <v>438</v>
      </c>
      <c r="D32" s="25">
        <v>1.4</v>
      </c>
      <c r="E32" s="130"/>
      <c r="F32" s="224" t="s">
        <v>316</v>
      </c>
      <c r="G32" s="41">
        <v>2.84</v>
      </c>
      <c r="H32" s="131"/>
      <c r="I32" s="35">
        <v>3.9759999999999995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3.9759999999999995</v>
      </c>
      <c r="P32" s="200">
        <f t="shared" si="6"/>
        <v>0</v>
      </c>
      <c r="Q32" s="35">
        <v>2544.64</v>
      </c>
      <c r="R32" s="200">
        <f t="shared" si="7"/>
        <v>0</v>
      </c>
    </row>
    <row r="33" spans="1:18" x14ac:dyDescent="0.2">
      <c r="A33" s="25"/>
      <c r="B33" s="25" t="s">
        <v>458</v>
      </c>
      <c r="C33" s="25" t="s">
        <v>436</v>
      </c>
      <c r="D33" s="25">
        <v>1.4</v>
      </c>
      <c r="E33" s="130"/>
      <c r="F33" s="224" t="s">
        <v>316</v>
      </c>
      <c r="G33" s="41">
        <v>4.92</v>
      </c>
      <c r="H33" s="131"/>
      <c r="I33" s="35">
        <v>6.8879999999999999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6.8879999999999999</v>
      </c>
      <c r="P33" s="200">
        <f t="shared" si="6"/>
        <v>0</v>
      </c>
      <c r="Q33" s="35">
        <v>4408.32</v>
      </c>
      <c r="R33" s="200">
        <f t="shared" si="7"/>
        <v>0</v>
      </c>
    </row>
    <row r="34" spans="1:18" x14ac:dyDescent="0.2">
      <c r="A34" s="25"/>
      <c r="B34" s="25" t="s">
        <v>458</v>
      </c>
      <c r="C34" s="25" t="s">
        <v>437</v>
      </c>
      <c r="D34" s="25">
        <v>1.3</v>
      </c>
      <c r="E34" s="130"/>
      <c r="F34" s="224" t="s">
        <v>316</v>
      </c>
      <c r="G34" s="41">
        <v>9.14</v>
      </c>
      <c r="H34" s="131"/>
      <c r="I34" s="35">
        <v>11.882000000000001</v>
      </c>
      <c r="J34" s="200">
        <f t="shared" si="4"/>
        <v>0</v>
      </c>
      <c r="K34" s="223">
        <v>0</v>
      </c>
      <c r="L34" s="212"/>
      <c r="M34" s="35">
        <v>0</v>
      </c>
      <c r="N34" s="200">
        <f t="shared" si="5"/>
        <v>0</v>
      </c>
      <c r="O34" s="35">
        <v>11.882000000000001</v>
      </c>
      <c r="P34" s="200">
        <f t="shared" si="6"/>
        <v>0</v>
      </c>
      <c r="Q34" s="35">
        <v>7604.4800000000014</v>
      </c>
      <c r="R34" s="200">
        <f t="shared" si="7"/>
        <v>0</v>
      </c>
    </row>
    <row r="35" spans="1:18" x14ac:dyDescent="0.2">
      <c r="A35" s="25"/>
      <c r="B35" s="25" t="s">
        <v>48</v>
      </c>
      <c r="C35" s="25"/>
      <c r="D35" s="25"/>
      <c r="E35" s="25"/>
      <c r="F35" s="25"/>
      <c r="G35" s="25"/>
      <c r="H35" s="25"/>
      <c r="I35" s="25"/>
      <c r="J35" s="25"/>
      <c r="K35" s="223"/>
      <c r="L35" s="25"/>
      <c r="M35" s="25"/>
      <c r="N35" s="25"/>
      <c r="O35" s="25"/>
      <c r="P35" s="25"/>
      <c r="Q35" s="25"/>
      <c r="R35" s="25"/>
    </row>
    <row r="36" spans="1:18" x14ac:dyDescent="0.2">
      <c r="A36" s="25"/>
      <c r="B36" s="25" t="s">
        <v>458</v>
      </c>
      <c r="C36" s="25" t="s">
        <v>442</v>
      </c>
      <c r="D36" s="25">
        <v>16</v>
      </c>
      <c r="E36" s="130"/>
      <c r="F36" s="224" t="s">
        <v>410</v>
      </c>
      <c r="G36" s="41">
        <v>1.1599999999999999</v>
      </c>
      <c r="H36" s="131"/>
      <c r="I36" s="35">
        <v>18.559999999999999</v>
      </c>
      <c r="J36" s="200">
        <f t="shared" si="4"/>
        <v>0</v>
      </c>
      <c r="K36" s="223">
        <v>0</v>
      </c>
      <c r="L36" s="212"/>
      <c r="M36" s="35">
        <v>0</v>
      </c>
      <c r="N36" s="200">
        <f t="shared" si="5"/>
        <v>0</v>
      </c>
      <c r="O36" s="35">
        <v>18.559999999999999</v>
      </c>
      <c r="P36" s="200">
        <f t="shared" si="6"/>
        <v>0</v>
      </c>
      <c r="Q36" s="35">
        <v>11878.4</v>
      </c>
      <c r="R36" s="200">
        <f t="shared" si="7"/>
        <v>0</v>
      </c>
    </row>
    <row r="37" spans="1:18" x14ac:dyDescent="0.2">
      <c r="A37" s="25"/>
      <c r="B37" s="25" t="s">
        <v>458</v>
      </c>
      <c r="C37" s="25" t="s">
        <v>443</v>
      </c>
      <c r="D37" s="25">
        <v>2</v>
      </c>
      <c r="E37" s="130"/>
      <c r="F37" s="224" t="s">
        <v>410</v>
      </c>
      <c r="G37" s="41">
        <v>1.74875</v>
      </c>
      <c r="H37" s="131"/>
      <c r="I37" s="35">
        <v>3.4975000000000001</v>
      </c>
      <c r="J37" s="200">
        <f t="shared" si="4"/>
        <v>0</v>
      </c>
      <c r="K37" s="223">
        <v>0</v>
      </c>
      <c r="L37" s="212"/>
      <c r="M37" s="35">
        <v>0</v>
      </c>
      <c r="N37" s="200">
        <f t="shared" si="5"/>
        <v>0</v>
      </c>
      <c r="O37" s="35">
        <v>3.4975000000000001</v>
      </c>
      <c r="P37" s="200">
        <f t="shared" si="6"/>
        <v>0</v>
      </c>
      <c r="Q37" s="35">
        <v>2238.4</v>
      </c>
      <c r="R37" s="200">
        <f t="shared" si="7"/>
        <v>0</v>
      </c>
    </row>
    <row r="38" spans="1:18" x14ac:dyDescent="0.2">
      <c r="A38" s="25"/>
      <c r="B38" s="25" t="s">
        <v>27</v>
      </c>
      <c r="C38" s="25"/>
      <c r="D38" s="25"/>
      <c r="E38" s="25"/>
      <c r="F38" s="25"/>
      <c r="G38" s="25"/>
      <c r="H38" s="25"/>
      <c r="I38" s="25"/>
      <c r="J38" s="25"/>
      <c r="K38" s="223"/>
      <c r="L38" s="25"/>
      <c r="M38" s="25"/>
      <c r="N38" s="25"/>
      <c r="O38" s="25"/>
      <c r="P38" s="25"/>
      <c r="Q38" s="25"/>
      <c r="R38" s="25"/>
    </row>
    <row r="39" spans="1:18" x14ac:dyDescent="0.2">
      <c r="A39" s="25"/>
      <c r="B39" s="25" t="s">
        <v>458</v>
      </c>
      <c r="C39" s="25" t="s">
        <v>394</v>
      </c>
      <c r="D39" s="25">
        <v>1</v>
      </c>
      <c r="E39" s="130"/>
      <c r="F39" s="224" t="s">
        <v>42</v>
      </c>
      <c r="G39" s="41">
        <v>15</v>
      </c>
      <c r="H39" s="131"/>
      <c r="I39" s="35">
        <v>15</v>
      </c>
      <c r="J39" s="200">
        <f t="shared" si="4"/>
        <v>0</v>
      </c>
      <c r="K39" s="223">
        <v>0</v>
      </c>
      <c r="L39" s="212"/>
      <c r="M39" s="35">
        <v>0</v>
      </c>
      <c r="N39" s="200">
        <f t="shared" si="5"/>
        <v>0</v>
      </c>
      <c r="O39" s="35">
        <v>15</v>
      </c>
      <c r="P39" s="200">
        <f t="shared" si="6"/>
        <v>0</v>
      </c>
      <c r="Q39" s="35">
        <v>9600</v>
      </c>
      <c r="R39" s="200">
        <f t="shared" si="7"/>
        <v>0</v>
      </c>
    </row>
    <row r="40" spans="1:18" x14ac:dyDescent="0.2">
      <c r="A40" s="25"/>
      <c r="B40" s="25" t="s">
        <v>1</v>
      </c>
      <c r="C40" s="25"/>
      <c r="D40" s="25"/>
      <c r="E40" s="25"/>
      <c r="F40" s="25"/>
      <c r="G40" s="25"/>
      <c r="H40" s="25"/>
      <c r="I40" s="25"/>
      <c r="J40" s="25"/>
      <c r="K40" s="223"/>
      <c r="L40" s="25"/>
      <c r="M40" s="25"/>
      <c r="N40" s="25"/>
      <c r="O40" s="25"/>
      <c r="P40" s="25"/>
      <c r="Q40" s="25"/>
      <c r="R40" s="25"/>
    </row>
    <row r="41" spans="1:18" x14ac:dyDescent="0.2">
      <c r="A41" s="25"/>
      <c r="B41" s="25" t="s">
        <v>458</v>
      </c>
      <c r="C41" s="25" t="s">
        <v>368</v>
      </c>
      <c r="D41" s="25">
        <v>11.5</v>
      </c>
      <c r="E41" s="130"/>
      <c r="F41" s="224" t="s">
        <v>82</v>
      </c>
      <c r="G41" s="41">
        <v>8</v>
      </c>
      <c r="H41" s="131"/>
      <c r="I41" s="35">
        <v>92</v>
      </c>
      <c r="J41" s="200">
        <f t="shared" si="4"/>
        <v>0</v>
      </c>
      <c r="K41" s="223">
        <v>0</v>
      </c>
      <c r="L41" s="212"/>
      <c r="M41" s="35">
        <v>0</v>
      </c>
      <c r="N41" s="200">
        <f t="shared" si="5"/>
        <v>0</v>
      </c>
      <c r="O41" s="35">
        <v>92</v>
      </c>
      <c r="P41" s="200">
        <f t="shared" si="6"/>
        <v>0</v>
      </c>
      <c r="Q41" s="35">
        <v>58880</v>
      </c>
      <c r="R41" s="200">
        <f t="shared" si="7"/>
        <v>0</v>
      </c>
    </row>
    <row r="42" spans="1:18" x14ac:dyDescent="0.2">
      <c r="A42" s="25"/>
      <c r="B42" s="131"/>
      <c r="C42" s="131"/>
      <c r="D42" s="25">
        <v>0</v>
      </c>
      <c r="E42" s="130"/>
      <c r="F42" s="224"/>
      <c r="G42" s="41">
        <v>0</v>
      </c>
      <c r="H42" s="131"/>
      <c r="I42" s="35">
        <v>0</v>
      </c>
      <c r="J42" s="200">
        <f t="shared" si="4"/>
        <v>0</v>
      </c>
      <c r="K42" s="223">
        <v>0</v>
      </c>
      <c r="L42" s="212"/>
      <c r="M42" s="35">
        <v>0</v>
      </c>
      <c r="N42" s="200">
        <f t="shared" si="5"/>
        <v>0</v>
      </c>
      <c r="O42" s="35">
        <v>0</v>
      </c>
      <c r="P42" s="200">
        <f t="shared" si="6"/>
        <v>0</v>
      </c>
      <c r="Q42" s="35">
        <v>0</v>
      </c>
      <c r="R42" s="200">
        <f t="shared" si="7"/>
        <v>0</v>
      </c>
    </row>
    <row r="43" spans="1:18" x14ac:dyDescent="0.2">
      <c r="A43" s="25"/>
      <c r="B43" s="131"/>
      <c r="C43" s="131"/>
      <c r="D43" s="25">
        <v>0</v>
      </c>
      <c r="E43" s="130"/>
      <c r="F43" s="224"/>
      <c r="G43" s="41">
        <v>0</v>
      </c>
      <c r="H43" s="131"/>
      <c r="I43" s="35">
        <v>0</v>
      </c>
      <c r="J43" s="200">
        <f t="shared" si="4"/>
        <v>0</v>
      </c>
      <c r="K43" s="223">
        <v>0</v>
      </c>
      <c r="L43" s="212"/>
      <c r="M43" s="35">
        <v>0</v>
      </c>
      <c r="N43" s="200">
        <f t="shared" si="5"/>
        <v>0</v>
      </c>
      <c r="O43" s="35">
        <v>0</v>
      </c>
      <c r="P43" s="200">
        <f t="shared" si="6"/>
        <v>0</v>
      </c>
      <c r="Q43" s="35">
        <v>0</v>
      </c>
      <c r="R43" s="200">
        <f t="shared" si="7"/>
        <v>0</v>
      </c>
    </row>
    <row r="44" spans="1:18" x14ac:dyDescent="0.2">
      <c r="A44" s="25"/>
      <c r="B44" s="131"/>
      <c r="C44" s="131"/>
      <c r="D44" s="25">
        <v>0</v>
      </c>
      <c r="E44" s="130"/>
      <c r="F44" s="224"/>
      <c r="G44" s="41">
        <v>0</v>
      </c>
      <c r="H44" s="131"/>
      <c r="I44" s="35">
        <v>0</v>
      </c>
      <c r="J44" s="200">
        <f>E44*H44</f>
        <v>0</v>
      </c>
      <c r="K44" s="223">
        <v>0</v>
      </c>
      <c r="L44" s="212"/>
      <c r="M44" s="35">
        <v>0</v>
      </c>
      <c r="N44" s="200">
        <f>J44*L44</f>
        <v>0</v>
      </c>
      <c r="O44" s="35">
        <v>0</v>
      </c>
      <c r="P44" s="200">
        <f>+J44-N44</f>
        <v>0</v>
      </c>
      <c r="Q44" s="35">
        <v>0</v>
      </c>
      <c r="R44" s="200">
        <f>+J44*E$7</f>
        <v>0</v>
      </c>
    </row>
    <row r="45" spans="1:18" x14ac:dyDescent="0.2">
      <c r="A45" s="25"/>
      <c r="B45" s="25" t="s">
        <v>45</v>
      </c>
      <c r="C45" s="25"/>
      <c r="D45" s="25"/>
      <c r="E45" s="207"/>
      <c r="F45" s="21"/>
      <c r="G45" s="41"/>
      <c r="H45" s="196"/>
      <c r="I45" s="184"/>
      <c r="J45" s="182"/>
      <c r="K45" s="223"/>
      <c r="L45" s="196"/>
      <c r="M45" s="35"/>
      <c r="N45" s="182"/>
      <c r="O45" s="35"/>
      <c r="P45" s="182"/>
      <c r="Q45" s="35"/>
      <c r="R45" s="182"/>
    </row>
    <row r="46" spans="1:18" x14ac:dyDescent="0.2">
      <c r="A46" s="25"/>
      <c r="B46" s="25"/>
      <c r="C46" s="25" t="s">
        <v>146</v>
      </c>
      <c r="D46" s="34">
        <v>8</v>
      </c>
      <c r="E46" s="130"/>
      <c r="F46" s="224" t="s">
        <v>142</v>
      </c>
      <c r="G46" s="41">
        <v>6.75</v>
      </c>
      <c r="H46" s="131"/>
      <c r="I46" s="35">
        <v>54</v>
      </c>
      <c r="J46" s="200">
        <f t="shared" ref="J46:J47" si="8">E46*H46</f>
        <v>0</v>
      </c>
      <c r="K46" s="223">
        <v>0</v>
      </c>
      <c r="L46" s="212"/>
      <c r="M46" s="35">
        <v>0</v>
      </c>
      <c r="N46" s="200">
        <f t="shared" ref="N46:N47" si="9">J46*L46</f>
        <v>0</v>
      </c>
      <c r="O46" s="35">
        <v>54</v>
      </c>
      <c r="P46" s="200">
        <f t="shared" ref="P46:P47" si="10">+J46-N46</f>
        <v>0</v>
      </c>
      <c r="Q46" s="35">
        <v>34560</v>
      </c>
      <c r="R46" s="200">
        <f t="shared" ref="R46:R47" si="11">+J46*E$7</f>
        <v>0</v>
      </c>
    </row>
    <row r="47" spans="1:18" x14ac:dyDescent="0.2">
      <c r="A47" s="25"/>
      <c r="B47" s="25"/>
      <c r="C47" s="25" t="s">
        <v>136</v>
      </c>
      <c r="D47" s="34">
        <v>0.96</v>
      </c>
      <c r="E47" s="130"/>
      <c r="F47" s="224" t="s">
        <v>44</v>
      </c>
      <c r="G47" s="41">
        <v>15</v>
      </c>
      <c r="H47" s="131"/>
      <c r="I47" s="35">
        <v>14.399999999999999</v>
      </c>
      <c r="J47" s="200">
        <f t="shared" si="8"/>
        <v>0</v>
      </c>
      <c r="K47" s="223">
        <v>0</v>
      </c>
      <c r="L47" s="212"/>
      <c r="M47" s="35">
        <v>0</v>
      </c>
      <c r="N47" s="200">
        <f t="shared" si="9"/>
        <v>0</v>
      </c>
      <c r="O47" s="35">
        <v>14.399999999999999</v>
      </c>
      <c r="P47" s="200">
        <f t="shared" si="10"/>
        <v>0</v>
      </c>
      <c r="Q47" s="35">
        <v>9216</v>
      </c>
      <c r="R47" s="200">
        <f t="shared" si="11"/>
        <v>0</v>
      </c>
    </row>
    <row r="48" spans="1:18" x14ac:dyDescent="0.2">
      <c r="A48" s="25"/>
      <c r="B48" s="25" t="s">
        <v>106</v>
      </c>
      <c r="C48" s="25"/>
      <c r="D48" s="25"/>
      <c r="E48" s="104"/>
      <c r="H48" s="104"/>
      <c r="I48" s="121"/>
      <c r="J48" s="104"/>
      <c r="K48" s="223"/>
      <c r="L48" s="104"/>
      <c r="N48" s="104"/>
      <c r="P48" s="104"/>
      <c r="R48" s="104"/>
    </row>
    <row r="49" spans="1:18" x14ac:dyDescent="0.2">
      <c r="A49" s="25"/>
      <c r="B49" s="25"/>
      <c r="C49" s="25" t="s">
        <v>103</v>
      </c>
      <c r="D49" s="25">
        <v>0.26</v>
      </c>
      <c r="E49" s="130"/>
      <c r="F49" s="224" t="s">
        <v>44</v>
      </c>
      <c r="G49" s="41">
        <v>15</v>
      </c>
      <c r="H49" s="131"/>
      <c r="I49" s="35">
        <v>3.9000000000000004</v>
      </c>
      <c r="J49" s="200">
        <f>E49*H49</f>
        <v>0</v>
      </c>
      <c r="K49" s="223">
        <v>0</v>
      </c>
      <c r="L49" s="212"/>
      <c r="M49" s="35">
        <v>0</v>
      </c>
      <c r="N49" s="200">
        <f>J49*L49</f>
        <v>0</v>
      </c>
      <c r="O49" s="35">
        <v>3.9000000000000004</v>
      </c>
      <c r="P49" s="200">
        <f>+J49-N49</f>
        <v>0</v>
      </c>
      <c r="Q49" s="35">
        <v>2496</v>
      </c>
      <c r="R49" s="200">
        <f>+J49*E$7</f>
        <v>0</v>
      </c>
    </row>
    <row r="50" spans="1:18" x14ac:dyDescent="0.2">
      <c r="A50" s="25"/>
      <c r="B50" s="25"/>
      <c r="C50" s="25" t="s">
        <v>105</v>
      </c>
      <c r="D50" s="25">
        <v>0.31</v>
      </c>
      <c r="E50" s="130"/>
      <c r="F50" s="224" t="s">
        <v>44</v>
      </c>
      <c r="G50" s="41">
        <v>15</v>
      </c>
      <c r="H50" s="131"/>
      <c r="I50" s="35">
        <v>4.6500000000000004</v>
      </c>
      <c r="J50" s="200">
        <f>E50*H50</f>
        <v>0</v>
      </c>
      <c r="K50" s="223">
        <v>0</v>
      </c>
      <c r="L50" s="212"/>
      <c r="M50" s="35">
        <v>0</v>
      </c>
      <c r="N50" s="200">
        <f>J50*L50</f>
        <v>0</v>
      </c>
      <c r="O50" s="35">
        <v>4.6500000000000004</v>
      </c>
      <c r="P50" s="200">
        <f>+J50-N50</f>
        <v>0</v>
      </c>
      <c r="Q50" s="35">
        <v>2976</v>
      </c>
      <c r="R50" s="200">
        <f>+J50*E$7</f>
        <v>0</v>
      </c>
    </row>
    <row r="51" spans="1:18" x14ac:dyDescent="0.2">
      <c r="A51" s="25"/>
      <c r="B51" s="25"/>
      <c r="C51" s="25"/>
      <c r="D51" s="25"/>
      <c r="E51" s="207"/>
      <c r="F51" s="21"/>
      <c r="G51" s="41"/>
      <c r="H51" s="196"/>
      <c r="I51" s="35"/>
      <c r="J51" s="182"/>
      <c r="K51" s="223"/>
      <c r="L51" s="196"/>
      <c r="M51" s="35"/>
      <c r="N51" s="182"/>
      <c r="O51" s="35"/>
      <c r="P51" s="182"/>
      <c r="Q51" s="35"/>
      <c r="R51" s="182"/>
    </row>
    <row r="52" spans="1:18" x14ac:dyDescent="0.2">
      <c r="A52" s="25"/>
      <c r="B52" s="25" t="s">
        <v>51</v>
      </c>
      <c r="C52" s="25"/>
      <c r="D52" s="25"/>
      <c r="E52" s="207"/>
      <c r="F52" s="21"/>
      <c r="G52" s="41"/>
      <c r="H52" s="196"/>
      <c r="I52" s="184"/>
      <c r="J52" s="182"/>
      <c r="K52" s="223"/>
      <c r="L52" s="196"/>
      <c r="M52" s="35"/>
      <c r="N52" s="182"/>
      <c r="O52" s="35"/>
      <c r="P52" s="182"/>
      <c r="Q52" s="35"/>
      <c r="R52" s="182"/>
    </row>
    <row r="53" spans="1:18" x14ac:dyDescent="0.2">
      <c r="A53" s="25"/>
      <c r="B53" s="25"/>
      <c r="C53" s="25" t="s">
        <v>102</v>
      </c>
      <c r="D53" s="25">
        <v>1</v>
      </c>
      <c r="E53" s="130"/>
      <c r="F53" s="224" t="s">
        <v>42</v>
      </c>
      <c r="G53" s="41">
        <v>0</v>
      </c>
      <c r="H53" s="131"/>
      <c r="I53" s="35">
        <v>0</v>
      </c>
      <c r="J53" s="200">
        <f>E53*H53</f>
        <v>0</v>
      </c>
      <c r="K53" s="223">
        <v>0</v>
      </c>
      <c r="L53" s="212"/>
      <c r="M53" s="35">
        <v>0</v>
      </c>
      <c r="N53" s="200">
        <f>J53*L53</f>
        <v>0</v>
      </c>
      <c r="O53" s="35">
        <v>0</v>
      </c>
      <c r="P53" s="200">
        <f>+J53-N53</f>
        <v>0</v>
      </c>
      <c r="Q53" s="35">
        <v>0</v>
      </c>
      <c r="R53" s="200">
        <f>+J53*E$7</f>
        <v>0</v>
      </c>
    </row>
    <row r="54" spans="1:18" x14ac:dyDescent="0.2">
      <c r="A54" s="25"/>
      <c r="B54" s="25"/>
      <c r="C54" s="25" t="s">
        <v>103</v>
      </c>
      <c r="D54" s="25">
        <v>3.14</v>
      </c>
      <c r="E54" s="130"/>
      <c r="F54" s="224" t="s">
        <v>79</v>
      </c>
      <c r="G54" s="41">
        <v>3.0190000000000001</v>
      </c>
      <c r="H54" s="131"/>
      <c r="I54" s="35">
        <v>9.4796600000000009</v>
      </c>
      <c r="J54" s="200">
        <f>E54*H54</f>
        <v>0</v>
      </c>
      <c r="K54" s="223">
        <v>0</v>
      </c>
      <c r="L54" s="212"/>
      <c r="M54" s="35">
        <v>0</v>
      </c>
      <c r="N54" s="200">
        <f>J54*L54</f>
        <v>0</v>
      </c>
      <c r="O54" s="35">
        <v>9.4796600000000009</v>
      </c>
      <c r="P54" s="200">
        <f>+J54-N54</f>
        <v>0</v>
      </c>
      <c r="Q54" s="35">
        <v>6066.9824000000008</v>
      </c>
      <c r="R54" s="200">
        <f>+J54*E$7</f>
        <v>0</v>
      </c>
    </row>
    <row r="55" spans="1:18" x14ac:dyDescent="0.2">
      <c r="A55" s="25"/>
      <c r="B55" s="25"/>
      <c r="C55" s="25"/>
      <c r="D55" s="25"/>
      <c r="E55" s="207"/>
      <c r="F55" s="21"/>
      <c r="G55" s="41"/>
      <c r="H55" s="196"/>
      <c r="I55" s="35"/>
      <c r="J55" s="182"/>
      <c r="K55" s="223"/>
      <c r="L55" s="196"/>
      <c r="M55" s="35"/>
      <c r="N55" s="182"/>
      <c r="O55" s="35"/>
      <c r="P55" s="182"/>
      <c r="Q55" s="35"/>
      <c r="R55" s="182"/>
    </row>
    <row r="56" spans="1:18" x14ac:dyDescent="0.2">
      <c r="A56" s="25"/>
      <c r="B56" s="25" t="s">
        <v>29</v>
      </c>
      <c r="C56" s="25"/>
      <c r="D56" s="25"/>
      <c r="E56" s="207"/>
      <c r="F56" s="21"/>
      <c r="G56" s="41"/>
      <c r="H56" s="196"/>
      <c r="I56" s="184"/>
      <c r="J56" s="182"/>
      <c r="K56" s="223"/>
      <c r="L56" s="196"/>
      <c r="M56" s="35"/>
      <c r="N56" s="182"/>
      <c r="O56" s="35"/>
      <c r="P56" s="182"/>
      <c r="Q56" s="35"/>
      <c r="R56" s="182"/>
    </row>
    <row r="57" spans="1:18" x14ac:dyDescent="0.2">
      <c r="A57" s="25"/>
      <c r="B57" s="25"/>
      <c r="C57" s="25" t="s">
        <v>102</v>
      </c>
      <c r="D57" s="25">
        <v>1</v>
      </c>
      <c r="E57" s="130"/>
      <c r="F57" s="224" t="s">
        <v>42</v>
      </c>
      <c r="G57" s="41">
        <v>1.0546875</v>
      </c>
      <c r="H57" s="131"/>
      <c r="I57" s="35">
        <v>1.0546875</v>
      </c>
      <c r="J57" s="200">
        <f>E57*H57</f>
        <v>0</v>
      </c>
      <c r="K57" s="223">
        <v>0</v>
      </c>
      <c r="L57" s="212"/>
      <c r="M57" s="35">
        <v>0</v>
      </c>
      <c r="N57" s="200">
        <f>J57*L57</f>
        <v>0</v>
      </c>
      <c r="O57" s="35">
        <v>1.0546875</v>
      </c>
      <c r="P57" s="200">
        <f>+J57-N57</f>
        <v>0</v>
      </c>
      <c r="Q57" s="35">
        <v>675</v>
      </c>
      <c r="R57" s="200">
        <f>+J57*E$7</f>
        <v>0</v>
      </c>
    </row>
    <row r="58" spans="1:18" x14ac:dyDescent="0.2">
      <c r="A58" s="25"/>
      <c r="B58" s="25"/>
      <c r="C58" s="25" t="s">
        <v>103</v>
      </c>
      <c r="D58" s="25">
        <v>0</v>
      </c>
      <c r="E58" s="130"/>
      <c r="F58" s="224" t="s">
        <v>79</v>
      </c>
      <c r="G58" s="41">
        <v>3.09</v>
      </c>
      <c r="H58" s="131"/>
      <c r="I58" s="35">
        <v>0</v>
      </c>
      <c r="J58" s="200">
        <f>E58*H58</f>
        <v>0</v>
      </c>
      <c r="K58" s="223">
        <v>0</v>
      </c>
      <c r="L58" s="212"/>
      <c r="M58" s="35">
        <v>0</v>
      </c>
      <c r="N58" s="200">
        <f>J58*L58</f>
        <v>0</v>
      </c>
      <c r="O58" s="35">
        <v>0</v>
      </c>
      <c r="P58" s="200">
        <f>+J58-N58</f>
        <v>0</v>
      </c>
      <c r="Q58" s="35">
        <v>0</v>
      </c>
      <c r="R58" s="200">
        <f>+J58*E$7</f>
        <v>0</v>
      </c>
    </row>
    <row r="59" spans="1:18" x14ac:dyDescent="0.2">
      <c r="A59" s="25"/>
      <c r="B59" s="25"/>
      <c r="C59" s="25"/>
      <c r="D59" s="25"/>
      <c r="E59" s="207"/>
      <c r="F59" s="21"/>
      <c r="G59" s="41"/>
      <c r="H59" s="196"/>
      <c r="I59" s="35"/>
      <c r="J59" s="182"/>
      <c r="K59" s="223"/>
      <c r="L59" s="196"/>
      <c r="M59" s="35"/>
      <c r="N59" s="182"/>
      <c r="O59" s="35"/>
      <c r="P59" s="182"/>
      <c r="Q59" s="35"/>
      <c r="R59" s="182"/>
    </row>
    <row r="60" spans="1:18" x14ac:dyDescent="0.2">
      <c r="A60" s="25"/>
      <c r="B60" s="25" t="s">
        <v>47</v>
      </c>
      <c r="C60" s="25"/>
      <c r="D60" s="25"/>
      <c r="E60" s="207"/>
      <c r="F60" s="21"/>
      <c r="G60" s="41"/>
      <c r="H60" s="197"/>
      <c r="I60" s="184"/>
      <c r="J60" s="182"/>
      <c r="K60" s="223"/>
      <c r="L60" s="197"/>
      <c r="M60" s="35"/>
      <c r="N60" s="182"/>
      <c r="O60" s="35"/>
      <c r="P60" s="182"/>
      <c r="Q60" s="35"/>
      <c r="R60" s="182"/>
    </row>
    <row r="61" spans="1:18" x14ac:dyDescent="0.2">
      <c r="A61" s="25"/>
      <c r="B61" s="25"/>
      <c r="C61" s="25" t="s">
        <v>102</v>
      </c>
      <c r="D61" s="25">
        <v>1</v>
      </c>
      <c r="E61" s="130"/>
      <c r="F61" s="224" t="s">
        <v>42</v>
      </c>
      <c r="G61" s="41">
        <v>0.3515625</v>
      </c>
      <c r="H61" s="131"/>
      <c r="I61" s="35">
        <v>0.3515625</v>
      </c>
      <c r="J61" s="200">
        <f t="shared" ref="J61:J66" si="12">E61*H61</f>
        <v>0</v>
      </c>
      <c r="K61" s="223">
        <v>0</v>
      </c>
      <c r="L61" s="212"/>
      <c r="M61" s="35">
        <v>0</v>
      </c>
      <c r="N61" s="200">
        <f t="shared" ref="N61:N66" si="13">J61*L61</f>
        <v>0</v>
      </c>
      <c r="O61" s="35">
        <v>0.3515625</v>
      </c>
      <c r="P61" s="200">
        <f t="shared" ref="P61:P66" si="14">+J61-N61</f>
        <v>0</v>
      </c>
      <c r="Q61" s="35">
        <v>225</v>
      </c>
      <c r="R61" s="200">
        <f t="shared" ref="R61:R66" si="15">+J61*E$7</f>
        <v>0</v>
      </c>
    </row>
    <row r="62" spans="1:18" x14ac:dyDescent="0.2">
      <c r="A62" s="25"/>
      <c r="B62" s="25"/>
      <c r="C62" s="25" t="s">
        <v>46</v>
      </c>
      <c r="D62" s="25">
        <v>1</v>
      </c>
      <c r="E62" s="130"/>
      <c r="F62" s="224" t="s">
        <v>42</v>
      </c>
      <c r="G62" s="41">
        <v>8.8903999999999996</v>
      </c>
      <c r="H62" s="131"/>
      <c r="I62" s="35">
        <v>8.8903999999999996</v>
      </c>
      <c r="J62" s="200">
        <f t="shared" si="12"/>
        <v>0</v>
      </c>
      <c r="K62" s="223">
        <v>0</v>
      </c>
      <c r="L62" s="212"/>
      <c r="M62" s="35">
        <v>0</v>
      </c>
      <c r="N62" s="200">
        <f t="shared" si="13"/>
        <v>0</v>
      </c>
      <c r="O62" s="35">
        <v>8.8903999999999996</v>
      </c>
      <c r="P62" s="200">
        <f t="shared" si="14"/>
        <v>0</v>
      </c>
      <c r="Q62" s="35">
        <v>5689.8559999999998</v>
      </c>
      <c r="R62" s="200">
        <f t="shared" si="15"/>
        <v>0</v>
      </c>
    </row>
    <row r="63" spans="1:18" x14ac:dyDescent="0.2">
      <c r="A63" s="25"/>
      <c r="B63" s="25"/>
      <c r="C63" s="25" t="s">
        <v>103</v>
      </c>
      <c r="D63" s="25">
        <v>1</v>
      </c>
      <c r="E63" s="130"/>
      <c r="F63" s="224" t="s">
        <v>42</v>
      </c>
      <c r="G63" s="41">
        <v>8.5749458751673977</v>
      </c>
      <c r="H63" s="131"/>
      <c r="I63" s="35">
        <v>8.5749458751673977</v>
      </c>
      <c r="J63" s="200">
        <f t="shared" si="12"/>
        <v>0</v>
      </c>
      <c r="K63" s="223">
        <v>0</v>
      </c>
      <c r="L63" s="212"/>
      <c r="M63" s="35">
        <v>0</v>
      </c>
      <c r="N63" s="200">
        <f t="shared" si="13"/>
        <v>0</v>
      </c>
      <c r="O63" s="35">
        <v>8.5749458751673977</v>
      </c>
      <c r="P63" s="200">
        <f t="shared" si="14"/>
        <v>0</v>
      </c>
      <c r="Q63" s="35">
        <v>5487.965360107135</v>
      </c>
      <c r="R63" s="200">
        <f t="shared" si="15"/>
        <v>0</v>
      </c>
    </row>
    <row r="64" spans="1:18" x14ac:dyDescent="0.2">
      <c r="A64" s="25"/>
      <c r="B64" s="25"/>
      <c r="C64" s="25" t="s">
        <v>5</v>
      </c>
      <c r="D64" s="25">
        <v>1</v>
      </c>
      <c r="E64" s="130"/>
      <c r="F64" s="224" t="s">
        <v>42</v>
      </c>
      <c r="G64" s="41">
        <v>6.8874207010582014</v>
      </c>
      <c r="H64" s="131"/>
      <c r="I64" s="35">
        <v>6.8874207010582014</v>
      </c>
      <c r="J64" s="200">
        <f t="shared" si="12"/>
        <v>0</v>
      </c>
      <c r="K64" s="223">
        <v>0</v>
      </c>
      <c r="L64" s="212"/>
      <c r="M64" s="35">
        <v>0</v>
      </c>
      <c r="N64" s="200">
        <f t="shared" si="13"/>
        <v>0</v>
      </c>
      <c r="O64" s="35">
        <v>6.8874207010582014</v>
      </c>
      <c r="P64" s="200">
        <f t="shared" si="14"/>
        <v>0</v>
      </c>
      <c r="Q64" s="35">
        <v>4407.9492486772488</v>
      </c>
      <c r="R64" s="200">
        <f t="shared" si="15"/>
        <v>0</v>
      </c>
    </row>
    <row r="65" spans="1:18" x14ac:dyDescent="0.2">
      <c r="A65" s="25"/>
      <c r="B65" s="131"/>
      <c r="C65" s="131"/>
      <c r="D65" s="25"/>
      <c r="E65" s="130"/>
      <c r="F65" s="224"/>
      <c r="G65" s="41"/>
      <c r="H65" s="131"/>
      <c r="I65" s="35">
        <v>0</v>
      </c>
      <c r="J65" s="200">
        <f t="shared" si="12"/>
        <v>0</v>
      </c>
      <c r="K65" s="223">
        <v>0</v>
      </c>
      <c r="L65" s="212"/>
      <c r="M65" s="35">
        <v>0</v>
      </c>
      <c r="N65" s="200">
        <f t="shared" si="13"/>
        <v>0</v>
      </c>
      <c r="O65" s="35">
        <v>0</v>
      </c>
      <c r="P65" s="200">
        <f t="shared" si="14"/>
        <v>0</v>
      </c>
      <c r="Q65" s="35">
        <v>0</v>
      </c>
      <c r="R65" s="200">
        <f t="shared" si="15"/>
        <v>0</v>
      </c>
    </row>
    <row r="66" spans="1:18" x14ac:dyDescent="0.2">
      <c r="A66" s="25"/>
      <c r="B66" s="131"/>
      <c r="C66" s="131"/>
      <c r="D66" s="25"/>
      <c r="E66" s="130"/>
      <c r="F66" s="224"/>
      <c r="G66" s="41"/>
      <c r="H66" s="131"/>
      <c r="I66" s="35">
        <v>0</v>
      </c>
      <c r="J66" s="200">
        <f t="shared" si="12"/>
        <v>0</v>
      </c>
      <c r="K66" s="223">
        <v>0</v>
      </c>
      <c r="L66" s="212"/>
      <c r="M66" s="35">
        <v>0</v>
      </c>
      <c r="N66" s="200">
        <f t="shared" si="13"/>
        <v>0</v>
      </c>
      <c r="O66" s="35">
        <v>0</v>
      </c>
      <c r="P66" s="200">
        <f t="shared" si="14"/>
        <v>0</v>
      </c>
      <c r="Q66" s="35">
        <v>0</v>
      </c>
      <c r="R66" s="200">
        <f t="shared" si="15"/>
        <v>0</v>
      </c>
    </row>
    <row r="67" spans="1:18" ht="13.5" thickBot="1" x14ac:dyDescent="0.25">
      <c r="A67" s="25"/>
      <c r="B67" s="25" t="s">
        <v>32</v>
      </c>
      <c r="C67" s="25"/>
      <c r="D67" s="25"/>
      <c r="E67" s="195"/>
      <c r="F67" s="21"/>
      <c r="G67" s="39">
        <v>0.09</v>
      </c>
      <c r="H67" s="213"/>
      <c r="I67" s="42">
        <v>23.70912835616074</v>
      </c>
      <c r="J67" s="200">
        <f>+SUM(J18:J66)/2*H67</f>
        <v>0</v>
      </c>
      <c r="K67" s="86"/>
      <c r="L67" s="135"/>
      <c r="M67" s="42">
        <v>0</v>
      </c>
      <c r="N67" s="200">
        <f>+SUM(N18:N66)/2*L67</f>
        <v>0</v>
      </c>
      <c r="O67" s="42">
        <v>23.70912835616074</v>
      </c>
      <c r="P67" s="200">
        <f>+SUM(P18:P66)/2*L67</f>
        <v>0</v>
      </c>
      <c r="Q67" s="42">
        <v>15173.842147942873</v>
      </c>
      <c r="R67" s="182">
        <f>+J67*E$7</f>
        <v>0</v>
      </c>
    </row>
    <row r="68" spans="1:18" ht="13.5" thickBot="1" x14ac:dyDescent="0.25">
      <c r="A68" s="25" t="s">
        <v>33</v>
      </c>
      <c r="B68" s="25"/>
      <c r="C68" s="25"/>
      <c r="D68" s="25"/>
      <c r="E68" s="198"/>
      <c r="F68" s="25"/>
      <c r="G68" s="25"/>
      <c r="H68" s="195"/>
      <c r="I68" s="87">
        <v>755.76517993238622</v>
      </c>
      <c r="J68" s="202">
        <f>SUM(J19:J67)</f>
        <v>0</v>
      </c>
      <c r="K68" s="35"/>
      <c r="L68" s="193"/>
      <c r="M68" s="87">
        <v>0</v>
      </c>
      <c r="N68" s="202">
        <f>SUM(N19:N67)</f>
        <v>0</v>
      </c>
      <c r="O68" s="87">
        <v>755.76517993238622</v>
      </c>
      <c r="P68" s="202">
        <f>SUM(P19:P67)</f>
        <v>0</v>
      </c>
      <c r="Q68" s="87">
        <v>483689.71515672724</v>
      </c>
      <c r="R68" s="202">
        <f>SUM(R19:R67)</f>
        <v>0</v>
      </c>
    </row>
    <row r="69" spans="1:18" ht="13.5" thickTop="1" x14ac:dyDescent="0.2">
      <c r="A69" s="25" t="s">
        <v>34</v>
      </c>
      <c r="B69" s="25"/>
      <c r="C69" s="25"/>
      <c r="D69" s="25"/>
      <c r="E69" s="198"/>
      <c r="F69" s="25"/>
      <c r="G69" s="25"/>
      <c r="H69" s="195"/>
      <c r="I69" s="35">
        <v>206.6578200676139</v>
      </c>
      <c r="J69" s="200">
        <f>+J14-J68</f>
        <v>0</v>
      </c>
      <c r="K69" s="35"/>
      <c r="L69" s="193"/>
      <c r="M69" s="35">
        <v>0</v>
      </c>
      <c r="N69" s="200">
        <f>+N14-N68</f>
        <v>0</v>
      </c>
      <c r="O69" s="35">
        <v>206.6578200676139</v>
      </c>
      <c r="P69" s="200">
        <f>+P14-P68</f>
        <v>0</v>
      </c>
      <c r="Q69" s="35">
        <v>132261.00484327285</v>
      </c>
      <c r="R69" s="200">
        <f>+R14-R68</f>
        <v>0</v>
      </c>
    </row>
    <row r="70" spans="1:18" x14ac:dyDescent="0.2">
      <c r="A70" s="25"/>
      <c r="B70" s="25" t="s">
        <v>35</v>
      </c>
      <c r="C70" s="25"/>
      <c r="D70" s="25"/>
      <c r="E70" s="208"/>
      <c r="F70" s="17"/>
      <c r="G70" s="40">
        <v>0.63604560600369209</v>
      </c>
      <c r="H70" s="208" t="str">
        <f>IF(E10=0,"n/a",(YVarExp-(YTotExp+YTotRet-J10))/E10)</f>
        <v>n/a</v>
      </c>
      <c r="I70" s="25" t="s">
        <v>82</v>
      </c>
      <c r="J70" s="182"/>
      <c r="K70" s="25"/>
      <c r="L70" s="195"/>
      <c r="M70" s="25"/>
      <c r="N70" s="182"/>
      <c r="O70" s="25"/>
      <c r="P70" s="182"/>
      <c r="Q70" s="25"/>
      <c r="R70" s="182"/>
    </row>
    <row r="71" spans="1:18" x14ac:dyDescent="0.2">
      <c r="A71" s="25"/>
      <c r="B71" s="25"/>
      <c r="C71" s="25"/>
      <c r="D71" s="25"/>
      <c r="E71" s="176"/>
      <c r="F71" s="25"/>
      <c r="G71" s="25"/>
      <c r="H71" s="209"/>
      <c r="I71" s="25"/>
      <c r="J71" s="182"/>
      <c r="K71" s="25"/>
      <c r="L71" s="195"/>
      <c r="M71" s="25"/>
      <c r="N71" s="182"/>
      <c r="O71" s="25"/>
      <c r="P71" s="182"/>
      <c r="Q71" s="22" t="s">
        <v>19</v>
      </c>
      <c r="R71" s="182" t="s">
        <v>19</v>
      </c>
    </row>
    <row r="72" spans="1:18" x14ac:dyDescent="0.2">
      <c r="A72" s="23" t="s">
        <v>36</v>
      </c>
      <c r="B72" s="23"/>
      <c r="C72" s="23"/>
      <c r="D72" s="24" t="s">
        <v>2</v>
      </c>
      <c r="E72" s="194" t="s">
        <v>2</v>
      </c>
      <c r="F72" s="24" t="s">
        <v>21</v>
      </c>
      <c r="G72" s="24" t="s">
        <v>22</v>
      </c>
      <c r="H72" s="194" t="s">
        <v>22</v>
      </c>
      <c r="I72" s="24" t="s">
        <v>12</v>
      </c>
      <c r="J72" s="194" t="s">
        <v>12</v>
      </c>
      <c r="K72" s="24" t="s">
        <v>11</v>
      </c>
      <c r="L72" s="194" t="s">
        <v>11</v>
      </c>
      <c r="M72" s="24" t="s">
        <v>10</v>
      </c>
      <c r="N72" s="194" t="s">
        <v>10</v>
      </c>
      <c r="O72" s="24" t="s">
        <v>9</v>
      </c>
      <c r="P72" s="194" t="s">
        <v>9</v>
      </c>
      <c r="Q72" s="24" t="s">
        <v>12</v>
      </c>
      <c r="R72" s="206" t="s">
        <v>12</v>
      </c>
    </row>
    <row r="73" spans="1:18" x14ac:dyDescent="0.2">
      <c r="A73" s="25"/>
      <c r="B73" s="25" t="s">
        <v>104</v>
      </c>
      <c r="C73" s="25"/>
      <c r="D73" s="25"/>
      <c r="E73" s="176"/>
      <c r="F73" s="25"/>
      <c r="G73" s="25"/>
      <c r="H73" s="209"/>
      <c r="I73" s="184"/>
      <c r="J73" s="182"/>
      <c r="K73" s="223"/>
      <c r="L73" s="195"/>
      <c r="M73" s="25"/>
      <c r="N73" s="182"/>
      <c r="O73" s="25"/>
      <c r="P73" s="182"/>
      <c r="Q73" s="25"/>
      <c r="R73" s="182"/>
    </row>
    <row r="74" spans="1:18" x14ac:dyDescent="0.2">
      <c r="A74" s="25"/>
      <c r="B74" s="25"/>
      <c r="C74" s="25" t="s">
        <v>102</v>
      </c>
      <c r="D74" s="25">
        <v>1</v>
      </c>
      <c r="E74" s="130"/>
      <c r="F74" s="224" t="s">
        <v>42</v>
      </c>
      <c r="G74" s="41">
        <v>0.48808593750000001</v>
      </c>
      <c r="H74" s="131"/>
      <c r="I74" s="35">
        <v>0.48808593750000001</v>
      </c>
      <c r="J74" s="200">
        <f t="shared" ref="J74:J77" si="16">E74*H74</f>
        <v>0</v>
      </c>
      <c r="K74" s="223">
        <v>0</v>
      </c>
      <c r="L74" s="212"/>
      <c r="M74" s="35">
        <v>0</v>
      </c>
      <c r="N74" s="200">
        <f>J74*L74</f>
        <v>0</v>
      </c>
      <c r="O74" s="35">
        <v>0.48808593750000001</v>
      </c>
      <c r="P74" s="200">
        <f t="shared" ref="P74:P77" si="17">+J74-N74</f>
        <v>0</v>
      </c>
      <c r="Q74" s="35">
        <v>312.375</v>
      </c>
      <c r="R74" s="200">
        <f t="shared" ref="R74:R77" si="18">+J74*E$7</f>
        <v>0</v>
      </c>
    </row>
    <row r="75" spans="1:18" x14ac:dyDescent="0.2">
      <c r="A75" s="25"/>
      <c r="B75" s="25"/>
      <c r="C75" s="25" t="s">
        <v>46</v>
      </c>
      <c r="D75" s="25">
        <v>1</v>
      </c>
      <c r="E75" s="130"/>
      <c r="F75" s="224" t="s">
        <v>42</v>
      </c>
      <c r="G75" s="41">
        <v>24.375</v>
      </c>
      <c r="H75" s="131"/>
      <c r="I75" s="35">
        <v>24.375</v>
      </c>
      <c r="J75" s="200">
        <f t="shared" si="16"/>
        <v>0</v>
      </c>
      <c r="K75" s="223">
        <v>0</v>
      </c>
      <c r="L75" s="212"/>
      <c r="M75" s="35">
        <v>0</v>
      </c>
      <c r="N75" s="200">
        <f>J75*L75</f>
        <v>0</v>
      </c>
      <c r="O75" s="35">
        <v>24.375</v>
      </c>
      <c r="P75" s="200">
        <f t="shared" si="17"/>
        <v>0</v>
      </c>
      <c r="Q75" s="35">
        <v>15600</v>
      </c>
      <c r="R75" s="200">
        <f t="shared" si="18"/>
        <v>0</v>
      </c>
    </row>
    <row r="76" spans="1:18" x14ac:dyDescent="0.2">
      <c r="A76" s="25"/>
      <c r="B76" s="25"/>
      <c r="C76" s="25" t="s">
        <v>103</v>
      </c>
      <c r="D76" s="25">
        <v>1</v>
      </c>
      <c r="E76" s="130"/>
      <c r="F76" s="224" t="s">
        <v>42</v>
      </c>
      <c r="G76" s="41">
        <v>13.330817044026498</v>
      </c>
      <c r="H76" s="131"/>
      <c r="I76" s="35">
        <v>13.330817044026498</v>
      </c>
      <c r="J76" s="200">
        <f t="shared" si="16"/>
        <v>0</v>
      </c>
      <c r="K76" s="223">
        <v>0</v>
      </c>
      <c r="L76" s="212"/>
      <c r="M76" s="35">
        <v>0</v>
      </c>
      <c r="N76" s="200">
        <f>J76*L76</f>
        <v>0</v>
      </c>
      <c r="O76" s="35">
        <v>13.330817044026498</v>
      </c>
      <c r="P76" s="200">
        <f t="shared" si="17"/>
        <v>0</v>
      </c>
      <c r="Q76" s="35">
        <v>8531.7229081769583</v>
      </c>
      <c r="R76" s="200">
        <f t="shared" si="18"/>
        <v>0</v>
      </c>
    </row>
    <row r="77" spans="1:18" x14ac:dyDescent="0.2">
      <c r="A77" s="25"/>
      <c r="B77" s="25"/>
      <c r="C77" s="25" t="s">
        <v>5</v>
      </c>
      <c r="D77" s="25">
        <v>1</v>
      </c>
      <c r="E77" s="130"/>
      <c r="F77" s="224" t="s">
        <v>42</v>
      </c>
      <c r="G77" s="41">
        <v>9.4818916666666659</v>
      </c>
      <c r="H77" s="131"/>
      <c r="I77" s="35">
        <v>9.4818916666666659</v>
      </c>
      <c r="J77" s="200">
        <f t="shared" si="16"/>
        <v>0</v>
      </c>
      <c r="K77" s="223">
        <v>0</v>
      </c>
      <c r="L77" s="212"/>
      <c r="M77" s="35">
        <v>0</v>
      </c>
      <c r="N77" s="200">
        <f>J77*L77</f>
        <v>0</v>
      </c>
      <c r="O77" s="35">
        <v>9.4818916666666659</v>
      </c>
      <c r="P77" s="200">
        <f t="shared" si="17"/>
        <v>0</v>
      </c>
      <c r="Q77" s="35">
        <v>6068.4106666666667</v>
      </c>
      <c r="R77" s="200">
        <f t="shared" si="18"/>
        <v>0</v>
      </c>
    </row>
    <row r="78" spans="1:18" x14ac:dyDescent="0.2">
      <c r="A78" s="25"/>
      <c r="B78" s="25" t="s">
        <v>88</v>
      </c>
      <c r="C78" s="25"/>
      <c r="D78" s="25"/>
      <c r="E78" s="195"/>
      <c r="F78" s="21"/>
      <c r="G78" s="41"/>
      <c r="H78" s="195"/>
      <c r="I78" s="184"/>
      <c r="J78" s="182"/>
      <c r="K78" s="223"/>
      <c r="L78" s="195"/>
      <c r="M78" s="35"/>
      <c r="N78" s="182"/>
      <c r="O78" s="35"/>
      <c r="P78" s="182"/>
      <c r="Q78" s="35"/>
      <c r="R78" s="182"/>
    </row>
    <row r="79" spans="1:18" x14ac:dyDescent="0.2">
      <c r="A79" s="25"/>
      <c r="B79" s="25"/>
      <c r="C79" s="25" t="s">
        <v>102</v>
      </c>
      <c r="D79" s="41">
        <v>3.4189453125</v>
      </c>
      <c r="E79" s="130"/>
      <c r="F79" s="224" t="s">
        <v>99</v>
      </c>
      <c r="G79" s="39">
        <v>0.08</v>
      </c>
      <c r="H79" s="213"/>
      <c r="I79" s="35">
        <v>0.27351562499999998</v>
      </c>
      <c r="J79" s="200">
        <f t="shared" ref="J79:J89" si="19">E79*H79</f>
        <v>0</v>
      </c>
      <c r="K79" s="223">
        <v>0</v>
      </c>
      <c r="L79" s="212"/>
      <c r="M79" s="35">
        <v>0</v>
      </c>
      <c r="N79" s="200">
        <f>J79*L79</f>
        <v>0</v>
      </c>
      <c r="O79" s="35">
        <v>0.27351562499999998</v>
      </c>
      <c r="P79" s="200">
        <f t="shared" ref="P79:P82" si="20">+J79-N79</f>
        <v>0</v>
      </c>
      <c r="Q79" s="35">
        <v>175.04999999999998</v>
      </c>
      <c r="R79" s="200">
        <f t="shared" ref="R79:R82" si="21">+J79*E$7</f>
        <v>0</v>
      </c>
    </row>
    <row r="80" spans="1:18" x14ac:dyDescent="0.2">
      <c r="A80" s="25"/>
      <c r="B80" s="25"/>
      <c r="C80" s="25" t="s">
        <v>46</v>
      </c>
      <c r="D80" s="41">
        <v>710.9375</v>
      </c>
      <c r="E80" s="130"/>
      <c r="F80" s="224" t="s">
        <v>99</v>
      </c>
      <c r="G80" s="39">
        <v>0.08</v>
      </c>
      <c r="H80" s="213"/>
      <c r="I80" s="35">
        <v>56.875</v>
      </c>
      <c r="J80" s="200">
        <f t="shared" si="19"/>
        <v>0</v>
      </c>
      <c r="K80" s="223">
        <v>0</v>
      </c>
      <c r="L80" s="212"/>
      <c r="M80" s="35">
        <v>0</v>
      </c>
      <c r="N80" s="200">
        <f>J80*L80</f>
        <v>0</v>
      </c>
      <c r="O80" s="35">
        <v>56.875</v>
      </c>
      <c r="P80" s="200">
        <f t="shared" si="20"/>
        <v>0</v>
      </c>
      <c r="Q80" s="35">
        <v>36400</v>
      </c>
      <c r="R80" s="200">
        <f t="shared" si="21"/>
        <v>0</v>
      </c>
    </row>
    <row r="81" spans="1:18" x14ac:dyDescent="0.2">
      <c r="A81" s="25"/>
      <c r="B81" s="25"/>
      <c r="C81" s="25" t="s">
        <v>103</v>
      </c>
      <c r="D81" s="41">
        <v>101.77443037115216</v>
      </c>
      <c r="E81" s="130"/>
      <c r="F81" s="224" t="s">
        <v>99</v>
      </c>
      <c r="G81" s="39">
        <v>0.08</v>
      </c>
      <c r="H81" s="213"/>
      <c r="I81" s="35">
        <v>8.1419544296921735</v>
      </c>
      <c r="J81" s="200">
        <f t="shared" si="19"/>
        <v>0</v>
      </c>
      <c r="K81" s="223">
        <v>0</v>
      </c>
      <c r="L81" s="212"/>
      <c r="M81" s="35">
        <v>0</v>
      </c>
      <c r="N81" s="200">
        <f>J81*L81</f>
        <v>0</v>
      </c>
      <c r="O81" s="35">
        <v>8.1419544296921735</v>
      </c>
      <c r="P81" s="200">
        <f t="shared" si="20"/>
        <v>0</v>
      </c>
      <c r="Q81" s="35">
        <v>5210.8508350029915</v>
      </c>
      <c r="R81" s="200">
        <f t="shared" si="21"/>
        <v>0</v>
      </c>
    </row>
    <row r="82" spans="1:18" x14ac:dyDescent="0.2">
      <c r="A82" s="25"/>
      <c r="B82" s="25"/>
      <c r="C82" s="25" t="s">
        <v>5</v>
      </c>
      <c r="D82" s="41">
        <v>40.561425462962973</v>
      </c>
      <c r="E82" s="130"/>
      <c r="F82" s="224" t="s">
        <v>99</v>
      </c>
      <c r="G82" s="39">
        <v>0.08</v>
      </c>
      <c r="H82" s="213"/>
      <c r="I82" s="35">
        <v>3.244914037037038</v>
      </c>
      <c r="J82" s="200">
        <f t="shared" si="19"/>
        <v>0</v>
      </c>
      <c r="K82" s="223">
        <v>0</v>
      </c>
      <c r="L82" s="212"/>
      <c r="M82" s="35">
        <v>0</v>
      </c>
      <c r="N82" s="200">
        <f>J82*L82</f>
        <v>0</v>
      </c>
      <c r="O82" s="35">
        <v>3.244914037037038</v>
      </c>
      <c r="P82" s="200">
        <f t="shared" si="20"/>
        <v>0</v>
      </c>
      <c r="Q82" s="35">
        <v>2076.7449837037043</v>
      </c>
      <c r="R82" s="200">
        <f t="shared" si="21"/>
        <v>0</v>
      </c>
    </row>
    <row r="83" spans="1:18" x14ac:dyDescent="0.2">
      <c r="A83" s="25"/>
      <c r="B83" s="25" t="s">
        <v>156</v>
      </c>
      <c r="C83" s="25"/>
      <c r="D83" s="25">
        <v>1</v>
      </c>
      <c r="E83" s="130"/>
      <c r="F83" s="224" t="s">
        <v>42</v>
      </c>
      <c r="G83" s="41">
        <v>0</v>
      </c>
      <c r="H83" s="131"/>
      <c r="I83" s="35">
        <v>0</v>
      </c>
      <c r="J83" s="200">
        <f t="shared" si="19"/>
        <v>0</v>
      </c>
      <c r="K83" s="223">
        <v>0</v>
      </c>
      <c r="L83" s="212"/>
      <c r="M83" s="35">
        <v>0</v>
      </c>
      <c r="N83" s="200">
        <f t="shared" ref="N83:N90" si="22">J83*L83</f>
        <v>0</v>
      </c>
      <c r="O83" s="35">
        <v>0</v>
      </c>
      <c r="P83" s="200">
        <f t="shared" ref="P83:P90" si="23">+J83-N83</f>
        <v>0</v>
      </c>
      <c r="Q83" s="35">
        <v>0</v>
      </c>
      <c r="R83" s="200">
        <f t="shared" ref="R83:R90" si="24">+J83*E$7</f>
        <v>0</v>
      </c>
    </row>
    <row r="84" spans="1:18" x14ac:dyDescent="0.2">
      <c r="A84" s="25"/>
      <c r="B84" s="25" t="s">
        <v>152</v>
      </c>
      <c r="C84" s="25"/>
      <c r="D84" s="25">
        <v>1</v>
      </c>
      <c r="E84" s="130"/>
      <c r="F84" s="224" t="s">
        <v>42</v>
      </c>
      <c r="G84" s="41">
        <v>0</v>
      </c>
      <c r="H84" s="131"/>
      <c r="I84" s="35">
        <v>0</v>
      </c>
      <c r="J84" s="200">
        <f t="shared" si="19"/>
        <v>0</v>
      </c>
      <c r="K84" s="223">
        <v>0</v>
      </c>
      <c r="L84" s="212"/>
      <c r="M84" s="35">
        <v>0</v>
      </c>
      <c r="N84" s="200">
        <f t="shared" si="22"/>
        <v>0</v>
      </c>
      <c r="O84" s="35">
        <v>0</v>
      </c>
      <c r="P84" s="200">
        <f t="shared" si="23"/>
        <v>0</v>
      </c>
      <c r="Q84" s="35">
        <v>0</v>
      </c>
      <c r="R84" s="200">
        <f t="shared" si="24"/>
        <v>0</v>
      </c>
    </row>
    <row r="85" spans="1:18" x14ac:dyDescent="0.2">
      <c r="A85" s="25"/>
      <c r="B85" s="25" t="s">
        <v>137</v>
      </c>
      <c r="C85" s="25"/>
      <c r="D85" s="25">
        <v>1</v>
      </c>
      <c r="E85" s="130"/>
      <c r="F85" s="224" t="s">
        <v>42</v>
      </c>
      <c r="G85" s="41">
        <v>0</v>
      </c>
      <c r="H85" s="131"/>
      <c r="I85" s="35">
        <v>0</v>
      </c>
      <c r="J85" s="200">
        <f t="shared" si="19"/>
        <v>0</v>
      </c>
      <c r="K85" s="223">
        <v>0</v>
      </c>
      <c r="L85" s="212"/>
      <c r="M85" s="35">
        <v>0</v>
      </c>
      <c r="N85" s="200">
        <f t="shared" si="22"/>
        <v>0</v>
      </c>
      <c r="O85" s="35">
        <v>0</v>
      </c>
      <c r="P85" s="200">
        <f t="shared" si="23"/>
        <v>0</v>
      </c>
      <c r="Q85" s="35">
        <v>0</v>
      </c>
      <c r="R85" s="200">
        <f t="shared" si="24"/>
        <v>0</v>
      </c>
    </row>
    <row r="86" spans="1:18" x14ac:dyDescent="0.2">
      <c r="A86" s="25"/>
      <c r="B86" s="25" t="s">
        <v>417</v>
      </c>
      <c r="C86" s="25"/>
      <c r="D86" s="25">
        <v>1</v>
      </c>
      <c r="E86" s="130"/>
      <c r="F86" s="224" t="s">
        <v>42</v>
      </c>
      <c r="G86" s="41">
        <v>90</v>
      </c>
      <c r="H86" s="131"/>
      <c r="I86" s="35">
        <v>90</v>
      </c>
      <c r="J86" s="200">
        <f t="shared" si="19"/>
        <v>0</v>
      </c>
      <c r="K86" s="223">
        <v>0</v>
      </c>
      <c r="L86" s="212"/>
      <c r="M86" s="35">
        <v>0</v>
      </c>
      <c r="N86" s="200">
        <f t="shared" si="22"/>
        <v>0</v>
      </c>
      <c r="O86" s="35">
        <v>90</v>
      </c>
      <c r="P86" s="200">
        <f t="shared" si="23"/>
        <v>0</v>
      </c>
      <c r="Q86" s="35">
        <v>57600</v>
      </c>
      <c r="R86" s="200">
        <f t="shared" si="24"/>
        <v>0</v>
      </c>
    </row>
    <row r="87" spans="1:18" x14ac:dyDescent="0.2">
      <c r="A87" s="25"/>
      <c r="B87" s="25" t="s">
        <v>159</v>
      </c>
      <c r="C87" s="25"/>
      <c r="D87" s="25">
        <v>1</v>
      </c>
      <c r="E87" s="130"/>
      <c r="F87" s="224" t="s">
        <v>42</v>
      </c>
      <c r="G87" s="41">
        <v>0</v>
      </c>
      <c r="H87" s="131"/>
      <c r="I87" s="35">
        <v>0</v>
      </c>
      <c r="J87" s="200">
        <f t="shared" si="19"/>
        <v>0</v>
      </c>
      <c r="K87" s="223">
        <v>0</v>
      </c>
      <c r="L87" s="212"/>
      <c r="M87" s="35">
        <v>0</v>
      </c>
      <c r="N87" s="200">
        <f t="shared" si="22"/>
        <v>0</v>
      </c>
      <c r="O87" s="35">
        <v>0</v>
      </c>
      <c r="P87" s="200">
        <f t="shared" si="23"/>
        <v>0</v>
      </c>
      <c r="Q87" s="35">
        <v>0</v>
      </c>
      <c r="R87" s="200">
        <f t="shared" si="24"/>
        <v>0</v>
      </c>
    </row>
    <row r="88" spans="1:18" x14ac:dyDescent="0.2">
      <c r="A88" s="25"/>
      <c r="B88" s="25" t="s">
        <v>160</v>
      </c>
      <c r="C88" s="25"/>
      <c r="D88" s="25">
        <v>1</v>
      </c>
      <c r="E88" s="130"/>
      <c r="F88" s="224" t="s">
        <v>42</v>
      </c>
      <c r="G88" s="41">
        <v>0</v>
      </c>
      <c r="H88" s="131"/>
      <c r="I88" s="35">
        <v>0</v>
      </c>
      <c r="J88" s="200">
        <f t="shared" si="19"/>
        <v>0</v>
      </c>
      <c r="K88" s="223">
        <v>0</v>
      </c>
      <c r="L88" s="212"/>
      <c r="M88" s="35">
        <v>0</v>
      </c>
      <c r="N88" s="200">
        <f t="shared" si="22"/>
        <v>0</v>
      </c>
      <c r="O88" s="35">
        <v>0</v>
      </c>
      <c r="P88" s="200">
        <f t="shared" si="23"/>
        <v>0</v>
      </c>
      <c r="Q88" s="35">
        <v>0</v>
      </c>
      <c r="R88" s="200">
        <f t="shared" si="24"/>
        <v>0</v>
      </c>
    </row>
    <row r="89" spans="1:18" x14ac:dyDescent="0.2">
      <c r="A89" s="25"/>
      <c r="B89" s="131"/>
      <c r="C89" s="131"/>
      <c r="D89" s="25">
        <v>1</v>
      </c>
      <c r="E89" s="130"/>
      <c r="F89" s="224"/>
      <c r="G89" s="41">
        <v>0</v>
      </c>
      <c r="H89" s="131"/>
      <c r="I89" s="35">
        <v>0</v>
      </c>
      <c r="J89" s="200">
        <f t="shared" si="19"/>
        <v>0</v>
      </c>
      <c r="K89" s="223">
        <v>0</v>
      </c>
      <c r="L89" s="212"/>
      <c r="M89" s="35">
        <v>0</v>
      </c>
      <c r="N89" s="200">
        <f t="shared" si="22"/>
        <v>0</v>
      </c>
      <c r="O89" s="35">
        <v>0</v>
      </c>
      <c r="P89" s="200">
        <f t="shared" si="23"/>
        <v>0</v>
      </c>
      <c r="Q89" s="35">
        <v>0</v>
      </c>
      <c r="R89" s="200">
        <f t="shared" si="24"/>
        <v>0</v>
      </c>
    </row>
    <row r="90" spans="1:18" ht="13.5" thickBot="1" x14ac:dyDescent="0.25">
      <c r="A90" s="25"/>
      <c r="B90" s="131"/>
      <c r="C90" s="131"/>
      <c r="D90" s="25">
        <v>1</v>
      </c>
      <c r="E90" s="130"/>
      <c r="F90" s="224"/>
      <c r="G90" s="41">
        <v>0</v>
      </c>
      <c r="H90" s="131"/>
      <c r="I90" s="35">
        <v>0</v>
      </c>
      <c r="J90" s="200">
        <f>E90*H90</f>
        <v>0</v>
      </c>
      <c r="K90" s="223">
        <v>0</v>
      </c>
      <c r="L90" s="212"/>
      <c r="M90" s="35">
        <v>0</v>
      </c>
      <c r="N90" s="200">
        <f t="shared" si="22"/>
        <v>0</v>
      </c>
      <c r="O90" s="35">
        <v>0</v>
      </c>
      <c r="P90" s="200">
        <f t="shared" si="23"/>
        <v>0</v>
      </c>
      <c r="Q90" s="35">
        <v>0</v>
      </c>
      <c r="R90" s="200">
        <f t="shared" si="24"/>
        <v>0</v>
      </c>
    </row>
    <row r="91" spans="1:18" ht="13.5" thickBot="1" x14ac:dyDescent="0.25">
      <c r="A91" s="25" t="s">
        <v>37</v>
      </c>
      <c r="B91" s="25"/>
      <c r="C91" s="25"/>
      <c r="D91" s="25"/>
      <c r="E91" s="195"/>
      <c r="F91" s="25"/>
      <c r="G91" s="25"/>
      <c r="H91" s="195"/>
      <c r="I91" s="118">
        <v>206.21117873992239</v>
      </c>
      <c r="J91" s="202">
        <f>+SUM(J74:J90)</f>
        <v>0</v>
      </c>
      <c r="K91" s="35"/>
      <c r="L91" s="193"/>
      <c r="M91" s="118">
        <v>0</v>
      </c>
      <c r="N91" s="202">
        <f>+SUM(N74:N90)</f>
        <v>0</v>
      </c>
      <c r="O91" s="118">
        <v>206.21117873992239</v>
      </c>
      <c r="P91" s="202">
        <f>+SUM(P74:P90)</f>
        <v>0</v>
      </c>
      <c r="Q91" s="118">
        <v>131975.1543935503</v>
      </c>
      <c r="R91" s="202">
        <f>+SUM(R74:R90)</f>
        <v>0</v>
      </c>
    </row>
    <row r="92" spans="1:18" ht="14.25" thickTop="1" thickBot="1" x14ac:dyDescent="0.25">
      <c r="A92" s="25" t="s">
        <v>52</v>
      </c>
      <c r="B92" s="25"/>
      <c r="C92" s="25"/>
      <c r="D92" s="25"/>
      <c r="E92" s="195"/>
      <c r="F92" s="25"/>
      <c r="G92" s="25"/>
      <c r="H92" s="195"/>
      <c r="I92" s="87">
        <v>961.97635867230861</v>
      </c>
      <c r="J92" s="203">
        <f>+J68+J91</f>
        <v>0</v>
      </c>
      <c r="K92" s="35"/>
      <c r="L92" s="193"/>
      <c r="M92" s="87">
        <v>0</v>
      </c>
      <c r="N92" s="203">
        <f>+N68+N91</f>
        <v>0</v>
      </c>
      <c r="O92" s="87">
        <v>961.97635867230861</v>
      </c>
      <c r="P92" s="203">
        <f>+P68+P91</f>
        <v>0</v>
      </c>
      <c r="Q92" s="87">
        <v>615664.86955027748</v>
      </c>
      <c r="R92" s="203">
        <f>+R68+R91</f>
        <v>0</v>
      </c>
    </row>
    <row r="93" spans="1:18" ht="13.5" thickTop="1" x14ac:dyDescent="0.2">
      <c r="A93" s="25"/>
      <c r="B93" s="25"/>
      <c r="C93" s="25"/>
      <c r="D93" s="25"/>
      <c r="E93" s="195"/>
      <c r="F93" s="25"/>
      <c r="G93" s="25"/>
      <c r="H93" s="195"/>
      <c r="I93" s="35"/>
      <c r="J93" s="182"/>
      <c r="K93" s="35"/>
      <c r="L93" s="193"/>
      <c r="M93" s="35"/>
      <c r="N93" s="182"/>
      <c r="O93" s="35"/>
      <c r="P93" s="182"/>
      <c r="Q93" s="35"/>
      <c r="R93" s="182"/>
    </row>
    <row r="94" spans="1:18" x14ac:dyDescent="0.2">
      <c r="A94" s="25" t="s">
        <v>153</v>
      </c>
      <c r="B94" s="25"/>
      <c r="C94" s="25"/>
      <c r="D94" s="25"/>
      <c r="E94" s="195"/>
      <c r="F94" s="25"/>
      <c r="G94" s="25"/>
      <c r="H94" s="195"/>
      <c r="I94" s="35">
        <v>0.4466413276915091</v>
      </c>
      <c r="J94" s="200">
        <f>+J14-J92</f>
        <v>0</v>
      </c>
      <c r="K94" s="35"/>
      <c r="L94" s="193"/>
      <c r="M94" s="35">
        <v>0</v>
      </c>
      <c r="N94" s="200">
        <f>+N14-N92</f>
        <v>0</v>
      </c>
      <c r="O94" s="35">
        <v>0.4466413276915091</v>
      </c>
      <c r="P94" s="200">
        <f>+P14-P92</f>
        <v>0</v>
      </c>
      <c r="Q94" s="35">
        <v>285.85044972260948</v>
      </c>
      <c r="R94" s="200">
        <f>+R14-R92</f>
        <v>0</v>
      </c>
    </row>
    <row r="95" spans="1:18" x14ac:dyDescent="0.2">
      <c r="A95" s="25"/>
      <c r="B95" s="25"/>
      <c r="C95" s="25"/>
      <c r="D95" s="25"/>
      <c r="E95" s="195"/>
      <c r="F95" s="25"/>
      <c r="G95" s="25"/>
      <c r="H95" s="195"/>
      <c r="I95" s="35"/>
      <c r="J95" s="204"/>
      <c r="K95" s="35"/>
      <c r="L95" s="193"/>
      <c r="M95" s="35"/>
      <c r="N95" s="193"/>
      <c r="O95" s="35"/>
      <c r="P95" s="193"/>
      <c r="Q95" s="35"/>
      <c r="R95" s="204"/>
    </row>
    <row r="96" spans="1:18" ht="13.5" thickBot="1" x14ac:dyDescent="0.25">
      <c r="A96" s="44" t="s">
        <v>38</v>
      </c>
      <c r="B96" s="44"/>
      <c r="C96" s="44"/>
      <c r="D96" s="44"/>
      <c r="E96" s="199"/>
      <c r="F96" s="44"/>
      <c r="G96" s="45">
        <v>0.80962403928645499</v>
      </c>
      <c r="H96" s="210" t="str">
        <f>IF(E10=0,"n/a",(YTotExp-(YTotExp+YTotRet-J10))/E10)</f>
        <v>n/a</v>
      </c>
      <c r="I96" s="44" t="s">
        <v>82</v>
      </c>
      <c r="J96" s="205"/>
      <c r="K96" s="44"/>
      <c r="L96" s="199"/>
      <c r="M96" s="44"/>
      <c r="N96" s="199"/>
      <c r="O96" s="44"/>
      <c r="P96" s="199"/>
      <c r="Q96" s="44"/>
      <c r="R96" s="205"/>
    </row>
    <row r="97" spans="1:18" ht="13.5" thickTop="1" x14ac:dyDescent="0.2"/>
    <row r="98" spans="1:18" s="17" customFormat="1" ht="15.75" x14ac:dyDescent="0.25">
      <c r="A98"/>
      <c r="B98" s="88"/>
      <c r="C98" s="89"/>
      <c r="D98" s="234" t="s">
        <v>113</v>
      </c>
      <c r="E98" s="235"/>
      <c r="F98" s="235"/>
      <c r="G98" s="235"/>
      <c r="H98" s="235"/>
      <c r="I98" s="235"/>
      <c r="J98" s="99"/>
      <c r="K98" s="99"/>
      <c r="M98"/>
      <c r="N98"/>
    </row>
    <row r="99" spans="1:18" s="17" customFormat="1" ht="15.75" x14ac:dyDescent="0.25">
      <c r="A99"/>
      <c r="B99" s="19" t="s">
        <v>114</v>
      </c>
      <c r="C99" s="19" t="s">
        <v>114</v>
      </c>
      <c r="D99" s="123" t="s">
        <v>170</v>
      </c>
      <c r="E99" s="18"/>
      <c r="F99" s="18"/>
      <c r="G99" s="123" t="s">
        <v>170</v>
      </c>
      <c r="H99" s="18"/>
      <c r="I99" s="18"/>
      <c r="J99" s="18"/>
      <c r="K99" s="18"/>
      <c r="M99"/>
      <c r="N99"/>
    </row>
    <row r="100" spans="1:18" s="17" customFormat="1" x14ac:dyDescent="0.2">
      <c r="A100"/>
      <c r="B100" s="19" t="s">
        <v>80</v>
      </c>
      <c r="C100" s="19" t="s">
        <v>80</v>
      </c>
      <c r="D100" s="123" t="s">
        <v>157</v>
      </c>
      <c r="E100" s="119"/>
      <c r="F100" s="119"/>
      <c r="G100" s="123" t="s">
        <v>12</v>
      </c>
      <c r="H100" s="119"/>
      <c r="I100" s="119"/>
      <c r="J100" s="119"/>
      <c r="K100" s="119"/>
      <c r="M100"/>
      <c r="N100"/>
    </row>
    <row r="101" spans="1:18" s="17" customFormat="1" x14ac:dyDescent="0.2">
      <c r="A101"/>
      <c r="B101" s="19" t="s">
        <v>30</v>
      </c>
      <c r="C101" s="99" t="s">
        <v>82</v>
      </c>
      <c r="D101" s="123" t="s">
        <v>98</v>
      </c>
      <c r="E101" s="119"/>
      <c r="F101" s="119"/>
      <c r="G101" s="123" t="s">
        <v>98</v>
      </c>
      <c r="H101" s="19"/>
      <c r="I101" s="19"/>
      <c r="J101" s="19"/>
      <c r="K101" s="19"/>
      <c r="M101"/>
      <c r="N101"/>
    </row>
    <row r="102" spans="1:18" s="17" customFormat="1" x14ac:dyDescent="0.2">
      <c r="A102"/>
      <c r="B102" s="90">
        <v>0.75</v>
      </c>
      <c r="C102" s="91">
        <v>891</v>
      </c>
      <c r="D102" s="92">
        <v>0.84806080800492278</v>
      </c>
      <c r="E102" s="93"/>
      <c r="F102" s="94"/>
      <c r="G102" s="92">
        <v>1.0794987190486067</v>
      </c>
      <c r="H102" s="93"/>
      <c r="I102" s="93"/>
      <c r="M102"/>
      <c r="N102"/>
    </row>
    <row r="103" spans="1:18" s="17" customFormat="1" x14ac:dyDescent="0.2">
      <c r="A103"/>
      <c r="B103" s="95">
        <v>0.9</v>
      </c>
      <c r="C103" s="96">
        <v>1069.2</v>
      </c>
      <c r="D103" s="97">
        <v>0.70671734000410225</v>
      </c>
      <c r="E103" s="83"/>
      <c r="F103" s="98"/>
      <c r="G103" s="97">
        <v>0.89958226587383894</v>
      </c>
      <c r="H103" s="83"/>
      <c r="I103" s="83"/>
      <c r="M103"/>
      <c r="N103"/>
    </row>
    <row r="104" spans="1:18" s="17" customFormat="1" x14ac:dyDescent="0.2">
      <c r="A104"/>
      <c r="B104" s="90">
        <v>1</v>
      </c>
      <c r="C104" s="91">
        <v>1188</v>
      </c>
      <c r="D104" s="92">
        <v>0.63604560600369209</v>
      </c>
      <c r="E104" s="93"/>
      <c r="F104" s="94"/>
      <c r="G104" s="92">
        <v>0.80962403928645499</v>
      </c>
      <c r="H104" s="93"/>
      <c r="I104" s="93"/>
      <c r="M104"/>
      <c r="N104"/>
    </row>
    <row r="105" spans="1:18" s="17" customFormat="1" x14ac:dyDescent="0.2">
      <c r="A105"/>
      <c r="B105" s="95">
        <v>1.1000000000000001</v>
      </c>
      <c r="C105" s="96">
        <v>1306.8000000000002</v>
      </c>
      <c r="D105" s="97">
        <v>0.57822327818517449</v>
      </c>
      <c r="E105" s="83"/>
      <c r="F105" s="98"/>
      <c r="G105" s="97">
        <v>0.73602185389677721</v>
      </c>
      <c r="H105" s="83"/>
      <c r="I105" s="83"/>
      <c r="M105"/>
      <c r="N105"/>
    </row>
    <row r="106" spans="1:18" s="17" customFormat="1" x14ac:dyDescent="0.2">
      <c r="A106"/>
      <c r="B106" s="90">
        <v>1.25</v>
      </c>
      <c r="C106" s="91">
        <v>1485</v>
      </c>
      <c r="D106" s="92">
        <v>0.50883648480295363</v>
      </c>
      <c r="E106" s="93"/>
      <c r="F106" s="94"/>
      <c r="G106" s="92">
        <v>0.64769923142916408</v>
      </c>
      <c r="H106" s="93"/>
      <c r="I106" s="93"/>
      <c r="M106"/>
      <c r="N106"/>
    </row>
    <row r="107" spans="1:18" s="17" customFormat="1" x14ac:dyDescent="0.2">
      <c r="A107"/>
      <c r="M107"/>
      <c r="N107"/>
    </row>
    <row r="108" spans="1:18" x14ac:dyDescent="0.2">
      <c r="A108" s="25" t="s">
        <v>434</v>
      </c>
      <c r="B108" s="17"/>
      <c r="C108" s="17"/>
      <c r="D108" s="17"/>
      <c r="E108" s="17"/>
      <c r="F108" s="17"/>
      <c r="G108" s="17"/>
      <c r="H108" s="17"/>
      <c r="I108" s="17"/>
      <c r="J108" s="28"/>
      <c r="K108" s="17"/>
      <c r="L108" s="17"/>
      <c r="M108" s="17"/>
      <c r="N108" s="17"/>
      <c r="O108" s="17"/>
      <c r="P108" s="17"/>
      <c r="Q108" s="17"/>
    </row>
    <row r="109" spans="1:18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28"/>
      <c r="K109" s="17"/>
      <c r="L109" s="17"/>
      <c r="M109" s="17"/>
      <c r="N109" s="17"/>
      <c r="O109" s="17"/>
      <c r="P109" s="17"/>
      <c r="Q109" s="17"/>
    </row>
    <row r="110" spans="1:18" ht="26.25" customHeight="1" x14ac:dyDescent="0.2">
      <c r="A110" s="236" t="s">
        <v>140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19"/>
      <c r="N110" s="219"/>
      <c r="O110" s="219"/>
      <c r="P110" s="219"/>
      <c r="Q110" s="219"/>
      <c r="R110" s="219"/>
    </row>
  </sheetData>
  <sheetProtection sheet="1" objects="1" scenarios="1"/>
  <mergeCells count="6">
    <mergeCell ref="D98:I98"/>
    <mergeCell ref="A110:L110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89">
    <tabColor rgb="FF92D050"/>
    <pageSetUpPr fitToPage="1"/>
  </sheetPr>
  <dimension ref="A1:S109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6.5703125" customWidth="1"/>
    <col min="3" max="3" width="30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427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120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487</v>
      </c>
      <c r="R9" s="189" t="str">
        <f>"(" &amp; E7 &amp; " acres)"</f>
        <v>( acres)</v>
      </c>
      <c r="S9" s="12"/>
    </row>
    <row r="10" spans="1:19" x14ac:dyDescent="0.2">
      <c r="A10" s="25"/>
      <c r="B10" t="s">
        <v>357</v>
      </c>
      <c r="C10" s="25"/>
      <c r="D10" s="50">
        <v>1000</v>
      </c>
      <c r="E10" s="130"/>
      <c r="F10" s="224" t="s">
        <v>82</v>
      </c>
      <c r="G10" s="31">
        <v>0.84</v>
      </c>
      <c r="H10" s="131"/>
      <c r="I10" s="35">
        <v>840</v>
      </c>
      <c r="J10" s="200">
        <f t="shared" ref="J10:J13" si="0">E10*H10</f>
        <v>0</v>
      </c>
      <c r="K10" s="223">
        <v>0</v>
      </c>
      <c r="L10" s="212"/>
      <c r="M10" s="35">
        <v>0</v>
      </c>
      <c r="N10" s="200">
        <f t="shared" ref="N10:N13" si="1">J10*L10</f>
        <v>0</v>
      </c>
      <c r="O10" s="35">
        <v>840</v>
      </c>
      <c r="P10" s="200">
        <f>+J10-N10</f>
        <v>0</v>
      </c>
      <c r="Q10" s="35">
        <v>100800</v>
      </c>
      <c r="R10" s="200">
        <f t="shared" ref="R10:R13" si="2">+J10*E$7</f>
        <v>0</v>
      </c>
      <c r="S10" s="12"/>
    </row>
    <row r="11" spans="1:19" x14ac:dyDescent="0.2">
      <c r="A11" s="25"/>
      <c r="B11" t="s">
        <v>134</v>
      </c>
      <c r="C11" s="25"/>
      <c r="D11" s="50">
        <v>0.65</v>
      </c>
      <c r="E11" s="130"/>
      <c r="F11" s="224" t="s">
        <v>135</v>
      </c>
      <c r="G11" s="31">
        <v>0.22</v>
      </c>
      <c r="H11" s="131"/>
      <c r="I11" s="35">
        <v>0.14300000000000002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0.14300000000000002</v>
      </c>
      <c r="P11" s="200">
        <f t="shared" ref="P11:P13" si="3">+J11-N11</f>
        <v>0</v>
      </c>
      <c r="Q11" s="35">
        <v>17.160000000000004</v>
      </c>
      <c r="R11" s="200">
        <f t="shared" si="2"/>
        <v>0</v>
      </c>
      <c r="S11" s="12"/>
    </row>
    <row r="12" spans="1:19" x14ac:dyDescent="0.2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35">
        <v>0</v>
      </c>
      <c r="J12" s="200">
        <f t="shared" si="0"/>
        <v>0</v>
      </c>
      <c r="K12" s="223">
        <v>0</v>
      </c>
      <c r="L12" s="212"/>
      <c r="M12" s="35">
        <v>0</v>
      </c>
      <c r="N12" s="200">
        <f t="shared" si="1"/>
        <v>0</v>
      </c>
      <c r="O12" s="35">
        <v>0</v>
      </c>
      <c r="P12" s="200">
        <f t="shared" si="3"/>
        <v>0</v>
      </c>
      <c r="Q12" s="35">
        <v>0</v>
      </c>
      <c r="R12" s="200">
        <f t="shared" si="2"/>
        <v>0</v>
      </c>
    </row>
    <row r="13" spans="1:19" ht="13.5" thickBot="1" x14ac:dyDescent="0.25">
      <c r="A13" s="25"/>
      <c r="B13" s="131"/>
      <c r="C13" s="131"/>
      <c r="D13" s="50">
        <v>0</v>
      </c>
      <c r="E13" s="130"/>
      <c r="F13" s="224"/>
      <c r="G13" s="31">
        <v>0</v>
      </c>
      <c r="H13" s="131"/>
      <c r="I13" s="42">
        <v>0</v>
      </c>
      <c r="J13" s="200">
        <f t="shared" si="0"/>
        <v>0</v>
      </c>
      <c r="K13" s="223">
        <v>0</v>
      </c>
      <c r="L13" s="212"/>
      <c r="M13" s="42">
        <v>0</v>
      </c>
      <c r="N13" s="200">
        <f t="shared" si="1"/>
        <v>0</v>
      </c>
      <c r="O13" s="42">
        <v>0</v>
      </c>
      <c r="P13" s="200">
        <f t="shared" si="3"/>
        <v>0</v>
      </c>
      <c r="Q13" s="42">
        <v>0</v>
      </c>
      <c r="R13" s="182">
        <f t="shared" si="2"/>
        <v>0</v>
      </c>
    </row>
    <row r="14" spans="1:19" x14ac:dyDescent="0.2">
      <c r="A14" s="25" t="s">
        <v>24</v>
      </c>
      <c r="B14" s="25"/>
      <c r="C14" s="25"/>
      <c r="D14" s="25"/>
      <c r="E14" s="198"/>
      <c r="F14" s="25"/>
      <c r="G14" s="25"/>
      <c r="H14" s="195"/>
      <c r="I14" s="36">
        <v>840.14300000000003</v>
      </c>
      <c r="J14" s="201">
        <f>SUM(J10:J13)</f>
        <v>0</v>
      </c>
      <c r="K14" s="35"/>
      <c r="L14" s="193"/>
      <c r="M14" s="36">
        <v>0</v>
      </c>
      <c r="N14" s="201">
        <f>SUM(N10:N13)</f>
        <v>0</v>
      </c>
      <c r="O14" s="36">
        <v>840.14300000000003</v>
      </c>
      <c r="P14" s="201">
        <f>SUM(P10:P13)</f>
        <v>0</v>
      </c>
      <c r="Q14" s="36">
        <v>100817.16</v>
      </c>
      <c r="R14" s="201">
        <f>SUM(R10:R13)</f>
        <v>0</v>
      </c>
    </row>
    <row r="15" spans="1:19" x14ac:dyDescent="0.2">
      <c r="A15" s="25"/>
      <c r="B15" s="25"/>
      <c r="C15" s="25"/>
      <c r="D15" s="25"/>
      <c r="E15" s="176"/>
      <c r="F15" s="25"/>
      <c r="G15" s="25"/>
      <c r="H15" s="209"/>
      <c r="I15" s="35"/>
      <c r="J15" s="182"/>
      <c r="K15" s="35"/>
      <c r="L15" s="193"/>
      <c r="M15" s="35"/>
      <c r="N15" s="182"/>
      <c r="O15" s="35"/>
      <c r="P15" s="182"/>
      <c r="Q15" s="22" t="s">
        <v>19</v>
      </c>
      <c r="R15" s="182" t="s">
        <v>19</v>
      </c>
    </row>
    <row r="16" spans="1:19" x14ac:dyDescent="0.2">
      <c r="A16" s="23" t="s">
        <v>25</v>
      </c>
      <c r="B16" s="23"/>
      <c r="C16" s="23"/>
      <c r="D16" s="24" t="s">
        <v>2</v>
      </c>
      <c r="E16" s="194" t="s">
        <v>2</v>
      </c>
      <c r="F16" s="24" t="s">
        <v>21</v>
      </c>
      <c r="G16" s="24" t="s">
        <v>22</v>
      </c>
      <c r="H16" s="194" t="s">
        <v>22</v>
      </c>
      <c r="I16" s="24" t="s">
        <v>12</v>
      </c>
      <c r="J16" s="194" t="s">
        <v>12</v>
      </c>
      <c r="K16" s="24" t="s">
        <v>11</v>
      </c>
      <c r="L16" s="194" t="s">
        <v>11</v>
      </c>
      <c r="M16" s="24" t="s">
        <v>10</v>
      </c>
      <c r="N16" s="194" t="s">
        <v>10</v>
      </c>
      <c r="O16" s="24" t="s">
        <v>9</v>
      </c>
      <c r="P16" s="194" t="s">
        <v>9</v>
      </c>
      <c r="Q16" s="24" t="s">
        <v>12</v>
      </c>
      <c r="R16" s="206" t="s">
        <v>12</v>
      </c>
    </row>
    <row r="17" spans="1:18" x14ac:dyDescent="0.2">
      <c r="A17" s="25" t="s">
        <v>26</v>
      </c>
      <c r="B17" s="25"/>
      <c r="C17" s="25"/>
      <c r="D17" s="25"/>
      <c r="E17" s="176"/>
      <c r="F17" s="25"/>
      <c r="G17" s="25"/>
      <c r="H17" s="209"/>
      <c r="I17" s="25"/>
      <c r="J17" s="182"/>
      <c r="K17" s="25"/>
      <c r="L17" s="195"/>
      <c r="M17" s="25"/>
      <c r="N17" s="182"/>
      <c r="O17" s="25"/>
      <c r="P17" s="182"/>
      <c r="Q17" s="25"/>
      <c r="R17" s="182"/>
    </row>
    <row r="18" spans="1:18" x14ac:dyDescent="0.2">
      <c r="A18" s="25"/>
      <c r="B18" s="25" t="s">
        <v>50</v>
      </c>
      <c r="C18" s="25"/>
      <c r="D18" s="25"/>
      <c r="E18" s="25"/>
      <c r="F18" s="25"/>
      <c r="G18" s="25"/>
      <c r="H18" s="25"/>
      <c r="I18" s="25"/>
      <c r="J18" s="25"/>
      <c r="K18" s="223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 t="s">
        <v>458</v>
      </c>
      <c r="C19" s="25" t="s">
        <v>176</v>
      </c>
      <c r="D19" s="25">
        <v>1</v>
      </c>
      <c r="E19" s="130"/>
      <c r="F19" s="224" t="s">
        <v>42</v>
      </c>
      <c r="G19" s="41">
        <v>5</v>
      </c>
      <c r="H19" s="131"/>
      <c r="I19" s="35">
        <v>5</v>
      </c>
      <c r="J19" s="200">
        <f t="shared" ref="J19:J42" si="4">E19*H19</f>
        <v>0</v>
      </c>
      <c r="K19" s="223">
        <v>0</v>
      </c>
      <c r="L19" s="212"/>
      <c r="M19" s="35">
        <v>0</v>
      </c>
      <c r="N19" s="200">
        <f t="shared" ref="N19:N42" si="5">J19*L19</f>
        <v>0</v>
      </c>
      <c r="O19" s="35">
        <v>5</v>
      </c>
      <c r="P19" s="200">
        <f t="shared" ref="P19:P42" si="6">+J19-N19</f>
        <v>0</v>
      </c>
      <c r="Q19" s="35">
        <v>600</v>
      </c>
      <c r="R19" s="200">
        <f t="shared" ref="R19:R42" si="7">+J19*E$7</f>
        <v>0</v>
      </c>
    </row>
    <row r="20" spans="1:18" x14ac:dyDescent="0.2">
      <c r="A20" s="25"/>
      <c r="B20" s="25" t="s">
        <v>458</v>
      </c>
      <c r="C20" s="25" t="s">
        <v>317</v>
      </c>
      <c r="D20" s="25">
        <v>1</v>
      </c>
      <c r="E20" s="130"/>
      <c r="F20" s="224" t="s">
        <v>42</v>
      </c>
      <c r="G20" s="41">
        <v>5.5</v>
      </c>
      <c r="H20" s="131"/>
      <c r="I20" s="35">
        <v>5.5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5.5</v>
      </c>
      <c r="P20" s="200">
        <f t="shared" si="6"/>
        <v>0</v>
      </c>
      <c r="Q20" s="35">
        <v>660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385</v>
      </c>
      <c r="D21" s="25">
        <v>1</v>
      </c>
      <c r="E21" s="130"/>
      <c r="F21" s="224" t="s">
        <v>42</v>
      </c>
      <c r="G21" s="41">
        <v>5.5</v>
      </c>
      <c r="H21" s="131"/>
      <c r="I21" s="35">
        <v>5.5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5.5</v>
      </c>
      <c r="P21" s="200">
        <f t="shared" si="6"/>
        <v>0</v>
      </c>
      <c r="Q21" s="35">
        <v>660</v>
      </c>
      <c r="R21" s="200">
        <f t="shared" si="7"/>
        <v>0</v>
      </c>
    </row>
    <row r="22" spans="1:18" x14ac:dyDescent="0.2">
      <c r="A22" s="25"/>
      <c r="B22" s="25" t="s">
        <v>458</v>
      </c>
      <c r="C22" s="25" t="s">
        <v>382</v>
      </c>
      <c r="D22" s="25">
        <v>1000</v>
      </c>
      <c r="E22" s="130"/>
      <c r="F22" s="224" t="s">
        <v>82</v>
      </c>
      <c r="G22" s="41">
        <v>0.13</v>
      </c>
      <c r="H22" s="131"/>
      <c r="I22" s="35">
        <v>130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130</v>
      </c>
      <c r="P22" s="200">
        <f t="shared" si="6"/>
        <v>0</v>
      </c>
      <c r="Q22" s="35">
        <v>15600</v>
      </c>
      <c r="R22" s="200">
        <f t="shared" si="7"/>
        <v>0</v>
      </c>
    </row>
    <row r="23" spans="1:18" x14ac:dyDescent="0.2">
      <c r="A23" s="25"/>
      <c r="B23" s="25" t="s">
        <v>458</v>
      </c>
      <c r="C23" s="25" t="s">
        <v>374</v>
      </c>
      <c r="D23" s="25">
        <v>1000</v>
      </c>
      <c r="E23" s="130"/>
      <c r="F23" s="224" t="s">
        <v>82</v>
      </c>
      <c r="G23" s="41">
        <v>0.1</v>
      </c>
      <c r="H23" s="131"/>
      <c r="I23" s="35">
        <v>100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100</v>
      </c>
      <c r="P23" s="200">
        <f t="shared" si="6"/>
        <v>0</v>
      </c>
      <c r="Q23" s="35">
        <v>12000</v>
      </c>
      <c r="R23" s="200">
        <f t="shared" si="7"/>
        <v>0</v>
      </c>
    </row>
    <row r="24" spans="1:18" x14ac:dyDescent="0.2">
      <c r="A24" s="25"/>
      <c r="B24" s="25" t="s">
        <v>0</v>
      </c>
      <c r="C24" s="25"/>
      <c r="D24" s="25"/>
      <c r="E24" s="25"/>
      <c r="F24" s="25"/>
      <c r="G24" s="25"/>
      <c r="H24" s="25"/>
      <c r="I24" s="25"/>
      <c r="J24" s="25"/>
      <c r="K24" s="223"/>
      <c r="L24" s="25"/>
      <c r="M24" s="25"/>
      <c r="N24" s="25"/>
      <c r="O24" s="25"/>
      <c r="P24" s="25"/>
      <c r="Q24" s="25"/>
      <c r="R24" s="25"/>
    </row>
    <row r="25" spans="1:18" x14ac:dyDescent="0.2">
      <c r="A25" s="25"/>
      <c r="B25" s="25" t="s">
        <v>458</v>
      </c>
      <c r="C25" s="25" t="s">
        <v>342</v>
      </c>
      <c r="D25" s="25">
        <v>75</v>
      </c>
      <c r="E25" s="130"/>
      <c r="F25" s="224" t="s">
        <v>82</v>
      </c>
      <c r="G25" s="41">
        <v>0.53800000000000003</v>
      </c>
      <c r="H25" s="131"/>
      <c r="I25" s="35">
        <v>40.35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40.35</v>
      </c>
      <c r="P25" s="200">
        <f t="shared" si="6"/>
        <v>0</v>
      </c>
      <c r="Q25" s="35">
        <v>4842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378</v>
      </c>
      <c r="D26" s="25">
        <v>60</v>
      </c>
      <c r="E26" s="130"/>
      <c r="F26" s="224" t="s">
        <v>82</v>
      </c>
      <c r="G26" s="41">
        <v>0.56999999999999995</v>
      </c>
      <c r="H26" s="131"/>
      <c r="I26" s="35">
        <v>34.199999999999996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34.199999999999996</v>
      </c>
      <c r="P26" s="200">
        <f t="shared" si="6"/>
        <v>0</v>
      </c>
      <c r="Q26" s="35">
        <v>4103.9999999999991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400</v>
      </c>
      <c r="D27" s="25">
        <v>40</v>
      </c>
      <c r="E27" s="130"/>
      <c r="F27" s="224" t="s">
        <v>82</v>
      </c>
      <c r="G27" s="41">
        <v>0.44167000000000001</v>
      </c>
      <c r="H27" s="131"/>
      <c r="I27" s="35">
        <v>17.666800000000002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17.666800000000002</v>
      </c>
      <c r="P27" s="200">
        <f t="shared" si="6"/>
        <v>0</v>
      </c>
      <c r="Q27" s="35">
        <v>2120.0160000000001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344</v>
      </c>
      <c r="D28" s="25">
        <v>12</v>
      </c>
      <c r="E28" s="130"/>
      <c r="F28" s="224" t="s">
        <v>82</v>
      </c>
      <c r="G28" s="41">
        <v>0.30499999999999999</v>
      </c>
      <c r="H28" s="131"/>
      <c r="I28" s="35">
        <v>3.66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3.66</v>
      </c>
      <c r="P28" s="200">
        <f t="shared" si="6"/>
        <v>0</v>
      </c>
      <c r="Q28" s="35">
        <v>439.20000000000005</v>
      </c>
      <c r="R28" s="200">
        <f t="shared" si="7"/>
        <v>0</v>
      </c>
    </row>
    <row r="29" spans="1:18" x14ac:dyDescent="0.2">
      <c r="A29" s="25"/>
      <c r="B29" s="25" t="s">
        <v>49</v>
      </c>
      <c r="C29" s="25"/>
      <c r="D29" s="25"/>
      <c r="E29" s="25"/>
      <c r="F29" s="25"/>
      <c r="G29" s="25"/>
      <c r="H29" s="25"/>
      <c r="I29" s="25"/>
      <c r="J29" s="25"/>
      <c r="K29" s="223"/>
      <c r="L29" s="25"/>
      <c r="M29" s="25"/>
      <c r="N29" s="25"/>
      <c r="O29" s="25"/>
      <c r="P29" s="25"/>
      <c r="Q29" s="25"/>
      <c r="R29" s="25"/>
    </row>
    <row r="30" spans="1:18" x14ac:dyDescent="0.2">
      <c r="A30" s="25"/>
      <c r="B30" s="25" t="s">
        <v>458</v>
      </c>
      <c r="C30" s="25" t="s">
        <v>402</v>
      </c>
      <c r="D30" s="25">
        <v>2</v>
      </c>
      <c r="E30" s="130"/>
      <c r="F30" s="224" t="s">
        <v>316</v>
      </c>
      <c r="G30" s="41">
        <v>2.81</v>
      </c>
      <c r="H30" s="131"/>
      <c r="I30" s="35">
        <v>5.62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5.62</v>
      </c>
      <c r="P30" s="200">
        <f t="shared" si="6"/>
        <v>0</v>
      </c>
      <c r="Q30" s="35">
        <v>674.4</v>
      </c>
      <c r="R30" s="200">
        <f t="shared" si="7"/>
        <v>0</v>
      </c>
    </row>
    <row r="31" spans="1:18" x14ac:dyDescent="0.2">
      <c r="A31" s="25"/>
      <c r="B31" s="25" t="s">
        <v>458</v>
      </c>
      <c r="C31" s="25" t="s">
        <v>384</v>
      </c>
      <c r="D31" s="25">
        <v>3</v>
      </c>
      <c r="E31" s="130"/>
      <c r="F31" s="224" t="s">
        <v>316</v>
      </c>
      <c r="G31" s="41">
        <v>3.75</v>
      </c>
      <c r="H31" s="131"/>
      <c r="I31" s="35">
        <v>11.25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11.25</v>
      </c>
      <c r="P31" s="200">
        <f t="shared" si="6"/>
        <v>0</v>
      </c>
      <c r="Q31" s="35">
        <v>1350</v>
      </c>
      <c r="R31" s="200">
        <f t="shared" si="7"/>
        <v>0</v>
      </c>
    </row>
    <row r="32" spans="1:18" x14ac:dyDescent="0.2">
      <c r="A32" s="25"/>
      <c r="B32" s="25" t="s">
        <v>458</v>
      </c>
      <c r="C32" s="25" t="s">
        <v>386</v>
      </c>
      <c r="D32" s="25">
        <v>8</v>
      </c>
      <c r="E32" s="130"/>
      <c r="F32" s="224" t="s">
        <v>410</v>
      </c>
      <c r="G32" s="41">
        <v>0.546875</v>
      </c>
      <c r="H32" s="131"/>
      <c r="I32" s="35">
        <v>4.375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4.375</v>
      </c>
      <c r="P32" s="200">
        <f t="shared" si="6"/>
        <v>0</v>
      </c>
      <c r="Q32" s="35">
        <v>525</v>
      </c>
      <c r="R32" s="200">
        <f t="shared" si="7"/>
        <v>0</v>
      </c>
    </row>
    <row r="33" spans="1:18" x14ac:dyDescent="0.2">
      <c r="A33" s="25"/>
      <c r="B33" s="25" t="s">
        <v>458</v>
      </c>
      <c r="C33" s="25" t="s">
        <v>408</v>
      </c>
      <c r="D33" s="25">
        <v>24</v>
      </c>
      <c r="E33" s="130"/>
      <c r="F33" s="224" t="s">
        <v>410</v>
      </c>
      <c r="G33" s="41">
        <v>0.5078125</v>
      </c>
      <c r="H33" s="131"/>
      <c r="I33" s="35">
        <v>12.1875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12.1875</v>
      </c>
      <c r="P33" s="200">
        <f t="shared" si="6"/>
        <v>0</v>
      </c>
      <c r="Q33" s="35">
        <v>1462.5</v>
      </c>
      <c r="R33" s="200">
        <f t="shared" si="7"/>
        <v>0</v>
      </c>
    </row>
    <row r="34" spans="1:18" x14ac:dyDescent="0.2">
      <c r="A34" s="25"/>
      <c r="B34" s="25" t="s">
        <v>48</v>
      </c>
      <c r="C34" s="25"/>
      <c r="D34" s="25"/>
      <c r="E34" s="25"/>
      <c r="F34" s="25"/>
      <c r="G34" s="25"/>
      <c r="H34" s="25"/>
      <c r="I34" s="25"/>
      <c r="J34" s="25"/>
      <c r="K34" s="223"/>
      <c r="L34" s="25"/>
      <c r="M34" s="25"/>
      <c r="N34" s="25"/>
      <c r="O34" s="25"/>
      <c r="P34" s="25"/>
      <c r="Q34" s="25"/>
      <c r="R34" s="25"/>
    </row>
    <row r="35" spans="1:18" x14ac:dyDescent="0.2">
      <c r="A35" s="25"/>
      <c r="B35" s="25" t="s">
        <v>458</v>
      </c>
      <c r="C35" s="25" t="s">
        <v>392</v>
      </c>
      <c r="D35" s="25">
        <v>0.5</v>
      </c>
      <c r="E35" s="130"/>
      <c r="F35" s="224" t="s">
        <v>82</v>
      </c>
      <c r="G35" s="41">
        <v>7.2</v>
      </c>
      <c r="H35" s="131"/>
      <c r="I35" s="35">
        <v>3.6</v>
      </c>
      <c r="J35" s="200">
        <f t="shared" si="4"/>
        <v>0</v>
      </c>
      <c r="K35" s="223">
        <v>0</v>
      </c>
      <c r="L35" s="212"/>
      <c r="M35" s="35">
        <v>0</v>
      </c>
      <c r="N35" s="200">
        <f t="shared" si="5"/>
        <v>0</v>
      </c>
      <c r="O35" s="35">
        <v>3.6</v>
      </c>
      <c r="P35" s="200">
        <f t="shared" si="6"/>
        <v>0</v>
      </c>
      <c r="Q35" s="35">
        <v>432</v>
      </c>
      <c r="R35" s="200">
        <f t="shared" si="7"/>
        <v>0</v>
      </c>
    </row>
    <row r="36" spans="1:18" x14ac:dyDescent="0.2">
      <c r="A36" s="25"/>
      <c r="B36" s="25" t="s">
        <v>458</v>
      </c>
      <c r="C36" s="25" t="s">
        <v>363</v>
      </c>
      <c r="D36" s="25">
        <v>1</v>
      </c>
      <c r="E36" s="130"/>
      <c r="F36" s="224" t="s">
        <v>42</v>
      </c>
      <c r="G36" s="41">
        <v>2.5</v>
      </c>
      <c r="H36" s="131"/>
      <c r="I36" s="35">
        <v>2.5</v>
      </c>
      <c r="J36" s="200">
        <f t="shared" si="4"/>
        <v>0</v>
      </c>
      <c r="K36" s="223">
        <v>0</v>
      </c>
      <c r="L36" s="212"/>
      <c r="M36" s="35">
        <v>0</v>
      </c>
      <c r="N36" s="200">
        <f t="shared" si="5"/>
        <v>0</v>
      </c>
      <c r="O36" s="35">
        <v>2.5</v>
      </c>
      <c r="P36" s="200">
        <f t="shared" si="6"/>
        <v>0</v>
      </c>
      <c r="Q36" s="35">
        <v>300</v>
      </c>
      <c r="R36" s="200">
        <f t="shared" si="7"/>
        <v>0</v>
      </c>
    </row>
    <row r="37" spans="1:18" x14ac:dyDescent="0.2">
      <c r="A37" s="25"/>
      <c r="B37" s="25" t="s">
        <v>27</v>
      </c>
      <c r="C37" s="25"/>
      <c r="D37" s="25"/>
      <c r="E37" s="25"/>
      <c r="F37" s="25"/>
      <c r="G37" s="25"/>
      <c r="H37" s="25"/>
      <c r="I37" s="25"/>
      <c r="J37" s="25"/>
      <c r="K37" s="223"/>
      <c r="L37" s="25"/>
      <c r="M37" s="25"/>
      <c r="N37" s="25"/>
      <c r="O37" s="25"/>
      <c r="P37" s="25"/>
      <c r="Q37" s="25"/>
      <c r="R37" s="25"/>
    </row>
    <row r="38" spans="1:18" x14ac:dyDescent="0.2">
      <c r="A38" s="25"/>
      <c r="B38" s="25" t="s">
        <v>458</v>
      </c>
      <c r="C38" s="25" t="s">
        <v>396</v>
      </c>
      <c r="D38" s="25">
        <v>1</v>
      </c>
      <c r="E38" s="130"/>
      <c r="F38" s="224" t="s">
        <v>42</v>
      </c>
      <c r="G38" s="41">
        <v>17</v>
      </c>
      <c r="H38" s="131"/>
      <c r="I38" s="35">
        <v>17</v>
      </c>
      <c r="J38" s="200">
        <f t="shared" si="4"/>
        <v>0</v>
      </c>
      <c r="K38" s="223">
        <v>0</v>
      </c>
      <c r="L38" s="212"/>
      <c r="M38" s="35">
        <v>0</v>
      </c>
      <c r="N38" s="200">
        <f t="shared" si="5"/>
        <v>0</v>
      </c>
      <c r="O38" s="35">
        <v>17</v>
      </c>
      <c r="P38" s="200">
        <f t="shared" si="6"/>
        <v>0</v>
      </c>
      <c r="Q38" s="35">
        <v>2040</v>
      </c>
      <c r="R38" s="200">
        <f t="shared" si="7"/>
        <v>0</v>
      </c>
    </row>
    <row r="39" spans="1:18" x14ac:dyDescent="0.2">
      <c r="A39" s="25"/>
      <c r="B39" s="25" t="s">
        <v>1</v>
      </c>
      <c r="C39" s="25"/>
      <c r="D39" s="25"/>
      <c r="E39" s="25"/>
      <c r="F39" s="25"/>
      <c r="G39" s="25"/>
      <c r="H39" s="25"/>
      <c r="I39" s="25"/>
      <c r="J39" s="25"/>
      <c r="K39" s="223"/>
      <c r="L39" s="25"/>
      <c r="M39" s="25"/>
      <c r="N39" s="25"/>
      <c r="O39" s="25"/>
      <c r="P39" s="25"/>
      <c r="Q39" s="25"/>
      <c r="R39" s="25"/>
    </row>
    <row r="40" spans="1:18" x14ac:dyDescent="0.2">
      <c r="A40" s="25"/>
      <c r="B40" s="25" t="s">
        <v>458</v>
      </c>
      <c r="C40" s="25" t="s">
        <v>368</v>
      </c>
      <c r="D40" s="25">
        <v>11.5</v>
      </c>
      <c r="E40" s="130"/>
      <c r="F40" s="224" t="s">
        <v>82</v>
      </c>
      <c r="G40" s="41">
        <v>8</v>
      </c>
      <c r="H40" s="131"/>
      <c r="I40" s="35">
        <v>92</v>
      </c>
      <c r="J40" s="200">
        <f t="shared" si="4"/>
        <v>0</v>
      </c>
      <c r="K40" s="223">
        <v>0</v>
      </c>
      <c r="L40" s="212"/>
      <c r="M40" s="35">
        <v>0</v>
      </c>
      <c r="N40" s="200">
        <f t="shared" si="5"/>
        <v>0</v>
      </c>
      <c r="O40" s="35">
        <v>92</v>
      </c>
      <c r="P40" s="200">
        <f t="shared" si="6"/>
        <v>0</v>
      </c>
      <c r="Q40" s="35">
        <v>11040</v>
      </c>
      <c r="R40" s="200">
        <f t="shared" si="7"/>
        <v>0</v>
      </c>
    </row>
    <row r="41" spans="1:18" x14ac:dyDescent="0.2">
      <c r="A41" s="25"/>
      <c r="B41" s="131"/>
      <c r="C41" s="131"/>
      <c r="D41" s="25">
        <v>0</v>
      </c>
      <c r="E41" s="130"/>
      <c r="F41" s="224"/>
      <c r="G41" s="41">
        <v>0</v>
      </c>
      <c r="H41" s="131"/>
      <c r="I41" s="35">
        <v>0</v>
      </c>
      <c r="J41" s="200">
        <f t="shared" si="4"/>
        <v>0</v>
      </c>
      <c r="K41" s="223">
        <v>0</v>
      </c>
      <c r="L41" s="212"/>
      <c r="M41" s="35">
        <v>0</v>
      </c>
      <c r="N41" s="200">
        <f t="shared" si="5"/>
        <v>0</v>
      </c>
      <c r="O41" s="35">
        <v>0</v>
      </c>
      <c r="P41" s="200">
        <f t="shared" si="6"/>
        <v>0</v>
      </c>
      <c r="Q41" s="35">
        <v>0</v>
      </c>
      <c r="R41" s="200">
        <f t="shared" si="7"/>
        <v>0</v>
      </c>
    </row>
    <row r="42" spans="1:18" x14ac:dyDescent="0.2">
      <c r="A42" s="25"/>
      <c r="B42" s="131"/>
      <c r="C42" s="131"/>
      <c r="D42" s="25">
        <v>0</v>
      </c>
      <c r="E42" s="130"/>
      <c r="F42" s="224"/>
      <c r="G42" s="41">
        <v>0</v>
      </c>
      <c r="H42" s="131"/>
      <c r="I42" s="35">
        <v>0</v>
      </c>
      <c r="J42" s="200">
        <f t="shared" si="4"/>
        <v>0</v>
      </c>
      <c r="K42" s="223">
        <v>0</v>
      </c>
      <c r="L42" s="212"/>
      <c r="M42" s="35">
        <v>0</v>
      </c>
      <c r="N42" s="200">
        <f t="shared" si="5"/>
        <v>0</v>
      </c>
      <c r="O42" s="35">
        <v>0</v>
      </c>
      <c r="P42" s="200">
        <f t="shared" si="6"/>
        <v>0</v>
      </c>
      <c r="Q42" s="35">
        <v>0</v>
      </c>
      <c r="R42" s="200">
        <f t="shared" si="7"/>
        <v>0</v>
      </c>
    </row>
    <row r="43" spans="1:18" x14ac:dyDescent="0.2">
      <c r="A43" s="25"/>
      <c r="B43" s="131"/>
      <c r="C43" s="131"/>
      <c r="D43" s="25">
        <v>0</v>
      </c>
      <c r="E43" s="130"/>
      <c r="F43" s="224"/>
      <c r="G43" s="41">
        <v>0</v>
      </c>
      <c r="H43" s="131"/>
      <c r="I43" s="35">
        <v>0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0</v>
      </c>
      <c r="P43" s="200">
        <f>+J43-N43</f>
        <v>0</v>
      </c>
      <c r="Q43" s="35">
        <v>0</v>
      </c>
      <c r="R43" s="200">
        <f>+J43*E$7</f>
        <v>0</v>
      </c>
    </row>
    <row r="44" spans="1:18" x14ac:dyDescent="0.2">
      <c r="A44" s="25"/>
      <c r="B44" s="25" t="s">
        <v>45</v>
      </c>
      <c r="C44" s="25"/>
      <c r="D44" s="25"/>
      <c r="E44" s="207"/>
      <c r="F44" s="21"/>
      <c r="G44" s="41"/>
      <c r="H44" s="196"/>
      <c r="I44" s="184"/>
      <c r="J44" s="182"/>
      <c r="K44" s="223"/>
      <c r="L44" s="196"/>
      <c r="M44" s="35"/>
      <c r="N44" s="182"/>
      <c r="O44" s="35"/>
      <c r="P44" s="182"/>
      <c r="Q44" s="35"/>
      <c r="R44" s="182"/>
    </row>
    <row r="45" spans="1:18" x14ac:dyDescent="0.2">
      <c r="A45" s="25"/>
      <c r="B45" s="25"/>
      <c r="C45" s="25" t="s">
        <v>146</v>
      </c>
      <c r="D45" s="34">
        <v>12</v>
      </c>
      <c r="E45" s="130"/>
      <c r="F45" s="224" t="s">
        <v>142</v>
      </c>
      <c r="G45" s="41">
        <v>6.75</v>
      </c>
      <c r="H45" s="131"/>
      <c r="I45" s="35">
        <v>81</v>
      </c>
      <c r="J45" s="200">
        <f t="shared" ref="J45:J46" si="8">E45*H45</f>
        <v>0</v>
      </c>
      <c r="K45" s="223">
        <v>0</v>
      </c>
      <c r="L45" s="212"/>
      <c r="M45" s="35">
        <v>0</v>
      </c>
      <c r="N45" s="200">
        <f t="shared" ref="N45:N46" si="9">J45*L45</f>
        <v>0</v>
      </c>
      <c r="O45" s="35">
        <v>81</v>
      </c>
      <c r="P45" s="200">
        <f t="shared" ref="P45:P46" si="10">+J45-N45</f>
        <v>0</v>
      </c>
      <c r="Q45" s="35">
        <v>9720</v>
      </c>
      <c r="R45" s="200">
        <f t="shared" ref="R45:R46" si="11">+J45*E$7</f>
        <v>0</v>
      </c>
    </row>
    <row r="46" spans="1:18" x14ac:dyDescent="0.2">
      <c r="A46" s="25"/>
      <c r="B46" s="25"/>
      <c r="C46" s="25" t="s">
        <v>136</v>
      </c>
      <c r="D46" s="34">
        <v>0.96</v>
      </c>
      <c r="E46" s="130"/>
      <c r="F46" s="224" t="s">
        <v>44</v>
      </c>
      <c r="G46" s="41">
        <v>15</v>
      </c>
      <c r="H46" s="131"/>
      <c r="I46" s="35">
        <v>14.399999999999999</v>
      </c>
      <c r="J46" s="200">
        <f t="shared" si="8"/>
        <v>0</v>
      </c>
      <c r="K46" s="223">
        <v>0</v>
      </c>
      <c r="L46" s="212"/>
      <c r="M46" s="35">
        <v>0</v>
      </c>
      <c r="N46" s="200">
        <f t="shared" si="9"/>
        <v>0</v>
      </c>
      <c r="O46" s="35">
        <v>14.399999999999999</v>
      </c>
      <c r="P46" s="200">
        <f t="shared" si="10"/>
        <v>0</v>
      </c>
      <c r="Q46" s="35">
        <v>1727.9999999999998</v>
      </c>
      <c r="R46" s="200">
        <f t="shared" si="11"/>
        <v>0</v>
      </c>
    </row>
    <row r="47" spans="1:18" x14ac:dyDescent="0.2">
      <c r="A47" s="25"/>
      <c r="B47" s="25" t="s">
        <v>106</v>
      </c>
      <c r="C47" s="25"/>
      <c r="D47" s="25"/>
      <c r="E47" s="104"/>
      <c r="H47" s="104"/>
      <c r="I47" s="121"/>
      <c r="J47" s="104"/>
      <c r="K47" s="223"/>
      <c r="L47" s="104"/>
      <c r="N47" s="104"/>
      <c r="P47" s="104"/>
      <c r="R47" s="104"/>
    </row>
    <row r="48" spans="1:18" x14ac:dyDescent="0.2">
      <c r="A48" s="25"/>
      <c r="B48" s="25"/>
      <c r="C48" s="25" t="s">
        <v>103</v>
      </c>
      <c r="D48" s="25">
        <v>0.5</v>
      </c>
      <c r="E48" s="130"/>
      <c r="F48" s="224" t="s">
        <v>44</v>
      </c>
      <c r="G48" s="41">
        <v>15</v>
      </c>
      <c r="H48" s="131"/>
      <c r="I48" s="35">
        <v>7.5</v>
      </c>
      <c r="J48" s="200">
        <f>E48*H48</f>
        <v>0</v>
      </c>
      <c r="K48" s="223">
        <v>0</v>
      </c>
      <c r="L48" s="212"/>
      <c r="M48" s="35">
        <v>0</v>
      </c>
      <c r="N48" s="200">
        <f>J48*L48</f>
        <v>0</v>
      </c>
      <c r="O48" s="35">
        <v>7.5</v>
      </c>
      <c r="P48" s="200">
        <f>+J48-N48</f>
        <v>0</v>
      </c>
      <c r="Q48" s="35">
        <v>900</v>
      </c>
      <c r="R48" s="200">
        <f>+J48*E$7</f>
        <v>0</v>
      </c>
    </row>
    <row r="49" spans="1:18" x14ac:dyDescent="0.2">
      <c r="A49" s="25"/>
      <c r="B49" s="25"/>
      <c r="C49" s="25" t="s">
        <v>105</v>
      </c>
      <c r="D49" s="25">
        <v>0.6</v>
      </c>
      <c r="E49" s="130"/>
      <c r="F49" s="224" t="s">
        <v>44</v>
      </c>
      <c r="G49" s="41">
        <v>15</v>
      </c>
      <c r="H49" s="131"/>
      <c r="I49" s="35">
        <v>9</v>
      </c>
      <c r="J49" s="200">
        <f>E49*H49</f>
        <v>0</v>
      </c>
      <c r="K49" s="223">
        <v>0</v>
      </c>
      <c r="L49" s="212"/>
      <c r="M49" s="35">
        <v>0</v>
      </c>
      <c r="N49" s="200">
        <f>J49*L49</f>
        <v>0</v>
      </c>
      <c r="O49" s="35">
        <v>9</v>
      </c>
      <c r="P49" s="200">
        <f>+J49-N49</f>
        <v>0</v>
      </c>
      <c r="Q49" s="35">
        <v>1080</v>
      </c>
      <c r="R49" s="200">
        <f>+J49*E$7</f>
        <v>0</v>
      </c>
    </row>
    <row r="50" spans="1:18" x14ac:dyDescent="0.2">
      <c r="A50" s="25"/>
      <c r="B50" s="25"/>
      <c r="C50" s="25"/>
      <c r="D50" s="25"/>
      <c r="E50" s="207"/>
      <c r="F50" s="21"/>
      <c r="G50" s="41"/>
      <c r="H50" s="196"/>
      <c r="I50" s="35"/>
      <c r="J50" s="182"/>
      <c r="K50" s="223"/>
      <c r="L50" s="196"/>
      <c r="M50" s="35"/>
      <c r="N50" s="182"/>
      <c r="O50" s="35"/>
      <c r="P50" s="182"/>
      <c r="Q50" s="35"/>
      <c r="R50" s="182"/>
    </row>
    <row r="51" spans="1:18" x14ac:dyDescent="0.2">
      <c r="A51" s="25"/>
      <c r="B51" s="25" t="s">
        <v>51</v>
      </c>
      <c r="C51" s="25"/>
      <c r="D51" s="25"/>
      <c r="E51" s="207"/>
      <c r="F51" s="21"/>
      <c r="G51" s="41"/>
      <c r="H51" s="196"/>
      <c r="I51" s="184"/>
      <c r="J51" s="182"/>
      <c r="K51" s="223"/>
      <c r="L51" s="196"/>
      <c r="M51" s="35"/>
      <c r="N51" s="182"/>
      <c r="O51" s="35"/>
      <c r="P51" s="182"/>
      <c r="Q51" s="35"/>
      <c r="R51" s="182"/>
    </row>
    <row r="52" spans="1:18" x14ac:dyDescent="0.2">
      <c r="A52" s="25"/>
      <c r="B52" s="25"/>
      <c r="C52" s="25" t="s">
        <v>102</v>
      </c>
      <c r="D52" s="25">
        <v>1</v>
      </c>
      <c r="E52" s="130"/>
      <c r="F52" s="224" t="s">
        <v>42</v>
      </c>
      <c r="G52" s="41">
        <v>0</v>
      </c>
      <c r="H52" s="131"/>
      <c r="I52" s="35">
        <v>0</v>
      </c>
      <c r="J52" s="200">
        <f>E52*H52</f>
        <v>0</v>
      </c>
      <c r="K52" s="223">
        <v>0</v>
      </c>
      <c r="L52" s="212"/>
      <c r="M52" s="35">
        <v>0</v>
      </c>
      <c r="N52" s="200">
        <f>J52*L52</f>
        <v>0</v>
      </c>
      <c r="O52" s="35">
        <v>0</v>
      </c>
      <c r="P52" s="200">
        <f>+J52-N52</f>
        <v>0</v>
      </c>
      <c r="Q52" s="35">
        <v>0</v>
      </c>
      <c r="R52" s="200">
        <f>+J52*E$7</f>
        <v>0</v>
      </c>
    </row>
    <row r="53" spans="1:18" x14ac:dyDescent="0.2">
      <c r="A53" s="25"/>
      <c r="B53" s="25"/>
      <c r="C53" s="25" t="s">
        <v>103</v>
      </c>
      <c r="D53" s="25">
        <v>3.34</v>
      </c>
      <c r="E53" s="130"/>
      <c r="F53" s="224" t="s">
        <v>79</v>
      </c>
      <c r="G53" s="41">
        <v>3.0190000000000001</v>
      </c>
      <c r="H53" s="131"/>
      <c r="I53" s="35">
        <v>10.083460000000001</v>
      </c>
      <c r="J53" s="200">
        <f>E53*H53</f>
        <v>0</v>
      </c>
      <c r="K53" s="223">
        <v>0</v>
      </c>
      <c r="L53" s="212"/>
      <c r="M53" s="35">
        <v>0</v>
      </c>
      <c r="N53" s="200">
        <f>J53*L53</f>
        <v>0</v>
      </c>
      <c r="O53" s="35">
        <v>10.083460000000001</v>
      </c>
      <c r="P53" s="200">
        <f>+J53-N53</f>
        <v>0</v>
      </c>
      <c r="Q53" s="35">
        <v>1210.0152</v>
      </c>
      <c r="R53" s="200">
        <f>+J53*E$7</f>
        <v>0</v>
      </c>
    </row>
    <row r="54" spans="1:18" x14ac:dyDescent="0.2">
      <c r="A54" s="25"/>
      <c r="B54" s="25"/>
      <c r="C54" s="25"/>
      <c r="D54" s="25"/>
      <c r="E54" s="207"/>
      <c r="F54" s="21"/>
      <c r="G54" s="41"/>
      <c r="H54" s="196"/>
      <c r="I54" s="35"/>
      <c r="J54" s="182"/>
      <c r="K54" s="223"/>
      <c r="L54" s="196"/>
      <c r="M54" s="35"/>
      <c r="N54" s="182"/>
      <c r="O54" s="35"/>
      <c r="P54" s="182"/>
      <c r="Q54" s="35"/>
      <c r="R54" s="182"/>
    </row>
    <row r="55" spans="1:18" x14ac:dyDescent="0.2">
      <c r="A55" s="25"/>
      <c r="B55" s="25" t="s">
        <v>29</v>
      </c>
      <c r="C55" s="25"/>
      <c r="D55" s="25"/>
      <c r="E55" s="207"/>
      <c r="F55" s="21"/>
      <c r="G55" s="41"/>
      <c r="H55" s="196"/>
      <c r="I55" s="184"/>
      <c r="J55" s="182"/>
      <c r="K55" s="223"/>
      <c r="L55" s="196"/>
      <c r="M55" s="35"/>
      <c r="N55" s="182"/>
      <c r="O55" s="35"/>
      <c r="P55" s="182"/>
      <c r="Q55" s="35"/>
      <c r="R55" s="182"/>
    </row>
    <row r="56" spans="1:18" x14ac:dyDescent="0.2">
      <c r="A56" s="25"/>
      <c r="B56" s="25"/>
      <c r="C56" s="25" t="s">
        <v>102</v>
      </c>
      <c r="D56" s="25">
        <v>1</v>
      </c>
      <c r="E56" s="130"/>
      <c r="F56" s="224" t="s">
        <v>42</v>
      </c>
      <c r="G56" s="41">
        <v>9</v>
      </c>
      <c r="H56" s="131"/>
      <c r="I56" s="35">
        <v>9</v>
      </c>
      <c r="J56" s="200">
        <f>E56*H56</f>
        <v>0</v>
      </c>
      <c r="K56" s="223">
        <v>0</v>
      </c>
      <c r="L56" s="212"/>
      <c r="M56" s="35">
        <v>0</v>
      </c>
      <c r="N56" s="200">
        <f>J56*L56</f>
        <v>0</v>
      </c>
      <c r="O56" s="35">
        <v>9</v>
      </c>
      <c r="P56" s="200">
        <f>+J56-N56</f>
        <v>0</v>
      </c>
      <c r="Q56" s="35">
        <v>1080</v>
      </c>
      <c r="R56" s="200">
        <f>+J56*E$7</f>
        <v>0</v>
      </c>
    </row>
    <row r="57" spans="1:18" x14ac:dyDescent="0.2">
      <c r="A57" s="25"/>
      <c r="B57" s="25"/>
      <c r="C57" s="25" t="s">
        <v>103</v>
      </c>
      <c r="D57" s="25">
        <v>0</v>
      </c>
      <c r="E57" s="130"/>
      <c r="F57" s="224" t="s">
        <v>79</v>
      </c>
      <c r="G57" s="41">
        <v>3.09</v>
      </c>
      <c r="H57" s="131"/>
      <c r="I57" s="35">
        <v>0</v>
      </c>
      <c r="J57" s="200">
        <f>E57*H57</f>
        <v>0</v>
      </c>
      <c r="K57" s="223">
        <v>0</v>
      </c>
      <c r="L57" s="212"/>
      <c r="M57" s="35">
        <v>0</v>
      </c>
      <c r="N57" s="200">
        <f>J57*L57</f>
        <v>0</v>
      </c>
      <c r="O57" s="35">
        <v>0</v>
      </c>
      <c r="P57" s="200">
        <f>+J57-N57</f>
        <v>0</v>
      </c>
      <c r="Q57" s="35">
        <v>0</v>
      </c>
      <c r="R57" s="200">
        <f>+J57*E$7</f>
        <v>0</v>
      </c>
    </row>
    <row r="58" spans="1:18" x14ac:dyDescent="0.2">
      <c r="A58" s="25"/>
      <c r="B58" s="25"/>
      <c r="C58" s="25"/>
      <c r="D58" s="25"/>
      <c r="E58" s="207"/>
      <c r="F58" s="21"/>
      <c r="G58" s="41"/>
      <c r="H58" s="196"/>
      <c r="I58" s="35"/>
      <c r="J58" s="182"/>
      <c r="K58" s="223"/>
      <c r="L58" s="196"/>
      <c r="M58" s="35"/>
      <c r="N58" s="182"/>
      <c r="O58" s="35"/>
      <c r="P58" s="182"/>
      <c r="Q58" s="35"/>
      <c r="R58" s="182"/>
    </row>
    <row r="59" spans="1:18" x14ac:dyDescent="0.2">
      <c r="A59" s="25"/>
      <c r="B59" s="25" t="s">
        <v>47</v>
      </c>
      <c r="C59" s="25"/>
      <c r="D59" s="25"/>
      <c r="E59" s="207"/>
      <c r="F59" s="21"/>
      <c r="G59" s="41"/>
      <c r="H59" s="197"/>
      <c r="I59" s="184"/>
      <c r="J59" s="182"/>
      <c r="K59" s="223"/>
      <c r="L59" s="197"/>
      <c r="M59" s="35"/>
      <c r="N59" s="182"/>
      <c r="O59" s="35"/>
      <c r="P59" s="182"/>
      <c r="Q59" s="35"/>
      <c r="R59" s="182"/>
    </row>
    <row r="60" spans="1:18" x14ac:dyDescent="0.2">
      <c r="A60" s="25"/>
      <c r="B60" s="25"/>
      <c r="C60" s="25" t="s">
        <v>102</v>
      </c>
      <c r="D60" s="25">
        <v>1</v>
      </c>
      <c r="E60" s="130"/>
      <c r="F60" s="224" t="s">
        <v>42</v>
      </c>
      <c r="G60" s="41">
        <v>3</v>
      </c>
      <c r="H60" s="131"/>
      <c r="I60" s="35">
        <v>3</v>
      </c>
      <c r="J60" s="200">
        <f t="shared" ref="J60:J65" si="12">E60*H60</f>
        <v>0</v>
      </c>
      <c r="K60" s="223">
        <v>0</v>
      </c>
      <c r="L60" s="212"/>
      <c r="M60" s="35">
        <v>0</v>
      </c>
      <c r="N60" s="200">
        <f t="shared" ref="N60:N65" si="13">J60*L60</f>
        <v>0</v>
      </c>
      <c r="O60" s="35">
        <v>3</v>
      </c>
      <c r="P60" s="200">
        <f t="shared" ref="P60:P65" si="14">+J60-N60</f>
        <v>0</v>
      </c>
      <c r="Q60" s="35">
        <v>360</v>
      </c>
      <c r="R60" s="200">
        <f t="shared" ref="R60:R65" si="15">+J60*E$7</f>
        <v>0</v>
      </c>
    </row>
    <row r="61" spans="1:18" x14ac:dyDescent="0.2">
      <c r="A61" s="25"/>
      <c r="B61" s="25"/>
      <c r="C61" s="25" t="s">
        <v>46</v>
      </c>
      <c r="D61" s="25">
        <v>1</v>
      </c>
      <c r="E61" s="130"/>
      <c r="F61" s="224" t="s">
        <v>42</v>
      </c>
      <c r="G61" s="41">
        <v>13.335599999999999</v>
      </c>
      <c r="H61" s="131"/>
      <c r="I61" s="35">
        <v>13.335599999999999</v>
      </c>
      <c r="J61" s="200">
        <f t="shared" si="12"/>
        <v>0</v>
      </c>
      <c r="K61" s="223">
        <v>0</v>
      </c>
      <c r="L61" s="212"/>
      <c r="M61" s="35">
        <v>0</v>
      </c>
      <c r="N61" s="200">
        <f t="shared" si="13"/>
        <v>0</v>
      </c>
      <c r="O61" s="35">
        <v>13.335599999999999</v>
      </c>
      <c r="P61" s="200">
        <f t="shared" si="14"/>
        <v>0</v>
      </c>
      <c r="Q61" s="35">
        <v>1600.2719999999999</v>
      </c>
      <c r="R61" s="200">
        <f t="shared" si="15"/>
        <v>0</v>
      </c>
    </row>
    <row r="62" spans="1:18" x14ac:dyDescent="0.2">
      <c r="A62" s="25"/>
      <c r="B62" s="25"/>
      <c r="C62" s="25" t="s">
        <v>103</v>
      </c>
      <c r="D62" s="25">
        <v>1</v>
      </c>
      <c r="E62" s="130"/>
      <c r="F62" s="224" t="s">
        <v>42</v>
      </c>
      <c r="G62" s="41">
        <v>6.8611817419571857</v>
      </c>
      <c r="H62" s="131"/>
      <c r="I62" s="35">
        <v>6.8611817419571857</v>
      </c>
      <c r="J62" s="200">
        <f t="shared" si="12"/>
        <v>0</v>
      </c>
      <c r="K62" s="223">
        <v>0</v>
      </c>
      <c r="L62" s="212"/>
      <c r="M62" s="35">
        <v>0</v>
      </c>
      <c r="N62" s="200">
        <f t="shared" si="13"/>
        <v>0</v>
      </c>
      <c r="O62" s="35">
        <v>6.8611817419571857</v>
      </c>
      <c r="P62" s="200">
        <f t="shared" si="14"/>
        <v>0</v>
      </c>
      <c r="Q62" s="35">
        <v>823.34180903486231</v>
      </c>
      <c r="R62" s="200">
        <f t="shared" si="15"/>
        <v>0</v>
      </c>
    </row>
    <row r="63" spans="1:18" x14ac:dyDescent="0.2">
      <c r="A63" s="25"/>
      <c r="B63" s="25"/>
      <c r="C63" s="25" t="s">
        <v>5</v>
      </c>
      <c r="D63" s="25">
        <v>1</v>
      </c>
      <c r="E63" s="130"/>
      <c r="F63" s="224" t="s">
        <v>42</v>
      </c>
      <c r="G63" s="41">
        <v>8.0514144553248403</v>
      </c>
      <c r="H63" s="131"/>
      <c r="I63" s="35">
        <v>8.0514144553248403</v>
      </c>
      <c r="J63" s="200">
        <f t="shared" si="12"/>
        <v>0</v>
      </c>
      <c r="K63" s="223">
        <v>0</v>
      </c>
      <c r="L63" s="212"/>
      <c r="M63" s="35">
        <v>0</v>
      </c>
      <c r="N63" s="200">
        <f t="shared" si="13"/>
        <v>0</v>
      </c>
      <c r="O63" s="35">
        <v>8.0514144553248403</v>
      </c>
      <c r="P63" s="200">
        <f t="shared" si="14"/>
        <v>0</v>
      </c>
      <c r="Q63" s="35">
        <v>966.1697346389808</v>
      </c>
      <c r="R63" s="200">
        <f t="shared" si="15"/>
        <v>0</v>
      </c>
    </row>
    <row r="64" spans="1:18" x14ac:dyDescent="0.2">
      <c r="A64" s="25"/>
      <c r="B64" s="131"/>
      <c r="C64" s="131"/>
      <c r="D64" s="25"/>
      <c r="E64" s="130"/>
      <c r="F64" s="224"/>
      <c r="G64" s="41"/>
      <c r="H64" s="131"/>
      <c r="I64" s="35">
        <v>0</v>
      </c>
      <c r="J64" s="200">
        <f t="shared" si="12"/>
        <v>0</v>
      </c>
      <c r="K64" s="223">
        <v>0</v>
      </c>
      <c r="L64" s="212"/>
      <c r="M64" s="35">
        <v>0</v>
      </c>
      <c r="N64" s="200">
        <f t="shared" si="13"/>
        <v>0</v>
      </c>
      <c r="O64" s="35">
        <v>0</v>
      </c>
      <c r="P64" s="200">
        <f t="shared" si="14"/>
        <v>0</v>
      </c>
      <c r="Q64" s="35">
        <v>0</v>
      </c>
      <c r="R64" s="200">
        <f t="shared" si="15"/>
        <v>0</v>
      </c>
    </row>
    <row r="65" spans="1:18" x14ac:dyDescent="0.2">
      <c r="A65" s="25"/>
      <c r="B65" s="131"/>
      <c r="C65" s="131"/>
      <c r="D65" s="25"/>
      <c r="E65" s="130"/>
      <c r="F65" s="224"/>
      <c r="G65" s="41"/>
      <c r="H65" s="131"/>
      <c r="I65" s="35">
        <v>0</v>
      </c>
      <c r="J65" s="200">
        <f t="shared" si="12"/>
        <v>0</v>
      </c>
      <c r="K65" s="223">
        <v>0</v>
      </c>
      <c r="L65" s="212"/>
      <c r="M65" s="35">
        <v>0</v>
      </c>
      <c r="N65" s="200">
        <f t="shared" si="13"/>
        <v>0</v>
      </c>
      <c r="O65" s="35">
        <v>0</v>
      </c>
      <c r="P65" s="200">
        <f t="shared" si="14"/>
        <v>0</v>
      </c>
      <c r="Q65" s="35">
        <v>0</v>
      </c>
      <c r="R65" s="200">
        <f t="shared" si="15"/>
        <v>0</v>
      </c>
    </row>
    <row r="66" spans="1:18" ht="13.5" thickBot="1" x14ac:dyDescent="0.25">
      <c r="A66" s="25"/>
      <c r="B66" s="25" t="s">
        <v>32</v>
      </c>
      <c r="C66" s="25"/>
      <c r="D66" s="25"/>
      <c r="E66" s="195"/>
      <c r="F66" s="21"/>
      <c r="G66" s="39">
        <v>0.09</v>
      </c>
      <c r="H66" s="213"/>
      <c r="I66" s="42">
        <v>20.160335557805251</v>
      </c>
      <c r="J66" s="200">
        <f>+SUM(J18:J65)/2*H66</f>
        <v>0</v>
      </c>
      <c r="K66" s="86"/>
      <c r="L66" s="135"/>
      <c r="M66" s="42">
        <v>0</v>
      </c>
      <c r="N66" s="200">
        <f>+SUM(N18:N65)/2*L66</f>
        <v>0</v>
      </c>
      <c r="O66" s="42">
        <v>20.160335557805251</v>
      </c>
      <c r="P66" s="200">
        <f>+SUM(P18:P65)/2*L66</f>
        <v>0</v>
      </c>
      <c r="Q66" s="42">
        <v>2419.2402669366302</v>
      </c>
      <c r="R66" s="182">
        <f>+J66*E$7</f>
        <v>0</v>
      </c>
    </row>
    <row r="67" spans="1:18" ht="13.5" thickBot="1" x14ac:dyDescent="0.25">
      <c r="A67" s="25" t="s">
        <v>33</v>
      </c>
      <c r="B67" s="25"/>
      <c r="C67" s="25"/>
      <c r="D67" s="25"/>
      <c r="E67" s="198"/>
      <c r="F67" s="25"/>
      <c r="G67" s="25"/>
      <c r="H67" s="195"/>
      <c r="I67" s="87">
        <v>672.80129175508728</v>
      </c>
      <c r="J67" s="202">
        <f>SUM(J19:J66)</f>
        <v>0</v>
      </c>
      <c r="K67" s="35"/>
      <c r="L67" s="193"/>
      <c r="M67" s="87">
        <v>0</v>
      </c>
      <c r="N67" s="202">
        <f>SUM(N19:N66)</f>
        <v>0</v>
      </c>
      <c r="O67" s="87">
        <v>672.80129175508728</v>
      </c>
      <c r="P67" s="202">
        <f>SUM(P19:P66)</f>
        <v>0</v>
      </c>
      <c r="Q67" s="87">
        <v>80736.15501061047</v>
      </c>
      <c r="R67" s="202">
        <f>SUM(R19:R66)</f>
        <v>0</v>
      </c>
    </row>
    <row r="68" spans="1:18" ht="13.5" thickTop="1" x14ac:dyDescent="0.2">
      <c r="A68" s="25" t="s">
        <v>34</v>
      </c>
      <c r="B68" s="25"/>
      <c r="C68" s="25"/>
      <c r="D68" s="25"/>
      <c r="E68" s="198"/>
      <c r="F68" s="25"/>
      <c r="G68" s="25"/>
      <c r="H68" s="195"/>
      <c r="I68" s="35">
        <v>167.34170824491275</v>
      </c>
      <c r="J68" s="200">
        <f>+J14-J67</f>
        <v>0</v>
      </c>
      <c r="K68" s="35"/>
      <c r="L68" s="193"/>
      <c r="M68" s="35">
        <v>0</v>
      </c>
      <c r="N68" s="200">
        <f>+N14-N67</f>
        <v>0</v>
      </c>
      <c r="O68" s="35">
        <v>167.34170824491275</v>
      </c>
      <c r="P68" s="200">
        <f>+P14-P67</f>
        <v>0</v>
      </c>
      <c r="Q68" s="35">
        <v>20081.004989389534</v>
      </c>
      <c r="R68" s="200">
        <f>+R14-R67</f>
        <v>0</v>
      </c>
    </row>
    <row r="69" spans="1:18" x14ac:dyDescent="0.2">
      <c r="A69" s="25"/>
      <c r="B69" s="25" t="s">
        <v>35</v>
      </c>
      <c r="C69" s="25"/>
      <c r="D69" s="25"/>
      <c r="E69" s="208"/>
      <c r="F69" s="17"/>
      <c r="G69" s="40">
        <v>0.67265829175508729</v>
      </c>
      <c r="H69" s="208" t="str">
        <f>IF(E10=0,"n/a",(YVarExp-(YTotExp+YTotRet-J10))/E10)</f>
        <v>n/a</v>
      </c>
      <c r="I69" s="25" t="s">
        <v>82</v>
      </c>
      <c r="J69" s="182"/>
      <c r="K69" s="25"/>
      <c r="L69" s="195"/>
      <c r="M69" s="25"/>
      <c r="N69" s="182"/>
      <c r="O69" s="25"/>
      <c r="P69" s="182"/>
      <c r="Q69" s="25"/>
      <c r="R69" s="182"/>
    </row>
    <row r="70" spans="1:18" x14ac:dyDescent="0.2">
      <c r="A70" s="25"/>
      <c r="B70" s="25"/>
      <c r="C70" s="25"/>
      <c r="D70" s="25"/>
      <c r="E70" s="176"/>
      <c r="F70" s="25"/>
      <c r="G70" s="25"/>
      <c r="H70" s="209"/>
      <c r="I70" s="25"/>
      <c r="J70" s="182"/>
      <c r="K70" s="25"/>
      <c r="L70" s="195"/>
      <c r="M70" s="25"/>
      <c r="N70" s="182"/>
      <c r="O70" s="25"/>
      <c r="P70" s="182"/>
      <c r="Q70" s="22" t="s">
        <v>19</v>
      </c>
      <c r="R70" s="182" t="s">
        <v>19</v>
      </c>
    </row>
    <row r="71" spans="1:18" x14ac:dyDescent="0.2">
      <c r="A71" s="23" t="s">
        <v>36</v>
      </c>
      <c r="B71" s="23"/>
      <c r="C71" s="23"/>
      <c r="D71" s="24" t="s">
        <v>2</v>
      </c>
      <c r="E71" s="194" t="s">
        <v>2</v>
      </c>
      <c r="F71" s="24" t="s">
        <v>21</v>
      </c>
      <c r="G71" s="24" t="s">
        <v>22</v>
      </c>
      <c r="H71" s="194" t="s">
        <v>22</v>
      </c>
      <c r="I71" s="24" t="s">
        <v>12</v>
      </c>
      <c r="J71" s="194" t="s">
        <v>12</v>
      </c>
      <c r="K71" s="24" t="s">
        <v>11</v>
      </c>
      <c r="L71" s="194" t="s">
        <v>11</v>
      </c>
      <c r="M71" s="24" t="s">
        <v>10</v>
      </c>
      <c r="N71" s="194" t="s">
        <v>10</v>
      </c>
      <c r="O71" s="24" t="s">
        <v>9</v>
      </c>
      <c r="P71" s="194" t="s">
        <v>9</v>
      </c>
      <c r="Q71" s="24" t="s">
        <v>12</v>
      </c>
      <c r="R71" s="206" t="s">
        <v>12</v>
      </c>
    </row>
    <row r="72" spans="1:18" x14ac:dyDescent="0.2">
      <c r="A72" s="25"/>
      <c r="B72" s="25" t="s">
        <v>104</v>
      </c>
      <c r="C72" s="25"/>
      <c r="D72" s="25"/>
      <c r="E72" s="176"/>
      <c r="F72" s="25"/>
      <c r="G72" s="25"/>
      <c r="H72" s="209"/>
      <c r="I72" s="184"/>
      <c r="J72" s="182"/>
      <c r="K72" s="223"/>
      <c r="L72" s="195"/>
      <c r="M72" s="25"/>
      <c r="N72" s="182"/>
      <c r="O72" s="25"/>
      <c r="P72" s="182"/>
      <c r="Q72" s="25"/>
      <c r="R72" s="182"/>
    </row>
    <row r="73" spans="1:18" x14ac:dyDescent="0.2">
      <c r="A73" s="25"/>
      <c r="B73" s="25"/>
      <c r="C73" s="25" t="s">
        <v>102</v>
      </c>
      <c r="D73" s="25">
        <v>1</v>
      </c>
      <c r="E73" s="130"/>
      <c r="F73" s="224" t="s">
        <v>42</v>
      </c>
      <c r="G73" s="41">
        <v>4.165</v>
      </c>
      <c r="H73" s="131"/>
      <c r="I73" s="35">
        <v>4.165</v>
      </c>
      <c r="J73" s="200">
        <f t="shared" ref="J73:J76" si="16">E73*H73</f>
        <v>0</v>
      </c>
      <c r="K73" s="223">
        <v>0</v>
      </c>
      <c r="L73" s="212"/>
      <c r="M73" s="35">
        <v>0</v>
      </c>
      <c r="N73" s="200">
        <f>J73*L73</f>
        <v>0</v>
      </c>
      <c r="O73" s="35">
        <v>4.165</v>
      </c>
      <c r="P73" s="200">
        <f t="shared" ref="P73:P76" si="17">+J73-N73</f>
        <v>0</v>
      </c>
      <c r="Q73" s="35">
        <v>499.8</v>
      </c>
      <c r="R73" s="200">
        <f t="shared" ref="R73:R76" si="18">+J73*E$7</f>
        <v>0</v>
      </c>
    </row>
    <row r="74" spans="1:18" x14ac:dyDescent="0.2">
      <c r="A74" s="25"/>
      <c r="B74" s="25"/>
      <c r="C74" s="25" t="s">
        <v>46</v>
      </c>
      <c r="D74" s="25">
        <v>1</v>
      </c>
      <c r="E74" s="130"/>
      <c r="F74" s="224" t="s">
        <v>42</v>
      </c>
      <c r="G74" s="41">
        <v>15</v>
      </c>
      <c r="H74" s="131"/>
      <c r="I74" s="35">
        <v>15</v>
      </c>
      <c r="J74" s="200">
        <f t="shared" si="16"/>
        <v>0</v>
      </c>
      <c r="K74" s="223">
        <v>0</v>
      </c>
      <c r="L74" s="212"/>
      <c r="M74" s="35">
        <v>0</v>
      </c>
      <c r="N74" s="200">
        <f>J74*L74</f>
        <v>0</v>
      </c>
      <c r="O74" s="35">
        <v>15</v>
      </c>
      <c r="P74" s="200">
        <f t="shared" si="17"/>
        <v>0</v>
      </c>
      <c r="Q74" s="35">
        <v>1800</v>
      </c>
      <c r="R74" s="200">
        <f t="shared" si="18"/>
        <v>0</v>
      </c>
    </row>
    <row r="75" spans="1:18" x14ac:dyDescent="0.2">
      <c r="A75" s="25"/>
      <c r="B75" s="25"/>
      <c r="C75" s="25" t="s">
        <v>103</v>
      </c>
      <c r="D75" s="25">
        <v>1</v>
      </c>
      <c r="E75" s="130"/>
      <c r="F75" s="224" t="s">
        <v>42</v>
      </c>
      <c r="G75" s="41">
        <v>7.0898878000224261</v>
      </c>
      <c r="H75" s="131"/>
      <c r="I75" s="35">
        <v>7.0898878000224261</v>
      </c>
      <c r="J75" s="200">
        <f t="shared" si="16"/>
        <v>0</v>
      </c>
      <c r="K75" s="223">
        <v>0</v>
      </c>
      <c r="L75" s="212"/>
      <c r="M75" s="35">
        <v>0</v>
      </c>
      <c r="N75" s="200">
        <f>J75*L75</f>
        <v>0</v>
      </c>
      <c r="O75" s="35">
        <v>7.0898878000224261</v>
      </c>
      <c r="P75" s="200">
        <f t="shared" si="17"/>
        <v>0</v>
      </c>
      <c r="Q75" s="35">
        <v>850.78653600269115</v>
      </c>
      <c r="R75" s="200">
        <f t="shared" si="18"/>
        <v>0</v>
      </c>
    </row>
    <row r="76" spans="1:18" x14ac:dyDescent="0.2">
      <c r="A76" s="25"/>
      <c r="B76" s="25"/>
      <c r="C76" s="25" t="s">
        <v>5</v>
      </c>
      <c r="D76" s="25">
        <v>1</v>
      </c>
      <c r="E76" s="130"/>
      <c r="F76" s="224" t="s">
        <v>42</v>
      </c>
      <c r="G76" s="41">
        <v>10.690720316283736</v>
      </c>
      <c r="H76" s="131"/>
      <c r="I76" s="35">
        <v>10.690720316283736</v>
      </c>
      <c r="J76" s="200">
        <f t="shared" si="16"/>
        <v>0</v>
      </c>
      <c r="K76" s="223">
        <v>0</v>
      </c>
      <c r="L76" s="212"/>
      <c r="M76" s="35">
        <v>0</v>
      </c>
      <c r="N76" s="200">
        <f>J76*L76</f>
        <v>0</v>
      </c>
      <c r="O76" s="35">
        <v>10.690720316283736</v>
      </c>
      <c r="P76" s="200">
        <f t="shared" si="17"/>
        <v>0</v>
      </c>
      <c r="Q76" s="35">
        <v>1282.8864379540482</v>
      </c>
      <c r="R76" s="200">
        <f t="shared" si="18"/>
        <v>0</v>
      </c>
    </row>
    <row r="77" spans="1:18" x14ac:dyDescent="0.2">
      <c r="A77" s="25"/>
      <c r="B77" s="25" t="s">
        <v>88</v>
      </c>
      <c r="C77" s="25"/>
      <c r="D77" s="25"/>
      <c r="E77" s="195"/>
      <c r="F77" s="21"/>
      <c r="G77" s="41"/>
      <c r="H77" s="195"/>
      <c r="I77" s="184"/>
      <c r="J77" s="182"/>
      <c r="K77" s="223"/>
      <c r="L77" s="195"/>
      <c r="M77" s="35"/>
      <c r="N77" s="182"/>
      <c r="O77" s="35"/>
      <c r="P77" s="182"/>
      <c r="Q77" s="35"/>
      <c r="R77" s="182"/>
    </row>
    <row r="78" spans="1:18" x14ac:dyDescent="0.2">
      <c r="A78" s="25"/>
      <c r="B78" s="25"/>
      <c r="C78" s="25" t="s">
        <v>102</v>
      </c>
      <c r="D78" s="41">
        <v>29.175000000000001</v>
      </c>
      <c r="E78" s="130"/>
      <c r="F78" s="224" t="s">
        <v>99</v>
      </c>
      <c r="G78" s="39">
        <v>0.08</v>
      </c>
      <c r="H78" s="213"/>
      <c r="I78" s="35">
        <v>2.3340000000000001</v>
      </c>
      <c r="J78" s="200">
        <f t="shared" ref="J78:J88" si="19">E78*H78</f>
        <v>0</v>
      </c>
      <c r="K78" s="223">
        <v>0</v>
      </c>
      <c r="L78" s="212"/>
      <c r="M78" s="35">
        <v>0</v>
      </c>
      <c r="N78" s="200">
        <f>J78*L78</f>
        <v>0</v>
      </c>
      <c r="O78" s="35">
        <v>2.3340000000000001</v>
      </c>
      <c r="P78" s="200">
        <f t="shared" ref="P78:P81" si="20">+J78-N78</f>
        <v>0</v>
      </c>
      <c r="Q78" s="35">
        <v>280.08</v>
      </c>
      <c r="R78" s="200">
        <f t="shared" ref="R78:R81" si="21">+J78*E$7</f>
        <v>0</v>
      </c>
    </row>
    <row r="79" spans="1:18" x14ac:dyDescent="0.2">
      <c r="A79" s="25"/>
      <c r="B79" s="25"/>
      <c r="C79" s="25" t="s">
        <v>46</v>
      </c>
      <c r="D79" s="41">
        <v>437.5</v>
      </c>
      <c r="E79" s="130"/>
      <c r="F79" s="224" t="s">
        <v>99</v>
      </c>
      <c r="G79" s="39">
        <v>0.08</v>
      </c>
      <c r="H79" s="213"/>
      <c r="I79" s="35">
        <v>35</v>
      </c>
      <c r="J79" s="200">
        <f t="shared" si="19"/>
        <v>0</v>
      </c>
      <c r="K79" s="223">
        <v>0</v>
      </c>
      <c r="L79" s="212"/>
      <c r="M79" s="35">
        <v>0</v>
      </c>
      <c r="N79" s="200">
        <f>J79*L79</f>
        <v>0</v>
      </c>
      <c r="O79" s="35">
        <v>35</v>
      </c>
      <c r="P79" s="200">
        <f t="shared" si="20"/>
        <v>0</v>
      </c>
      <c r="Q79" s="35">
        <v>4200</v>
      </c>
      <c r="R79" s="200">
        <f t="shared" si="21"/>
        <v>0</v>
      </c>
    </row>
    <row r="80" spans="1:18" x14ac:dyDescent="0.2">
      <c r="A80" s="25"/>
      <c r="B80" s="25"/>
      <c r="C80" s="25" t="s">
        <v>103</v>
      </c>
      <c r="D80" s="41">
        <v>55.232513022755349</v>
      </c>
      <c r="E80" s="130"/>
      <c r="F80" s="224" t="s">
        <v>99</v>
      </c>
      <c r="G80" s="39">
        <v>0.08</v>
      </c>
      <c r="H80" s="213"/>
      <c r="I80" s="35">
        <v>4.4186010418204278</v>
      </c>
      <c r="J80" s="200">
        <f t="shared" si="19"/>
        <v>0</v>
      </c>
      <c r="K80" s="223">
        <v>0</v>
      </c>
      <c r="L80" s="212"/>
      <c r="M80" s="35">
        <v>0</v>
      </c>
      <c r="N80" s="200">
        <f>J80*L80</f>
        <v>0</v>
      </c>
      <c r="O80" s="35">
        <v>4.4186010418204278</v>
      </c>
      <c r="P80" s="200">
        <f t="shared" si="20"/>
        <v>0</v>
      </c>
      <c r="Q80" s="35">
        <v>530.23212501845137</v>
      </c>
      <c r="R80" s="200">
        <f t="shared" si="21"/>
        <v>0</v>
      </c>
    </row>
    <row r="81" spans="1:18" x14ac:dyDescent="0.2">
      <c r="A81" s="25"/>
      <c r="B81" s="25"/>
      <c r="C81" s="25" t="s">
        <v>5</v>
      </c>
      <c r="D81" s="41">
        <v>45.732525797435976</v>
      </c>
      <c r="E81" s="130"/>
      <c r="F81" s="224" t="s">
        <v>99</v>
      </c>
      <c r="G81" s="39">
        <v>0.08</v>
      </c>
      <c r="H81" s="213"/>
      <c r="I81" s="35">
        <v>3.658602063794878</v>
      </c>
      <c r="J81" s="200">
        <f t="shared" si="19"/>
        <v>0</v>
      </c>
      <c r="K81" s="223">
        <v>0</v>
      </c>
      <c r="L81" s="212"/>
      <c r="M81" s="35">
        <v>0</v>
      </c>
      <c r="N81" s="200">
        <f>J81*L81</f>
        <v>0</v>
      </c>
      <c r="O81" s="35">
        <v>3.658602063794878</v>
      </c>
      <c r="P81" s="200">
        <f t="shared" si="20"/>
        <v>0</v>
      </c>
      <c r="Q81" s="35">
        <v>439.03224765538533</v>
      </c>
      <c r="R81" s="200">
        <f t="shared" si="21"/>
        <v>0</v>
      </c>
    </row>
    <row r="82" spans="1:18" x14ac:dyDescent="0.2">
      <c r="A82" s="25"/>
      <c r="B82" s="25" t="s">
        <v>156</v>
      </c>
      <c r="C82" s="25"/>
      <c r="D82" s="25">
        <v>1</v>
      </c>
      <c r="E82" s="130"/>
      <c r="F82" s="224" t="s">
        <v>42</v>
      </c>
      <c r="G82" s="41">
        <v>0</v>
      </c>
      <c r="H82" s="131"/>
      <c r="I82" s="35">
        <v>0</v>
      </c>
      <c r="J82" s="200">
        <f t="shared" si="19"/>
        <v>0</v>
      </c>
      <c r="K82" s="223">
        <v>0</v>
      </c>
      <c r="L82" s="212"/>
      <c r="M82" s="35">
        <v>0</v>
      </c>
      <c r="N82" s="200">
        <f t="shared" ref="N82:N89" si="22">J82*L82</f>
        <v>0</v>
      </c>
      <c r="O82" s="35">
        <v>0</v>
      </c>
      <c r="P82" s="200">
        <f t="shared" ref="P82:P89" si="23">+J82-N82</f>
        <v>0</v>
      </c>
      <c r="Q82" s="35">
        <v>0</v>
      </c>
      <c r="R82" s="200">
        <f t="shared" ref="R82:R89" si="24">+J82*E$7</f>
        <v>0</v>
      </c>
    </row>
    <row r="83" spans="1:18" x14ac:dyDescent="0.2">
      <c r="A83" s="25"/>
      <c r="B83" s="25" t="s">
        <v>152</v>
      </c>
      <c r="C83" s="25"/>
      <c r="D83" s="25">
        <v>1</v>
      </c>
      <c r="E83" s="130"/>
      <c r="F83" s="224" t="s">
        <v>42</v>
      </c>
      <c r="G83" s="41">
        <v>0</v>
      </c>
      <c r="H83" s="131"/>
      <c r="I83" s="35">
        <v>0</v>
      </c>
      <c r="J83" s="200">
        <f t="shared" si="19"/>
        <v>0</v>
      </c>
      <c r="K83" s="223">
        <v>0</v>
      </c>
      <c r="L83" s="212"/>
      <c r="M83" s="35">
        <v>0</v>
      </c>
      <c r="N83" s="200">
        <f t="shared" si="22"/>
        <v>0</v>
      </c>
      <c r="O83" s="35">
        <v>0</v>
      </c>
      <c r="P83" s="200">
        <f t="shared" si="23"/>
        <v>0</v>
      </c>
      <c r="Q83" s="35">
        <v>0</v>
      </c>
      <c r="R83" s="200">
        <f t="shared" si="24"/>
        <v>0</v>
      </c>
    </row>
    <row r="84" spans="1:18" x14ac:dyDescent="0.2">
      <c r="A84" s="25"/>
      <c r="B84" s="25" t="s">
        <v>137</v>
      </c>
      <c r="C84" s="25"/>
      <c r="D84" s="25">
        <v>1</v>
      </c>
      <c r="E84" s="130"/>
      <c r="F84" s="224" t="s">
        <v>42</v>
      </c>
      <c r="G84" s="41">
        <v>0</v>
      </c>
      <c r="H84" s="131"/>
      <c r="I84" s="35">
        <v>0</v>
      </c>
      <c r="J84" s="200">
        <f t="shared" si="19"/>
        <v>0</v>
      </c>
      <c r="K84" s="223">
        <v>0</v>
      </c>
      <c r="L84" s="212"/>
      <c r="M84" s="35">
        <v>0</v>
      </c>
      <c r="N84" s="200">
        <f t="shared" si="22"/>
        <v>0</v>
      </c>
      <c r="O84" s="35">
        <v>0</v>
      </c>
      <c r="P84" s="200">
        <f t="shared" si="23"/>
        <v>0</v>
      </c>
      <c r="Q84" s="35">
        <v>0</v>
      </c>
      <c r="R84" s="200">
        <f t="shared" si="24"/>
        <v>0</v>
      </c>
    </row>
    <row r="85" spans="1:18" x14ac:dyDescent="0.2">
      <c r="A85" s="25"/>
      <c r="B85" s="25" t="s">
        <v>417</v>
      </c>
      <c r="C85" s="25"/>
      <c r="D85" s="25">
        <v>1</v>
      </c>
      <c r="E85" s="130"/>
      <c r="F85" s="224" t="s">
        <v>42</v>
      </c>
      <c r="G85" s="41">
        <v>90</v>
      </c>
      <c r="H85" s="131"/>
      <c r="I85" s="35">
        <v>90</v>
      </c>
      <c r="J85" s="200">
        <f t="shared" si="19"/>
        <v>0</v>
      </c>
      <c r="K85" s="223">
        <v>0</v>
      </c>
      <c r="L85" s="212"/>
      <c r="M85" s="35">
        <v>0</v>
      </c>
      <c r="N85" s="200">
        <f t="shared" si="22"/>
        <v>0</v>
      </c>
      <c r="O85" s="35">
        <v>90</v>
      </c>
      <c r="P85" s="200">
        <f t="shared" si="23"/>
        <v>0</v>
      </c>
      <c r="Q85" s="35">
        <v>10800</v>
      </c>
      <c r="R85" s="200">
        <f t="shared" si="24"/>
        <v>0</v>
      </c>
    </row>
    <row r="86" spans="1:18" x14ac:dyDescent="0.2">
      <c r="A86" s="25"/>
      <c r="B86" s="25" t="s">
        <v>159</v>
      </c>
      <c r="C86" s="25"/>
      <c r="D86" s="25">
        <v>1</v>
      </c>
      <c r="E86" s="130"/>
      <c r="F86" s="224" t="s">
        <v>42</v>
      </c>
      <c r="G86" s="41">
        <v>0</v>
      </c>
      <c r="H86" s="131"/>
      <c r="I86" s="35">
        <v>0</v>
      </c>
      <c r="J86" s="200">
        <f t="shared" si="19"/>
        <v>0</v>
      </c>
      <c r="K86" s="223">
        <v>0</v>
      </c>
      <c r="L86" s="212"/>
      <c r="M86" s="35">
        <v>0</v>
      </c>
      <c r="N86" s="200">
        <f t="shared" si="22"/>
        <v>0</v>
      </c>
      <c r="O86" s="35">
        <v>0</v>
      </c>
      <c r="P86" s="200">
        <f t="shared" si="23"/>
        <v>0</v>
      </c>
      <c r="Q86" s="35">
        <v>0</v>
      </c>
      <c r="R86" s="200">
        <f t="shared" si="24"/>
        <v>0</v>
      </c>
    </row>
    <row r="87" spans="1:18" x14ac:dyDescent="0.2">
      <c r="A87" s="25"/>
      <c r="B87" s="25" t="s">
        <v>160</v>
      </c>
      <c r="C87" s="25"/>
      <c r="D87" s="25">
        <v>1</v>
      </c>
      <c r="E87" s="130"/>
      <c r="F87" s="224" t="s">
        <v>42</v>
      </c>
      <c r="G87" s="41">
        <v>0</v>
      </c>
      <c r="H87" s="131"/>
      <c r="I87" s="35">
        <v>0</v>
      </c>
      <c r="J87" s="200">
        <f t="shared" si="19"/>
        <v>0</v>
      </c>
      <c r="K87" s="223">
        <v>0</v>
      </c>
      <c r="L87" s="212"/>
      <c r="M87" s="35">
        <v>0</v>
      </c>
      <c r="N87" s="200">
        <f t="shared" si="22"/>
        <v>0</v>
      </c>
      <c r="O87" s="35">
        <v>0</v>
      </c>
      <c r="P87" s="200">
        <f t="shared" si="23"/>
        <v>0</v>
      </c>
      <c r="Q87" s="35">
        <v>0</v>
      </c>
      <c r="R87" s="200">
        <f t="shared" si="24"/>
        <v>0</v>
      </c>
    </row>
    <row r="88" spans="1:18" x14ac:dyDescent="0.2">
      <c r="A88" s="25"/>
      <c r="B88" s="131"/>
      <c r="C88" s="131"/>
      <c r="D88" s="25">
        <v>1</v>
      </c>
      <c r="E88" s="130"/>
      <c r="F88" s="224"/>
      <c r="G88" s="41">
        <v>0</v>
      </c>
      <c r="H88" s="131"/>
      <c r="I88" s="35">
        <v>0</v>
      </c>
      <c r="J88" s="200">
        <f t="shared" si="19"/>
        <v>0</v>
      </c>
      <c r="K88" s="223">
        <v>0</v>
      </c>
      <c r="L88" s="212"/>
      <c r="M88" s="35">
        <v>0</v>
      </c>
      <c r="N88" s="200">
        <f t="shared" si="22"/>
        <v>0</v>
      </c>
      <c r="O88" s="35">
        <v>0</v>
      </c>
      <c r="P88" s="200">
        <f t="shared" si="23"/>
        <v>0</v>
      </c>
      <c r="Q88" s="35">
        <v>0</v>
      </c>
      <c r="R88" s="200">
        <f t="shared" si="24"/>
        <v>0</v>
      </c>
    </row>
    <row r="89" spans="1:18" ht="13.5" thickBot="1" x14ac:dyDescent="0.25">
      <c r="A89" s="25"/>
      <c r="B89" s="131"/>
      <c r="C89" s="131"/>
      <c r="D89" s="25">
        <v>1</v>
      </c>
      <c r="E89" s="130"/>
      <c r="F89" s="224"/>
      <c r="G89" s="41">
        <v>0</v>
      </c>
      <c r="H89" s="131"/>
      <c r="I89" s="35">
        <v>0</v>
      </c>
      <c r="J89" s="200">
        <f>E89*H89</f>
        <v>0</v>
      </c>
      <c r="K89" s="223">
        <v>0</v>
      </c>
      <c r="L89" s="212"/>
      <c r="M89" s="35">
        <v>0</v>
      </c>
      <c r="N89" s="200">
        <f t="shared" si="22"/>
        <v>0</v>
      </c>
      <c r="O89" s="35">
        <v>0</v>
      </c>
      <c r="P89" s="200">
        <f t="shared" si="23"/>
        <v>0</v>
      </c>
      <c r="Q89" s="35">
        <v>0</v>
      </c>
      <c r="R89" s="200">
        <f t="shared" si="24"/>
        <v>0</v>
      </c>
    </row>
    <row r="90" spans="1:18" ht="13.5" thickBot="1" x14ac:dyDescent="0.25">
      <c r="A90" s="25" t="s">
        <v>37</v>
      </c>
      <c r="B90" s="25"/>
      <c r="C90" s="25"/>
      <c r="D90" s="25"/>
      <c r="E90" s="195"/>
      <c r="F90" s="25"/>
      <c r="G90" s="25"/>
      <c r="H90" s="195"/>
      <c r="I90" s="118">
        <v>172.35681122192148</v>
      </c>
      <c r="J90" s="202">
        <f>+SUM(J73:J89)</f>
        <v>0</v>
      </c>
      <c r="K90" s="35"/>
      <c r="L90" s="193"/>
      <c r="M90" s="118">
        <v>0</v>
      </c>
      <c r="N90" s="202">
        <f>+SUM(N73:N89)</f>
        <v>0</v>
      </c>
      <c r="O90" s="118">
        <v>172.35681122192148</v>
      </c>
      <c r="P90" s="202">
        <f>+SUM(P73:P89)</f>
        <v>0</v>
      </c>
      <c r="Q90" s="118">
        <v>20682.817346630574</v>
      </c>
      <c r="R90" s="202">
        <f>+SUM(R73:R89)</f>
        <v>0</v>
      </c>
    </row>
    <row r="91" spans="1:18" ht="14.25" thickTop="1" thickBot="1" x14ac:dyDescent="0.25">
      <c r="A91" s="25" t="s">
        <v>52</v>
      </c>
      <c r="B91" s="25"/>
      <c r="C91" s="25"/>
      <c r="D91" s="25"/>
      <c r="E91" s="195"/>
      <c r="F91" s="25"/>
      <c r="G91" s="25"/>
      <c r="H91" s="195"/>
      <c r="I91" s="87">
        <v>845.15810297700875</v>
      </c>
      <c r="J91" s="203">
        <f>+J67+J90</f>
        <v>0</v>
      </c>
      <c r="K91" s="35"/>
      <c r="L91" s="193"/>
      <c r="M91" s="87">
        <v>0</v>
      </c>
      <c r="N91" s="203">
        <f>+N67+N90</f>
        <v>0</v>
      </c>
      <c r="O91" s="87">
        <v>845.15810297700875</v>
      </c>
      <c r="P91" s="203">
        <f>+P67+P90</f>
        <v>0</v>
      </c>
      <c r="Q91" s="87">
        <v>101418.97235724104</v>
      </c>
      <c r="R91" s="203">
        <f>+R67+R90</f>
        <v>0</v>
      </c>
    </row>
    <row r="92" spans="1:18" ht="13.5" thickTop="1" x14ac:dyDescent="0.2">
      <c r="A92" s="25"/>
      <c r="B92" s="25"/>
      <c r="C92" s="25"/>
      <c r="D92" s="25"/>
      <c r="E92" s="195"/>
      <c r="F92" s="25"/>
      <c r="G92" s="25"/>
      <c r="H92" s="195"/>
      <c r="I92" s="35"/>
      <c r="J92" s="182"/>
      <c r="K92" s="35"/>
      <c r="L92" s="193"/>
      <c r="M92" s="35"/>
      <c r="N92" s="182"/>
      <c r="O92" s="35"/>
      <c r="P92" s="182"/>
      <c r="Q92" s="35"/>
      <c r="R92" s="182"/>
    </row>
    <row r="93" spans="1:18" x14ac:dyDescent="0.2">
      <c r="A93" s="25" t="s">
        <v>153</v>
      </c>
      <c r="B93" s="25"/>
      <c r="C93" s="25"/>
      <c r="D93" s="25"/>
      <c r="E93" s="195"/>
      <c r="F93" s="25"/>
      <c r="G93" s="25"/>
      <c r="H93" s="195"/>
      <c r="I93" s="35">
        <v>-5.0151029770087234</v>
      </c>
      <c r="J93" s="200">
        <f>+J14-J91</f>
        <v>0</v>
      </c>
      <c r="K93" s="35"/>
      <c r="L93" s="193"/>
      <c r="M93" s="35">
        <v>0</v>
      </c>
      <c r="N93" s="200">
        <f>+N14-N91</f>
        <v>0</v>
      </c>
      <c r="O93" s="35">
        <v>-5.0151029770087234</v>
      </c>
      <c r="P93" s="200">
        <f>+P14-P91</f>
        <v>0</v>
      </c>
      <c r="Q93" s="35">
        <v>-601.81235724104044</v>
      </c>
      <c r="R93" s="200">
        <f>+R14-R91</f>
        <v>0</v>
      </c>
    </row>
    <row r="94" spans="1:18" x14ac:dyDescent="0.2">
      <c r="A94" s="25"/>
      <c r="B94" s="25"/>
      <c r="C94" s="25"/>
      <c r="D94" s="25"/>
      <c r="E94" s="195"/>
      <c r="F94" s="25"/>
      <c r="G94" s="25"/>
      <c r="H94" s="195"/>
      <c r="I94" s="35"/>
      <c r="J94" s="204"/>
      <c r="K94" s="35"/>
      <c r="L94" s="193"/>
      <c r="M94" s="35"/>
      <c r="N94" s="193"/>
      <c r="O94" s="35"/>
      <c r="P94" s="193"/>
      <c r="Q94" s="35"/>
      <c r="R94" s="204"/>
    </row>
    <row r="95" spans="1:18" ht="13.5" thickBot="1" x14ac:dyDescent="0.25">
      <c r="A95" s="44" t="s">
        <v>38</v>
      </c>
      <c r="B95" s="44"/>
      <c r="C95" s="44"/>
      <c r="D95" s="44"/>
      <c r="E95" s="199"/>
      <c r="F95" s="44"/>
      <c r="G95" s="45">
        <v>0.84501510297700877</v>
      </c>
      <c r="H95" s="210" t="str">
        <f>IF(E10=0,"n/a",(YTotExp-(YTotExp+YTotRet-J10))/E10)</f>
        <v>n/a</v>
      </c>
      <c r="I95" s="44" t="s">
        <v>82</v>
      </c>
      <c r="J95" s="205"/>
      <c r="K95" s="44"/>
      <c r="L95" s="199"/>
      <c r="M95" s="44"/>
      <c r="N95" s="199"/>
      <c r="O95" s="44"/>
      <c r="P95" s="199"/>
      <c r="Q95" s="44"/>
      <c r="R95" s="205"/>
    </row>
    <row r="96" spans="1:18" ht="13.5" thickTop="1" x14ac:dyDescent="0.2"/>
    <row r="97" spans="1:18" s="17" customFormat="1" ht="15.75" x14ac:dyDescent="0.25">
      <c r="A97"/>
      <c r="B97" s="88"/>
      <c r="C97" s="89"/>
      <c r="D97" s="234" t="s">
        <v>113</v>
      </c>
      <c r="E97" s="235"/>
      <c r="F97" s="235"/>
      <c r="G97" s="235"/>
      <c r="H97" s="235"/>
      <c r="I97" s="235"/>
      <c r="J97" s="99"/>
      <c r="K97" s="99"/>
      <c r="M97"/>
      <c r="N97"/>
    </row>
    <row r="98" spans="1:18" s="17" customFormat="1" ht="15.75" x14ac:dyDescent="0.25">
      <c r="A98"/>
      <c r="B98" s="19" t="s">
        <v>114</v>
      </c>
      <c r="C98" s="19" t="s">
        <v>114</v>
      </c>
      <c r="D98" s="123" t="s">
        <v>170</v>
      </c>
      <c r="E98" s="18"/>
      <c r="F98" s="18"/>
      <c r="G98" s="123" t="s">
        <v>170</v>
      </c>
      <c r="H98" s="18"/>
      <c r="I98" s="18"/>
      <c r="J98" s="18"/>
      <c r="K98" s="18"/>
      <c r="M98"/>
      <c r="N98"/>
    </row>
    <row r="99" spans="1:18" s="17" customFormat="1" x14ac:dyDescent="0.2">
      <c r="A99"/>
      <c r="B99" s="19" t="s">
        <v>80</v>
      </c>
      <c r="C99" s="19" t="s">
        <v>80</v>
      </c>
      <c r="D99" s="123" t="s">
        <v>157</v>
      </c>
      <c r="E99" s="119"/>
      <c r="F99" s="119"/>
      <c r="G99" s="123" t="s">
        <v>12</v>
      </c>
      <c r="H99" s="119"/>
      <c r="I99" s="119"/>
      <c r="J99" s="119"/>
      <c r="K99" s="119"/>
      <c r="M99"/>
      <c r="N99"/>
    </row>
    <row r="100" spans="1:18" s="17" customFormat="1" x14ac:dyDescent="0.2">
      <c r="A100"/>
      <c r="B100" s="19" t="s">
        <v>30</v>
      </c>
      <c r="C100" s="99" t="s">
        <v>82</v>
      </c>
      <c r="D100" s="123" t="s">
        <v>98</v>
      </c>
      <c r="E100" s="119"/>
      <c r="F100" s="119"/>
      <c r="G100" s="123" t="s">
        <v>98</v>
      </c>
      <c r="H100" s="19"/>
      <c r="I100" s="19"/>
      <c r="J100" s="19"/>
      <c r="K100" s="19"/>
      <c r="M100"/>
      <c r="N100"/>
    </row>
    <row r="101" spans="1:18" s="17" customFormat="1" x14ac:dyDescent="0.2">
      <c r="A101"/>
      <c r="B101" s="90">
        <v>0.75</v>
      </c>
      <c r="C101" s="91">
        <v>750</v>
      </c>
      <c r="D101" s="92">
        <v>0.89687772234011631</v>
      </c>
      <c r="E101" s="93"/>
      <c r="F101" s="94"/>
      <c r="G101" s="92">
        <v>1.126686803969345</v>
      </c>
      <c r="H101" s="93"/>
      <c r="I101" s="93"/>
      <c r="M101"/>
      <c r="N101"/>
    </row>
    <row r="102" spans="1:18" s="17" customFormat="1" x14ac:dyDescent="0.2">
      <c r="A102"/>
      <c r="B102" s="95">
        <v>0.9</v>
      </c>
      <c r="C102" s="96">
        <v>900</v>
      </c>
      <c r="D102" s="97">
        <v>0.74739810195009693</v>
      </c>
      <c r="E102" s="83"/>
      <c r="F102" s="98"/>
      <c r="G102" s="97">
        <v>0.93890566997445413</v>
      </c>
      <c r="H102" s="83"/>
      <c r="I102" s="83"/>
      <c r="M102"/>
      <c r="N102"/>
    </row>
    <row r="103" spans="1:18" s="17" customFormat="1" x14ac:dyDescent="0.2">
      <c r="A103"/>
      <c r="B103" s="90">
        <v>1</v>
      </c>
      <c r="C103" s="91">
        <v>1000</v>
      </c>
      <c r="D103" s="92">
        <v>0.67265829175508729</v>
      </c>
      <c r="E103" s="93"/>
      <c r="F103" s="94"/>
      <c r="G103" s="92">
        <v>0.84501510297700877</v>
      </c>
      <c r="H103" s="93"/>
      <c r="I103" s="93"/>
      <c r="M103"/>
      <c r="N103"/>
    </row>
    <row r="104" spans="1:18" s="17" customFormat="1" x14ac:dyDescent="0.2">
      <c r="A104"/>
      <c r="B104" s="95">
        <v>1.1000000000000001</v>
      </c>
      <c r="C104" s="96">
        <v>1100</v>
      </c>
      <c r="D104" s="97">
        <v>0.61150753795917023</v>
      </c>
      <c r="E104" s="83"/>
      <c r="F104" s="98"/>
      <c r="G104" s="97">
        <v>0.76819554816091706</v>
      </c>
      <c r="H104" s="83"/>
      <c r="I104" s="83"/>
      <c r="M104"/>
      <c r="N104"/>
    </row>
    <row r="105" spans="1:18" s="17" customFormat="1" x14ac:dyDescent="0.2">
      <c r="A105"/>
      <c r="B105" s="90">
        <v>1.25</v>
      </c>
      <c r="C105" s="91">
        <v>1250</v>
      </c>
      <c r="D105" s="92">
        <v>0.53812663340406974</v>
      </c>
      <c r="E105" s="93"/>
      <c r="F105" s="94"/>
      <c r="G105" s="92">
        <v>0.67601208238160693</v>
      </c>
      <c r="H105" s="93"/>
      <c r="I105" s="93"/>
      <c r="M105"/>
      <c r="N105"/>
    </row>
    <row r="106" spans="1:18" s="17" customFormat="1" x14ac:dyDescent="0.2">
      <c r="A106"/>
      <c r="M106"/>
      <c r="N106"/>
    </row>
    <row r="107" spans="1:18" x14ac:dyDescent="0.2">
      <c r="A107" s="25" t="s">
        <v>434</v>
      </c>
      <c r="B107" s="17"/>
      <c r="C107" s="17"/>
      <c r="D107" s="17"/>
      <c r="E107" s="17"/>
      <c r="F107" s="17"/>
      <c r="G107" s="17"/>
      <c r="H107" s="17"/>
      <c r="I107" s="17"/>
      <c r="J107" s="28"/>
      <c r="K107" s="17"/>
      <c r="L107" s="17"/>
      <c r="M107" s="17"/>
      <c r="N107" s="17"/>
      <c r="O107" s="17"/>
      <c r="P107" s="17"/>
      <c r="Q107" s="17"/>
    </row>
    <row r="108" spans="1:18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28"/>
      <c r="K108" s="17"/>
      <c r="L108" s="17"/>
      <c r="M108" s="17"/>
      <c r="N108" s="17"/>
      <c r="O108" s="17"/>
      <c r="P108" s="17"/>
      <c r="Q108" s="17"/>
    </row>
    <row r="109" spans="1:18" ht="26.25" customHeight="1" x14ac:dyDescent="0.2">
      <c r="A109" s="236" t="s">
        <v>140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19"/>
      <c r="N109" s="219"/>
      <c r="O109" s="219"/>
      <c r="P109" s="219"/>
      <c r="Q109" s="219"/>
      <c r="R109" s="219"/>
    </row>
  </sheetData>
  <sheetProtection sheet="1" objects="1" scenarios="1"/>
  <mergeCells count="6">
    <mergeCell ref="D97:I97"/>
    <mergeCell ref="A109:L109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183">
    <tabColor rgb="FF92D050"/>
    <pageSetUpPr fitToPage="1"/>
  </sheetPr>
  <dimension ref="A1:S100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452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120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487</v>
      </c>
      <c r="R9" s="189" t="str">
        <f>"(" &amp; E7 &amp; " acres)"</f>
        <v>( acres)</v>
      </c>
      <c r="S9" s="12"/>
    </row>
    <row r="10" spans="1:19" x14ac:dyDescent="0.2">
      <c r="A10" s="25"/>
      <c r="B10" t="s">
        <v>358</v>
      </c>
      <c r="C10" s="25"/>
      <c r="D10" s="50">
        <v>2</v>
      </c>
      <c r="E10" s="130"/>
      <c r="F10" s="224" t="s">
        <v>135</v>
      </c>
      <c r="G10" s="31">
        <v>600</v>
      </c>
      <c r="H10" s="131"/>
      <c r="I10" s="35">
        <v>1200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1200</v>
      </c>
      <c r="P10" s="200">
        <f>+J10-N10</f>
        <v>0</v>
      </c>
      <c r="Q10" s="35">
        <v>144000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1200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1200</v>
      </c>
      <c r="P13" s="201">
        <f>SUM(P10:P12)</f>
        <v>0</v>
      </c>
      <c r="Q13" s="36">
        <v>144000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50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376</v>
      </c>
      <c r="D18" s="25">
        <v>2</v>
      </c>
      <c r="E18" s="130"/>
      <c r="F18" s="224" t="s">
        <v>135</v>
      </c>
      <c r="G18" s="41">
        <v>30</v>
      </c>
      <c r="H18" s="131"/>
      <c r="I18" s="35">
        <v>60</v>
      </c>
      <c r="J18" s="200">
        <f t="shared" ref="J18:J33" si="4">E18*H18</f>
        <v>0</v>
      </c>
      <c r="K18" s="223">
        <v>0</v>
      </c>
      <c r="L18" s="212"/>
      <c r="M18" s="35">
        <v>0</v>
      </c>
      <c r="N18" s="200">
        <f t="shared" ref="N18:N33" si="5">J18*L18</f>
        <v>0</v>
      </c>
      <c r="O18" s="35">
        <v>60</v>
      </c>
      <c r="P18" s="200">
        <f t="shared" ref="P18:P33" si="6">+J18-N18</f>
        <v>0</v>
      </c>
      <c r="Q18" s="35">
        <v>7200</v>
      </c>
      <c r="R18" s="200">
        <f t="shared" ref="R18:R33" si="7">+J18*E$7</f>
        <v>0</v>
      </c>
    </row>
    <row r="19" spans="1:18" x14ac:dyDescent="0.2">
      <c r="A19" s="25"/>
      <c r="B19" s="25" t="s">
        <v>458</v>
      </c>
      <c r="C19" s="25" t="s">
        <v>176</v>
      </c>
      <c r="D19" s="25">
        <v>1</v>
      </c>
      <c r="E19" s="130"/>
      <c r="F19" s="224" t="s">
        <v>42</v>
      </c>
      <c r="G19" s="41">
        <v>5</v>
      </c>
      <c r="H19" s="131"/>
      <c r="I19" s="35">
        <v>5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5</v>
      </c>
      <c r="P19" s="200">
        <f t="shared" si="6"/>
        <v>0</v>
      </c>
      <c r="Q19" s="35">
        <v>600</v>
      </c>
      <c r="R19" s="200">
        <f t="shared" si="7"/>
        <v>0</v>
      </c>
    </row>
    <row r="20" spans="1:18" x14ac:dyDescent="0.2">
      <c r="A20" s="25"/>
      <c r="B20" s="25" t="s">
        <v>0</v>
      </c>
      <c r="C20" s="25"/>
      <c r="D20" s="25"/>
      <c r="E20" s="25"/>
      <c r="F20" s="25"/>
      <c r="G20" s="25"/>
      <c r="H20" s="25"/>
      <c r="I20" s="25"/>
      <c r="J20" s="25"/>
      <c r="K20" s="223"/>
      <c r="L20" s="25"/>
      <c r="M20" s="25"/>
      <c r="N20" s="25"/>
      <c r="O20" s="25"/>
      <c r="P20" s="25"/>
      <c r="Q20" s="25"/>
      <c r="R20" s="25"/>
    </row>
    <row r="21" spans="1:18" x14ac:dyDescent="0.2">
      <c r="A21" s="25"/>
      <c r="B21" s="25" t="s">
        <v>458</v>
      </c>
      <c r="C21" s="25" t="s">
        <v>342</v>
      </c>
      <c r="D21" s="25">
        <v>80</v>
      </c>
      <c r="E21" s="130"/>
      <c r="F21" s="224" t="s">
        <v>82</v>
      </c>
      <c r="G21" s="41">
        <v>0.53800000000000003</v>
      </c>
      <c r="H21" s="131"/>
      <c r="I21" s="35">
        <v>43.040000000000006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43.040000000000006</v>
      </c>
      <c r="P21" s="200">
        <f t="shared" si="6"/>
        <v>0</v>
      </c>
      <c r="Q21" s="35">
        <v>5164.8000000000011</v>
      </c>
      <c r="R21" s="200">
        <f t="shared" si="7"/>
        <v>0</v>
      </c>
    </row>
    <row r="22" spans="1:18" x14ac:dyDescent="0.2">
      <c r="A22" s="25"/>
      <c r="B22" s="25" t="s">
        <v>458</v>
      </c>
      <c r="C22" s="25" t="s">
        <v>378</v>
      </c>
      <c r="D22" s="25">
        <v>50</v>
      </c>
      <c r="E22" s="130"/>
      <c r="F22" s="224" t="s">
        <v>82</v>
      </c>
      <c r="G22" s="41">
        <v>0.56999999999999995</v>
      </c>
      <c r="H22" s="131"/>
      <c r="I22" s="35">
        <v>28.499999999999996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28.499999999999996</v>
      </c>
      <c r="P22" s="200">
        <f t="shared" si="6"/>
        <v>0</v>
      </c>
      <c r="Q22" s="35">
        <v>3419.9999999999995</v>
      </c>
      <c r="R22" s="200">
        <f t="shared" si="7"/>
        <v>0</v>
      </c>
    </row>
    <row r="23" spans="1:18" x14ac:dyDescent="0.2">
      <c r="A23" s="25"/>
      <c r="B23" s="25" t="s">
        <v>49</v>
      </c>
      <c r="C23" s="25"/>
      <c r="D23" s="25"/>
      <c r="E23" s="25"/>
      <c r="F23" s="25"/>
      <c r="G23" s="25"/>
      <c r="H23" s="25"/>
      <c r="I23" s="25"/>
      <c r="J23" s="25"/>
      <c r="K23" s="223"/>
      <c r="L23" s="25"/>
      <c r="M23" s="25"/>
      <c r="N23" s="25"/>
      <c r="O23" s="25"/>
      <c r="P23" s="25"/>
      <c r="Q23" s="25"/>
      <c r="R23" s="25"/>
    </row>
    <row r="24" spans="1:18" x14ac:dyDescent="0.2">
      <c r="A24" s="25"/>
      <c r="B24" s="25" t="s">
        <v>458</v>
      </c>
      <c r="C24" s="25" t="s">
        <v>401</v>
      </c>
      <c r="D24" s="25">
        <v>24</v>
      </c>
      <c r="E24" s="130"/>
      <c r="F24" s="224" t="s">
        <v>435</v>
      </c>
      <c r="G24" s="41">
        <v>0.41</v>
      </c>
      <c r="H24" s="131"/>
      <c r="I24" s="35">
        <v>9.84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9.84</v>
      </c>
      <c r="P24" s="200">
        <f t="shared" si="6"/>
        <v>0</v>
      </c>
      <c r="Q24" s="35">
        <v>1180.8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405</v>
      </c>
      <c r="D25" s="25">
        <v>2</v>
      </c>
      <c r="E25" s="130"/>
      <c r="F25" s="224" t="s">
        <v>410</v>
      </c>
      <c r="G25" s="41">
        <v>0.35</v>
      </c>
      <c r="H25" s="131"/>
      <c r="I25" s="35">
        <v>0.7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0.7</v>
      </c>
      <c r="P25" s="200">
        <f t="shared" si="6"/>
        <v>0</v>
      </c>
      <c r="Q25" s="35">
        <v>84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366</v>
      </c>
      <c r="D26" s="25">
        <v>12.5</v>
      </c>
      <c r="E26" s="130"/>
      <c r="F26" s="224" t="s">
        <v>410</v>
      </c>
      <c r="G26" s="41">
        <v>1.48</v>
      </c>
      <c r="H26" s="131"/>
      <c r="I26" s="35">
        <v>18.5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18.5</v>
      </c>
      <c r="P26" s="200">
        <f t="shared" si="6"/>
        <v>0</v>
      </c>
      <c r="Q26" s="35">
        <v>2220</v>
      </c>
      <c r="R26" s="200">
        <f t="shared" si="7"/>
        <v>0</v>
      </c>
    </row>
    <row r="27" spans="1:18" x14ac:dyDescent="0.2">
      <c r="A27" s="25"/>
      <c r="B27" s="25" t="s">
        <v>1</v>
      </c>
      <c r="C27" s="25"/>
      <c r="D27" s="25"/>
      <c r="E27" s="25"/>
      <c r="F27" s="25"/>
      <c r="G27" s="25"/>
      <c r="H27" s="25"/>
      <c r="I27" s="25"/>
      <c r="J27" s="25"/>
      <c r="K27" s="223"/>
      <c r="L27" s="25"/>
      <c r="M27" s="25"/>
      <c r="N27" s="25"/>
      <c r="O27" s="25"/>
      <c r="P27" s="25"/>
      <c r="Q27" s="25"/>
      <c r="R27" s="25"/>
    </row>
    <row r="28" spans="1:18" x14ac:dyDescent="0.2">
      <c r="A28" s="25"/>
      <c r="B28" s="25" t="s">
        <v>458</v>
      </c>
      <c r="C28" s="25" t="s">
        <v>399</v>
      </c>
      <c r="D28" s="25">
        <v>90</v>
      </c>
      <c r="E28" s="130"/>
      <c r="F28" s="224" t="s">
        <v>82</v>
      </c>
      <c r="G28" s="41">
        <v>0.95</v>
      </c>
      <c r="H28" s="131"/>
      <c r="I28" s="35">
        <v>85.5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85.5</v>
      </c>
      <c r="P28" s="200">
        <f t="shared" si="6"/>
        <v>0</v>
      </c>
      <c r="Q28" s="35">
        <v>10260</v>
      </c>
      <c r="R28" s="200">
        <f t="shared" si="7"/>
        <v>0</v>
      </c>
    </row>
    <row r="29" spans="1:18" x14ac:dyDescent="0.2">
      <c r="A29" s="25"/>
      <c r="B29" s="25" t="s">
        <v>58</v>
      </c>
      <c r="C29" s="25"/>
      <c r="D29" s="25"/>
      <c r="E29" s="25"/>
      <c r="F29" s="25"/>
      <c r="G29" s="25"/>
      <c r="H29" s="25"/>
      <c r="I29" s="25"/>
      <c r="J29" s="25"/>
      <c r="K29" s="223"/>
      <c r="L29" s="25"/>
      <c r="M29" s="25"/>
      <c r="N29" s="25"/>
      <c r="O29" s="25"/>
      <c r="P29" s="25"/>
      <c r="Q29" s="25"/>
      <c r="R29" s="25"/>
    </row>
    <row r="30" spans="1:18" x14ac:dyDescent="0.2">
      <c r="A30" s="25"/>
      <c r="B30" s="25" t="s">
        <v>458</v>
      </c>
      <c r="C30" s="25" t="s">
        <v>379</v>
      </c>
      <c r="D30" s="25">
        <v>24.5</v>
      </c>
      <c r="E30" s="130"/>
      <c r="F30" s="224" t="s">
        <v>410</v>
      </c>
      <c r="G30" s="41">
        <v>1.4839843749999999</v>
      </c>
      <c r="H30" s="131"/>
      <c r="I30" s="35">
        <v>36.357617187499997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36.357617187499997</v>
      </c>
      <c r="P30" s="200">
        <f t="shared" si="6"/>
        <v>0</v>
      </c>
      <c r="Q30" s="35">
        <v>4362.9140625</v>
      </c>
      <c r="R30" s="200">
        <f t="shared" si="7"/>
        <v>0</v>
      </c>
    </row>
    <row r="31" spans="1:18" x14ac:dyDescent="0.2">
      <c r="A31" s="25"/>
      <c r="B31" s="25" t="s">
        <v>458</v>
      </c>
      <c r="C31" s="25" t="s">
        <v>380</v>
      </c>
      <c r="D31" s="25">
        <v>1.5</v>
      </c>
      <c r="E31" s="130"/>
      <c r="F31" s="224" t="s">
        <v>316</v>
      </c>
      <c r="G31" s="41">
        <v>3.5625</v>
      </c>
      <c r="H31" s="131"/>
      <c r="I31" s="35">
        <v>5.34375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5.34375</v>
      </c>
      <c r="P31" s="200">
        <f t="shared" si="6"/>
        <v>0</v>
      </c>
      <c r="Q31" s="35">
        <v>641.25</v>
      </c>
      <c r="R31" s="200">
        <f t="shared" si="7"/>
        <v>0</v>
      </c>
    </row>
    <row r="32" spans="1:18" x14ac:dyDescent="0.2">
      <c r="A32" s="25"/>
      <c r="B32" s="131"/>
      <c r="C32" s="131"/>
      <c r="D32" s="25">
        <v>0</v>
      </c>
      <c r="E32" s="130"/>
      <c r="F32" s="224"/>
      <c r="G32" s="41">
        <v>0</v>
      </c>
      <c r="H32" s="131"/>
      <c r="I32" s="35">
        <v>0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0</v>
      </c>
      <c r="P32" s="200">
        <f t="shared" si="6"/>
        <v>0</v>
      </c>
      <c r="Q32" s="35">
        <v>0</v>
      </c>
      <c r="R32" s="200">
        <f t="shared" si="7"/>
        <v>0</v>
      </c>
    </row>
    <row r="33" spans="1:18" x14ac:dyDescent="0.2">
      <c r="A33" s="25"/>
      <c r="B33" s="131"/>
      <c r="C33" s="131"/>
      <c r="D33" s="25">
        <v>0</v>
      </c>
      <c r="E33" s="130"/>
      <c r="F33" s="224"/>
      <c r="G33" s="41">
        <v>0</v>
      </c>
      <c r="H33" s="131"/>
      <c r="I33" s="35">
        <v>0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0</v>
      </c>
      <c r="P33" s="200">
        <f t="shared" si="6"/>
        <v>0</v>
      </c>
      <c r="Q33" s="35">
        <v>0</v>
      </c>
      <c r="R33" s="200">
        <f t="shared" si="7"/>
        <v>0</v>
      </c>
    </row>
    <row r="34" spans="1:18" x14ac:dyDescent="0.2">
      <c r="A34" s="25"/>
      <c r="B34" s="131"/>
      <c r="C34" s="131"/>
      <c r="D34" s="25">
        <v>0</v>
      </c>
      <c r="E34" s="130"/>
      <c r="F34" s="224"/>
      <c r="G34" s="41">
        <v>0</v>
      </c>
      <c r="H34" s="131"/>
      <c r="I34" s="35">
        <v>0</v>
      </c>
      <c r="J34" s="200">
        <f>E34*H34</f>
        <v>0</v>
      </c>
      <c r="K34" s="223">
        <v>0</v>
      </c>
      <c r="L34" s="212"/>
      <c r="M34" s="35">
        <v>0</v>
      </c>
      <c r="N34" s="200">
        <f>J34*L34</f>
        <v>0</v>
      </c>
      <c r="O34" s="35">
        <v>0</v>
      </c>
      <c r="P34" s="200">
        <f>+J34-N34</f>
        <v>0</v>
      </c>
      <c r="Q34" s="35">
        <v>0</v>
      </c>
      <c r="R34" s="200">
        <f>+J34*E$7</f>
        <v>0</v>
      </c>
    </row>
    <row r="35" spans="1:18" x14ac:dyDescent="0.2">
      <c r="A35" s="25"/>
      <c r="B35" s="25" t="s">
        <v>45</v>
      </c>
      <c r="C35" s="25"/>
      <c r="D35" s="25"/>
      <c r="E35" s="207"/>
      <c r="F35" s="21"/>
      <c r="G35" s="41"/>
      <c r="H35" s="196"/>
      <c r="I35" s="184"/>
      <c r="J35" s="182"/>
      <c r="K35" s="223"/>
      <c r="L35" s="196"/>
      <c r="M35" s="35"/>
      <c r="N35" s="182"/>
      <c r="O35" s="35"/>
      <c r="P35" s="182"/>
      <c r="Q35" s="35"/>
      <c r="R35" s="182"/>
    </row>
    <row r="36" spans="1:18" x14ac:dyDescent="0.2">
      <c r="A36" s="25"/>
      <c r="B36" s="25"/>
      <c r="C36" s="25" t="s">
        <v>146</v>
      </c>
      <c r="D36" s="34">
        <v>18.949999999999996</v>
      </c>
      <c r="E36" s="130"/>
      <c r="F36" s="224" t="s">
        <v>142</v>
      </c>
      <c r="G36" s="41">
        <v>6.75</v>
      </c>
      <c r="H36" s="131"/>
      <c r="I36" s="35">
        <v>127.91249999999997</v>
      </c>
      <c r="J36" s="200">
        <f t="shared" ref="J36:J37" si="8">E36*H36</f>
        <v>0</v>
      </c>
      <c r="K36" s="223">
        <v>0</v>
      </c>
      <c r="L36" s="212"/>
      <c r="M36" s="35">
        <v>0</v>
      </c>
      <c r="N36" s="200">
        <f t="shared" ref="N36:N37" si="9">J36*L36</f>
        <v>0</v>
      </c>
      <c r="O36" s="35">
        <v>127.91249999999997</v>
      </c>
      <c r="P36" s="200">
        <f t="shared" ref="P36:P37" si="10">+J36-N36</f>
        <v>0</v>
      </c>
      <c r="Q36" s="35">
        <v>15349.499999999996</v>
      </c>
      <c r="R36" s="200">
        <f t="shared" ref="R36:R37" si="11">+J36*E$7</f>
        <v>0</v>
      </c>
    </row>
    <row r="37" spans="1:18" x14ac:dyDescent="0.2">
      <c r="A37" s="25"/>
      <c r="B37" s="25"/>
      <c r="C37" s="25" t="s">
        <v>136</v>
      </c>
      <c r="D37" s="34">
        <v>1.2080000000000002</v>
      </c>
      <c r="E37" s="130"/>
      <c r="F37" s="224" t="s">
        <v>44</v>
      </c>
      <c r="G37" s="41">
        <v>15</v>
      </c>
      <c r="H37" s="131"/>
      <c r="I37" s="35">
        <v>18.120000000000005</v>
      </c>
      <c r="J37" s="200">
        <f t="shared" si="8"/>
        <v>0</v>
      </c>
      <c r="K37" s="223">
        <v>0</v>
      </c>
      <c r="L37" s="212"/>
      <c r="M37" s="35">
        <v>0</v>
      </c>
      <c r="N37" s="200">
        <f t="shared" si="9"/>
        <v>0</v>
      </c>
      <c r="O37" s="35">
        <v>18.120000000000005</v>
      </c>
      <c r="P37" s="200">
        <f t="shared" si="10"/>
        <v>0</v>
      </c>
      <c r="Q37" s="35">
        <v>2174.4000000000005</v>
      </c>
      <c r="R37" s="200">
        <f t="shared" si="11"/>
        <v>0</v>
      </c>
    </row>
    <row r="38" spans="1:18" x14ac:dyDescent="0.2">
      <c r="A38" s="25"/>
      <c r="B38" s="25" t="s">
        <v>106</v>
      </c>
      <c r="C38" s="25"/>
      <c r="D38" s="25"/>
      <c r="E38" s="104"/>
      <c r="H38" s="104"/>
      <c r="I38" s="121"/>
      <c r="J38" s="104"/>
      <c r="K38" s="223"/>
      <c r="L38" s="104"/>
      <c r="N38" s="104"/>
      <c r="P38" s="104"/>
      <c r="R38" s="104"/>
    </row>
    <row r="39" spans="1:18" x14ac:dyDescent="0.2">
      <c r="A39" s="25"/>
      <c r="B39" s="25"/>
      <c r="C39" s="25" t="s">
        <v>103</v>
      </c>
      <c r="D39" s="25">
        <v>1.85</v>
      </c>
      <c r="E39" s="130"/>
      <c r="F39" s="224" t="s">
        <v>44</v>
      </c>
      <c r="G39" s="41">
        <v>15</v>
      </c>
      <c r="H39" s="131"/>
      <c r="I39" s="35">
        <v>27.75</v>
      </c>
      <c r="J39" s="200">
        <f>E39*H39</f>
        <v>0</v>
      </c>
      <c r="K39" s="223">
        <v>0</v>
      </c>
      <c r="L39" s="212"/>
      <c r="M39" s="35">
        <v>0</v>
      </c>
      <c r="N39" s="200">
        <f>J39*L39</f>
        <v>0</v>
      </c>
      <c r="O39" s="35">
        <v>27.75</v>
      </c>
      <c r="P39" s="200">
        <f>+J39-N39</f>
        <v>0</v>
      </c>
      <c r="Q39" s="35">
        <v>3330</v>
      </c>
      <c r="R39" s="200">
        <f>+J39*E$7</f>
        <v>0</v>
      </c>
    </row>
    <row r="40" spans="1:18" x14ac:dyDescent="0.2">
      <c r="A40" s="25"/>
      <c r="B40" s="25"/>
      <c r="C40" s="25" t="s">
        <v>105</v>
      </c>
      <c r="D40" s="25">
        <v>2.2200000000000002</v>
      </c>
      <c r="E40" s="130"/>
      <c r="F40" s="224" t="s">
        <v>44</v>
      </c>
      <c r="G40" s="41">
        <v>15</v>
      </c>
      <c r="H40" s="131"/>
      <c r="I40" s="35">
        <v>33.300000000000004</v>
      </c>
      <c r="J40" s="200">
        <f>E40*H40</f>
        <v>0</v>
      </c>
      <c r="K40" s="223">
        <v>0</v>
      </c>
      <c r="L40" s="212"/>
      <c r="M40" s="35">
        <v>0</v>
      </c>
      <c r="N40" s="200">
        <f>J40*L40</f>
        <v>0</v>
      </c>
      <c r="O40" s="35">
        <v>33.300000000000004</v>
      </c>
      <c r="P40" s="200">
        <f>+J40-N40</f>
        <v>0</v>
      </c>
      <c r="Q40" s="35">
        <v>3996.0000000000005</v>
      </c>
      <c r="R40" s="200">
        <f>+J40*E$7</f>
        <v>0</v>
      </c>
    </row>
    <row r="41" spans="1:18" x14ac:dyDescent="0.2">
      <c r="A41" s="25"/>
      <c r="B41" s="25"/>
      <c r="C41" s="25"/>
      <c r="D41" s="25"/>
      <c r="E41" s="207"/>
      <c r="F41" s="21"/>
      <c r="G41" s="41"/>
      <c r="H41" s="196"/>
      <c r="I41" s="35"/>
      <c r="J41" s="182"/>
      <c r="K41" s="223"/>
      <c r="L41" s="196"/>
      <c r="M41" s="35"/>
      <c r="N41" s="182"/>
      <c r="O41" s="35"/>
      <c r="P41" s="182"/>
      <c r="Q41" s="35"/>
      <c r="R41" s="182"/>
    </row>
    <row r="42" spans="1:18" x14ac:dyDescent="0.2">
      <c r="A42" s="25"/>
      <c r="B42" s="25" t="s">
        <v>51</v>
      </c>
      <c r="C42" s="25"/>
      <c r="D42" s="25"/>
      <c r="E42" s="207"/>
      <c r="F42" s="21"/>
      <c r="G42" s="41"/>
      <c r="H42" s="196"/>
      <c r="I42" s="184"/>
      <c r="J42" s="182"/>
      <c r="K42" s="223"/>
      <c r="L42" s="196"/>
      <c r="M42" s="35"/>
      <c r="N42" s="182"/>
      <c r="O42" s="35"/>
      <c r="P42" s="182"/>
      <c r="Q42" s="35"/>
      <c r="R42" s="182"/>
    </row>
    <row r="43" spans="1:18" x14ac:dyDescent="0.2">
      <c r="A43" s="25"/>
      <c r="B43" s="25"/>
      <c r="C43" s="25" t="s">
        <v>102</v>
      </c>
      <c r="D43" s="25">
        <v>1</v>
      </c>
      <c r="E43" s="130"/>
      <c r="F43" s="224" t="s">
        <v>42</v>
      </c>
      <c r="G43" s="41">
        <v>0</v>
      </c>
      <c r="H43" s="131"/>
      <c r="I43" s="35">
        <v>0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0</v>
      </c>
      <c r="P43" s="200">
        <f>+J43-N43</f>
        <v>0</v>
      </c>
      <c r="Q43" s="35">
        <v>0</v>
      </c>
      <c r="R43" s="200">
        <f>+J43*E$7</f>
        <v>0</v>
      </c>
    </row>
    <row r="44" spans="1:18" x14ac:dyDescent="0.2">
      <c r="A44" s="25"/>
      <c r="B44" s="25"/>
      <c r="C44" s="25" t="s">
        <v>103</v>
      </c>
      <c r="D44" s="25">
        <v>22.61</v>
      </c>
      <c r="E44" s="130"/>
      <c r="F44" s="224" t="s">
        <v>79</v>
      </c>
      <c r="G44" s="41">
        <v>3.0190000000000001</v>
      </c>
      <c r="H44" s="131"/>
      <c r="I44" s="35">
        <v>68.259590000000003</v>
      </c>
      <c r="J44" s="200">
        <f>E44*H44</f>
        <v>0</v>
      </c>
      <c r="K44" s="223">
        <v>0</v>
      </c>
      <c r="L44" s="212"/>
      <c r="M44" s="35">
        <v>0</v>
      </c>
      <c r="N44" s="200">
        <f>J44*L44</f>
        <v>0</v>
      </c>
      <c r="O44" s="35">
        <v>68.259590000000003</v>
      </c>
      <c r="P44" s="200">
        <f>+J44-N44</f>
        <v>0</v>
      </c>
      <c r="Q44" s="35">
        <v>8191.1508000000003</v>
      </c>
      <c r="R44" s="200">
        <f>+J44*E$7</f>
        <v>0</v>
      </c>
    </row>
    <row r="45" spans="1:18" x14ac:dyDescent="0.2">
      <c r="A45" s="25"/>
      <c r="B45" s="25"/>
      <c r="C45" s="25"/>
      <c r="D45" s="25"/>
      <c r="E45" s="207"/>
      <c r="F45" s="21"/>
      <c r="G45" s="41"/>
      <c r="H45" s="196"/>
      <c r="I45" s="35"/>
      <c r="J45" s="182"/>
      <c r="K45" s="223"/>
      <c r="L45" s="196"/>
      <c r="M45" s="35"/>
      <c r="N45" s="182"/>
      <c r="O45" s="35"/>
      <c r="P45" s="182"/>
      <c r="Q45" s="35"/>
      <c r="R45" s="182"/>
    </row>
    <row r="46" spans="1:18" x14ac:dyDescent="0.2">
      <c r="A46" s="25"/>
      <c r="B46" s="25" t="s">
        <v>29</v>
      </c>
      <c r="C46" s="25"/>
      <c r="D46" s="25"/>
      <c r="E46" s="207"/>
      <c r="F46" s="21"/>
      <c r="G46" s="41"/>
      <c r="H46" s="196"/>
      <c r="I46" s="184"/>
      <c r="J46" s="182"/>
      <c r="K46" s="223"/>
      <c r="L46" s="196"/>
      <c r="M46" s="35"/>
      <c r="N46" s="182"/>
      <c r="O46" s="35"/>
      <c r="P46" s="182"/>
      <c r="Q46" s="35"/>
      <c r="R46" s="182"/>
    </row>
    <row r="47" spans="1:18" x14ac:dyDescent="0.2">
      <c r="A47" s="25"/>
      <c r="B47" s="25"/>
      <c r="C47" s="25" t="s">
        <v>102</v>
      </c>
      <c r="D47" s="25">
        <v>1</v>
      </c>
      <c r="E47" s="130"/>
      <c r="F47" s="224" t="s">
        <v>42</v>
      </c>
      <c r="G47" s="41">
        <v>6.375</v>
      </c>
      <c r="H47" s="131"/>
      <c r="I47" s="35">
        <v>6.375</v>
      </c>
      <c r="J47" s="200">
        <f>E47*H47</f>
        <v>0</v>
      </c>
      <c r="K47" s="223">
        <v>0</v>
      </c>
      <c r="L47" s="212"/>
      <c r="M47" s="35">
        <v>0</v>
      </c>
      <c r="N47" s="200">
        <f>J47*L47</f>
        <v>0</v>
      </c>
      <c r="O47" s="35">
        <v>6.375</v>
      </c>
      <c r="P47" s="200">
        <f>+J47-N47</f>
        <v>0</v>
      </c>
      <c r="Q47" s="35">
        <v>765</v>
      </c>
      <c r="R47" s="200">
        <f>+J47*E$7</f>
        <v>0</v>
      </c>
    </row>
    <row r="48" spans="1:18" x14ac:dyDescent="0.2">
      <c r="A48" s="25"/>
      <c r="B48" s="25"/>
      <c r="C48" s="25" t="s">
        <v>103</v>
      </c>
      <c r="D48" s="25">
        <v>0</v>
      </c>
      <c r="E48" s="130"/>
      <c r="F48" s="224" t="s">
        <v>79</v>
      </c>
      <c r="G48" s="41">
        <v>3.09</v>
      </c>
      <c r="H48" s="131"/>
      <c r="I48" s="35">
        <v>0</v>
      </c>
      <c r="J48" s="200">
        <f>E48*H48</f>
        <v>0</v>
      </c>
      <c r="K48" s="223">
        <v>0</v>
      </c>
      <c r="L48" s="212"/>
      <c r="M48" s="35">
        <v>0</v>
      </c>
      <c r="N48" s="200">
        <f>J48*L48</f>
        <v>0</v>
      </c>
      <c r="O48" s="35">
        <v>0</v>
      </c>
      <c r="P48" s="200">
        <f>+J48-N48</f>
        <v>0</v>
      </c>
      <c r="Q48" s="35">
        <v>0</v>
      </c>
      <c r="R48" s="200">
        <f>+J48*E$7</f>
        <v>0</v>
      </c>
    </row>
    <row r="49" spans="1:18" x14ac:dyDescent="0.2">
      <c r="A49" s="25"/>
      <c r="B49" s="25"/>
      <c r="C49" s="25"/>
      <c r="D49" s="25"/>
      <c r="E49" s="207"/>
      <c r="F49" s="21"/>
      <c r="G49" s="41"/>
      <c r="H49" s="196"/>
      <c r="I49" s="35"/>
      <c r="J49" s="182"/>
      <c r="K49" s="223"/>
      <c r="L49" s="196"/>
      <c r="M49" s="35"/>
      <c r="N49" s="182"/>
      <c r="O49" s="35"/>
      <c r="P49" s="182"/>
      <c r="Q49" s="35"/>
      <c r="R49" s="182"/>
    </row>
    <row r="50" spans="1:18" x14ac:dyDescent="0.2">
      <c r="A50" s="25"/>
      <c r="B50" s="25" t="s">
        <v>47</v>
      </c>
      <c r="C50" s="25"/>
      <c r="D50" s="25"/>
      <c r="E50" s="207"/>
      <c r="F50" s="21"/>
      <c r="G50" s="41"/>
      <c r="H50" s="197"/>
      <c r="I50" s="184"/>
      <c r="J50" s="182"/>
      <c r="K50" s="223"/>
      <c r="L50" s="197"/>
      <c r="M50" s="35"/>
      <c r="N50" s="182"/>
      <c r="O50" s="35"/>
      <c r="P50" s="182"/>
      <c r="Q50" s="35"/>
      <c r="R50" s="182"/>
    </row>
    <row r="51" spans="1:18" x14ac:dyDescent="0.2">
      <c r="A51" s="25"/>
      <c r="B51" s="25"/>
      <c r="C51" s="25" t="s">
        <v>102</v>
      </c>
      <c r="D51" s="25">
        <v>1</v>
      </c>
      <c r="E51" s="130"/>
      <c r="F51" s="224" t="s">
        <v>42</v>
      </c>
      <c r="G51" s="41">
        <v>2.1250000000000004</v>
      </c>
      <c r="H51" s="131"/>
      <c r="I51" s="35">
        <v>2.1250000000000004</v>
      </c>
      <c r="J51" s="200">
        <f t="shared" ref="J51:J56" si="12">E51*H51</f>
        <v>0</v>
      </c>
      <c r="K51" s="223">
        <v>0</v>
      </c>
      <c r="L51" s="212"/>
      <c r="M51" s="35">
        <v>0</v>
      </c>
      <c r="N51" s="200">
        <f t="shared" ref="N51:N56" si="13">J51*L51</f>
        <v>0</v>
      </c>
      <c r="O51" s="35">
        <v>2.1250000000000004</v>
      </c>
      <c r="P51" s="200">
        <f t="shared" ref="P51:P56" si="14">+J51-N51</f>
        <v>0</v>
      </c>
      <c r="Q51" s="35">
        <v>255.00000000000006</v>
      </c>
      <c r="R51" s="200">
        <f t="shared" ref="R51:R56" si="15">+J51*E$7</f>
        <v>0</v>
      </c>
    </row>
    <row r="52" spans="1:18" x14ac:dyDescent="0.2">
      <c r="A52" s="25"/>
      <c r="B52" s="25"/>
      <c r="C52" s="25" t="s">
        <v>46</v>
      </c>
      <c r="D52" s="25">
        <v>1</v>
      </c>
      <c r="E52" s="130"/>
      <c r="F52" s="224" t="s">
        <v>42</v>
      </c>
      <c r="G52" s="41">
        <v>16.670315000000002</v>
      </c>
      <c r="H52" s="131"/>
      <c r="I52" s="35">
        <v>16.670315000000002</v>
      </c>
      <c r="J52" s="200">
        <f t="shared" si="12"/>
        <v>0</v>
      </c>
      <c r="K52" s="223">
        <v>0</v>
      </c>
      <c r="L52" s="212"/>
      <c r="M52" s="35">
        <v>0</v>
      </c>
      <c r="N52" s="200">
        <f t="shared" si="13"/>
        <v>0</v>
      </c>
      <c r="O52" s="35">
        <v>16.670315000000002</v>
      </c>
      <c r="P52" s="200">
        <f t="shared" si="14"/>
        <v>0</v>
      </c>
      <c r="Q52" s="35">
        <v>2000.4378000000002</v>
      </c>
      <c r="R52" s="200">
        <f t="shared" si="15"/>
        <v>0</v>
      </c>
    </row>
    <row r="53" spans="1:18" x14ac:dyDescent="0.2">
      <c r="A53" s="25"/>
      <c r="B53" s="25"/>
      <c r="C53" s="25" t="s">
        <v>103</v>
      </c>
      <c r="D53" s="25">
        <v>1</v>
      </c>
      <c r="E53" s="130"/>
      <c r="F53" s="224" t="s">
        <v>42</v>
      </c>
      <c r="G53" s="41">
        <v>39.537496589350418</v>
      </c>
      <c r="H53" s="131"/>
      <c r="I53" s="35">
        <v>39.537496589350418</v>
      </c>
      <c r="J53" s="200">
        <f t="shared" si="12"/>
        <v>0</v>
      </c>
      <c r="K53" s="223">
        <v>0</v>
      </c>
      <c r="L53" s="212"/>
      <c r="M53" s="35">
        <v>0</v>
      </c>
      <c r="N53" s="200">
        <f t="shared" si="13"/>
        <v>0</v>
      </c>
      <c r="O53" s="35">
        <v>39.537496589350418</v>
      </c>
      <c r="P53" s="200">
        <f t="shared" si="14"/>
        <v>0</v>
      </c>
      <c r="Q53" s="35">
        <v>4744.49959072205</v>
      </c>
      <c r="R53" s="200">
        <f t="shared" si="15"/>
        <v>0</v>
      </c>
    </row>
    <row r="54" spans="1:18" x14ac:dyDescent="0.2">
      <c r="A54" s="25"/>
      <c r="B54" s="25"/>
      <c r="C54" s="25" t="s">
        <v>5</v>
      </c>
      <c r="D54" s="25">
        <v>1</v>
      </c>
      <c r="E54" s="130"/>
      <c r="F54" s="224" t="s">
        <v>42</v>
      </c>
      <c r="G54" s="41">
        <v>13.361443815586252</v>
      </c>
      <c r="H54" s="131"/>
      <c r="I54" s="35">
        <v>13.361443815586252</v>
      </c>
      <c r="J54" s="200">
        <f t="shared" si="12"/>
        <v>0</v>
      </c>
      <c r="K54" s="223">
        <v>0</v>
      </c>
      <c r="L54" s="212"/>
      <c r="M54" s="35">
        <v>0</v>
      </c>
      <c r="N54" s="200">
        <f t="shared" si="13"/>
        <v>0</v>
      </c>
      <c r="O54" s="35">
        <v>13.361443815586252</v>
      </c>
      <c r="P54" s="200">
        <f t="shared" si="14"/>
        <v>0</v>
      </c>
      <c r="Q54" s="35">
        <v>1603.3732578703502</v>
      </c>
      <c r="R54" s="200">
        <f t="shared" si="15"/>
        <v>0</v>
      </c>
    </row>
    <row r="55" spans="1:18" x14ac:dyDescent="0.2">
      <c r="A55" s="25"/>
      <c r="B55" s="131"/>
      <c r="C55" s="131"/>
      <c r="D55" s="25"/>
      <c r="E55" s="130"/>
      <c r="F55" s="224"/>
      <c r="G55" s="41"/>
      <c r="H55" s="131"/>
      <c r="I55" s="35">
        <v>0</v>
      </c>
      <c r="J55" s="200">
        <f t="shared" si="12"/>
        <v>0</v>
      </c>
      <c r="K55" s="223">
        <v>0</v>
      </c>
      <c r="L55" s="212"/>
      <c r="M55" s="35">
        <v>0</v>
      </c>
      <c r="N55" s="200">
        <f t="shared" si="13"/>
        <v>0</v>
      </c>
      <c r="O55" s="35">
        <v>0</v>
      </c>
      <c r="P55" s="200">
        <f t="shared" si="14"/>
        <v>0</v>
      </c>
      <c r="Q55" s="35">
        <v>0</v>
      </c>
      <c r="R55" s="200">
        <f t="shared" si="15"/>
        <v>0</v>
      </c>
    </row>
    <row r="56" spans="1:18" x14ac:dyDescent="0.2">
      <c r="A56" s="25"/>
      <c r="B56" s="131"/>
      <c r="C56" s="131"/>
      <c r="D56" s="25"/>
      <c r="E56" s="130"/>
      <c r="F56" s="224"/>
      <c r="G56" s="41"/>
      <c r="H56" s="131"/>
      <c r="I56" s="35">
        <v>0</v>
      </c>
      <c r="J56" s="200">
        <f t="shared" si="12"/>
        <v>0</v>
      </c>
      <c r="K56" s="223">
        <v>0</v>
      </c>
      <c r="L56" s="212"/>
      <c r="M56" s="35">
        <v>0</v>
      </c>
      <c r="N56" s="200">
        <f t="shared" si="13"/>
        <v>0</v>
      </c>
      <c r="O56" s="35">
        <v>0</v>
      </c>
      <c r="P56" s="200">
        <f t="shared" si="14"/>
        <v>0</v>
      </c>
      <c r="Q56" s="35">
        <v>0</v>
      </c>
      <c r="R56" s="200">
        <f t="shared" si="15"/>
        <v>0</v>
      </c>
    </row>
    <row r="57" spans="1:18" ht="13.5" thickBot="1" x14ac:dyDescent="0.25">
      <c r="A57" s="25"/>
      <c r="B57" s="25" t="s">
        <v>32</v>
      </c>
      <c r="C57" s="25"/>
      <c r="D57" s="25"/>
      <c r="E57" s="195"/>
      <c r="F57" s="21"/>
      <c r="G57" s="39">
        <v>0.09</v>
      </c>
      <c r="H57" s="213"/>
      <c r="I57" s="42">
        <v>27.680717852909535</v>
      </c>
      <c r="J57" s="200">
        <f>+SUM(J17:J56)/2*H57</f>
        <v>0</v>
      </c>
      <c r="K57" s="86"/>
      <c r="L57" s="135"/>
      <c r="M57" s="42">
        <v>0</v>
      </c>
      <c r="N57" s="200">
        <f>+SUM(N17:N56)/2*L57</f>
        <v>0</v>
      </c>
      <c r="O57" s="42">
        <v>27.680717852909535</v>
      </c>
      <c r="P57" s="200">
        <f>+SUM(P17:P56)/2*L57</f>
        <v>0</v>
      </c>
      <c r="Q57" s="42">
        <v>3321.6861423491441</v>
      </c>
      <c r="R57" s="182">
        <f>+J57*E$7</f>
        <v>0</v>
      </c>
    </row>
    <row r="58" spans="1:18" ht="13.5" thickBot="1" x14ac:dyDescent="0.25">
      <c r="A58" s="25" t="s">
        <v>33</v>
      </c>
      <c r="B58" s="25"/>
      <c r="C58" s="25"/>
      <c r="D58" s="25"/>
      <c r="E58" s="198"/>
      <c r="F58" s="25"/>
      <c r="G58" s="25"/>
      <c r="H58" s="195"/>
      <c r="I58" s="87">
        <v>673.87343044534612</v>
      </c>
      <c r="J58" s="202">
        <f>SUM(J18:J57)</f>
        <v>0</v>
      </c>
      <c r="K58" s="35"/>
      <c r="L58" s="193"/>
      <c r="M58" s="87">
        <v>0</v>
      </c>
      <c r="N58" s="202">
        <f>SUM(N18:N57)</f>
        <v>0</v>
      </c>
      <c r="O58" s="87">
        <v>673.87343044534612</v>
      </c>
      <c r="P58" s="202">
        <f>SUM(P18:P57)</f>
        <v>0</v>
      </c>
      <c r="Q58" s="87">
        <v>80864.811653441531</v>
      </c>
      <c r="R58" s="202">
        <f>SUM(R18:R57)</f>
        <v>0</v>
      </c>
    </row>
    <row r="59" spans="1:18" ht="13.5" thickTop="1" x14ac:dyDescent="0.2">
      <c r="A59" s="25" t="s">
        <v>34</v>
      </c>
      <c r="B59" s="25"/>
      <c r="C59" s="25"/>
      <c r="D59" s="25"/>
      <c r="E59" s="198"/>
      <c r="F59" s="25"/>
      <c r="G59" s="25"/>
      <c r="H59" s="195"/>
      <c r="I59" s="35">
        <v>526.12656955465388</v>
      </c>
      <c r="J59" s="200">
        <f>+J13-J58</f>
        <v>0</v>
      </c>
      <c r="K59" s="35"/>
      <c r="L59" s="193"/>
      <c r="M59" s="35">
        <v>0</v>
      </c>
      <c r="N59" s="200">
        <f>+N13-N58</f>
        <v>0</v>
      </c>
      <c r="O59" s="35">
        <v>526.12656955465388</v>
      </c>
      <c r="P59" s="200">
        <f>+P13-P58</f>
        <v>0</v>
      </c>
      <c r="Q59" s="35">
        <v>63135.188346558469</v>
      </c>
      <c r="R59" s="200">
        <f>+R13-R58</f>
        <v>0</v>
      </c>
    </row>
    <row r="60" spans="1:18" x14ac:dyDescent="0.2">
      <c r="A60" s="25"/>
      <c r="B60" s="25" t="s">
        <v>35</v>
      </c>
      <c r="C60" s="25"/>
      <c r="D60" s="25"/>
      <c r="E60" s="208"/>
      <c r="F60" s="17"/>
      <c r="G60" s="40">
        <v>336.93671522267306</v>
      </c>
      <c r="H60" s="208" t="str">
        <f>IF(E10=0,"n/a",(YVarExp-(YTotExp+YTotRet-J10))/E10)</f>
        <v>n/a</v>
      </c>
      <c r="I60" s="25" t="s">
        <v>135</v>
      </c>
      <c r="J60" s="182"/>
      <c r="K60" s="25"/>
      <c r="L60" s="195"/>
      <c r="M60" s="25"/>
      <c r="N60" s="182"/>
      <c r="O60" s="25"/>
      <c r="P60" s="182"/>
      <c r="Q60" s="25"/>
      <c r="R60" s="182"/>
    </row>
    <row r="61" spans="1:18" x14ac:dyDescent="0.2">
      <c r="A61" s="25"/>
      <c r="B61" s="25"/>
      <c r="C61" s="25"/>
      <c r="D61" s="25"/>
      <c r="E61" s="176"/>
      <c r="F61" s="25"/>
      <c r="G61" s="25"/>
      <c r="H61" s="209"/>
      <c r="I61" s="25"/>
      <c r="J61" s="182"/>
      <c r="K61" s="25"/>
      <c r="L61" s="195"/>
      <c r="M61" s="25"/>
      <c r="N61" s="182"/>
      <c r="O61" s="25"/>
      <c r="P61" s="182"/>
      <c r="Q61" s="22" t="s">
        <v>19</v>
      </c>
      <c r="R61" s="182" t="s">
        <v>19</v>
      </c>
    </row>
    <row r="62" spans="1:18" x14ac:dyDescent="0.2">
      <c r="A62" s="23" t="s">
        <v>36</v>
      </c>
      <c r="B62" s="23"/>
      <c r="C62" s="23"/>
      <c r="D62" s="24" t="s">
        <v>2</v>
      </c>
      <c r="E62" s="194" t="s">
        <v>2</v>
      </c>
      <c r="F62" s="24" t="s">
        <v>21</v>
      </c>
      <c r="G62" s="24" t="s">
        <v>22</v>
      </c>
      <c r="H62" s="194" t="s">
        <v>22</v>
      </c>
      <c r="I62" s="24" t="s">
        <v>12</v>
      </c>
      <c r="J62" s="194" t="s">
        <v>12</v>
      </c>
      <c r="K62" s="24" t="s">
        <v>11</v>
      </c>
      <c r="L62" s="194" t="s">
        <v>11</v>
      </c>
      <c r="M62" s="24" t="s">
        <v>10</v>
      </c>
      <c r="N62" s="194" t="s">
        <v>10</v>
      </c>
      <c r="O62" s="24" t="s">
        <v>9</v>
      </c>
      <c r="P62" s="194" t="s">
        <v>9</v>
      </c>
      <c r="Q62" s="24" t="s">
        <v>12</v>
      </c>
      <c r="R62" s="206" t="s">
        <v>12</v>
      </c>
    </row>
    <row r="63" spans="1:18" x14ac:dyDescent="0.2">
      <c r="A63" s="25"/>
      <c r="B63" s="25" t="s">
        <v>104</v>
      </c>
      <c r="C63" s="25"/>
      <c r="D63" s="25"/>
      <c r="E63" s="176"/>
      <c r="F63" s="25"/>
      <c r="G63" s="25"/>
      <c r="H63" s="209"/>
      <c r="I63" s="184"/>
      <c r="J63" s="182"/>
      <c r="K63" s="223"/>
      <c r="L63" s="195"/>
      <c r="M63" s="25"/>
      <c r="N63" s="182"/>
      <c r="O63" s="25"/>
      <c r="P63" s="182"/>
      <c r="Q63" s="25"/>
      <c r="R63" s="182"/>
    </row>
    <row r="64" spans="1:18" x14ac:dyDescent="0.2">
      <c r="A64" s="25"/>
      <c r="B64" s="25"/>
      <c r="C64" s="25" t="s">
        <v>102</v>
      </c>
      <c r="D64" s="25">
        <v>1</v>
      </c>
      <c r="E64" s="130"/>
      <c r="F64" s="224" t="s">
        <v>42</v>
      </c>
      <c r="G64" s="41">
        <v>2.9502083333333338</v>
      </c>
      <c r="H64" s="131"/>
      <c r="I64" s="35">
        <v>2.9502083333333338</v>
      </c>
      <c r="J64" s="200">
        <f t="shared" ref="J64:J67" si="16">E64*H64</f>
        <v>0</v>
      </c>
      <c r="K64" s="223">
        <v>0</v>
      </c>
      <c r="L64" s="212"/>
      <c r="M64" s="35">
        <v>0</v>
      </c>
      <c r="N64" s="200">
        <f>J64*L64</f>
        <v>0</v>
      </c>
      <c r="O64" s="35">
        <v>2.9502083333333338</v>
      </c>
      <c r="P64" s="200">
        <f t="shared" ref="P64:P67" si="17">+J64-N64</f>
        <v>0</v>
      </c>
      <c r="Q64" s="35">
        <v>354.02500000000003</v>
      </c>
      <c r="R64" s="200">
        <f t="shared" ref="R64:R67" si="18">+J64*E$7</f>
        <v>0</v>
      </c>
    </row>
    <row r="65" spans="1:18" x14ac:dyDescent="0.2">
      <c r="A65" s="25"/>
      <c r="B65" s="25"/>
      <c r="C65" s="25" t="s">
        <v>46</v>
      </c>
      <c r="D65" s="25">
        <v>1</v>
      </c>
      <c r="E65" s="130"/>
      <c r="F65" s="224" t="s">
        <v>42</v>
      </c>
      <c r="G65" s="41">
        <v>24.7</v>
      </c>
      <c r="H65" s="131"/>
      <c r="I65" s="35">
        <v>24.7</v>
      </c>
      <c r="J65" s="200">
        <f t="shared" si="16"/>
        <v>0</v>
      </c>
      <c r="K65" s="223">
        <v>0</v>
      </c>
      <c r="L65" s="212"/>
      <c r="M65" s="35">
        <v>0</v>
      </c>
      <c r="N65" s="200">
        <f>J65*L65</f>
        <v>0</v>
      </c>
      <c r="O65" s="35">
        <v>24.7</v>
      </c>
      <c r="P65" s="200">
        <f t="shared" si="17"/>
        <v>0</v>
      </c>
      <c r="Q65" s="35">
        <v>2964</v>
      </c>
      <c r="R65" s="200">
        <f t="shared" si="18"/>
        <v>0</v>
      </c>
    </row>
    <row r="66" spans="1:18" x14ac:dyDescent="0.2">
      <c r="A66" s="25"/>
      <c r="B66" s="25"/>
      <c r="C66" s="25" t="s">
        <v>103</v>
      </c>
      <c r="D66" s="25">
        <v>1</v>
      </c>
      <c r="E66" s="130"/>
      <c r="F66" s="224" t="s">
        <v>42</v>
      </c>
      <c r="G66" s="41">
        <v>116.23653615704798</v>
      </c>
      <c r="H66" s="131"/>
      <c r="I66" s="35">
        <v>116.23653615704798</v>
      </c>
      <c r="J66" s="200">
        <f t="shared" si="16"/>
        <v>0</v>
      </c>
      <c r="K66" s="223">
        <v>0</v>
      </c>
      <c r="L66" s="212"/>
      <c r="M66" s="35">
        <v>0</v>
      </c>
      <c r="N66" s="200">
        <f>J66*L66</f>
        <v>0</v>
      </c>
      <c r="O66" s="35">
        <v>116.23653615704798</v>
      </c>
      <c r="P66" s="200">
        <f t="shared" si="17"/>
        <v>0</v>
      </c>
      <c r="Q66" s="35">
        <v>13948.384338845757</v>
      </c>
      <c r="R66" s="200">
        <f t="shared" si="18"/>
        <v>0</v>
      </c>
    </row>
    <row r="67" spans="1:18" x14ac:dyDescent="0.2">
      <c r="A67" s="25"/>
      <c r="B67" s="25"/>
      <c r="C67" s="25" t="s">
        <v>5</v>
      </c>
      <c r="D67" s="25">
        <v>1</v>
      </c>
      <c r="E67" s="130"/>
      <c r="F67" s="224" t="s">
        <v>42</v>
      </c>
      <c r="G67" s="41">
        <v>16.620159933447727</v>
      </c>
      <c r="H67" s="131"/>
      <c r="I67" s="35">
        <v>16.620159933447727</v>
      </c>
      <c r="J67" s="200">
        <f t="shared" si="16"/>
        <v>0</v>
      </c>
      <c r="K67" s="223">
        <v>0</v>
      </c>
      <c r="L67" s="212"/>
      <c r="M67" s="35">
        <v>0</v>
      </c>
      <c r="N67" s="200">
        <f>J67*L67</f>
        <v>0</v>
      </c>
      <c r="O67" s="35">
        <v>16.620159933447727</v>
      </c>
      <c r="P67" s="200">
        <f t="shared" si="17"/>
        <v>0</v>
      </c>
      <c r="Q67" s="35">
        <v>1994.4191920137273</v>
      </c>
      <c r="R67" s="200">
        <f t="shared" si="18"/>
        <v>0</v>
      </c>
    </row>
    <row r="68" spans="1:18" x14ac:dyDescent="0.2">
      <c r="A68" s="25"/>
      <c r="B68" s="25" t="s">
        <v>88</v>
      </c>
      <c r="C68" s="25"/>
      <c r="D68" s="25"/>
      <c r="E68" s="195"/>
      <c r="F68" s="21"/>
      <c r="G68" s="41"/>
      <c r="H68" s="195"/>
      <c r="I68" s="184"/>
      <c r="J68" s="182"/>
      <c r="K68" s="223"/>
      <c r="L68" s="195"/>
      <c r="M68" s="35"/>
      <c r="N68" s="182"/>
      <c r="O68" s="35"/>
      <c r="P68" s="182"/>
      <c r="Q68" s="35"/>
      <c r="R68" s="182"/>
    </row>
    <row r="69" spans="1:18" x14ac:dyDescent="0.2">
      <c r="A69" s="25"/>
      <c r="B69" s="25"/>
      <c r="C69" s="25" t="s">
        <v>102</v>
      </c>
      <c r="D69" s="41">
        <v>20.665624999999999</v>
      </c>
      <c r="E69" s="130"/>
      <c r="F69" s="224" t="s">
        <v>99</v>
      </c>
      <c r="G69" s="39">
        <v>0.08</v>
      </c>
      <c r="H69" s="213"/>
      <c r="I69" s="35">
        <v>1.6532499999999999</v>
      </c>
      <c r="J69" s="200">
        <f t="shared" ref="J69:J79" si="19">E69*H69</f>
        <v>0</v>
      </c>
      <c r="K69" s="223">
        <v>0</v>
      </c>
      <c r="L69" s="212"/>
      <c r="M69" s="35">
        <v>0</v>
      </c>
      <c r="N69" s="200">
        <f>J69*L69</f>
        <v>0</v>
      </c>
      <c r="O69" s="35">
        <v>1.6532499999999999</v>
      </c>
      <c r="P69" s="200">
        <f t="shared" ref="P69:P72" si="20">+J69-N69</f>
        <v>0</v>
      </c>
      <c r="Q69" s="35">
        <v>198.39</v>
      </c>
      <c r="R69" s="200">
        <f t="shared" ref="R69:R72" si="21">+J69*E$7</f>
        <v>0</v>
      </c>
    </row>
    <row r="70" spans="1:18" x14ac:dyDescent="0.2">
      <c r="A70" s="25"/>
      <c r="B70" s="25"/>
      <c r="C70" s="25" t="s">
        <v>46</v>
      </c>
      <c r="D70" s="41">
        <v>720.41666666666663</v>
      </c>
      <c r="E70" s="130"/>
      <c r="F70" s="224" t="s">
        <v>99</v>
      </c>
      <c r="G70" s="39">
        <v>0.08</v>
      </c>
      <c r="H70" s="213"/>
      <c r="I70" s="35">
        <v>57.633333333333333</v>
      </c>
      <c r="J70" s="200">
        <f t="shared" si="19"/>
        <v>0</v>
      </c>
      <c r="K70" s="223">
        <v>0</v>
      </c>
      <c r="L70" s="212"/>
      <c r="M70" s="35">
        <v>0</v>
      </c>
      <c r="N70" s="200">
        <f>J70*L70</f>
        <v>0</v>
      </c>
      <c r="O70" s="35">
        <v>57.633333333333333</v>
      </c>
      <c r="P70" s="200">
        <f t="shared" si="20"/>
        <v>0</v>
      </c>
      <c r="Q70" s="35">
        <v>6916</v>
      </c>
      <c r="R70" s="200">
        <f t="shared" si="21"/>
        <v>0</v>
      </c>
    </row>
    <row r="71" spans="1:18" x14ac:dyDescent="0.2">
      <c r="A71" s="25"/>
      <c r="B71" s="25"/>
      <c r="C71" s="25" t="s">
        <v>103</v>
      </c>
      <c r="D71" s="41">
        <v>870.49544137228281</v>
      </c>
      <c r="E71" s="130"/>
      <c r="F71" s="224" t="s">
        <v>99</v>
      </c>
      <c r="G71" s="39">
        <v>0.08</v>
      </c>
      <c r="H71" s="213"/>
      <c r="I71" s="35">
        <v>69.639635309782633</v>
      </c>
      <c r="J71" s="200">
        <f t="shared" si="19"/>
        <v>0</v>
      </c>
      <c r="K71" s="223">
        <v>0</v>
      </c>
      <c r="L71" s="212"/>
      <c r="M71" s="35">
        <v>0</v>
      </c>
      <c r="N71" s="200">
        <f>J71*L71</f>
        <v>0</v>
      </c>
      <c r="O71" s="35">
        <v>69.639635309782633</v>
      </c>
      <c r="P71" s="200">
        <f t="shared" si="20"/>
        <v>0</v>
      </c>
      <c r="Q71" s="35">
        <v>8356.7562371739168</v>
      </c>
      <c r="R71" s="200">
        <f t="shared" si="21"/>
        <v>0</v>
      </c>
    </row>
    <row r="72" spans="1:18" x14ac:dyDescent="0.2">
      <c r="A72" s="25"/>
      <c r="B72" s="25"/>
      <c r="C72" s="25" t="s">
        <v>5</v>
      </c>
      <c r="D72" s="41">
        <v>228.11270885110662</v>
      </c>
      <c r="E72" s="130"/>
      <c r="F72" s="224" t="s">
        <v>99</v>
      </c>
      <c r="G72" s="39">
        <v>0.08</v>
      </c>
      <c r="H72" s="213"/>
      <c r="I72" s="35">
        <v>18.249016708088529</v>
      </c>
      <c r="J72" s="200">
        <f t="shared" si="19"/>
        <v>0</v>
      </c>
      <c r="K72" s="223">
        <v>0</v>
      </c>
      <c r="L72" s="212"/>
      <c r="M72" s="35">
        <v>0</v>
      </c>
      <c r="N72" s="200">
        <f>J72*L72</f>
        <v>0</v>
      </c>
      <c r="O72" s="35">
        <v>18.249016708088529</v>
      </c>
      <c r="P72" s="200">
        <f t="shared" si="20"/>
        <v>0</v>
      </c>
      <c r="Q72" s="35">
        <v>2189.8820049706237</v>
      </c>
      <c r="R72" s="200">
        <f t="shared" si="21"/>
        <v>0</v>
      </c>
    </row>
    <row r="73" spans="1:18" x14ac:dyDescent="0.2">
      <c r="A73" s="25"/>
      <c r="B73" s="25" t="s">
        <v>156</v>
      </c>
      <c r="C73" s="25"/>
      <c r="D73" s="25">
        <v>1</v>
      </c>
      <c r="E73" s="130"/>
      <c r="F73" s="224" t="s">
        <v>42</v>
      </c>
      <c r="G73" s="41">
        <v>0</v>
      </c>
      <c r="H73" s="131"/>
      <c r="I73" s="35">
        <v>0</v>
      </c>
      <c r="J73" s="200">
        <f t="shared" si="19"/>
        <v>0</v>
      </c>
      <c r="K73" s="223">
        <v>0</v>
      </c>
      <c r="L73" s="212"/>
      <c r="M73" s="35">
        <v>0</v>
      </c>
      <c r="N73" s="200">
        <f t="shared" ref="N73:N80" si="22">J73*L73</f>
        <v>0</v>
      </c>
      <c r="O73" s="35">
        <v>0</v>
      </c>
      <c r="P73" s="200">
        <f t="shared" ref="P73:P80" si="23">+J73-N73</f>
        <v>0</v>
      </c>
      <c r="Q73" s="35">
        <v>0</v>
      </c>
      <c r="R73" s="200">
        <f t="shared" ref="R73:R80" si="24">+J73*E$7</f>
        <v>0</v>
      </c>
    </row>
    <row r="74" spans="1:18" x14ac:dyDescent="0.2">
      <c r="A74" s="25"/>
      <c r="B74" s="25" t="s">
        <v>152</v>
      </c>
      <c r="C74" s="25"/>
      <c r="D74" s="25">
        <v>1</v>
      </c>
      <c r="E74" s="130"/>
      <c r="F74" s="224" t="s">
        <v>42</v>
      </c>
      <c r="G74" s="41">
        <v>0</v>
      </c>
      <c r="H74" s="131"/>
      <c r="I74" s="35">
        <v>0</v>
      </c>
      <c r="J74" s="200">
        <f t="shared" si="19"/>
        <v>0</v>
      </c>
      <c r="K74" s="223">
        <v>0</v>
      </c>
      <c r="L74" s="212"/>
      <c r="M74" s="35">
        <v>0</v>
      </c>
      <c r="N74" s="200">
        <f t="shared" si="22"/>
        <v>0</v>
      </c>
      <c r="O74" s="35">
        <v>0</v>
      </c>
      <c r="P74" s="200">
        <f t="shared" si="23"/>
        <v>0</v>
      </c>
      <c r="Q74" s="35">
        <v>0</v>
      </c>
      <c r="R74" s="200">
        <f t="shared" si="24"/>
        <v>0</v>
      </c>
    </row>
    <row r="75" spans="1:18" x14ac:dyDescent="0.2">
      <c r="A75" s="25"/>
      <c r="B75" s="25" t="s">
        <v>137</v>
      </c>
      <c r="C75" s="25"/>
      <c r="D75" s="25">
        <v>1</v>
      </c>
      <c r="E75" s="130"/>
      <c r="F75" s="224" t="s">
        <v>42</v>
      </c>
      <c r="G75" s="41">
        <v>0</v>
      </c>
      <c r="H75" s="131"/>
      <c r="I75" s="35">
        <v>0</v>
      </c>
      <c r="J75" s="200">
        <f t="shared" si="19"/>
        <v>0</v>
      </c>
      <c r="K75" s="223">
        <v>0</v>
      </c>
      <c r="L75" s="212"/>
      <c r="M75" s="35">
        <v>0</v>
      </c>
      <c r="N75" s="200">
        <f t="shared" si="22"/>
        <v>0</v>
      </c>
      <c r="O75" s="35">
        <v>0</v>
      </c>
      <c r="P75" s="200">
        <f t="shared" si="23"/>
        <v>0</v>
      </c>
      <c r="Q75" s="35">
        <v>0</v>
      </c>
      <c r="R75" s="200">
        <f t="shared" si="24"/>
        <v>0</v>
      </c>
    </row>
    <row r="76" spans="1:18" x14ac:dyDescent="0.2">
      <c r="A76" s="25"/>
      <c r="B76" s="25" t="s">
        <v>179</v>
      </c>
      <c r="C76" s="25"/>
      <c r="D76" s="25">
        <v>1</v>
      </c>
      <c r="E76" s="130"/>
      <c r="F76" s="224" t="s">
        <v>42</v>
      </c>
      <c r="G76" s="41">
        <v>90</v>
      </c>
      <c r="H76" s="131"/>
      <c r="I76" s="35">
        <v>90</v>
      </c>
      <c r="J76" s="200">
        <f t="shared" si="19"/>
        <v>0</v>
      </c>
      <c r="K76" s="223">
        <v>0</v>
      </c>
      <c r="L76" s="212"/>
      <c r="M76" s="35">
        <v>0</v>
      </c>
      <c r="N76" s="200">
        <f t="shared" si="22"/>
        <v>0</v>
      </c>
      <c r="O76" s="35">
        <v>90</v>
      </c>
      <c r="P76" s="200">
        <f t="shared" si="23"/>
        <v>0</v>
      </c>
      <c r="Q76" s="35">
        <v>10800</v>
      </c>
      <c r="R76" s="200">
        <f t="shared" si="24"/>
        <v>0</v>
      </c>
    </row>
    <row r="77" spans="1:18" x14ac:dyDescent="0.2">
      <c r="A77" s="25"/>
      <c r="B77" s="25" t="s">
        <v>159</v>
      </c>
      <c r="C77" s="25"/>
      <c r="D77" s="25">
        <v>1</v>
      </c>
      <c r="E77" s="130"/>
      <c r="F77" s="224" t="s">
        <v>42</v>
      </c>
      <c r="G77" s="41">
        <v>0</v>
      </c>
      <c r="H77" s="131"/>
      <c r="I77" s="35">
        <v>0</v>
      </c>
      <c r="J77" s="200">
        <f t="shared" si="19"/>
        <v>0</v>
      </c>
      <c r="K77" s="223">
        <v>0</v>
      </c>
      <c r="L77" s="212"/>
      <c r="M77" s="35">
        <v>0</v>
      </c>
      <c r="N77" s="200">
        <f t="shared" si="22"/>
        <v>0</v>
      </c>
      <c r="O77" s="35">
        <v>0</v>
      </c>
      <c r="P77" s="200">
        <f t="shared" si="23"/>
        <v>0</v>
      </c>
      <c r="Q77" s="35">
        <v>0</v>
      </c>
      <c r="R77" s="200">
        <f t="shared" si="24"/>
        <v>0</v>
      </c>
    </row>
    <row r="78" spans="1:18" x14ac:dyDescent="0.2">
      <c r="A78" s="25"/>
      <c r="B78" s="25" t="s">
        <v>160</v>
      </c>
      <c r="C78" s="25"/>
      <c r="D78" s="25">
        <v>1</v>
      </c>
      <c r="E78" s="130"/>
      <c r="F78" s="224" t="s">
        <v>42</v>
      </c>
      <c r="G78" s="41">
        <v>0</v>
      </c>
      <c r="H78" s="131"/>
      <c r="I78" s="35">
        <v>0</v>
      </c>
      <c r="J78" s="200">
        <f t="shared" si="19"/>
        <v>0</v>
      </c>
      <c r="K78" s="223">
        <v>0</v>
      </c>
      <c r="L78" s="212"/>
      <c r="M78" s="35">
        <v>0</v>
      </c>
      <c r="N78" s="200">
        <f t="shared" si="22"/>
        <v>0</v>
      </c>
      <c r="O78" s="35">
        <v>0</v>
      </c>
      <c r="P78" s="200">
        <f t="shared" si="23"/>
        <v>0</v>
      </c>
      <c r="Q78" s="35">
        <v>0</v>
      </c>
      <c r="R78" s="200">
        <f t="shared" si="24"/>
        <v>0</v>
      </c>
    </row>
    <row r="79" spans="1:18" x14ac:dyDescent="0.2">
      <c r="A79" s="25"/>
      <c r="B79" s="131"/>
      <c r="C79" s="131"/>
      <c r="D79" s="25">
        <v>1</v>
      </c>
      <c r="E79" s="130"/>
      <c r="F79" s="224"/>
      <c r="G79" s="41">
        <v>0</v>
      </c>
      <c r="H79" s="131"/>
      <c r="I79" s="35">
        <v>0</v>
      </c>
      <c r="J79" s="200">
        <f t="shared" si="19"/>
        <v>0</v>
      </c>
      <c r="K79" s="223">
        <v>0</v>
      </c>
      <c r="L79" s="212"/>
      <c r="M79" s="35">
        <v>0</v>
      </c>
      <c r="N79" s="200">
        <f t="shared" si="22"/>
        <v>0</v>
      </c>
      <c r="O79" s="35">
        <v>0</v>
      </c>
      <c r="P79" s="200">
        <f t="shared" si="23"/>
        <v>0</v>
      </c>
      <c r="Q79" s="35">
        <v>0</v>
      </c>
      <c r="R79" s="200">
        <f t="shared" si="24"/>
        <v>0</v>
      </c>
    </row>
    <row r="80" spans="1:18" ht="13.5" thickBot="1" x14ac:dyDescent="0.25">
      <c r="A80" s="25"/>
      <c r="B80" s="131"/>
      <c r="C80" s="131"/>
      <c r="D80" s="25">
        <v>1</v>
      </c>
      <c r="E80" s="130"/>
      <c r="F80" s="224"/>
      <c r="G80" s="41">
        <v>0</v>
      </c>
      <c r="H80" s="131"/>
      <c r="I80" s="35">
        <v>0</v>
      </c>
      <c r="J80" s="200">
        <f>E80*H80</f>
        <v>0</v>
      </c>
      <c r="K80" s="223">
        <v>0</v>
      </c>
      <c r="L80" s="212"/>
      <c r="M80" s="35">
        <v>0</v>
      </c>
      <c r="N80" s="200">
        <f t="shared" si="22"/>
        <v>0</v>
      </c>
      <c r="O80" s="35">
        <v>0</v>
      </c>
      <c r="P80" s="200">
        <f t="shared" si="23"/>
        <v>0</v>
      </c>
      <c r="Q80" s="35">
        <v>0</v>
      </c>
      <c r="R80" s="200">
        <f t="shared" si="24"/>
        <v>0</v>
      </c>
    </row>
    <row r="81" spans="1:18" ht="13.5" thickBot="1" x14ac:dyDescent="0.25">
      <c r="A81" s="25" t="s">
        <v>37</v>
      </c>
      <c r="B81" s="25"/>
      <c r="C81" s="25"/>
      <c r="D81" s="25"/>
      <c r="E81" s="195"/>
      <c r="F81" s="25"/>
      <c r="G81" s="25"/>
      <c r="H81" s="195"/>
      <c r="I81" s="118">
        <v>397.68213977503353</v>
      </c>
      <c r="J81" s="202">
        <f>+SUM(J64:J80)</f>
        <v>0</v>
      </c>
      <c r="K81" s="35"/>
      <c r="L81" s="193"/>
      <c r="M81" s="118">
        <v>0</v>
      </c>
      <c r="N81" s="202">
        <f>+SUM(N64:N80)</f>
        <v>0</v>
      </c>
      <c r="O81" s="118">
        <v>397.68213977503353</v>
      </c>
      <c r="P81" s="202">
        <f>+SUM(P64:P80)</f>
        <v>0</v>
      </c>
      <c r="Q81" s="118">
        <v>47721.85677300403</v>
      </c>
      <c r="R81" s="202">
        <f>+SUM(R64:R80)</f>
        <v>0</v>
      </c>
    </row>
    <row r="82" spans="1:18" ht="14.25" thickTop="1" thickBot="1" x14ac:dyDescent="0.25">
      <c r="A82" s="25" t="s">
        <v>52</v>
      </c>
      <c r="B82" s="25"/>
      <c r="C82" s="25"/>
      <c r="D82" s="25"/>
      <c r="E82" s="195"/>
      <c r="F82" s="25"/>
      <c r="G82" s="25"/>
      <c r="H82" s="195"/>
      <c r="I82" s="87">
        <v>1071.5555702203796</v>
      </c>
      <c r="J82" s="203">
        <f>+J58+J81</f>
        <v>0</v>
      </c>
      <c r="K82" s="35"/>
      <c r="L82" s="193"/>
      <c r="M82" s="87">
        <v>0</v>
      </c>
      <c r="N82" s="203">
        <f>+N58+N81</f>
        <v>0</v>
      </c>
      <c r="O82" s="87">
        <v>1071.5555702203796</v>
      </c>
      <c r="P82" s="203">
        <f>+P58+P81</f>
        <v>0</v>
      </c>
      <c r="Q82" s="87">
        <v>128586.66842644557</v>
      </c>
      <c r="R82" s="203">
        <f>+R58+R81</f>
        <v>0</v>
      </c>
    </row>
    <row r="83" spans="1:18" ht="13.5" thickTop="1" x14ac:dyDescent="0.2">
      <c r="A83" s="25"/>
      <c r="B83" s="25"/>
      <c r="C83" s="25"/>
      <c r="D83" s="25"/>
      <c r="E83" s="195"/>
      <c r="F83" s="25"/>
      <c r="G83" s="25"/>
      <c r="H83" s="195"/>
      <c r="I83" s="35"/>
      <c r="J83" s="182"/>
      <c r="K83" s="35"/>
      <c r="L83" s="193"/>
      <c r="M83" s="35"/>
      <c r="N83" s="182"/>
      <c r="O83" s="35"/>
      <c r="P83" s="182"/>
      <c r="Q83" s="35"/>
      <c r="R83" s="182"/>
    </row>
    <row r="84" spans="1:18" x14ac:dyDescent="0.2">
      <c r="A84" s="25" t="s">
        <v>153</v>
      </c>
      <c r="B84" s="25"/>
      <c r="C84" s="25"/>
      <c r="D84" s="25"/>
      <c r="E84" s="195"/>
      <c r="F84" s="25"/>
      <c r="G84" s="25"/>
      <c r="H84" s="195"/>
      <c r="I84" s="35">
        <v>128.44442977962035</v>
      </c>
      <c r="J84" s="200">
        <f>+J13-J82</f>
        <v>0</v>
      </c>
      <c r="K84" s="35"/>
      <c r="L84" s="193"/>
      <c r="M84" s="35">
        <v>0</v>
      </c>
      <c r="N84" s="200">
        <f>+N13-N82</f>
        <v>0</v>
      </c>
      <c r="O84" s="35">
        <v>128.44442977962035</v>
      </c>
      <c r="P84" s="200">
        <f>+P13-P82</f>
        <v>0</v>
      </c>
      <c r="Q84" s="35">
        <v>15413.331573554431</v>
      </c>
      <c r="R84" s="200">
        <f>+R13-R82</f>
        <v>0</v>
      </c>
    </row>
    <row r="85" spans="1:18" x14ac:dyDescent="0.2">
      <c r="A85" s="25"/>
      <c r="B85" s="25"/>
      <c r="C85" s="25"/>
      <c r="D85" s="25"/>
      <c r="E85" s="195"/>
      <c r="F85" s="25"/>
      <c r="G85" s="25"/>
      <c r="H85" s="195"/>
      <c r="I85" s="35"/>
      <c r="J85" s="204"/>
      <c r="K85" s="35"/>
      <c r="L85" s="193"/>
      <c r="M85" s="35"/>
      <c r="N85" s="193"/>
      <c r="O85" s="35"/>
      <c r="P85" s="193"/>
      <c r="Q85" s="35"/>
      <c r="R85" s="204"/>
    </row>
    <row r="86" spans="1:18" ht="13.5" thickBot="1" x14ac:dyDescent="0.25">
      <c r="A86" s="44" t="s">
        <v>38</v>
      </c>
      <c r="B86" s="44"/>
      <c r="C86" s="44"/>
      <c r="D86" s="44"/>
      <c r="E86" s="199"/>
      <c r="F86" s="44"/>
      <c r="G86" s="45">
        <v>535.77778511018982</v>
      </c>
      <c r="H86" s="210" t="str">
        <f>IF(E10=0,"n/a",(YTotExp-(YTotExp+YTotRet-J10))/E10)</f>
        <v>n/a</v>
      </c>
      <c r="I86" s="44" t="s">
        <v>135</v>
      </c>
      <c r="J86" s="205"/>
      <c r="K86" s="44"/>
      <c r="L86" s="199"/>
      <c r="M86" s="44"/>
      <c r="N86" s="199"/>
      <c r="O86" s="44"/>
      <c r="P86" s="199"/>
      <c r="Q86" s="44"/>
      <c r="R86" s="205"/>
    </row>
    <row r="87" spans="1:18" ht="13.5" thickTop="1" x14ac:dyDescent="0.2"/>
    <row r="88" spans="1:18" s="17" customFormat="1" ht="15.75" x14ac:dyDescent="0.25">
      <c r="A88"/>
      <c r="B88" s="88"/>
      <c r="C88" s="89"/>
      <c r="D88" s="234" t="s">
        <v>113</v>
      </c>
      <c r="E88" s="235"/>
      <c r="F88" s="235"/>
      <c r="G88" s="235"/>
      <c r="H88" s="235"/>
      <c r="I88" s="235"/>
      <c r="J88" s="99"/>
      <c r="K88" s="99"/>
      <c r="M88"/>
      <c r="N88"/>
    </row>
    <row r="89" spans="1:18" s="17" customFormat="1" ht="15.75" x14ac:dyDescent="0.25">
      <c r="A89"/>
      <c r="B89" s="19" t="s">
        <v>114</v>
      </c>
      <c r="C89" s="19" t="s">
        <v>114</v>
      </c>
      <c r="D89" s="123" t="s">
        <v>170</v>
      </c>
      <c r="E89" s="18"/>
      <c r="F89" s="18"/>
      <c r="G89" s="123" t="s">
        <v>170</v>
      </c>
      <c r="H89" s="18"/>
      <c r="I89" s="18"/>
      <c r="J89" s="18"/>
      <c r="K89" s="18"/>
      <c r="M89"/>
      <c r="N89"/>
    </row>
    <row r="90" spans="1:18" s="17" customFormat="1" x14ac:dyDescent="0.2">
      <c r="A90"/>
      <c r="B90" s="19" t="s">
        <v>80</v>
      </c>
      <c r="C90" s="19" t="s">
        <v>80</v>
      </c>
      <c r="D90" s="123" t="s">
        <v>157</v>
      </c>
      <c r="E90" s="119"/>
      <c r="F90" s="119"/>
      <c r="G90" s="123" t="s">
        <v>12</v>
      </c>
      <c r="H90" s="119"/>
      <c r="I90" s="119"/>
      <c r="J90" s="119"/>
      <c r="K90" s="119"/>
      <c r="M90"/>
      <c r="N90"/>
    </row>
    <row r="91" spans="1:18" s="17" customFormat="1" x14ac:dyDescent="0.2">
      <c r="A91"/>
      <c r="B91" s="19" t="s">
        <v>30</v>
      </c>
      <c r="C91" s="99" t="s">
        <v>135</v>
      </c>
      <c r="D91" s="123" t="s">
        <v>98</v>
      </c>
      <c r="E91" s="119"/>
      <c r="F91" s="119"/>
      <c r="G91" s="123" t="s">
        <v>98</v>
      </c>
      <c r="H91" s="19"/>
      <c r="I91" s="19"/>
      <c r="J91" s="19"/>
      <c r="K91" s="19"/>
      <c r="M91"/>
      <c r="N91"/>
    </row>
    <row r="92" spans="1:18" s="17" customFormat="1" x14ac:dyDescent="0.2">
      <c r="A92"/>
      <c r="B92" s="90">
        <v>0.75</v>
      </c>
      <c r="C92" s="91">
        <v>1.5</v>
      </c>
      <c r="D92" s="92">
        <v>449.24895363023074</v>
      </c>
      <c r="E92" s="93"/>
      <c r="F92" s="94"/>
      <c r="G92" s="92">
        <v>714.37038014691973</v>
      </c>
      <c r="H92" s="93"/>
      <c r="I92" s="93"/>
      <c r="M92"/>
      <c r="N92"/>
    </row>
    <row r="93" spans="1:18" s="17" customFormat="1" x14ac:dyDescent="0.2">
      <c r="A93"/>
      <c r="B93" s="95">
        <v>0.9</v>
      </c>
      <c r="C93" s="96">
        <v>1.8</v>
      </c>
      <c r="D93" s="97">
        <v>374.37412802519231</v>
      </c>
      <c r="E93" s="83"/>
      <c r="F93" s="98"/>
      <c r="G93" s="97">
        <v>595.30865012243316</v>
      </c>
      <c r="H93" s="83"/>
      <c r="I93" s="83"/>
      <c r="M93"/>
      <c r="N93"/>
    </row>
    <row r="94" spans="1:18" s="17" customFormat="1" x14ac:dyDescent="0.2">
      <c r="A94"/>
      <c r="B94" s="90">
        <v>1</v>
      </c>
      <c r="C94" s="91">
        <v>2</v>
      </c>
      <c r="D94" s="92">
        <v>336.93671522267306</v>
      </c>
      <c r="E94" s="93"/>
      <c r="F94" s="94"/>
      <c r="G94" s="92">
        <v>535.77778511018982</v>
      </c>
      <c r="H94" s="93"/>
      <c r="I94" s="93"/>
      <c r="M94"/>
      <c r="N94"/>
    </row>
    <row r="95" spans="1:18" s="17" customFormat="1" x14ac:dyDescent="0.2">
      <c r="A95"/>
      <c r="B95" s="95">
        <v>1.1000000000000001</v>
      </c>
      <c r="C95" s="96">
        <v>2.2000000000000002</v>
      </c>
      <c r="D95" s="97">
        <v>306.30610474788455</v>
      </c>
      <c r="E95" s="83"/>
      <c r="F95" s="98"/>
      <c r="G95" s="97">
        <v>487.07071373653616</v>
      </c>
      <c r="H95" s="83"/>
      <c r="I95" s="83"/>
      <c r="M95"/>
      <c r="N95"/>
    </row>
    <row r="96" spans="1:18" s="17" customFormat="1" x14ac:dyDescent="0.2">
      <c r="A96"/>
      <c r="B96" s="90">
        <v>1.25</v>
      </c>
      <c r="C96" s="91">
        <v>2.5</v>
      </c>
      <c r="D96" s="92">
        <v>269.54937217813847</v>
      </c>
      <c r="E96" s="93"/>
      <c r="F96" s="94"/>
      <c r="G96" s="92">
        <v>428.62222808815187</v>
      </c>
      <c r="H96" s="93"/>
      <c r="I96" s="93"/>
      <c r="M96"/>
      <c r="N96"/>
    </row>
    <row r="97" spans="1:18" s="17" customFormat="1" x14ac:dyDescent="0.2">
      <c r="A97"/>
      <c r="M97"/>
      <c r="N97"/>
    </row>
    <row r="98" spans="1:18" x14ac:dyDescent="0.2">
      <c r="A98" s="25" t="s">
        <v>434</v>
      </c>
      <c r="B98" s="17"/>
      <c r="C98" s="17"/>
      <c r="D98" s="17"/>
      <c r="E98" s="17"/>
      <c r="F98" s="17"/>
      <c r="G98" s="17"/>
      <c r="H98" s="17"/>
      <c r="I98" s="17"/>
      <c r="J98" s="28"/>
      <c r="K98" s="17"/>
      <c r="L98" s="17"/>
      <c r="M98" s="17"/>
      <c r="N98" s="17"/>
      <c r="O98" s="17"/>
      <c r="P98" s="17"/>
      <c r="Q98" s="17"/>
    </row>
    <row r="99" spans="1:18" x14ac:dyDescent="0.2">
      <c r="A99" s="17"/>
      <c r="B99" s="17"/>
      <c r="C99" s="17"/>
      <c r="D99" s="17"/>
      <c r="E99" s="17"/>
      <c r="F99" s="17"/>
      <c r="G99" s="17"/>
      <c r="H99" s="17"/>
      <c r="I99" s="17"/>
      <c r="J99" s="28"/>
      <c r="K99" s="17"/>
      <c r="L99" s="17"/>
      <c r="M99" s="17"/>
      <c r="N99" s="17"/>
      <c r="O99" s="17"/>
      <c r="P99" s="17"/>
      <c r="Q99" s="17"/>
    </row>
    <row r="100" spans="1:18" ht="26.25" customHeight="1" x14ac:dyDescent="0.2">
      <c r="A100" s="236" t="s">
        <v>140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19"/>
      <c r="N100" s="219"/>
      <c r="O100" s="219"/>
      <c r="P100" s="219"/>
      <c r="Q100" s="219"/>
      <c r="R100" s="219"/>
    </row>
  </sheetData>
  <sheetProtection sheet="1" objects="1" scenarios="1"/>
  <mergeCells count="6">
    <mergeCell ref="D88:I88"/>
    <mergeCell ref="A100:L100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197">
    <tabColor rgb="FF92D050"/>
    <pageSetUpPr fitToPage="1"/>
  </sheetPr>
  <dimension ref="A1:S95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31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428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309</v>
      </c>
      <c r="C10" s="25"/>
      <c r="D10" s="50">
        <v>30</v>
      </c>
      <c r="E10" s="130"/>
      <c r="F10" s="224" t="s">
        <v>8</v>
      </c>
      <c r="G10" s="31">
        <v>7.69</v>
      </c>
      <c r="H10" s="131"/>
      <c r="I10" s="35">
        <v>230.70000000000002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230.70000000000002</v>
      </c>
      <c r="P10" s="200">
        <f>+J10-N10</f>
        <v>0</v>
      </c>
      <c r="Q10" s="35">
        <v>147648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230.70000000000002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230.70000000000002</v>
      </c>
      <c r="P13" s="201">
        <f>SUM(P10:P12)</f>
        <v>0</v>
      </c>
      <c r="Q13" s="36">
        <v>147648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49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362</v>
      </c>
      <c r="D18" s="25">
        <v>1</v>
      </c>
      <c r="E18" s="130"/>
      <c r="F18" s="224" t="s">
        <v>409</v>
      </c>
      <c r="G18" s="41">
        <v>5.75</v>
      </c>
      <c r="H18" s="131"/>
      <c r="I18" s="35">
        <v>5.75</v>
      </c>
      <c r="J18" s="200">
        <f t="shared" ref="J18:J33" si="4">E18*H18</f>
        <v>0</v>
      </c>
      <c r="K18" s="223">
        <v>0</v>
      </c>
      <c r="L18" s="212"/>
      <c r="M18" s="35">
        <v>0</v>
      </c>
      <c r="N18" s="200">
        <f t="shared" ref="N18:N33" si="5">J18*L18</f>
        <v>0</v>
      </c>
      <c r="O18" s="35">
        <v>5.75</v>
      </c>
      <c r="P18" s="200">
        <f t="shared" ref="P18:P33" si="6">+J18-N18</f>
        <v>0</v>
      </c>
      <c r="Q18" s="35">
        <v>3680</v>
      </c>
      <c r="R18" s="200">
        <f t="shared" ref="R18:R33" si="7">+J18*E$7</f>
        <v>0</v>
      </c>
    </row>
    <row r="19" spans="1:18" x14ac:dyDescent="0.2">
      <c r="A19" s="25"/>
      <c r="B19" s="25" t="s">
        <v>458</v>
      </c>
      <c r="C19" s="25" t="s">
        <v>438</v>
      </c>
      <c r="D19" s="25">
        <v>1.5</v>
      </c>
      <c r="E19" s="130"/>
      <c r="F19" s="224" t="s">
        <v>316</v>
      </c>
      <c r="G19" s="41">
        <v>2.84</v>
      </c>
      <c r="H19" s="131"/>
      <c r="I19" s="35">
        <v>4.26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4.26</v>
      </c>
      <c r="P19" s="200">
        <f t="shared" si="6"/>
        <v>0</v>
      </c>
      <c r="Q19" s="35">
        <v>2726.3999999999996</v>
      </c>
      <c r="R19" s="200">
        <f t="shared" si="7"/>
        <v>0</v>
      </c>
    </row>
    <row r="20" spans="1:18" x14ac:dyDescent="0.2">
      <c r="A20" s="25"/>
      <c r="B20" s="25" t="s">
        <v>458</v>
      </c>
      <c r="C20" s="25" t="s">
        <v>470</v>
      </c>
      <c r="D20" s="25">
        <v>2</v>
      </c>
      <c r="E20" s="130"/>
      <c r="F20" s="224" t="s">
        <v>316</v>
      </c>
      <c r="G20" s="41">
        <v>2.81</v>
      </c>
      <c r="H20" s="131"/>
      <c r="I20" s="35">
        <v>5.62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5.62</v>
      </c>
      <c r="P20" s="200">
        <f t="shared" si="6"/>
        <v>0</v>
      </c>
      <c r="Q20" s="35">
        <v>3596.8</v>
      </c>
      <c r="R20" s="200">
        <f t="shared" si="7"/>
        <v>0</v>
      </c>
    </row>
    <row r="21" spans="1:18" x14ac:dyDescent="0.2">
      <c r="A21" s="25"/>
      <c r="B21" s="25" t="s">
        <v>1</v>
      </c>
      <c r="C21" s="25"/>
      <c r="D21" s="25"/>
      <c r="E21" s="25"/>
      <c r="F21" s="25"/>
      <c r="G21" s="25"/>
      <c r="H21" s="25"/>
      <c r="I21" s="25"/>
      <c r="J21" s="25"/>
      <c r="K21" s="223"/>
      <c r="L21" s="25"/>
      <c r="M21" s="25"/>
      <c r="N21" s="25"/>
      <c r="O21" s="25"/>
      <c r="P21" s="25"/>
      <c r="Q21" s="25"/>
      <c r="R21" s="25"/>
    </row>
    <row r="22" spans="1:18" x14ac:dyDescent="0.2">
      <c r="A22" s="25"/>
      <c r="B22" s="25" t="s">
        <v>458</v>
      </c>
      <c r="C22" s="25" t="s">
        <v>383</v>
      </c>
      <c r="D22" s="25">
        <v>3</v>
      </c>
      <c r="E22" s="130"/>
      <c r="F22" s="224" t="s">
        <v>82</v>
      </c>
      <c r="G22" s="41">
        <v>2.5</v>
      </c>
      <c r="H22" s="131"/>
      <c r="I22" s="35">
        <v>7.5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7.5</v>
      </c>
      <c r="P22" s="200">
        <f t="shared" si="6"/>
        <v>0</v>
      </c>
      <c r="Q22" s="35">
        <v>4800</v>
      </c>
      <c r="R22" s="200">
        <f t="shared" si="7"/>
        <v>0</v>
      </c>
    </row>
    <row r="23" spans="1:18" x14ac:dyDescent="0.2">
      <c r="A23" s="25"/>
      <c r="B23" s="25" t="s">
        <v>50</v>
      </c>
      <c r="C23" s="25"/>
      <c r="D23" s="25"/>
      <c r="E23" s="25"/>
      <c r="F23" s="25"/>
      <c r="G23" s="25"/>
      <c r="H23" s="25"/>
      <c r="I23" s="25"/>
      <c r="J23" s="25"/>
      <c r="K23" s="223"/>
      <c r="L23" s="25"/>
      <c r="M23" s="25"/>
      <c r="N23" s="25"/>
      <c r="O23" s="25"/>
      <c r="P23" s="25"/>
      <c r="Q23" s="25"/>
      <c r="R23" s="25"/>
    </row>
    <row r="24" spans="1:18" x14ac:dyDescent="0.2">
      <c r="A24" s="25"/>
      <c r="B24" s="25" t="s">
        <v>458</v>
      </c>
      <c r="C24" s="25" t="s">
        <v>370</v>
      </c>
      <c r="D24" s="25">
        <v>1</v>
      </c>
      <c r="E24" s="130"/>
      <c r="F24" s="224" t="s">
        <v>42</v>
      </c>
      <c r="G24" s="41">
        <v>35</v>
      </c>
      <c r="H24" s="131"/>
      <c r="I24" s="35">
        <v>35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35</v>
      </c>
      <c r="P24" s="200">
        <f t="shared" si="6"/>
        <v>0</v>
      </c>
      <c r="Q24" s="35">
        <v>22400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372</v>
      </c>
      <c r="D25" s="25">
        <v>22</v>
      </c>
      <c r="E25" s="130"/>
      <c r="F25" s="224" t="s">
        <v>8</v>
      </c>
      <c r="G25" s="41">
        <v>0.48</v>
      </c>
      <c r="H25" s="131"/>
      <c r="I25" s="35">
        <v>10.559999999999999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10.559999999999999</v>
      </c>
      <c r="P25" s="200">
        <f t="shared" si="6"/>
        <v>0</v>
      </c>
      <c r="Q25" s="35">
        <v>6758.4</v>
      </c>
      <c r="R25" s="200">
        <f t="shared" si="7"/>
        <v>0</v>
      </c>
    </row>
    <row r="26" spans="1:18" x14ac:dyDescent="0.2">
      <c r="A26" s="25"/>
      <c r="B26" s="25" t="s">
        <v>27</v>
      </c>
      <c r="C26" s="25"/>
      <c r="D26" s="25"/>
      <c r="E26" s="25"/>
      <c r="F26" s="25"/>
      <c r="G26" s="25"/>
      <c r="H26" s="25"/>
      <c r="I26" s="25"/>
      <c r="J26" s="25"/>
      <c r="K26" s="223"/>
      <c r="L26" s="25"/>
      <c r="M26" s="25"/>
      <c r="N26" s="25"/>
      <c r="O26" s="25"/>
      <c r="P26" s="25"/>
      <c r="Q26" s="25"/>
      <c r="R26" s="25"/>
    </row>
    <row r="27" spans="1:18" x14ac:dyDescent="0.2">
      <c r="A27" s="25"/>
      <c r="B27" s="25" t="s">
        <v>458</v>
      </c>
      <c r="C27" s="25" t="s">
        <v>395</v>
      </c>
      <c r="D27" s="25">
        <v>1</v>
      </c>
      <c r="E27" s="130"/>
      <c r="F27" s="224" t="s">
        <v>42</v>
      </c>
      <c r="G27" s="41">
        <v>12</v>
      </c>
      <c r="H27" s="131"/>
      <c r="I27" s="35">
        <v>12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12</v>
      </c>
      <c r="P27" s="200">
        <f t="shared" si="6"/>
        <v>0</v>
      </c>
      <c r="Q27" s="35">
        <v>7680</v>
      </c>
      <c r="R27" s="200">
        <f t="shared" si="7"/>
        <v>0</v>
      </c>
    </row>
    <row r="28" spans="1:18" x14ac:dyDescent="0.2">
      <c r="A28" s="25"/>
      <c r="B28" s="25" t="s">
        <v>48</v>
      </c>
      <c r="C28" s="25"/>
      <c r="D28" s="25"/>
      <c r="E28" s="25"/>
      <c r="F28" s="25"/>
      <c r="G28" s="25"/>
      <c r="H28" s="25"/>
      <c r="I28" s="25"/>
      <c r="J28" s="25"/>
      <c r="K28" s="223"/>
      <c r="L28" s="25"/>
      <c r="M28" s="25"/>
      <c r="N28" s="25"/>
      <c r="O28" s="25"/>
      <c r="P28" s="25"/>
      <c r="Q28" s="25"/>
      <c r="R28" s="25"/>
    </row>
    <row r="29" spans="1:18" x14ac:dyDescent="0.2">
      <c r="A29" s="25"/>
      <c r="B29" s="25" t="s">
        <v>458</v>
      </c>
      <c r="C29" s="25" t="s">
        <v>471</v>
      </c>
      <c r="D29" s="25">
        <v>1</v>
      </c>
      <c r="E29" s="130"/>
      <c r="F29" s="224" t="s">
        <v>3</v>
      </c>
      <c r="G29" s="41">
        <v>30</v>
      </c>
      <c r="H29" s="131"/>
      <c r="I29" s="35">
        <v>30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30</v>
      </c>
      <c r="P29" s="200">
        <f t="shared" si="6"/>
        <v>0</v>
      </c>
      <c r="Q29" s="35">
        <v>19200</v>
      </c>
      <c r="R29" s="200">
        <f t="shared" si="7"/>
        <v>0</v>
      </c>
    </row>
    <row r="30" spans="1:18" x14ac:dyDescent="0.2">
      <c r="A30" s="25"/>
      <c r="B30" s="25" t="s">
        <v>0</v>
      </c>
      <c r="C30" s="25"/>
      <c r="D30" s="25"/>
      <c r="E30" s="25"/>
      <c r="F30" s="25"/>
      <c r="G30" s="25"/>
      <c r="H30" s="25"/>
      <c r="I30" s="25"/>
      <c r="J30" s="25"/>
      <c r="K30" s="223"/>
      <c r="L30" s="25"/>
      <c r="M30" s="25"/>
      <c r="N30" s="25"/>
      <c r="O30" s="25"/>
      <c r="P30" s="25"/>
      <c r="Q30" s="25"/>
      <c r="R30" s="25"/>
    </row>
    <row r="31" spans="1:18" x14ac:dyDescent="0.2">
      <c r="A31" s="25"/>
      <c r="B31" s="25" t="s">
        <v>458</v>
      </c>
      <c r="C31" s="25" t="s">
        <v>342</v>
      </c>
      <c r="D31" s="25">
        <v>50</v>
      </c>
      <c r="E31" s="130"/>
      <c r="F31" s="224" t="s">
        <v>82</v>
      </c>
      <c r="G31" s="41">
        <v>0.53800000000000003</v>
      </c>
      <c r="H31" s="131"/>
      <c r="I31" s="35">
        <v>26.900000000000002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26.900000000000002</v>
      </c>
      <c r="P31" s="200">
        <f t="shared" si="6"/>
        <v>0</v>
      </c>
      <c r="Q31" s="35">
        <v>17216</v>
      </c>
      <c r="R31" s="200">
        <f t="shared" si="7"/>
        <v>0</v>
      </c>
    </row>
    <row r="32" spans="1:18" x14ac:dyDescent="0.2">
      <c r="A32" s="25"/>
      <c r="B32" s="131"/>
      <c r="C32" s="131"/>
      <c r="D32" s="25">
        <v>0</v>
      </c>
      <c r="E32" s="130"/>
      <c r="F32" s="224"/>
      <c r="G32" s="41">
        <v>0</v>
      </c>
      <c r="H32" s="131"/>
      <c r="I32" s="35">
        <v>0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0</v>
      </c>
      <c r="P32" s="200">
        <f t="shared" si="6"/>
        <v>0</v>
      </c>
      <c r="Q32" s="35">
        <v>0</v>
      </c>
      <c r="R32" s="200">
        <f t="shared" si="7"/>
        <v>0</v>
      </c>
    </row>
    <row r="33" spans="1:18" x14ac:dyDescent="0.2">
      <c r="A33" s="25"/>
      <c r="B33" s="131"/>
      <c r="C33" s="131"/>
      <c r="D33" s="25">
        <v>0</v>
      </c>
      <c r="E33" s="130"/>
      <c r="F33" s="224"/>
      <c r="G33" s="41">
        <v>0</v>
      </c>
      <c r="H33" s="131"/>
      <c r="I33" s="35">
        <v>0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0</v>
      </c>
      <c r="P33" s="200">
        <f t="shared" si="6"/>
        <v>0</v>
      </c>
      <c r="Q33" s="35">
        <v>0</v>
      </c>
      <c r="R33" s="200">
        <f t="shared" si="7"/>
        <v>0</v>
      </c>
    </row>
    <row r="34" spans="1:18" x14ac:dyDescent="0.2">
      <c r="A34" s="25"/>
      <c r="B34" s="131"/>
      <c r="C34" s="131"/>
      <c r="D34" s="25">
        <v>0</v>
      </c>
      <c r="E34" s="130"/>
      <c r="F34" s="224"/>
      <c r="G34" s="41">
        <v>0</v>
      </c>
      <c r="H34" s="131"/>
      <c r="I34" s="35">
        <v>0</v>
      </c>
      <c r="J34" s="200">
        <f>E34*H34</f>
        <v>0</v>
      </c>
      <c r="K34" s="223">
        <v>0</v>
      </c>
      <c r="L34" s="212"/>
      <c r="M34" s="35">
        <v>0</v>
      </c>
      <c r="N34" s="200">
        <f>J34*L34</f>
        <v>0</v>
      </c>
      <c r="O34" s="35">
        <v>0</v>
      </c>
      <c r="P34" s="200">
        <f>+J34-N34</f>
        <v>0</v>
      </c>
      <c r="Q34" s="35">
        <v>0</v>
      </c>
      <c r="R34" s="200">
        <f>+J34*E$7</f>
        <v>0</v>
      </c>
    </row>
    <row r="35" spans="1:18" x14ac:dyDescent="0.2">
      <c r="A35" s="25"/>
      <c r="B35" s="25" t="s">
        <v>106</v>
      </c>
      <c r="C35" s="25"/>
      <c r="D35" s="25"/>
      <c r="E35" s="104"/>
      <c r="H35" s="104"/>
      <c r="I35" s="121"/>
      <c r="J35" s="104"/>
      <c r="K35" s="223"/>
      <c r="L35" s="104"/>
      <c r="N35" s="104"/>
      <c r="P35" s="104"/>
      <c r="R35" s="104"/>
    </row>
    <row r="36" spans="1:18" x14ac:dyDescent="0.2">
      <c r="A36" s="25"/>
      <c r="B36" s="25"/>
      <c r="C36" s="25" t="s">
        <v>103</v>
      </c>
      <c r="D36" s="25">
        <v>0.38</v>
      </c>
      <c r="E36" s="130"/>
      <c r="F36" s="224" t="s">
        <v>44</v>
      </c>
      <c r="G36" s="41">
        <v>15</v>
      </c>
      <c r="H36" s="131"/>
      <c r="I36" s="35">
        <v>5.7</v>
      </c>
      <c r="J36" s="200">
        <f>E36*H36</f>
        <v>0</v>
      </c>
      <c r="K36" s="223">
        <v>0</v>
      </c>
      <c r="L36" s="212"/>
      <c r="M36" s="35">
        <v>0</v>
      </c>
      <c r="N36" s="200">
        <f>J36*L36</f>
        <v>0</v>
      </c>
      <c r="O36" s="35">
        <v>5.7</v>
      </c>
      <c r="P36" s="200">
        <f>+J36-N36</f>
        <v>0</v>
      </c>
      <c r="Q36" s="35">
        <v>3648</v>
      </c>
      <c r="R36" s="200">
        <f>+J36*E$7</f>
        <v>0</v>
      </c>
    </row>
    <row r="37" spans="1:18" x14ac:dyDescent="0.2">
      <c r="A37" s="25"/>
      <c r="B37" s="25"/>
      <c r="C37" s="25" t="s">
        <v>105</v>
      </c>
      <c r="D37" s="25">
        <v>0.46</v>
      </c>
      <c r="E37" s="130"/>
      <c r="F37" s="224" t="s">
        <v>44</v>
      </c>
      <c r="G37" s="41">
        <v>15</v>
      </c>
      <c r="H37" s="131"/>
      <c r="I37" s="35">
        <v>6.9</v>
      </c>
      <c r="J37" s="200">
        <f>E37*H37</f>
        <v>0</v>
      </c>
      <c r="K37" s="223">
        <v>0</v>
      </c>
      <c r="L37" s="212"/>
      <c r="M37" s="35">
        <v>0</v>
      </c>
      <c r="N37" s="200">
        <f>J37*L37</f>
        <v>0</v>
      </c>
      <c r="O37" s="35">
        <v>6.9</v>
      </c>
      <c r="P37" s="200">
        <f>+J37-N37</f>
        <v>0</v>
      </c>
      <c r="Q37" s="35">
        <v>4416</v>
      </c>
      <c r="R37" s="200">
        <f>+J37*E$7</f>
        <v>0</v>
      </c>
    </row>
    <row r="38" spans="1:18" x14ac:dyDescent="0.2">
      <c r="A38" s="25"/>
      <c r="B38" s="25"/>
      <c r="C38" s="25"/>
      <c r="D38" s="25"/>
      <c r="E38" s="207"/>
      <c r="F38" s="21"/>
      <c r="G38" s="41"/>
      <c r="H38" s="196"/>
      <c r="I38" s="35"/>
      <c r="J38" s="182"/>
      <c r="K38" s="223"/>
      <c r="L38" s="196"/>
      <c r="M38" s="35"/>
      <c r="N38" s="182"/>
      <c r="O38" s="35"/>
      <c r="P38" s="182"/>
      <c r="Q38" s="35"/>
      <c r="R38" s="182"/>
    </row>
    <row r="39" spans="1:18" x14ac:dyDescent="0.2">
      <c r="A39" s="25"/>
      <c r="B39" s="25" t="s">
        <v>51</v>
      </c>
      <c r="C39" s="25"/>
      <c r="D39" s="25"/>
      <c r="E39" s="207"/>
      <c r="F39" s="21"/>
      <c r="G39" s="41"/>
      <c r="H39" s="196"/>
      <c r="I39" s="184"/>
      <c r="J39" s="182"/>
      <c r="K39" s="223"/>
      <c r="L39" s="196"/>
      <c r="M39" s="35"/>
      <c r="N39" s="182"/>
      <c r="O39" s="35"/>
      <c r="P39" s="182"/>
      <c r="Q39" s="35"/>
      <c r="R39" s="182"/>
    </row>
    <row r="40" spans="1:18" x14ac:dyDescent="0.2">
      <c r="A40" s="25"/>
      <c r="B40" s="25"/>
      <c r="C40" s="25" t="s">
        <v>102</v>
      </c>
      <c r="D40" s="25">
        <v>1</v>
      </c>
      <c r="E40" s="130"/>
      <c r="F40" s="224" t="s">
        <v>42</v>
      </c>
      <c r="G40" s="41">
        <v>0</v>
      </c>
      <c r="H40" s="131"/>
      <c r="I40" s="35">
        <v>0</v>
      </c>
      <c r="J40" s="200">
        <f>E40*H40</f>
        <v>0</v>
      </c>
      <c r="K40" s="223">
        <v>0</v>
      </c>
      <c r="L40" s="212"/>
      <c r="M40" s="35">
        <v>0</v>
      </c>
      <c r="N40" s="200">
        <f>J40*L40</f>
        <v>0</v>
      </c>
      <c r="O40" s="35">
        <v>0</v>
      </c>
      <c r="P40" s="200">
        <f>+J40-N40</f>
        <v>0</v>
      </c>
      <c r="Q40" s="35">
        <v>0</v>
      </c>
      <c r="R40" s="200">
        <f>+J40*E$7</f>
        <v>0</v>
      </c>
    </row>
    <row r="41" spans="1:18" x14ac:dyDescent="0.2">
      <c r="A41" s="25"/>
      <c r="B41" s="25"/>
      <c r="C41" s="25" t="s">
        <v>103</v>
      </c>
      <c r="D41" s="25">
        <v>2.79</v>
      </c>
      <c r="E41" s="130"/>
      <c r="F41" s="224" t="s">
        <v>79</v>
      </c>
      <c r="G41" s="41">
        <v>3.0190000000000001</v>
      </c>
      <c r="H41" s="131"/>
      <c r="I41" s="35">
        <v>8.4230099999999997</v>
      </c>
      <c r="J41" s="200">
        <f>E41*H41</f>
        <v>0</v>
      </c>
      <c r="K41" s="223">
        <v>0</v>
      </c>
      <c r="L41" s="212"/>
      <c r="M41" s="35">
        <v>0</v>
      </c>
      <c r="N41" s="200">
        <f>J41*L41</f>
        <v>0</v>
      </c>
      <c r="O41" s="35">
        <v>8.4230099999999997</v>
      </c>
      <c r="P41" s="200">
        <f>+J41-N41</f>
        <v>0</v>
      </c>
      <c r="Q41" s="35">
        <v>5390.7263999999996</v>
      </c>
      <c r="R41" s="200">
        <f>+J41*E$7</f>
        <v>0</v>
      </c>
    </row>
    <row r="42" spans="1:18" x14ac:dyDescent="0.2">
      <c r="A42" s="25"/>
      <c r="B42" s="25"/>
      <c r="C42" s="25"/>
      <c r="D42" s="25"/>
      <c r="E42" s="207"/>
      <c r="F42" s="21"/>
      <c r="G42" s="41"/>
      <c r="H42" s="196"/>
      <c r="I42" s="35"/>
      <c r="J42" s="182"/>
      <c r="K42" s="223"/>
      <c r="L42" s="196"/>
      <c r="M42" s="35"/>
      <c r="N42" s="182"/>
      <c r="O42" s="35"/>
      <c r="P42" s="182"/>
      <c r="Q42" s="35"/>
      <c r="R42" s="182"/>
    </row>
    <row r="43" spans="1:18" x14ac:dyDescent="0.2">
      <c r="A43" s="25"/>
      <c r="B43" s="25" t="s">
        <v>29</v>
      </c>
      <c r="C43" s="25"/>
      <c r="D43" s="25"/>
      <c r="E43" s="207"/>
      <c r="F43" s="21"/>
      <c r="G43" s="41"/>
      <c r="H43" s="196"/>
      <c r="I43" s="184"/>
      <c r="J43" s="182"/>
      <c r="K43" s="223"/>
      <c r="L43" s="196"/>
      <c r="M43" s="35"/>
      <c r="N43" s="182"/>
      <c r="O43" s="35"/>
      <c r="P43" s="182"/>
      <c r="Q43" s="35"/>
      <c r="R43" s="182"/>
    </row>
    <row r="44" spans="1:18" x14ac:dyDescent="0.2">
      <c r="A44" s="25"/>
      <c r="B44" s="25"/>
      <c r="C44" s="25" t="s">
        <v>102</v>
      </c>
      <c r="D44" s="25">
        <v>1</v>
      </c>
      <c r="E44" s="130"/>
      <c r="F44" s="224" t="s">
        <v>42</v>
      </c>
      <c r="G44" s="41">
        <v>2.109375</v>
      </c>
      <c r="H44" s="131"/>
      <c r="I44" s="35">
        <v>2.109375</v>
      </c>
      <c r="J44" s="200">
        <f>E44*H44</f>
        <v>0</v>
      </c>
      <c r="K44" s="223">
        <v>0</v>
      </c>
      <c r="L44" s="212"/>
      <c r="M44" s="35">
        <v>0</v>
      </c>
      <c r="N44" s="200">
        <f>J44*L44</f>
        <v>0</v>
      </c>
      <c r="O44" s="35">
        <v>2.109375</v>
      </c>
      <c r="P44" s="200">
        <f>+J44-N44</f>
        <v>0</v>
      </c>
      <c r="Q44" s="35">
        <v>1350</v>
      </c>
      <c r="R44" s="200">
        <f>+J44*E$7</f>
        <v>0</v>
      </c>
    </row>
    <row r="45" spans="1:18" x14ac:dyDescent="0.2">
      <c r="A45" s="25"/>
      <c r="B45" s="25"/>
      <c r="C45" s="25" t="s">
        <v>103</v>
      </c>
      <c r="D45" s="25">
        <v>0</v>
      </c>
      <c r="E45" s="130"/>
      <c r="F45" s="224" t="s">
        <v>79</v>
      </c>
      <c r="G45" s="41">
        <v>3.09</v>
      </c>
      <c r="H45" s="131"/>
      <c r="I45" s="35">
        <v>0</v>
      </c>
      <c r="J45" s="200">
        <f>E45*H45</f>
        <v>0</v>
      </c>
      <c r="K45" s="223">
        <v>0</v>
      </c>
      <c r="L45" s="212"/>
      <c r="M45" s="35">
        <v>0</v>
      </c>
      <c r="N45" s="200">
        <f>J45*L45</f>
        <v>0</v>
      </c>
      <c r="O45" s="35">
        <v>0</v>
      </c>
      <c r="P45" s="200">
        <f>+J45-N45</f>
        <v>0</v>
      </c>
      <c r="Q45" s="35">
        <v>0</v>
      </c>
      <c r="R45" s="200">
        <f>+J45*E$7</f>
        <v>0</v>
      </c>
    </row>
    <row r="46" spans="1:18" x14ac:dyDescent="0.2">
      <c r="A46" s="25"/>
      <c r="B46" s="25"/>
      <c r="C46" s="25"/>
      <c r="D46" s="25"/>
      <c r="E46" s="207"/>
      <c r="F46" s="21"/>
      <c r="G46" s="41"/>
      <c r="H46" s="196"/>
      <c r="I46" s="35"/>
      <c r="J46" s="182"/>
      <c r="K46" s="223"/>
      <c r="L46" s="196"/>
      <c r="M46" s="35"/>
      <c r="N46" s="182"/>
      <c r="O46" s="35"/>
      <c r="P46" s="182"/>
      <c r="Q46" s="35"/>
      <c r="R46" s="182"/>
    </row>
    <row r="47" spans="1:18" x14ac:dyDescent="0.2">
      <c r="A47" s="25"/>
      <c r="B47" s="25" t="s">
        <v>47</v>
      </c>
      <c r="C47" s="25"/>
      <c r="D47" s="25"/>
      <c r="E47" s="207"/>
      <c r="F47" s="21"/>
      <c r="G47" s="41"/>
      <c r="H47" s="197"/>
      <c r="I47" s="184"/>
      <c r="J47" s="182"/>
      <c r="K47" s="223"/>
      <c r="L47" s="197"/>
      <c r="M47" s="35"/>
      <c r="N47" s="182"/>
      <c r="O47" s="35"/>
      <c r="P47" s="182"/>
      <c r="Q47" s="35"/>
      <c r="R47" s="182"/>
    </row>
    <row r="48" spans="1:18" x14ac:dyDescent="0.2">
      <c r="A48" s="25"/>
      <c r="B48" s="25"/>
      <c r="C48" s="25" t="s">
        <v>102</v>
      </c>
      <c r="D48" s="25">
        <v>1</v>
      </c>
      <c r="E48" s="130"/>
      <c r="F48" s="224" t="s">
        <v>42</v>
      </c>
      <c r="G48" s="41">
        <v>0.703125</v>
      </c>
      <c r="H48" s="131"/>
      <c r="I48" s="35">
        <v>0.703125</v>
      </c>
      <c r="J48" s="200">
        <f t="shared" ref="J48:J53" si="8">E48*H48</f>
        <v>0</v>
      </c>
      <c r="K48" s="223">
        <v>0</v>
      </c>
      <c r="L48" s="212"/>
      <c r="M48" s="35">
        <v>0</v>
      </c>
      <c r="N48" s="200">
        <f t="shared" ref="N48:N53" si="9">J48*L48</f>
        <v>0</v>
      </c>
      <c r="O48" s="35">
        <v>0.703125</v>
      </c>
      <c r="P48" s="200">
        <f t="shared" ref="P48:P53" si="10">+J48-N48</f>
        <v>0</v>
      </c>
      <c r="Q48" s="35">
        <v>450</v>
      </c>
      <c r="R48" s="200">
        <f t="shared" ref="R48:R53" si="11">+J48*E$7</f>
        <v>0</v>
      </c>
    </row>
    <row r="49" spans="1:18" x14ac:dyDescent="0.2">
      <c r="A49" s="25"/>
      <c r="B49" s="25"/>
      <c r="C49" s="25" t="s">
        <v>46</v>
      </c>
      <c r="D49" s="25">
        <v>1</v>
      </c>
      <c r="E49" s="130"/>
      <c r="F49" s="224" t="s">
        <v>42</v>
      </c>
      <c r="G49" s="41">
        <v>0</v>
      </c>
      <c r="H49" s="131"/>
      <c r="I49" s="35">
        <v>0</v>
      </c>
      <c r="J49" s="200">
        <f t="shared" si="8"/>
        <v>0</v>
      </c>
      <c r="K49" s="223">
        <v>0</v>
      </c>
      <c r="L49" s="212"/>
      <c r="M49" s="35">
        <v>0</v>
      </c>
      <c r="N49" s="200">
        <f t="shared" si="9"/>
        <v>0</v>
      </c>
      <c r="O49" s="35">
        <v>0</v>
      </c>
      <c r="P49" s="200">
        <f t="shared" si="10"/>
        <v>0</v>
      </c>
      <c r="Q49" s="35">
        <v>0</v>
      </c>
      <c r="R49" s="200">
        <f t="shared" si="11"/>
        <v>0</v>
      </c>
    </row>
    <row r="50" spans="1:18" x14ac:dyDescent="0.2">
      <c r="A50" s="25"/>
      <c r="B50" s="25"/>
      <c r="C50" s="25" t="s">
        <v>103</v>
      </c>
      <c r="D50" s="25">
        <v>1</v>
      </c>
      <c r="E50" s="130"/>
      <c r="F50" s="224" t="s">
        <v>42</v>
      </c>
      <c r="G50" s="41">
        <v>5.5766045717191401</v>
      </c>
      <c r="H50" s="131"/>
      <c r="I50" s="35">
        <v>5.5766045717191401</v>
      </c>
      <c r="J50" s="200">
        <f t="shared" si="8"/>
        <v>0</v>
      </c>
      <c r="K50" s="223">
        <v>0</v>
      </c>
      <c r="L50" s="212"/>
      <c r="M50" s="35">
        <v>0</v>
      </c>
      <c r="N50" s="200">
        <f t="shared" si="9"/>
        <v>0</v>
      </c>
      <c r="O50" s="35">
        <v>5.5766045717191401</v>
      </c>
      <c r="P50" s="200">
        <f t="shared" si="10"/>
        <v>0</v>
      </c>
      <c r="Q50" s="35">
        <v>3569.0269259002498</v>
      </c>
      <c r="R50" s="200">
        <f t="shared" si="11"/>
        <v>0</v>
      </c>
    </row>
    <row r="51" spans="1:18" x14ac:dyDescent="0.2">
      <c r="A51" s="25"/>
      <c r="B51" s="25"/>
      <c r="C51" s="25" t="s">
        <v>5</v>
      </c>
      <c r="D51" s="25">
        <v>1</v>
      </c>
      <c r="E51" s="130"/>
      <c r="F51" s="224" t="s">
        <v>42</v>
      </c>
      <c r="G51" s="41">
        <v>5.7245577267198176</v>
      </c>
      <c r="H51" s="131"/>
      <c r="I51" s="35">
        <v>5.7245577267198176</v>
      </c>
      <c r="J51" s="200">
        <f t="shared" si="8"/>
        <v>0</v>
      </c>
      <c r="K51" s="223">
        <v>0</v>
      </c>
      <c r="L51" s="212"/>
      <c r="M51" s="35">
        <v>0</v>
      </c>
      <c r="N51" s="200">
        <f t="shared" si="9"/>
        <v>0</v>
      </c>
      <c r="O51" s="35">
        <v>5.7245577267198176</v>
      </c>
      <c r="P51" s="200">
        <f t="shared" si="10"/>
        <v>0</v>
      </c>
      <c r="Q51" s="35">
        <v>3663.716945100683</v>
      </c>
      <c r="R51" s="200">
        <f t="shared" si="11"/>
        <v>0</v>
      </c>
    </row>
    <row r="52" spans="1:18" x14ac:dyDescent="0.2">
      <c r="A52" s="25"/>
      <c r="B52" s="131"/>
      <c r="C52" s="131"/>
      <c r="D52" s="25"/>
      <c r="E52" s="130"/>
      <c r="F52" s="224"/>
      <c r="G52" s="41"/>
      <c r="H52" s="131"/>
      <c r="I52" s="35">
        <v>0</v>
      </c>
      <c r="J52" s="200">
        <f t="shared" si="8"/>
        <v>0</v>
      </c>
      <c r="K52" s="223">
        <v>0</v>
      </c>
      <c r="L52" s="212"/>
      <c r="M52" s="35">
        <v>0</v>
      </c>
      <c r="N52" s="200">
        <f t="shared" si="9"/>
        <v>0</v>
      </c>
      <c r="O52" s="35">
        <v>0</v>
      </c>
      <c r="P52" s="200">
        <f t="shared" si="10"/>
        <v>0</v>
      </c>
      <c r="Q52" s="35">
        <v>0</v>
      </c>
      <c r="R52" s="200">
        <f t="shared" si="11"/>
        <v>0</v>
      </c>
    </row>
    <row r="53" spans="1:18" x14ac:dyDescent="0.2">
      <c r="A53" s="25"/>
      <c r="B53" s="131"/>
      <c r="C53" s="131"/>
      <c r="D53" s="25"/>
      <c r="E53" s="130"/>
      <c r="F53" s="224"/>
      <c r="G53" s="41"/>
      <c r="H53" s="131"/>
      <c r="I53" s="35">
        <v>0</v>
      </c>
      <c r="J53" s="200">
        <f t="shared" si="8"/>
        <v>0</v>
      </c>
      <c r="K53" s="223">
        <v>0</v>
      </c>
      <c r="L53" s="212"/>
      <c r="M53" s="35">
        <v>0</v>
      </c>
      <c r="N53" s="200">
        <f t="shared" si="9"/>
        <v>0</v>
      </c>
      <c r="O53" s="35">
        <v>0</v>
      </c>
      <c r="P53" s="200">
        <f t="shared" si="10"/>
        <v>0</v>
      </c>
      <c r="Q53" s="35">
        <v>0</v>
      </c>
      <c r="R53" s="200">
        <f t="shared" si="11"/>
        <v>0</v>
      </c>
    </row>
    <row r="54" spans="1:18" ht="13.5" thickBot="1" x14ac:dyDescent="0.25">
      <c r="A54" s="25"/>
      <c r="B54" s="25" t="s">
        <v>32</v>
      </c>
      <c r="C54" s="25"/>
      <c r="D54" s="25"/>
      <c r="E54" s="195"/>
      <c r="F54" s="21"/>
      <c r="G54" s="39">
        <v>0.09</v>
      </c>
      <c r="H54" s="213"/>
      <c r="I54" s="42">
        <v>4.3688823222155113</v>
      </c>
      <c r="J54" s="200">
        <f>+SUM(J17:J53)/2*H54</f>
        <v>0</v>
      </c>
      <c r="K54" s="86"/>
      <c r="L54" s="135"/>
      <c r="M54" s="42">
        <v>0</v>
      </c>
      <c r="N54" s="200">
        <f>+SUM(N17:N53)/2*L54</f>
        <v>0</v>
      </c>
      <c r="O54" s="42">
        <v>4.3688823222155113</v>
      </c>
      <c r="P54" s="200">
        <f>+SUM(P17:P53)/2*L54</f>
        <v>0</v>
      </c>
      <c r="Q54" s="42">
        <v>2796.0846862179274</v>
      </c>
      <c r="R54" s="182">
        <f>+J54*E$7</f>
        <v>0</v>
      </c>
    </row>
    <row r="55" spans="1:18" ht="13.5" thickBot="1" x14ac:dyDescent="0.25">
      <c r="A55" s="25" t="s">
        <v>33</v>
      </c>
      <c r="B55" s="25"/>
      <c r="C55" s="25"/>
      <c r="D55" s="25"/>
      <c r="E55" s="198"/>
      <c r="F55" s="25"/>
      <c r="G55" s="25"/>
      <c r="H55" s="195"/>
      <c r="I55" s="87">
        <v>177.09555462065447</v>
      </c>
      <c r="J55" s="202">
        <f>SUM(J18:J54)</f>
        <v>0</v>
      </c>
      <c r="K55" s="35"/>
      <c r="L55" s="193"/>
      <c r="M55" s="87">
        <v>0</v>
      </c>
      <c r="N55" s="202">
        <f>SUM(N18:N54)</f>
        <v>0</v>
      </c>
      <c r="O55" s="87">
        <v>177.09555462065447</v>
      </c>
      <c r="P55" s="202">
        <f>SUM(P18:P54)</f>
        <v>0</v>
      </c>
      <c r="Q55" s="87">
        <v>113341.15495721887</v>
      </c>
      <c r="R55" s="202">
        <f>SUM(R18:R54)</f>
        <v>0</v>
      </c>
    </row>
    <row r="56" spans="1:18" ht="13.5" thickTop="1" x14ac:dyDescent="0.2">
      <c r="A56" s="25" t="s">
        <v>34</v>
      </c>
      <c r="B56" s="25"/>
      <c r="C56" s="25"/>
      <c r="D56" s="25"/>
      <c r="E56" s="198"/>
      <c r="F56" s="25"/>
      <c r="G56" s="25"/>
      <c r="H56" s="195"/>
      <c r="I56" s="35">
        <v>53.604445379345549</v>
      </c>
      <c r="J56" s="200">
        <f>+J13-J55</f>
        <v>0</v>
      </c>
      <c r="K56" s="35"/>
      <c r="L56" s="193"/>
      <c r="M56" s="35">
        <v>0</v>
      </c>
      <c r="N56" s="200">
        <f>+N13-N55</f>
        <v>0</v>
      </c>
      <c r="O56" s="35">
        <v>53.604445379345549</v>
      </c>
      <c r="P56" s="200">
        <f>+P13-P55</f>
        <v>0</v>
      </c>
      <c r="Q56" s="35">
        <v>34306.845042781133</v>
      </c>
      <c r="R56" s="200">
        <f>+R13-R55</f>
        <v>0</v>
      </c>
    </row>
    <row r="57" spans="1:18" x14ac:dyDescent="0.2">
      <c r="A57" s="25"/>
      <c r="B57" s="25" t="s">
        <v>35</v>
      </c>
      <c r="C57" s="25"/>
      <c r="D57" s="25"/>
      <c r="E57" s="208"/>
      <c r="F57" s="17"/>
      <c r="G57" s="40">
        <v>5.9031851540218154</v>
      </c>
      <c r="H57" s="208" t="str">
        <f>IF(E10=0,"n/a",(YVarExp-(YTotExp+YTotRet-J10))/E10)</f>
        <v>n/a</v>
      </c>
      <c r="I57" s="25" t="s">
        <v>8</v>
      </c>
      <c r="J57" s="182"/>
      <c r="K57" s="25"/>
      <c r="L57" s="195"/>
      <c r="M57" s="25"/>
      <c r="N57" s="182"/>
      <c r="O57" s="25"/>
      <c r="P57" s="182"/>
      <c r="Q57" s="25"/>
      <c r="R57" s="182"/>
    </row>
    <row r="58" spans="1:18" x14ac:dyDescent="0.2">
      <c r="A58" s="25"/>
      <c r="B58" s="25"/>
      <c r="C58" s="25"/>
      <c r="D58" s="25"/>
      <c r="E58" s="176"/>
      <c r="F58" s="25"/>
      <c r="G58" s="25"/>
      <c r="H58" s="209"/>
      <c r="I58" s="25"/>
      <c r="J58" s="182"/>
      <c r="K58" s="25"/>
      <c r="L58" s="195"/>
      <c r="M58" s="25"/>
      <c r="N58" s="182"/>
      <c r="O58" s="25"/>
      <c r="P58" s="182"/>
      <c r="Q58" s="22" t="s">
        <v>19</v>
      </c>
      <c r="R58" s="182" t="s">
        <v>19</v>
      </c>
    </row>
    <row r="59" spans="1:18" x14ac:dyDescent="0.2">
      <c r="A59" s="23" t="s">
        <v>36</v>
      </c>
      <c r="B59" s="23"/>
      <c r="C59" s="23"/>
      <c r="D59" s="24" t="s">
        <v>2</v>
      </c>
      <c r="E59" s="194" t="s">
        <v>2</v>
      </c>
      <c r="F59" s="24" t="s">
        <v>21</v>
      </c>
      <c r="G59" s="24" t="s">
        <v>22</v>
      </c>
      <c r="H59" s="194" t="s">
        <v>22</v>
      </c>
      <c r="I59" s="24" t="s">
        <v>12</v>
      </c>
      <c r="J59" s="194" t="s">
        <v>12</v>
      </c>
      <c r="K59" s="24" t="s">
        <v>11</v>
      </c>
      <c r="L59" s="194" t="s">
        <v>11</v>
      </c>
      <c r="M59" s="24" t="s">
        <v>10</v>
      </c>
      <c r="N59" s="194" t="s">
        <v>10</v>
      </c>
      <c r="O59" s="24" t="s">
        <v>9</v>
      </c>
      <c r="P59" s="194" t="s">
        <v>9</v>
      </c>
      <c r="Q59" s="24" t="s">
        <v>12</v>
      </c>
      <c r="R59" s="206" t="s">
        <v>12</v>
      </c>
    </row>
    <row r="60" spans="1:18" x14ac:dyDescent="0.2">
      <c r="A60" s="25"/>
      <c r="B60" s="25" t="s">
        <v>104</v>
      </c>
      <c r="C60" s="25"/>
      <c r="D60" s="25"/>
      <c r="E60" s="176"/>
      <c r="F60" s="25"/>
      <c r="G60" s="25"/>
      <c r="H60" s="209"/>
      <c r="I60" s="184"/>
      <c r="J60" s="182"/>
      <c r="K60" s="223"/>
      <c r="L60" s="195"/>
      <c r="M60" s="25"/>
      <c r="N60" s="182"/>
      <c r="O60" s="25"/>
      <c r="P60" s="182"/>
      <c r="Q60" s="25"/>
      <c r="R60" s="182"/>
    </row>
    <row r="61" spans="1:18" x14ac:dyDescent="0.2">
      <c r="A61" s="25"/>
      <c r="B61" s="25"/>
      <c r="C61" s="25" t="s">
        <v>102</v>
      </c>
      <c r="D61" s="25">
        <v>1</v>
      </c>
      <c r="E61" s="130"/>
      <c r="F61" s="224" t="s">
        <v>42</v>
      </c>
      <c r="G61" s="41">
        <v>0.97617187500000002</v>
      </c>
      <c r="H61" s="131"/>
      <c r="I61" s="35">
        <v>0.97617187500000002</v>
      </c>
      <c r="J61" s="200">
        <f t="shared" ref="J61:J63" si="12">E61*H61</f>
        <v>0</v>
      </c>
      <c r="K61" s="223">
        <v>0</v>
      </c>
      <c r="L61" s="212"/>
      <c r="M61" s="35">
        <v>0</v>
      </c>
      <c r="N61" s="200">
        <f>J61*L61</f>
        <v>0</v>
      </c>
      <c r="O61" s="35">
        <v>0.97617187500000002</v>
      </c>
      <c r="P61" s="200">
        <f t="shared" ref="P61:P63" si="13">+J61-N61</f>
        <v>0</v>
      </c>
      <c r="Q61" s="35">
        <v>624.75</v>
      </c>
      <c r="R61" s="200">
        <f t="shared" ref="R61:R63" si="14">+J61*E$7</f>
        <v>0</v>
      </c>
    </row>
    <row r="62" spans="1:18" x14ac:dyDescent="0.2">
      <c r="A62" s="25"/>
      <c r="B62" s="25"/>
      <c r="C62" s="25" t="s">
        <v>103</v>
      </c>
      <c r="D62" s="25">
        <v>1</v>
      </c>
      <c r="E62" s="130"/>
      <c r="F62" s="224" t="s">
        <v>42</v>
      </c>
      <c r="G62" s="41">
        <v>7.9975112106198711</v>
      </c>
      <c r="H62" s="131"/>
      <c r="I62" s="35">
        <v>7.9975112106198711</v>
      </c>
      <c r="J62" s="200">
        <f t="shared" si="12"/>
        <v>0</v>
      </c>
      <c r="K62" s="223">
        <v>0</v>
      </c>
      <c r="L62" s="212"/>
      <c r="M62" s="35">
        <v>0</v>
      </c>
      <c r="N62" s="200">
        <f>J62*L62</f>
        <v>0</v>
      </c>
      <c r="O62" s="35">
        <v>7.9975112106198711</v>
      </c>
      <c r="P62" s="200">
        <f t="shared" si="13"/>
        <v>0</v>
      </c>
      <c r="Q62" s="35">
        <v>5118.4071747967173</v>
      </c>
      <c r="R62" s="200">
        <f t="shared" si="14"/>
        <v>0</v>
      </c>
    </row>
    <row r="63" spans="1:18" x14ac:dyDescent="0.2">
      <c r="A63" s="25"/>
      <c r="B63" s="25"/>
      <c r="C63" s="25" t="s">
        <v>5</v>
      </c>
      <c r="D63" s="25">
        <v>1</v>
      </c>
      <c r="E63" s="130"/>
      <c r="F63" s="224" t="s">
        <v>42</v>
      </c>
      <c r="G63" s="41">
        <v>7.7598511533963572</v>
      </c>
      <c r="H63" s="131"/>
      <c r="I63" s="35">
        <v>7.7598511533963572</v>
      </c>
      <c r="J63" s="200">
        <f t="shared" si="12"/>
        <v>0</v>
      </c>
      <c r="K63" s="223">
        <v>0</v>
      </c>
      <c r="L63" s="212"/>
      <c r="M63" s="35">
        <v>0</v>
      </c>
      <c r="N63" s="200">
        <f>J63*L63</f>
        <v>0</v>
      </c>
      <c r="O63" s="35">
        <v>7.7598511533963572</v>
      </c>
      <c r="P63" s="200">
        <f t="shared" si="13"/>
        <v>0</v>
      </c>
      <c r="Q63" s="35">
        <v>4966.3047381736687</v>
      </c>
      <c r="R63" s="200">
        <f t="shared" si="14"/>
        <v>0</v>
      </c>
    </row>
    <row r="64" spans="1:18" x14ac:dyDescent="0.2">
      <c r="A64" s="25"/>
      <c r="B64" s="25" t="s">
        <v>88</v>
      </c>
      <c r="C64" s="25"/>
      <c r="D64" s="25"/>
      <c r="E64" s="195"/>
      <c r="F64" s="21"/>
      <c r="G64" s="41"/>
      <c r="H64" s="195"/>
      <c r="I64" s="184"/>
      <c r="J64" s="182"/>
      <c r="K64" s="223"/>
      <c r="L64" s="195"/>
      <c r="M64" s="35"/>
      <c r="N64" s="182"/>
      <c r="O64" s="35"/>
      <c r="P64" s="182"/>
      <c r="Q64" s="35"/>
      <c r="R64" s="182"/>
    </row>
    <row r="65" spans="1:18" x14ac:dyDescent="0.2">
      <c r="A65" s="25"/>
      <c r="B65" s="25"/>
      <c r="C65" s="25" t="s">
        <v>102</v>
      </c>
      <c r="D65" s="41">
        <v>6.837890625</v>
      </c>
      <c r="E65" s="130"/>
      <c r="F65" s="224" t="s">
        <v>99</v>
      </c>
      <c r="G65" s="39">
        <v>0.08</v>
      </c>
      <c r="H65" s="213"/>
      <c r="I65" s="35">
        <v>0.54703124999999997</v>
      </c>
      <c r="J65" s="200">
        <f t="shared" ref="J65:J74" si="15">E65*H65</f>
        <v>0</v>
      </c>
      <c r="K65" s="223">
        <v>0</v>
      </c>
      <c r="L65" s="212"/>
      <c r="M65" s="35">
        <v>0</v>
      </c>
      <c r="N65" s="200">
        <f>J65*L65</f>
        <v>0</v>
      </c>
      <c r="O65" s="35">
        <v>0.54703124999999997</v>
      </c>
      <c r="P65" s="200">
        <f t="shared" ref="P65:P67" si="16">+J65-N65</f>
        <v>0</v>
      </c>
      <c r="Q65" s="35">
        <v>350.09999999999997</v>
      </c>
      <c r="R65" s="200">
        <f t="shared" ref="R65:R67" si="17">+J65*E$7</f>
        <v>0</v>
      </c>
    </row>
    <row r="66" spans="1:18" x14ac:dyDescent="0.2">
      <c r="A66" s="25"/>
      <c r="B66" s="25"/>
      <c r="C66" s="25" t="s">
        <v>103</v>
      </c>
      <c r="D66" s="41">
        <v>61.264724840366377</v>
      </c>
      <c r="E66" s="130"/>
      <c r="F66" s="224" t="s">
        <v>99</v>
      </c>
      <c r="G66" s="39">
        <v>0.08</v>
      </c>
      <c r="H66" s="213"/>
      <c r="I66" s="35">
        <v>4.9011779872293104</v>
      </c>
      <c r="J66" s="200">
        <f t="shared" si="15"/>
        <v>0</v>
      </c>
      <c r="K66" s="223">
        <v>0</v>
      </c>
      <c r="L66" s="212"/>
      <c r="M66" s="35">
        <v>0</v>
      </c>
      <c r="N66" s="200">
        <f>J66*L66</f>
        <v>0</v>
      </c>
      <c r="O66" s="35">
        <v>4.9011779872293104</v>
      </c>
      <c r="P66" s="200">
        <f t="shared" si="16"/>
        <v>0</v>
      </c>
      <c r="Q66" s="35">
        <v>3136.7539118267587</v>
      </c>
      <c r="R66" s="200">
        <f t="shared" si="17"/>
        <v>0</v>
      </c>
    </row>
    <row r="67" spans="1:18" x14ac:dyDescent="0.2">
      <c r="A67" s="25"/>
      <c r="B67" s="25"/>
      <c r="C67" s="25" t="s">
        <v>5</v>
      </c>
      <c r="D67" s="41">
        <v>33.194918822862192</v>
      </c>
      <c r="E67" s="130"/>
      <c r="F67" s="224" t="s">
        <v>99</v>
      </c>
      <c r="G67" s="39">
        <v>0.08</v>
      </c>
      <c r="H67" s="213"/>
      <c r="I67" s="35">
        <v>2.6555935058289752</v>
      </c>
      <c r="J67" s="200">
        <f t="shared" si="15"/>
        <v>0</v>
      </c>
      <c r="K67" s="223">
        <v>0</v>
      </c>
      <c r="L67" s="212"/>
      <c r="M67" s="35">
        <v>0</v>
      </c>
      <c r="N67" s="200">
        <f>J67*L67</f>
        <v>0</v>
      </c>
      <c r="O67" s="35">
        <v>2.6555935058289752</v>
      </c>
      <c r="P67" s="200">
        <f t="shared" si="16"/>
        <v>0</v>
      </c>
      <c r="Q67" s="35">
        <v>1699.5798437305441</v>
      </c>
      <c r="R67" s="200">
        <f t="shared" si="17"/>
        <v>0</v>
      </c>
    </row>
    <row r="68" spans="1:18" x14ac:dyDescent="0.2">
      <c r="A68" s="25"/>
      <c r="B68" s="25" t="s">
        <v>156</v>
      </c>
      <c r="C68" s="25"/>
      <c r="D68" s="25">
        <v>1</v>
      </c>
      <c r="E68" s="130"/>
      <c r="F68" s="224" t="s">
        <v>42</v>
      </c>
      <c r="G68" s="41">
        <v>0</v>
      </c>
      <c r="H68" s="131"/>
      <c r="I68" s="35">
        <v>0</v>
      </c>
      <c r="J68" s="200">
        <f t="shared" si="15"/>
        <v>0</v>
      </c>
      <c r="K68" s="223">
        <v>0</v>
      </c>
      <c r="L68" s="212"/>
      <c r="M68" s="35">
        <v>0</v>
      </c>
      <c r="N68" s="200">
        <f t="shared" ref="N68:N75" si="18">J68*L68</f>
        <v>0</v>
      </c>
      <c r="O68" s="35">
        <v>0</v>
      </c>
      <c r="P68" s="200">
        <f t="shared" ref="P68:P75" si="19">+J68-N68</f>
        <v>0</v>
      </c>
      <c r="Q68" s="35">
        <v>0</v>
      </c>
      <c r="R68" s="200">
        <f t="shared" ref="R68:R75" si="20">+J68*E$7</f>
        <v>0</v>
      </c>
    </row>
    <row r="69" spans="1:18" x14ac:dyDescent="0.2">
      <c r="A69" s="25"/>
      <c r="B69" s="25" t="s">
        <v>152</v>
      </c>
      <c r="C69" s="25"/>
      <c r="D69" s="25">
        <v>1</v>
      </c>
      <c r="E69" s="130"/>
      <c r="F69" s="224" t="s">
        <v>42</v>
      </c>
      <c r="G69" s="41">
        <v>0</v>
      </c>
      <c r="H69" s="131"/>
      <c r="I69" s="35">
        <v>0</v>
      </c>
      <c r="J69" s="200">
        <f t="shared" si="15"/>
        <v>0</v>
      </c>
      <c r="K69" s="223">
        <v>0</v>
      </c>
      <c r="L69" s="212"/>
      <c r="M69" s="35">
        <v>0</v>
      </c>
      <c r="N69" s="200">
        <f t="shared" si="18"/>
        <v>0</v>
      </c>
      <c r="O69" s="35">
        <v>0</v>
      </c>
      <c r="P69" s="200">
        <f t="shared" si="19"/>
        <v>0</v>
      </c>
      <c r="Q69" s="35">
        <v>0</v>
      </c>
      <c r="R69" s="200">
        <f t="shared" si="20"/>
        <v>0</v>
      </c>
    </row>
    <row r="70" spans="1:18" x14ac:dyDescent="0.2">
      <c r="A70" s="25"/>
      <c r="B70" s="25" t="s">
        <v>137</v>
      </c>
      <c r="C70" s="25"/>
      <c r="D70" s="25">
        <v>1</v>
      </c>
      <c r="E70" s="130"/>
      <c r="F70" s="224" t="s">
        <v>42</v>
      </c>
      <c r="G70" s="41">
        <v>0</v>
      </c>
      <c r="H70" s="131"/>
      <c r="I70" s="35">
        <v>0</v>
      </c>
      <c r="J70" s="200">
        <f t="shared" si="15"/>
        <v>0</v>
      </c>
      <c r="K70" s="223">
        <v>0</v>
      </c>
      <c r="L70" s="212"/>
      <c r="M70" s="35">
        <v>0</v>
      </c>
      <c r="N70" s="200">
        <f t="shared" si="18"/>
        <v>0</v>
      </c>
      <c r="O70" s="35">
        <v>0</v>
      </c>
      <c r="P70" s="200">
        <f t="shared" si="19"/>
        <v>0</v>
      </c>
      <c r="Q70" s="35">
        <v>0</v>
      </c>
      <c r="R70" s="200">
        <f t="shared" si="20"/>
        <v>0</v>
      </c>
    </row>
    <row r="71" spans="1:18" x14ac:dyDescent="0.2">
      <c r="A71" s="25"/>
      <c r="B71" s="25" t="s">
        <v>415</v>
      </c>
      <c r="C71" s="25"/>
      <c r="D71" s="25">
        <v>1</v>
      </c>
      <c r="E71" s="130"/>
      <c r="F71" s="224" t="s">
        <v>42</v>
      </c>
      <c r="G71" s="41">
        <v>30</v>
      </c>
      <c r="H71" s="131"/>
      <c r="I71" s="35">
        <v>30</v>
      </c>
      <c r="J71" s="200">
        <f t="shared" si="15"/>
        <v>0</v>
      </c>
      <c r="K71" s="223">
        <v>0</v>
      </c>
      <c r="L71" s="212"/>
      <c r="M71" s="35">
        <v>0</v>
      </c>
      <c r="N71" s="200">
        <f t="shared" si="18"/>
        <v>0</v>
      </c>
      <c r="O71" s="35">
        <v>30</v>
      </c>
      <c r="P71" s="200">
        <f t="shared" si="19"/>
        <v>0</v>
      </c>
      <c r="Q71" s="35">
        <v>19200</v>
      </c>
      <c r="R71" s="200">
        <f t="shared" si="20"/>
        <v>0</v>
      </c>
    </row>
    <row r="72" spans="1:18" x14ac:dyDescent="0.2">
      <c r="A72" s="25"/>
      <c r="B72" s="25" t="s">
        <v>159</v>
      </c>
      <c r="C72" s="25"/>
      <c r="D72" s="25">
        <v>1</v>
      </c>
      <c r="E72" s="130"/>
      <c r="F72" s="224" t="s">
        <v>42</v>
      </c>
      <c r="G72" s="41">
        <v>0</v>
      </c>
      <c r="H72" s="131"/>
      <c r="I72" s="35">
        <v>0</v>
      </c>
      <c r="J72" s="200">
        <f t="shared" si="15"/>
        <v>0</v>
      </c>
      <c r="K72" s="223">
        <v>0</v>
      </c>
      <c r="L72" s="212"/>
      <c r="M72" s="35">
        <v>0</v>
      </c>
      <c r="N72" s="200">
        <f t="shared" si="18"/>
        <v>0</v>
      </c>
      <c r="O72" s="35">
        <v>0</v>
      </c>
      <c r="P72" s="200">
        <f t="shared" si="19"/>
        <v>0</v>
      </c>
      <c r="Q72" s="35">
        <v>0</v>
      </c>
      <c r="R72" s="200">
        <f t="shared" si="20"/>
        <v>0</v>
      </c>
    </row>
    <row r="73" spans="1:18" x14ac:dyDescent="0.2">
      <c r="A73" s="25"/>
      <c r="B73" s="25" t="s">
        <v>160</v>
      </c>
      <c r="C73" s="25"/>
      <c r="D73" s="25">
        <v>1</v>
      </c>
      <c r="E73" s="130"/>
      <c r="F73" s="224" t="s">
        <v>42</v>
      </c>
      <c r="G73" s="41">
        <v>0</v>
      </c>
      <c r="H73" s="131"/>
      <c r="I73" s="35">
        <v>0</v>
      </c>
      <c r="J73" s="200">
        <f t="shared" si="15"/>
        <v>0</v>
      </c>
      <c r="K73" s="223">
        <v>0</v>
      </c>
      <c r="L73" s="212"/>
      <c r="M73" s="35">
        <v>0</v>
      </c>
      <c r="N73" s="200">
        <f t="shared" si="18"/>
        <v>0</v>
      </c>
      <c r="O73" s="35">
        <v>0</v>
      </c>
      <c r="P73" s="200">
        <f t="shared" si="19"/>
        <v>0</v>
      </c>
      <c r="Q73" s="35">
        <v>0</v>
      </c>
      <c r="R73" s="200">
        <f t="shared" si="20"/>
        <v>0</v>
      </c>
    </row>
    <row r="74" spans="1:18" x14ac:dyDescent="0.2">
      <c r="A74" s="25"/>
      <c r="B74" s="131"/>
      <c r="C74" s="131"/>
      <c r="D74" s="25">
        <v>1</v>
      </c>
      <c r="E74" s="130"/>
      <c r="F74" s="224"/>
      <c r="G74" s="41">
        <v>0</v>
      </c>
      <c r="H74" s="131"/>
      <c r="I74" s="35">
        <v>0</v>
      </c>
      <c r="J74" s="200">
        <f t="shared" si="15"/>
        <v>0</v>
      </c>
      <c r="K74" s="223">
        <v>0</v>
      </c>
      <c r="L74" s="212"/>
      <c r="M74" s="35">
        <v>0</v>
      </c>
      <c r="N74" s="200">
        <f t="shared" si="18"/>
        <v>0</v>
      </c>
      <c r="O74" s="35">
        <v>0</v>
      </c>
      <c r="P74" s="200">
        <f t="shared" si="19"/>
        <v>0</v>
      </c>
      <c r="Q74" s="35">
        <v>0</v>
      </c>
      <c r="R74" s="200">
        <f t="shared" si="20"/>
        <v>0</v>
      </c>
    </row>
    <row r="75" spans="1:18" ht="13.5" thickBot="1" x14ac:dyDescent="0.25">
      <c r="A75" s="25"/>
      <c r="B75" s="131"/>
      <c r="C75" s="131"/>
      <c r="D75" s="25">
        <v>1</v>
      </c>
      <c r="E75" s="130"/>
      <c r="F75" s="224"/>
      <c r="G75" s="41">
        <v>0</v>
      </c>
      <c r="H75" s="131"/>
      <c r="I75" s="35">
        <v>0</v>
      </c>
      <c r="J75" s="200">
        <f>E75*H75</f>
        <v>0</v>
      </c>
      <c r="K75" s="223">
        <v>0</v>
      </c>
      <c r="L75" s="212"/>
      <c r="M75" s="35">
        <v>0</v>
      </c>
      <c r="N75" s="200">
        <f t="shared" si="18"/>
        <v>0</v>
      </c>
      <c r="O75" s="35">
        <v>0</v>
      </c>
      <c r="P75" s="200">
        <f t="shared" si="19"/>
        <v>0</v>
      </c>
      <c r="Q75" s="35">
        <v>0</v>
      </c>
      <c r="R75" s="200">
        <f t="shared" si="20"/>
        <v>0</v>
      </c>
    </row>
    <row r="76" spans="1:18" ht="13.5" thickBot="1" x14ac:dyDescent="0.25">
      <c r="A76" s="25" t="s">
        <v>37</v>
      </c>
      <c r="B76" s="25"/>
      <c r="C76" s="25"/>
      <c r="D76" s="25"/>
      <c r="E76" s="195"/>
      <c r="F76" s="25"/>
      <c r="G76" s="25"/>
      <c r="H76" s="195"/>
      <c r="I76" s="118">
        <v>54.837336982074518</v>
      </c>
      <c r="J76" s="202">
        <f>+SUM(J61:J75)</f>
        <v>0</v>
      </c>
      <c r="K76" s="35"/>
      <c r="L76" s="193"/>
      <c r="M76" s="118">
        <v>0</v>
      </c>
      <c r="N76" s="202">
        <f>+SUM(N61:N75)</f>
        <v>0</v>
      </c>
      <c r="O76" s="118">
        <v>54.837336982074518</v>
      </c>
      <c r="P76" s="202">
        <f>+SUM(P61:P75)</f>
        <v>0</v>
      </c>
      <c r="Q76" s="118">
        <v>35095.895668527686</v>
      </c>
      <c r="R76" s="202">
        <f>+SUM(R61:R75)</f>
        <v>0</v>
      </c>
    </row>
    <row r="77" spans="1:18" ht="14.25" thickTop="1" thickBot="1" x14ac:dyDescent="0.25">
      <c r="A77" s="25" t="s">
        <v>52</v>
      </c>
      <c r="B77" s="25"/>
      <c r="C77" s="25"/>
      <c r="D77" s="25"/>
      <c r="E77" s="195"/>
      <c r="F77" s="25"/>
      <c r="G77" s="25"/>
      <c r="H77" s="195"/>
      <c r="I77" s="87">
        <v>231.932891602729</v>
      </c>
      <c r="J77" s="203">
        <f>+J55+J76</f>
        <v>0</v>
      </c>
      <c r="K77" s="35"/>
      <c r="L77" s="193"/>
      <c r="M77" s="87">
        <v>0</v>
      </c>
      <c r="N77" s="203">
        <f>+N55+N76</f>
        <v>0</v>
      </c>
      <c r="O77" s="87">
        <v>231.932891602729</v>
      </c>
      <c r="P77" s="203">
        <f>+P55+P76</f>
        <v>0</v>
      </c>
      <c r="Q77" s="87">
        <v>148437.05062574655</v>
      </c>
      <c r="R77" s="203">
        <f>+R55+R76</f>
        <v>0</v>
      </c>
    </row>
    <row r="78" spans="1:18" ht="13.5" thickTop="1" x14ac:dyDescent="0.2">
      <c r="A78" s="25"/>
      <c r="B78" s="25"/>
      <c r="C78" s="25"/>
      <c r="D78" s="25"/>
      <c r="E78" s="195"/>
      <c r="F78" s="25"/>
      <c r="G78" s="25"/>
      <c r="H78" s="195"/>
      <c r="I78" s="35"/>
      <c r="J78" s="182"/>
      <c r="K78" s="35"/>
      <c r="L78" s="193"/>
      <c r="M78" s="35"/>
      <c r="N78" s="182"/>
      <c r="O78" s="35"/>
      <c r="P78" s="182"/>
      <c r="Q78" s="35"/>
      <c r="R78" s="182"/>
    </row>
    <row r="79" spans="1:18" x14ac:dyDescent="0.2">
      <c r="A79" s="25" t="s">
        <v>153</v>
      </c>
      <c r="B79" s="25"/>
      <c r="C79" s="25"/>
      <c r="D79" s="25"/>
      <c r="E79" s="195"/>
      <c r="F79" s="25"/>
      <c r="G79" s="25"/>
      <c r="H79" s="195"/>
      <c r="I79" s="35">
        <v>-1.2328916027289836</v>
      </c>
      <c r="J79" s="200">
        <f>+J13-J77</f>
        <v>0</v>
      </c>
      <c r="K79" s="35"/>
      <c r="L79" s="193"/>
      <c r="M79" s="35">
        <v>0</v>
      </c>
      <c r="N79" s="200">
        <f>+N13-N77</f>
        <v>0</v>
      </c>
      <c r="O79" s="35">
        <v>-1.2328916027289836</v>
      </c>
      <c r="P79" s="200">
        <f>+P13-P77</f>
        <v>0</v>
      </c>
      <c r="Q79" s="35">
        <v>-789.05062574654585</v>
      </c>
      <c r="R79" s="200">
        <f>+R13-R77</f>
        <v>0</v>
      </c>
    </row>
    <row r="80" spans="1:18" x14ac:dyDescent="0.2">
      <c r="A80" s="25"/>
      <c r="B80" s="25"/>
      <c r="C80" s="25"/>
      <c r="D80" s="25"/>
      <c r="E80" s="195"/>
      <c r="F80" s="25"/>
      <c r="G80" s="25"/>
      <c r="H80" s="195"/>
      <c r="I80" s="35"/>
      <c r="J80" s="204"/>
      <c r="K80" s="35"/>
      <c r="L80" s="193"/>
      <c r="M80" s="35"/>
      <c r="N80" s="193"/>
      <c r="O80" s="35"/>
      <c r="P80" s="193"/>
      <c r="Q80" s="35"/>
      <c r="R80" s="204"/>
    </row>
    <row r="81" spans="1:18" ht="13.5" thickBot="1" x14ac:dyDescent="0.25">
      <c r="A81" s="44" t="s">
        <v>38</v>
      </c>
      <c r="B81" s="44"/>
      <c r="C81" s="44"/>
      <c r="D81" s="44"/>
      <c r="E81" s="199"/>
      <c r="F81" s="44"/>
      <c r="G81" s="45">
        <v>7.731096386757633</v>
      </c>
      <c r="H81" s="210" t="str">
        <f>IF(E10=0,"n/a",(YTotExp-(YTotExp+YTotRet-J10))/E10)</f>
        <v>n/a</v>
      </c>
      <c r="I81" s="44" t="s">
        <v>8</v>
      </c>
      <c r="J81" s="205"/>
      <c r="K81" s="44"/>
      <c r="L81" s="199"/>
      <c r="M81" s="44"/>
      <c r="N81" s="199"/>
      <c r="O81" s="44"/>
      <c r="P81" s="199"/>
      <c r="Q81" s="44"/>
      <c r="R81" s="205"/>
    </row>
    <row r="82" spans="1:18" ht="13.5" thickTop="1" x14ac:dyDescent="0.2"/>
    <row r="83" spans="1:18" s="17" customFormat="1" ht="15.75" x14ac:dyDescent="0.25">
      <c r="A83"/>
      <c r="B83" s="88"/>
      <c r="C83" s="89"/>
      <c r="D83" s="234" t="s">
        <v>113</v>
      </c>
      <c r="E83" s="235"/>
      <c r="F83" s="235"/>
      <c r="G83" s="235"/>
      <c r="H83" s="235"/>
      <c r="I83" s="235"/>
      <c r="J83" s="99"/>
      <c r="K83" s="99"/>
      <c r="M83"/>
      <c r="N83"/>
    </row>
    <row r="84" spans="1:18" s="17" customFormat="1" ht="15.75" x14ac:dyDescent="0.25">
      <c r="A84"/>
      <c r="B84" s="19" t="s">
        <v>114</v>
      </c>
      <c r="C84" s="19" t="s">
        <v>114</v>
      </c>
      <c r="D84" s="123" t="s">
        <v>170</v>
      </c>
      <c r="E84" s="18"/>
      <c r="F84" s="18"/>
      <c r="G84" s="123" t="s">
        <v>170</v>
      </c>
      <c r="H84" s="18"/>
      <c r="I84" s="18"/>
      <c r="J84" s="18"/>
      <c r="K84" s="18"/>
      <c r="M84"/>
      <c r="N84"/>
    </row>
    <row r="85" spans="1:18" s="17" customFormat="1" x14ac:dyDescent="0.2">
      <c r="A85"/>
      <c r="B85" s="19" t="s">
        <v>80</v>
      </c>
      <c r="C85" s="19" t="s">
        <v>80</v>
      </c>
      <c r="D85" s="123" t="s">
        <v>157</v>
      </c>
      <c r="E85" s="119"/>
      <c r="F85" s="119"/>
      <c r="G85" s="123" t="s">
        <v>12</v>
      </c>
      <c r="H85" s="119"/>
      <c r="I85" s="119"/>
      <c r="J85" s="119"/>
      <c r="K85" s="119"/>
      <c r="M85"/>
      <c r="N85"/>
    </row>
    <row r="86" spans="1:18" s="17" customFormat="1" x14ac:dyDescent="0.2">
      <c r="A86"/>
      <c r="B86" s="19" t="s">
        <v>30</v>
      </c>
      <c r="C86" s="99" t="s">
        <v>8</v>
      </c>
      <c r="D86" s="123" t="s">
        <v>98</v>
      </c>
      <c r="E86" s="119"/>
      <c r="F86" s="119"/>
      <c r="G86" s="123" t="s">
        <v>98</v>
      </c>
      <c r="H86" s="19"/>
      <c r="I86" s="19"/>
      <c r="J86" s="19"/>
      <c r="K86" s="19"/>
      <c r="M86"/>
      <c r="N86"/>
    </row>
    <row r="87" spans="1:18" s="17" customFormat="1" x14ac:dyDescent="0.2">
      <c r="A87"/>
      <c r="B87" s="90">
        <v>0.75</v>
      </c>
      <c r="C87" s="91">
        <v>22.5</v>
      </c>
      <c r="D87" s="92">
        <v>7.8709135386957545</v>
      </c>
      <c r="E87" s="93"/>
      <c r="F87" s="94"/>
      <c r="G87" s="92">
        <v>10.308128515676845</v>
      </c>
      <c r="H87" s="93"/>
      <c r="I87" s="93"/>
      <c r="M87"/>
      <c r="N87"/>
    </row>
    <row r="88" spans="1:18" s="17" customFormat="1" x14ac:dyDescent="0.2">
      <c r="A88"/>
      <c r="B88" s="95">
        <v>0.9</v>
      </c>
      <c r="C88" s="96">
        <v>27</v>
      </c>
      <c r="D88" s="97">
        <v>6.5590946155797951</v>
      </c>
      <c r="E88" s="83"/>
      <c r="F88" s="98"/>
      <c r="G88" s="97">
        <v>8.5901070963973698</v>
      </c>
      <c r="H88" s="83"/>
      <c r="I88" s="83"/>
      <c r="M88"/>
      <c r="N88"/>
    </row>
    <row r="89" spans="1:18" s="17" customFormat="1" x14ac:dyDescent="0.2">
      <c r="A89"/>
      <c r="B89" s="90">
        <v>1</v>
      </c>
      <c r="C89" s="91">
        <v>30</v>
      </c>
      <c r="D89" s="92">
        <v>5.9031851540218154</v>
      </c>
      <c r="E89" s="93"/>
      <c r="F89" s="94"/>
      <c r="G89" s="92">
        <v>7.731096386757633</v>
      </c>
      <c r="H89" s="93"/>
      <c r="I89" s="93"/>
      <c r="M89"/>
      <c r="N89"/>
    </row>
    <row r="90" spans="1:18" s="17" customFormat="1" x14ac:dyDescent="0.2">
      <c r="A90"/>
      <c r="B90" s="95">
        <v>1.1000000000000001</v>
      </c>
      <c r="C90" s="96">
        <v>33</v>
      </c>
      <c r="D90" s="97">
        <v>5.3665319582016506</v>
      </c>
      <c r="E90" s="83"/>
      <c r="F90" s="98"/>
      <c r="G90" s="97">
        <v>7.0282694425069394</v>
      </c>
      <c r="H90" s="83"/>
      <c r="I90" s="83"/>
      <c r="M90"/>
      <c r="N90"/>
    </row>
    <row r="91" spans="1:18" s="17" customFormat="1" x14ac:dyDescent="0.2">
      <c r="A91"/>
      <c r="B91" s="90">
        <v>1.25</v>
      </c>
      <c r="C91" s="91">
        <v>37.5</v>
      </c>
      <c r="D91" s="92">
        <v>4.7225481232174529</v>
      </c>
      <c r="E91" s="93"/>
      <c r="F91" s="94"/>
      <c r="G91" s="92">
        <v>6.1848771094061066</v>
      </c>
      <c r="H91" s="93"/>
      <c r="I91" s="93"/>
      <c r="M91"/>
      <c r="N91"/>
    </row>
    <row r="92" spans="1:18" s="17" customFormat="1" x14ac:dyDescent="0.2">
      <c r="A92"/>
      <c r="M92"/>
      <c r="N92"/>
    </row>
    <row r="93" spans="1:18" x14ac:dyDescent="0.2">
      <c r="A93" s="25" t="s">
        <v>434</v>
      </c>
      <c r="B93" s="17"/>
      <c r="C93" s="17"/>
      <c r="D93" s="17"/>
      <c r="E93" s="17"/>
      <c r="F93" s="17"/>
      <c r="G93" s="17"/>
      <c r="H93" s="17"/>
      <c r="I93" s="17"/>
      <c r="J93" s="28"/>
      <c r="K93" s="17"/>
      <c r="L93" s="17"/>
      <c r="M93" s="17"/>
      <c r="N93" s="17"/>
      <c r="O93" s="17"/>
      <c r="P93" s="17"/>
      <c r="Q93" s="17"/>
    </row>
    <row r="94" spans="1:18" x14ac:dyDescent="0.2">
      <c r="A94" s="17"/>
      <c r="B94" s="17"/>
      <c r="C94" s="17"/>
      <c r="D94" s="17"/>
      <c r="E94" s="17"/>
      <c r="F94" s="17"/>
      <c r="G94" s="17"/>
      <c r="H94" s="17"/>
      <c r="I94" s="17"/>
      <c r="J94" s="28"/>
      <c r="K94" s="17"/>
      <c r="L94" s="17"/>
      <c r="M94" s="17"/>
      <c r="N94" s="17"/>
      <c r="O94" s="17"/>
      <c r="P94" s="17"/>
      <c r="Q94" s="17"/>
    </row>
    <row r="95" spans="1:18" ht="26.25" customHeight="1" x14ac:dyDescent="0.2">
      <c r="A95" s="236" t="s">
        <v>140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19"/>
      <c r="N95" s="219"/>
      <c r="O95" s="219"/>
      <c r="P95" s="219"/>
      <c r="Q95" s="219"/>
      <c r="R95" s="219"/>
    </row>
  </sheetData>
  <sheetProtection sheet="1" objects="1" scenarios="1"/>
  <mergeCells count="6">
    <mergeCell ref="D83:I83"/>
    <mergeCell ref="A95:L95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5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211">
    <tabColor rgb="FF92D050"/>
    <pageSetUpPr fitToPage="1"/>
  </sheetPr>
  <dimension ref="A1:S101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2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350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173</v>
      </c>
      <c r="C10" s="25"/>
      <c r="D10" s="50">
        <v>30</v>
      </c>
      <c r="E10" s="130"/>
      <c r="F10" s="224" t="s">
        <v>83</v>
      </c>
      <c r="G10" s="31">
        <v>5.0999999999999996</v>
      </c>
      <c r="H10" s="131"/>
      <c r="I10" s="35">
        <v>153</v>
      </c>
      <c r="J10" s="200">
        <f t="shared" ref="J10:J13" si="0">E10*H10</f>
        <v>0</v>
      </c>
      <c r="K10" s="223">
        <v>0</v>
      </c>
      <c r="L10" s="212"/>
      <c r="M10" s="35">
        <v>0</v>
      </c>
      <c r="N10" s="200">
        <f t="shared" ref="N10:N13" si="1">J10*L10</f>
        <v>0</v>
      </c>
      <c r="O10" s="35">
        <v>153</v>
      </c>
      <c r="P10" s="200">
        <f>+J10-N10</f>
        <v>0</v>
      </c>
      <c r="Q10" s="35">
        <v>97920</v>
      </c>
      <c r="R10" s="200">
        <f t="shared" ref="R10:R13" si="2">+J10*E$7</f>
        <v>0</v>
      </c>
      <c r="S10" s="12"/>
    </row>
    <row r="11" spans="1:19" x14ac:dyDescent="0.2">
      <c r="A11" s="25"/>
      <c r="B11" t="s">
        <v>359</v>
      </c>
      <c r="C11" s="25"/>
      <c r="D11" s="50">
        <v>64</v>
      </c>
      <c r="E11" s="130"/>
      <c r="F11" s="224" t="s">
        <v>360</v>
      </c>
      <c r="G11" s="31">
        <v>0.85</v>
      </c>
      <c r="H11" s="131"/>
      <c r="I11" s="35">
        <v>54.4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54.4</v>
      </c>
      <c r="P11" s="200">
        <f t="shared" ref="P11:P13" si="3">+J11-N11</f>
        <v>0</v>
      </c>
      <c r="Q11" s="35">
        <v>34816</v>
      </c>
      <c r="R11" s="200">
        <f t="shared" si="2"/>
        <v>0</v>
      </c>
      <c r="S11" s="12"/>
    </row>
    <row r="12" spans="1:19" x14ac:dyDescent="0.2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35">
        <v>0</v>
      </c>
      <c r="J12" s="200">
        <f t="shared" si="0"/>
        <v>0</v>
      </c>
      <c r="K12" s="223">
        <v>0</v>
      </c>
      <c r="L12" s="212"/>
      <c r="M12" s="35">
        <v>0</v>
      </c>
      <c r="N12" s="200">
        <f t="shared" si="1"/>
        <v>0</v>
      </c>
      <c r="O12" s="35">
        <v>0</v>
      </c>
      <c r="P12" s="200">
        <f t="shared" si="3"/>
        <v>0</v>
      </c>
      <c r="Q12" s="35">
        <v>0</v>
      </c>
      <c r="R12" s="200">
        <f t="shared" si="2"/>
        <v>0</v>
      </c>
    </row>
    <row r="13" spans="1:19" ht="13.5" thickBot="1" x14ac:dyDescent="0.25">
      <c r="A13" s="25"/>
      <c r="B13" s="131"/>
      <c r="C13" s="131"/>
      <c r="D13" s="50">
        <v>0</v>
      </c>
      <c r="E13" s="130"/>
      <c r="F13" s="224"/>
      <c r="G13" s="31">
        <v>0</v>
      </c>
      <c r="H13" s="131"/>
      <c r="I13" s="42">
        <v>0</v>
      </c>
      <c r="J13" s="200">
        <f t="shared" si="0"/>
        <v>0</v>
      </c>
      <c r="K13" s="223">
        <v>0</v>
      </c>
      <c r="L13" s="212"/>
      <c r="M13" s="42">
        <v>0</v>
      </c>
      <c r="N13" s="200">
        <f t="shared" si="1"/>
        <v>0</v>
      </c>
      <c r="O13" s="42">
        <v>0</v>
      </c>
      <c r="P13" s="200">
        <f t="shared" si="3"/>
        <v>0</v>
      </c>
      <c r="Q13" s="42">
        <v>0</v>
      </c>
      <c r="R13" s="182">
        <f t="shared" si="2"/>
        <v>0</v>
      </c>
    </row>
    <row r="14" spans="1:19" x14ac:dyDescent="0.2">
      <c r="A14" s="25" t="s">
        <v>24</v>
      </c>
      <c r="B14" s="25"/>
      <c r="C14" s="25"/>
      <c r="D14" s="25"/>
      <c r="E14" s="198"/>
      <c r="F14" s="25"/>
      <c r="G14" s="25"/>
      <c r="H14" s="195"/>
      <c r="I14" s="36">
        <v>207.4</v>
      </c>
      <c r="J14" s="201">
        <f>SUM(J10:J13)</f>
        <v>0</v>
      </c>
      <c r="K14" s="35"/>
      <c r="L14" s="193"/>
      <c r="M14" s="36">
        <v>0</v>
      </c>
      <c r="N14" s="201">
        <f>SUM(N10:N13)</f>
        <v>0</v>
      </c>
      <c r="O14" s="36">
        <v>207.4</v>
      </c>
      <c r="P14" s="201">
        <f>SUM(P10:P13)</f>
        <v>0</v>
      </c>
      <c r="Q14" s="36">
        <v>132736</v>
      </c>
      <c r="R14" s="201">
        <f>SUM(R10:R13)</f>
        <v>0</v>
      </c>
    </row>
    <row r="15" spans="1:19" x14ac:dyDescent="0.2">
      <c r="A15" s="25"/>
      <c r="B15" s="25"/>
      <c r="C15" s="25"/>
      <c r="D15" s="25"/>
      <c r="E15" s="176"/>
      <c r="F15" s="25"/>
      <c r="G15" s="25"/>
      <c r="H15" s="209"/>
      <c r="I15" s="35"/>
      <c r="J15" s="182"/>
      <c r="K15" s="35"/>
      <c r="L15" s="193"/>
      <c r="M15" s="35"/>
      <c r="N15" s="182"/>
      <c r="O15" s="35"/>
      <c r="P15" s="182"/>
      <c r="Q15" s="22" t="s">
        <v>19</v>
      </c>
      <c r="R15" s="182" t="s">
        <v>19</v>
      </c>
    </row>
    <row r="16" spans="1:19" x14ac:dyDescent="0.2">
      <c r="A16" s="23" t="s">
        <v>25</v>
      </c>
      <c r="B16" s="23"/>
      <c r="C16" s="23"/>
      <c r="D16" s="24" t="s">
        <v>2</v>
      </c>
      <c r="E16" s="194" t="s">
        <v>2</v>
      </c>
      <c r="F16" s="24" t="s">
        <v>21</v>
      </c>
      <c r="G16" s="24" t="s">
        <v>22</v>
      </c>
      <c r="H16" s="194" t="s">
        <v>22</v>
      </c>
      <c r="I16" s="24" t="s">
        <v>12</v>
      </c>
      <c r="J16" s="194" t="s">
        <v>12</v>
      </c>
      <c r="K16" s="24" t="s">
        <v>11</v>
      </c>
      <c r="L16" s="194" t="s">
        <v>11</v>
      </c>
      <c r="M16" s="24" t="s">
        <v>10</v>
      </c>
      <c r="N16" s="194" t="s">
        <v>10</v>
      </c>
      <c r="O16" s="24" t="s">
        <v>9</v>
      </c>
      <c r="P16" s="194" t="s">
        <v>9</v>
      </c>
      <c r="Q16" s="24" t="s">
        <v>12</v>
      </c>
      <c r="R16" s="206" t="s">
        <v>12</v>
      </c>
    </row>
    <row r="17" spans="1:18" x14ac:dyDescent="0.2">
      <c r="A17" s="25" t="s">
        <v>26</v>
      </c>
      <c r="B17" s="25"/>
      <c r="C17" s="25"/>
      <c r="D17" s="25"/>
      <c r="E17" s="176"/>
      <c r="F17" s="25"/>
      <c r="G17" s="25"/>
      <c r="H17" s="209"/>
      <c r="I17" s="25"/>
      <c r="J17" s="182"/>
      <c r="K17" s="25"/>
      <c r="L17" s="195"/>
      <c r="M17" s="25"/>
      <c r="N17" s="182"/>
      <c r="O17" s="25"/>
      <c r="P17" s="182"/>
      <c r="Q17" s="25"/>
      <c r="R17" s="182"/>
    </row>
    <row r="18" spans="1:18" x14ac:dyDescent="0.2">
      <c r="A18" s="25"/>
      <c r="B18" s="25" t="s">
        <v>1</v>
      </c>
      <c r="C18" s="25"/>
      <c r="D18" s="25"/>
      <c r="E18" s="25"/>
      <c r="F18" s="25"/>
      <c r="G18" s="25"/>
      <c r="H18" s="25"/>
      <c r="I18" s="25"/>
      <c r="J18" s="25"/>
      <c r="K18" s="223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 t="s">
        <v>458</v>
      </c>
      <c r="C19" s="25" t="s">
        <v>407</v>
      </c>
      <c r="D19" s="25">
        <v>50</v>
      </c>
      <c r="E19" s="130"/>
      <c r="F19" s="224" t="s">
        <v>82</v>
      </c>
      <c r="G19" s="41">
        <v>0.23</v>
      </c>
      <c r="H19" s="131"/>
      <c r="I19" s="35">
        <v>11.5</v>
      </c>
      <c r="J19" s="200">
        <f t="shared" ref="J19:J39" si="4">E19*H19</f>
        <v>0</v>
      </c>
      <c r="K19" s="223">
        <v>0</v>
      </c>
      <c r="L19" s="212"/>
      <c r="M19" s="35">
        <v>0</v>
      </c>
      <c r="N19" s="200">
        <f t="shared" ref="N19:N39" si="5">J19*L19</f>
        <v>0</v>
      </c>
      <c r="O19" s="35">
        <v>11.5</v>
      </c>
      <c r="P19" s="200">
        <f t="shared" ref="P19:P39" si="6">+J19-N19</f>
        <v>0</v>
      </c>
      <c r="Q19" s="35">
        <v>7360</v>
      </c>
      <c r="R19" s="200">
        <f t="shared" ref="R19:R39" si="7">+J19*E$7</f>
        <v>0</v>
      </c>
    </row>
    <row r="20" spans="1:18" x14ac:dyDescent="0.2">
      <c r="A20" s="25"/>
      <c r="B20" s="25" t="s">
        <v>0</v>
      </c>
      <c r="C20" s="25"/>
      <c r="D20" s="25"/>
      <c r="E20" s="25"/>
      <c r="F20" s="25"/>
      <c r="G20" s="25"/>
      <c r="H20" s="25"/>
      <c r="I20" s="25"/>
      <c r="J20" s="25"/>
      <c r="K20" s="223"/>
      <c r="L20" s="25"/>
      <c r="M20" s="25"/>
      <c r="N20" s="25"/>
      <c r="O20" s="25"/>
      <c r="P20" s="25"/>
      <c r="Q20" s="25"/>
      <c r="R20" s="25"/>
    </row>
    <row r="21" spans="1:18" x14ac:dyDescent="0.2">
      <c r="A21" s="25"/>
      <c r="B21" s="25" t="s">
        <v>458</v>
      </c>
      <c r="C21" s="25" t="s">
        <v>342</v>
      </c>
      <c r="D21" s="25">
        <v>30</v>
      </c>
      <c r="E21" s="130"/>
      <c r="F21" s="224" t="s">
        <v>82</v>
      </c>
      <c r="G21" s="41">
        <v>0.53800000000000003</v>
      </c>
      <c r="H21" s="131"/>
      <c r="I21" s="35">
        <v>16.14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16.14</v>
      </c>
      <c r="P21" s="200">
        <f t="shared" si="6"/>
        <v>0</v>
      </c>
      <c r="Q21" s="35">
        <v>10329.6</v>
      </c>
      <c r="R21" s="200">
        <f t="shared" si="7"/>
        <v>0</v>
      </c>
    </row>
    <row r="22" spans="1:18" x14ac:dyDescent="0.2">
      <c r="A22" s="25"/>
      <c r="B22" s="25" t="s">
        <v>458</v>
      </c>
      <c r="C22" s="25" t="s">
        <v>378</v>
      </c>
      <c r="D22" s="25">
        <v>25</v>
      </c>
      <c r="E22" s="130"/>
      <c r="F22" s="224" t="s">
        <v>82</v>
      </c>
      <c r="G22" s="41">
        <v>0.56999999999999995</v>
      </c>
      <c r="H22" s="131"/>
      <c r="I22" s="35">
        <v>14.249999999999998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14.249999999999998</v>
      </c>
      <c r="P22" s="200">
        <f t="shared" si="6"/>
        <v>0</v>
      </c>
      <c r="Q22" s="35">
        <v>9119.9999999999982</v>
      </c>
      <c r="R22" s="200">
        <f t="shared" si="7"/>
        <v>0</v>
      </c>
    </row>
    <row r="23" spans="1:18" x14ac:dyDescent="0.2">
      <c r="A23" s="25"/>
      <c r="B23" s="25" t="s">
        <v>50</v>
      </c>
      <c r="C23" s="25"/>
      <c r="D23" s="25"/>
      <c r="E23" s="25"/>
      <c r="F23" s="25"/>
      <c r="G23" s="25"/>
      <c r="H23" s="25"/>
      <c r="I23" s="25"/>
      <c r="J23" s="25"/>
      <c r="K23" s="223"/>
      <c r="L23" s="25"/>
      <c r="M23" s="25"/>
      <c r="N23" s="25"/>
      <c r="O23" s="25"/>
      <c r="P23" s="25"/>
      <c r="Q23" s="25"/>
      <c r="R23" s="25"/>
    </row>
    <row r="24" spans="1:18" x14ac:dyDescent="0.2">
      <c r="A24" s="25"/>
      <c r="B24" s="25" t="s">
        <v>458</v>
      </c>
      <c r="C24" s="25" t="s">
        <v>371</v>
      </c>
      <c r="D24" s="25">
        <v>1</v>
      </c>
      <c r="E24" s="130"/>
      <c r="F24" s="224" t="s">
        <v>42</v>
      </c>
      <c r="G24" s="41">
        <v>35</v>
      </c>
      <c r="H24" s="131"/>
      <c r="I24" s="35">
        <v>35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35</v>
      </c>
      <c r="P24" s="200">
        <f t="shared" si="6"/>
        <v>0</v>
      </c>
      <c r="Q24" s="35">
        <v>22400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398</v>
      </c>
      <c r="D25" s="25">
        <v>10</v>
      </c>
      <c r="E25" s="130"/>
      <c r="F25" s="224" t="s">
        <v>83</v>
      </c>
      <c r="G25" s="41">
        <v>0.24</v>
      </c>
      <c r="H25" s="131"/>
      <c r="I25" s="35">
        <v>2.4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2.4</v>
      </c>
      <c r="P25" s="200">
        <f t="shared" si="6"/>
        <v>0</v>
      </c>
      <c r="Q25" s="35">
        <v>1536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373</v>
      </c>
      <c r="D26" s="25">
        <v>30</v>
      </c>
      <c r="E26" s="130"/>
      <c r="F26" s="224" t="s">
        <v>83</v>
      </c>
      <c r="G26" s="41">
        <v>0.24</v>
      </c>
      <c r="H26" s="131"/>
      <c r="I26" s="35">
        <v>7.1999999999999993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7.1999999999999993</v>
      </c>
      <c r="P26" s="200">
        <f t="shared" si="6"/>
        <v>0</v>
      </c>
      <c r="Q26" s="35">
        <v>4608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176</v>
      </c>
      <c r="D27" s="25">
        <v>1</v>
      </c>
      <c r="E27" s="130"/>
      <c r="F27" s="224" t="s">
        <v>42</v>
      </c>
      <c r="G27" s="41">
        <v>5</v>
      </c>
      <c r="H27" s="131"/>
      <c r="I27" s="35">
        <v>5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5</v>
      </c>
      <c r="P27" s="200">
        <f t="shared" si="6"/>
        <v>0</v>
      </c>
      <c r="Q27" s="35">
        <v>3200</v>
      </c>
      <c r="R27" s="200">
        <f t="shared" si="7"/>
        <v>0</v>
      </c>
    </row>
    <row r="28" spans="1:18" x14ac:dyDescent="0.2">
      <c r="A28" s="25"/>
      <c r="B28" s="25" t="s">
        <v>27</v>
      </c>
      <c r="C28" s="25"/>
      <c r="D28" s="25"/>
      <c r="E28" s="25"/>
      <c r="F28" s="25"/>
      <c r="G28" s="25"/>
      <c r="H28" s="25"/>
      <c r="I28" s="25"/>
      <c r="J28" s="25"/>
      <c r="K28" s="223"/>
      <c r="L28" s="25"/>
      <c r="M28" s="25"/>
      <c r="N28" s="25"/>
      <c r="O28" s="25"/>
      <c r="P28" s="25"/>
      <c r="Q28" s="25"/>
      <c r="R28" s="25"/>
    </row>
    <row r="29" spans="1:18" x14ac:dyDescent="0.2">
      <c r="A29" s="25"/>
      <c r="B29" s="25" t="s">
        <v>458</v>
      </c>
      <c r="C29" s="25" t="s">
        <v>397</v>
      </c>
      <c r="D29" s="25">
        <v>1</v>
      </c>
      <c r="E29" s="130"/>
      <c r="F29" s="224" t="s">
        <v>42</v>
      </c>
      <c r="G29" s="41">
        <v>12</v>
      </c>
      <c r="H29" s="131"/>
      <c r="I29" s="35">
        <v>12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12</v>
      </c>
      <c r="P29" s="200">
        <f t="shared" si="6"/>
        <v>0</v>
      </c>
      <c r="Q29" s="35">
        <v>7680</v>
      </c>
      <c r="R29" s="200">
        <f t="shared" si="7"/>
        <v>0</v>
      </c>
    </row>
    <row r="30" spans="1:18" x14ac:dyDescent="0.2">
      <c r="A30" s="25"/>
      <c r="B30" s="25" t="s">
        <v>49</v>
      </c>
      <c r="C30" s="25"/>
      <c r="D30" s="25"/>
      <c r="E30" s="25"/>
      <c r="F30" s="25"/>
      <c r="G30" s="25"/>
      <c r="H30" s="25"/>
      <c r="I30" s="25"/>
      <c r="J30" s="25"/>
      <c r="K30" s="223"/>
      <c r="L30" s="25"/>
      <c r="M30" s="25"/>
      <c r="N30" s="25"/>
      <c r="O30" s="25"/>
      <c r="P30" s="25"/>
      <c r="Q30" s="25"/>
      <c r="R30" s="25"/>
    </row>
    <row r="31" spans="1:18" x14ac:dyDescent="0.2">
      <c r="A31" s="25"/>
      <c r="B31" s="25" t="s">
        <v>458</v>
      </c>
      <c r="C31" s="25" t="s">
        <v>388</v>
      </c>
      <c r="D31" s="25">
        <v>6.4</v>
      </c>
      <c r="E31" s="130"/>
      <c r="F31" s="224" t="s">
        <v>410</v>
      </c>
      <c r="G31" s="41">
        <v>0.171875</v>
      </c>
      <c r="H31" s="131"/>
      <c r="I31" s="35">
        <v>1.1000000000000001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1.1000000000000001</v>
      </c>
      <c r="P31" s="200">
        <f t="shared" si="6"/>
        <v>0</v>
      </c>
      <c r="Q31" s="35">
        <v>704</v>
      </c>
      <c r="R31" s="200">
        <f t="shared" si="7"/>
        <v>0</v>
      </c>
    </row>
    <row r="32" spans="1:18" x14ac:dyDescent="0.2">
      <c r="A32" s="25"/>
      <c r="B32" s="25" t="s">
        <v>458</v>
      </c>
      <c r="C32" s="25" t="s">
        <v>438</v>
      </c>
      <c r="D32" s="25">
        <v>1.4</v>
      </c>
      <c r="E32" s="130"/>
      <c r="F32" s="224" t="s">
        <v>316</v>
      </c>
      <c r="G32" s="41">
        <v>2.84</v>
      </c>
      <c r="H32" s="131"/>
      <c r="I32" s="35">
        <v>3.9759999999999995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3.9759999999999995</v>
      </c>
      <c r="P32" s="200">
        <f t="shared" si="6"/>
        <v>0</v>
      </c>
      <c r="Q32" s="35">
        <v>2544.64</v>
      </c>
      <c r="R32" s="200">
        <f t="shared" si="7"/>
        <v>0</v>
      </c>
    </row>
    <row r="33" spans="1:18" x14ac:dyDescent="0.2">
      <c r="A33" s="25"/>
      <c r="B33" s="25" t="s">
        <v>458</v>
      </c>
      <c r="C33" s="25" t="s">
        <v>402</v>
      </c>
      <c r="D33" s="25">
        <v>2</v>
      </c>
      <c r="E33" s="130"/>
      <c r="F33" s="224" t="s">
        <v>316</v>
      </c>
      <c r="G33" s="41">
        <v>2.81</v>
      </c>
      <c r="H33" s="131"/>
      <c r="I33" s="35">
        <v>5.62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5.62</v>
      </c>
      <c r="P33" s="200">
        <f t="shared" si="6"/>
        <v>0</v>
      </c>
      <c r="Q33" s="35">
        <v>3596.8</v>
      </c>
      <c r="R33" s="200">
        <f t="shared" si="7"/>
        <v>0</v>
      </c>
    </row>
    <row r="34" spans="1:18" x14ac:dyDescent="0.2">
      <c r="A34" s="25"/>
      <c r="B34" s="25" t="s">
        <v>48</v>
      </c>
      <c r="C34" s="25"/>
      <c r="D34" s="25"/>
      <c r="E34" s="25"/>
      <c r="F34" s="25"/>
      <c r="G34" s="25"/>
      <c r="H34" s="25"/>
      <c r="I34" s="25"/>
      <c r="J34" s="25"/>
      <c r="K34" s="223"/>
      <c r="L34" s="25"/>
      <c r="M34" s="25"/>
      <c r="N34" s="25"/>
      <c r="O34" s="25"/>
      <c r="P34" s="25"/>
      <c r="Q34" s="25"/>
      <c r="R34" s="25"/>
    </row>
    <row r="35" spans="1:18" x14ac:dyDescent="0.2">
      <c r="A35" s="25"/>
      <c r="B35" s="25" t="s">
        <v>458</v>
      </c>
      <c r="C35" s="25" t="s">
        <v>429</v>
      </c>
      <c r="D35" s="25">
        <v>2</v>
      </c>
      <c r="E35" s="130"/>
      <c r="F35" s="224" t="s">
        <v>410</v>
      </c>
      <c r="G35" s="41">
        <v>4.5</v>
      </c>
      <c r="H35" s="131"/>
      <c r="I35" s="35">
        <v>9</v>
      </c>
      <c r="J35" s="200">
        <f t="shared" si="4"/>
        <v>0</v>
      </c>
      <c r="K35" s="223">
        <v>0</v>
      </c>
      <c r="L35" s="212"/>
      <c r="M35" s="35">
        <v>0</v>
      </c>
      <c r="N35" s="200">
        <f t="shared" si="5"/>
        <v>0</v>
      </c>
      <c r="O35" s="35">
        <v>9</v>
      </c>
      <c r="P35" s="200">
        <f t="shared" si="6"/>
        <v>0</v>
      </c>
      <c r="Q35" s="35">
        <v>5760</v>
      </c>
      <c r="R35" s="200">
        <f t="shared" si="7"/>
        <v>0</v>
      </c>
    </row>
    <row r="36" spans="1:18" x14ac:dyDescent="0.2">
      <c r="A36" s="25"/>
      <c r="B36" s="25" t="s">
        <v>58</v>
      </c>
      <c r="C36" s="25"/>
      <c r="D36" s="25"/>
      <c r="E36" s="25"/>
      <c r="F36" s="25"/>
      <c r="G36" s="25"/>
      <c r="H36" s="25"/>
      <c r="I36" s="25"/>
      <c r="J36" s="25"/>
      <c r="K36" s="223"/>
      <c r="L36" s="25"/>
      <c r="M36" s="25"/>
      <c r="N36" s="25"/>
      <c r="O36" s="25"/>
      <c r="P36" s="25"/>
      <c r="Q36" s="25"/>
      <c r="R36" s="25"/>
    </row>
    <row r="37" spans="1:18" x14ac:dyDescent="0.2">
      <c r="A37" s="25"/>
      <c r="B37" s="25" t="s">
        <v>458</v>
      </c>
      <c r="C37" s="25" t="s">
        <v>381</v>
      </c>
      <c r="D37" s="25">
        <v>1</v>
      </c>
      <c r="E37" s="130"/>
      <c r="F37" s="224" t="s">
        <v>42</v>
      </c>
      <c r="G37" s="41">
        <v>5.5</v>
      </c>
      <c r="H37" s="131"/>
      <c r="I37" s="35">
        <v>5.5</v>
      </c>
      <c r="J37" s="200">
        <f t="shared" si="4"/>
        <v>0</v>
      </c>
      <c r="K37" s="223">
        <v>0</v>
      </c>
      <c r="L37" s="212"/>
      <c r="M37" s="35">
        <v>0</v>
      </c>
      <c r="N37" s="200">
        <f t="shared" si="5"/>
        <v>0</v>
      </c>
      <c r="O37" s="35">
        <v>5.5</v>
      </c>
      <c r="P37" s="200">
        <f t="shared" si="6"/>
        <v>0</v>
      </c>
      <c r="Q37" s="35">
        <v>3520</v>
      </c>
      <c r="R37" s="200">
        <f t="shared" si="7"/>
        <v>0</v>
      </c>
    </row>
    <row r="38" spans="1:18" x14ac:dyDescent="0.2">
      <c r="A38" s="25"/>
      <c r="B38" s="131"/>
      <c r="C38" s="131"/>
      <c r="D38" s="25">
        <v>0</v>
      </c>
      <c r="E38" s="130"/>
      <c r="F38" s="224"/>
      <c r="G38" s="41">
        <v>0</v>
      </c>
      <c r="H38" s="131"/>
      <c r="I38" s="35">
        <v>0</v>
      </c>
      <c r="J38" s="200">
        <f t="shared" si="4"/>
        <v>0</v>
      </c>
      <c r="K38" s="223">
        <v>0</v>
      </c>
      <c r="L38" s="212"/>
      <c r="M38" s="35">
        <v>0</v>
      </c>
      <c r="N38" s="200">
        <f t="shared" si="5"/>
        <v>0</v>
      </c>
      <c r="O38" s="35">
        <v>0</v>
      </c>
      <c r="P38" s="200">
        <f t="shared" si="6"/>
        <v>0</v>
      </c>
      <c r="Q38" s="35">
        <v>0</v>
      </c>
      <c r="R38" s="200">
        <f t="shared" si="7"/>
        <v>0</v>
      </c>
    </row>
    <row r="39" spans="1:18" x14ac:dyDescent="0.2">
      <c r="A39" s="25"/>
      <c r="B39" s="131"/>
      <c r="C39" s="131"/>
      <c r="D39" s="25">
        <v>0</v>
      </c>
      <c r="E39" s="130"/>
      <c r="F39" s="224"/>
      <c r="G39" s="41">
        <v>0</v>
      </c>
      <c r="H39" s="131"/>
      <c r="I39" s="35">
        <v>0</v>
      </c>
      <c r="J39" s="200">
        <f t="shared" si="4"/>
        <v>0</v>
      </c>
      <c r="K39" s="223">
        <v>0</v>
      </c>
      <c r="L39" s="212"/>
      <c r="M39" s="35">
        <v>0</v>
      </c>
      <c r="N39" s="200">
        <f t="shared" si="5"/>
        <v>0</v>
      </c>
      <c r="O39" s="35">
        <v>0</v>
      </c>
      <c r="P39" s="200">
        <f t="shared" si="6"/>
        <v>0</v>
      </c>
      <c r="Q39" s="35">
        <v>0</v>
      </c>
      <c r="R39" s="200">
        <f t="shared" si="7"/>
        <v>0</v>
      </c>
    </row>
    <row r="40" spans="1:18" x14ac:dyDescent="0.2">
      <c r="A40" s="25"/>
      <c r="B40" s="131"/>
      <c r="C40" s="131"/>
      <c r="D40" s="25">
        <v>0</v>
      </c>
      <c r="E40" s="130"/>
      <c r="F40" s="224"/>
      <c r="G40" s="41">
        <v>0</v>
      </c>
      <c r="H40" s="131"/>
      <c r="I40" s="35">
        <v>0</v>
      </c>
      <c r="J40" s="200">
        <f>E40*H40</f>
        <v>0</v>
      </c>
      <c r="K40" s="223">
        <v>0</v>
      </c>
      <c r="L40" s="212"/>
      <c r="M40" s="35">
        <v>0</v>
      </c>
      <c r="N40" s="200">
        <f>J40*L40</f>
        <v>0</v>
      </c>
      <c r="O40" s="35">
        <v>0</v>
      </c>
      <c r="P40" s="200">
        <f>+J40-N40</f>
        <v>0</v>
      </c>
      <c r="Q40" s="35">
        <v>0</v>
      </c>
      <c r="R40" s="200">
        <f>+J40*E$7</f>
        <v>0</v>
      </c>
    </row>
    <row r="41" spans="1:18" x14ac:dyDescent="0.2">
      <c r="A41" s="25"/>
      <c r="B41" s="25" t="s">
        <v>106</v>
      </c>
      <c r="C41" s="25"/>
      <c r="D41" s="25"/>
      <c r="E41" s="104"/>
      <c r="H41" s="104"/>
      <c r="I41" s="121"/>
      <c r="J41" s="104"/>
      <c r="K41" s="223"/>
      <c r="L41" s="104"/>
      <c r="N41" s="104"/>
      <c r="P41" s="104"/>
      <c r="R41" s="104"/>
    </row>
    <row r="42" spans="1:18" x14ac:dyDescent="0.2">
      <c r="A42" s="25"/>
      <c r="B42" s="25"/>
      <c r="C42" s="25" t="s">
        <v>103</v>
      </c>
      <c r="D42" s="25">
        <v>0.32</v>
      </c>
      <c r="E42" s="130"/>
      <c r="F42" s="224" t="s">
        <v>44</v>
      </c>
      <c r="G42" s="41">
        <v>15</v>
      </c>
      <c r="H42" s="131"/>
      <c r="I42" s="35">
        <v>4.8</v>
      </c>
      <c r="J42" s="200">
        <f>E42*H42</f>
        <v>0</v>
      </c>
      <c r="K42" s="223">
        <v>0</v>
      </c>
      <c r="L42" s="212"/>
      <c r="M42" s="35">
        <v>0</v>
      </c>
      <c r="N42" s="200">
        <f>J42*L42</f>
        <v>0</v>
      </c>
      <c r="O42" s="35">
        <v>4.8</v>
      </c>
      <c r="P42" s="200">
        <f>+J42-N42</f>
        <v>0</v>
      </c>
      <c r="Q42" s="35">
        <v>3072</v>
      </c>
      <c r="R42" s="200">
        <f>+J42*E$7</f>
        <v>0</v>
      </c>
    </row>
    <row r="43" spans="1:18" x14ac:dyDescent="0.2">
      <c r="A43" s="25"/>
      <c r="B43" s="25"/>
      <c r="C43" s="25" t="s">
        <v>105</v>
      </c>
      <c r="D43" s="25">
        <v>0.38</v>
      </c>
      <c r="E43" s="130"/>
      <c r="F43" s="224" t="s">
        <v>44</v>
      </c>
      <c r="G43" s="41">
        <v>15</v>
      </c>
      <c r="H43" s="131"/>
      <c r="I43" s="35">
        <v>5.7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5.7</v>
      </c>
      <c r="P43" s="200">
        <f>+J43-N43</f>
        <v>0</v>
      </c>
      <c r="Q43" s="35">
        <v>3648</v>
      </c>
      <c r="R43" s="200">
        <f>+J43*E$7</f>
        <v>0</v>
      </c>
    </row>
    <row r="44" spans="1:18" x14ac:dyDescent="0.2">
      <c r="A44" s="25"/>
      <c r="B44" s="25"/>
      <c r="C44" s="25"/>
      <c r="D44" s="25"/>
      <c r="E44" s="207"/>
      <c r="F44" s="21"/>
      <c r="G44" s="41"/>
      <c r="H44" s="196"/>
      <c r="I44" s="35"/>
      <c r="J44" s="182"/>
      <c r="K44" s="223"/>
      <c r="L44" s="196"/>
      <c r="M44" s="35"/>
      <c r="N44" s="182"/>
      <c r="O44" s="35"/>
      <c r="P44" s="182"/>
      <c r="Q44" s="35"/>
      <c r="R44" s="182"/>
    </row>
    <row r="45" spans="1:18" x14ac:dyDescent="0.2">
      <c r="A45" s="25"/>
      <c r="B45" s="25" t="s">
        <v>51</v>
      </c>
      <c r="C45" s="25"/>
      <c r="D45" s="25"/>
      <c r="E45" s="207"/>
      <c r="F45" s="21"/>
      <c r="G45" s="41"/>
      <c r="H45" s="196"/>
      <c r="I45" s="184"/>
      <c r="J45" s="182"/>
      <c r="K45" s="223"/>
      <c r="L45" s="196"/>
      <c r="M45" s="35"/>
      <c r="N45" s="182"/>
      <c r="O45" s="35"/>
      <c r="P45" s="182"/>
      <c r="Q45" s="35"/>
      <c r="R45" s="182"/>
    </row>
    <row r="46" spans="1:18" x14ac:dyDescent="0.2">
      <c r="A46" s="25"/>
      <c r="B46" s="25"/>
      <c r="C46" s="25" t="s">
        <v>102</v>
      </c>
      <c r="D46" s="25">
        <v>1</v>
      </c>
      <c r="E46" s="130"/>
      <c r="F46" s="224" t="s">
        <v>42</v>
      </c>
      <c r="G46" s="41">
        <v>0</v>
      </c>
      <c r="H46" s="131"/>
      <c r="I46" s="35">
        <v>0</v>
      </c>
      <c r="J46" s="200">
        <f>E46*H46</f>
        <v>0</v>
      </c>
      <c r="K46" s="223">
        <v>0</v>
      </c>
      <c r="L46" s="212"/>
      <c r="M46" s="35">
        <v>0</v>
      </c>
      <c r="N46" s="200">
        <f>J46*L46</f>
        <v>0</v>
      </c>
      <c r="O46" s="35">
        <v>0</v>
      </c>
      <c r="P46" s="200">
        <f>+J46-N46</f>
        <v>0</v>
      </c>
      <c r="Q46" s="35">
        <v>0</v>
      </c>
      <c r="R46" s="200">
        <f>+J46*E$7</f>
        <v>0</v>
      </c>
    </row>
    <row r="47" spans="1:18" x14ac:dyDescent="0.2">
      <c r="A47" s="25"/>
      <c r="B47" s="25"/>
      <c r="C47" s="25" t="s">
        <v>103</v>
      </c>
      <c r="D47" s="25">
        <v>2.35</v>
      </c>
      <c r="E47" s="130"/>
      <c r="F47" s="224" t="s">
        <v>79</v>
      </c>
      <c r="G47" s="41">
        <v>3.0190000000000001</v>
      </c>
      <c r="H47" s="131"/>
      <c r="I47" s="35">
        <v>7.0946500000000006</v>
      </c>
      <c r="J47" s="200">
        <f>E47*H47</f>
        <v>0</v>
      </c>
      <c r="K47" s="223">
        <v>0</v>
      </c>
      <c r="L47" s="212"/>
      <c r="M47" s="35">
        <v>0</v>
      </c>
      <c r="N47" s="200">
        <f>J47*L47</f>
        <v>0</v>
      </c>
      <c r="O47" s="35">
        <v>7.0946500000000006</v>
      </c>
      <c r="P47" s="200">
        <f>+J47-N47</f>
        <v>0</v>
      </c>
      <c r="Q47" s="35">
        <v>4540.576</v>
      </c>
      <c r="R47" s="200">
        <f>+J47*E$7</f>
        <v>0</v>
      </c>
    </row>
    <row r="48" spans="1:18" x14ac:dyDescent="0.2">
      <c r="A48" s="25"/>
      <c r="B48" s="25"/>
      <c r="C48" s="25"/>
      <c r="D48" s="25"/>
      <c r="E48" s="207"/>
      <c r="F48" s="21"/>
      <c r="G48" s="41"/>
      <c r="H48" s="196"/>
      <c r="I48" s="35"/>
      <c r="J48" s="182"/>
      <c r="K48" s="223"/>
      <c r="L48" s="196"/>
      <c r="M48" s="35"/>
      <c r="N48" s="182"/>
      <c r="O48" s="35"/>
      <c r="P48" s="182"/>
      <c r="Q48" s="35"/>
      <c r="R48" s="182"/>
    </row>
    <row r="49" spans="1:18" x14ac:dyDescent="0.2">
      <c r="A49" s="25"/>
      <c r="B49" s="25" t="s">
        <v>29</v>
      </c>
      <c r="C49" s="25"/>
      <c r="D49" s="25"/>
      <c r="E49" s="207"/>
      <c r="F49" s="21"/>
      <c r="G49" s="41"/>
      <c r="H49" s="196"/>
      <c r="I49" s="184"/>
      <c r="J49" s="182"/>
      <c r="K49" s="223"/>
      <c r="L49" s="196"/>
      <c r="M49" s="35"/>
      <c r="N49" s="182"/>
      <c r="O49" s="35"/>
      <c r="P49" s="182"/>
      <c r="Q49" s="35"/>
      <c r="R49" s="182"/>
    </row>
    <row r="50" spans="1:18" x14ac:dyDescent="0.2">
      <c r="A50" s="25"/>
      <c r="B50" s="25"/>
      <c r="C50" s="25" t="s">
        <v>102</v>
      </c>
      <c r="D50" s="25">
        <v>1</v>
      </c>
      <c r="E50" s="130"/>
      <c r="F50" s="224" t="s">
        <v>42</v>
      </c>
      <c r="G50" s="41">
        <v>2.109375</v>
      </c>
      <c r="H50" s="131"/>
      <c r="I50" s="35">
        <v>2.109375</v>
      </c>
      <c r="J50" s="200">
        <f>E50*H50</f>
        <v>0</v>
      </c>
      <c r="K50" s="223">
        <v>0</v>
      </c>
      <c r="L50" s="212"/>
      <c r="M50" s="35">
        <v>0</v>
      </c>
      <c r="N50" s="200">
        <f>J50*L50</f>
        <v>0</v>
      </c>
      <c r="O50" s="35">
        <v>2.109375</v>
      </c>
      <c r="P50" s="200">
        <f>+J50-N50</f>
        <v>0</v>
      </c>
      <c r="Q50" s="35">
        <v>1350</v>
      </c>
      <c r="R50" s="200">
        <f>+J50*E$7</f>
        <v>0</v>
      </c>
    </row>
    <row r="51" spans="1:18" x14ac:dyDescent="0.2">
      <c r="A51" s="25"/>
      <c r="B51" s="25"/>
      <c r="C51" s="25" t="s">
        <v>103</v>
      </c>
      <c r="D51" s="25">
        <v>0</v>
      </c>
      <c r="E51" s="130"/>
      <c r="F51" s="224" t="s">
        <v>79</v>
      </c>
      <c r="G51" s="41">
        <v>3.09</v>
      </c>
      <c r="H51" s="131"/>
      <c r="I51" s="35">
        <v>0</v>
      </c>
      <c r="J51" s="200">
        <f>E51*H51</f>
        <v>0</v>
      </c>
      <c r="K51" s="223">
        <v>0</v>
      </c>
      <c r="L51" s="212"/>
      <c r="M51" s="35">
        <v>0</v>
      </c>
      <c r="N51" s="200">
        <f>J51*L51</f>
        <v>0</v>
      </c>
      <c r="O51" s="35">
        <v>0</v>
      </c>
      <c r="P51" s="200">
        <f>+J51-N51</f>
        <v>0</v>
      </c>
      <c r="Q51" s="35">
        <v>0</v>
      </c>
      <c r="R51" s="200">
        <f>+J51*E$7</f>
        <v>0</v>
      </c>
    </row>
    <row r="52" spans="1:18" x14ac:dyDescent="0.2">
      <c r="A52" s="25"/>
      <c r="B52" s="25"/>
      <c r="C52" s="25"/>
      <c r="D52" s="25"/>
      <c r="E52" s="207"/>
      <c r="F52" s="21"/>
      <c r="G52" s="41"/>
      <c r="H52" s="196"/>
      <c r="I52" s="35"/>
      <c r="J52" s="182"/>
      <c r="K52" s="223"/>
      <c r="L52" s="196"/>
      <c r="M52" s="35"/>
      <c r="N52" s="182"/>
      <c r="O52" s="35"/>
      <c r="P52" s="182"/>
      <c r="Q52" s="35"/>
      <c r="R52" s="182"/>
    </row>
    <row r="53" spans="1:18" x14ac:dyDescent="0.2">
      <c r="A53" s="25"/>
      <c r="B53" s="25" t="s">
        <v>47</v>
      </c>
      <c r="C53" s="25"/>
      <c r="D53" s="25"/>
      <c r="E53" s="207"/>
      <c r="F53" s="21"/>
      <c r="G53" s="41"/>
      <c r="H53" s="197"/>
      <c r="I53" s="184"/>
      <c r="J53" s="182"/>
      <c r="K53" s="223"/>
      <c r="L53" s="197"/>
      <c r="M53" s="35"/>
      <c r="N53" s="182"/>
      <c r="O53" s="35"/>
      <c r="P53" s="182"/>
      <c r="Q53" s="35"/>
      <c r="R53" s="182"/>
    </row>
    <row r="54" spans="1:18" x14ac:dyDescent="0.2">
      <c r="A54" s="25"/>
      <c r="B54" s="25"/>
      <c r="C54" s="25" t="s">
        <v>102</v>
      </c>
      <c r="D54" s="25">
        <v>1</v>
      </c>
      <c r="E54" s="130"/>
      <c r="F54" s="224" t="s">
        <v>42</v>
      </c>
      <c r="G54" s="41">
        <v>0.703125</v>
      </c>
      <c r="H54" s="131"/>
      <c r="I54" s="35">
        <v>0.703125</v>
      </c>
      <c r="J54" s="200">
        <f t="shared" ref="J54:J59" si="8">E54*H54</f>
        <v>0</v>
      </c>
      <c r="K54" s="223">
        <v>0</v>
      </c>
      <c r="L54" s="212"/>
      <c r="M54" s="35">
        <v>0</v>
      </c>
      <c r="N54" s="200">
        <f t="shared" ref="N54:N59" si="9">J54*L54</f>
        <v>0</v>
      </c>
      <c r="O54" s="35">
        <v>0.703125</v>
      </c>
      <c r="P54" s="200">
        <f t="shared" ref="P54:P59" si="10">+J54-N54</f>
        <v>0</v>
      </c>
      <c r="Q54" s="35">
        <v>450</v>
      </c>
      <c r="R54" s="200">
        <f t="shared" ref="R54:R59" si="11">+J54*E$7</f>
        <v>0</v>
      </c>
    </row>
    <row r="55" spans="1:18" x14ac:dyDescent="0.2">
      <c r="A55" s="25"/>
      <c r="B55" s="25"/>
      <c r="C55" s="25" t="s">
        <v>46</v>
      </c>
      <c r="D55" s="25">
        <v>1</v>
      </c>
      <c r="E55" s="130"/>
      <c r="F55" s="224" t="s">
        <v>42</v>
      </c>
      <c r="G55" s="41">
        <v>0</v>
      </c>
      <c r="H55" s="131"/>
      <c r="I55" s="35">
        <v>0</v>
      </c>
      <c r="J55" s="200">
        <f t="shared" si="8"/>
        <v>0</v>
      </c>
      <c r="K55" s="223">
        <v>0</v>
      </c>
      <c r="L55" s="212"/>
      <c r="M55" s="35">
        <v>0</v>
      </c>
      <c r="N55" s="200">
        <f t="shared" si="9"/>
        <v>0</v>
      </c>
      <c r="O55" s="35">
        <v>0</v>
      </c>
      <c r="P55" s="200">
        <f t="shared" si="10"/>
        <v>0</v>
      </c>
      <c r="Q55" s="35">
        <v>0</v>
      </c>
      <c r="R55" s="200">
        <f t="shared" si="11"/>
        <v>0</v>
      </c>
    </row>
    <row r="56" spans="1:18" x14ac:dyDescent="0.2">
      <c r="A56" s="25"/>
      <c r="B56" s="25"/>
      <c r="C56" s="25" t="s">
        <v>103</v>
      </c>
      <c r="D56" s="25">
        <v>1</v>
      </c>
      <c r="E56" s="130"/>
      <c r="F56" s="224" t="s">
        <v>42</v>
      </c>
      <c r="G56" s="41">
        <v>4.6375157213884286</v>
      </c>
      <c r="H56" s="131"/>
      <c r="I56" s="35">
        <v>4.6375157213884286</v>
      </c>
      <c r="J56" s="200">
        <f t="shared" si="8"/>
        <v>0</v>
      </c>
      <c r="K56" s="223">
        <v>0</v>
      </c>
      <c r="L56" s="212"/>
      <c r="M56" s="35">
        <v>0</v>
      </c>
      <c r="N56" s="200">
        <f t="shared" si="9"/>
        <v>0</v>
      </c>
      <c r="O56" s="35">
        <v>4.6375157213884286</v>
      </c>
      <c r="P56" s="200">
        <f t="shared" si="10"/>
        <v>0</v>
      </c>
      <c r="Q56" s="35">
        <v>2968.0100616885943</v>
      </c>
      <c r="R56" s="200">
        <f t="shared" si="11"/>
        <v>0</v>
      </c>
    </row>
    <row r="57" spans="1:18" x14ac:dyDescent="0.2">
      <c r="A57" s="25"/>
      <c r="B57" s="25"/>
      <c r="C57" s="25" t="s">
        <v>5</v>
      </c>
      <c r="D57" s="25">
        <v>1</v>
      </c>
      <c r="E57" s="130"/>
      <c r="F57" s="224" t="s">
        <v>42</v>
      </c>
      <c r="G57" s="41">
        <v>4.394021752873563</v>
      </c>
      <c r="H57" s="131"/>
      <c r="I57" s="35">
        <v>4.394021752873563</v>
      </c>
      <c r="J57" s="200">
        <f t="shared" si="8"/>
        <v>0</v>
      </c>
      <c r="K57" s="223">
        <v>0</v>
      </c>
      <c r="L57" s="212"/>
      <c r="M57" s="35">
        <v>0</v>
      </c>
      <c r="N57" s="200">
        <f t="shared" si="9"/>
        <v>0</v>
      </c>
      <c r="O57" s="35">
        <v>4.394021752873563</v>
      </c>
      <c r="P57" s="200">
        <f t="shared" si="10"/>
        <v>0</v>
      </c>
      <c r="Q57" s="35">
        <v>2812.1739218390803</v>
      </c>
      <c r="R57" s="200">
        <f t="shared" si="11"/>
        <v>0</v>
      </c>
    </row>
    <row r="58" spans="1:18" x14ac:dyDescent="0.2">
      <c r="A58" s="25"/>
      <c r="B58" s="131"/>
      <c r="C58" s="131"/>
      <c r="D58" s="25"/>
      <c r="E58" s="130"/>
      <c r="F58" s="224"/>
      <c r="G58" s="41"/>
      <c r="H58" s="131"/>
      <c r="I58" s="35">
        <v>0</v>
      </c>
      <c r="J58" s="200">
        <f t="shared" si="8"/>
        <v>0</v>
      </c>
      <c r="K58" s="223">
        <v>0</v>
      </c>
      <c r="L58" s="212"/>
      <c r="M58" s="35">
        <v>0</v>
      </c>
      <c r="N58" s="200">
        <f t="shared" si="9"/>
        <v>0</v>
      </c>
      <c r="O58" s="35">
        <v>0</v>
      </c>
      <c r="P58" s="200">
        <f t="shared" si="10"/>
        <v>0</v>
      </c>
      <c r="Q58" s="35">
        <v>0</v>
      </c>
      <c r="R58" s="200">
        <f t="shared" si="11"/>
        <v>0</v>
      </c>
    </row>
    <row r="59" spans="1:18" x14ac:dyDescent="0.2">
      <c r="A59" s="25"/>
      <c r="B59" s="131"/>
      <c r="C59" s="131"/>
      <c r="D59" s="25"/>
      <c r="E59" s="130"/>
      <c r="F59" s="224"/>
      <c r="G59" s="41"/>
      <c r="H59" s="131"/>
      <c r="I59" s="35">
        <v>0</v>
      </c>
      <c r="J59" s="200">
        <f t="shared" si="8"/>
        <v>0</v>
      </c>
      <c r="K59" s="223">
        <v>0</v>
      </c>
      <c r="L59" s="212"/>
      <c r="M59" s="35">
        <v>0</v>
      </c>
      <c r="N59" s="200">
        <f t="shared" si="9"/>
        <v>0</v>
      </c>
      <c r="O59" s="35">
        <v>0</v>
      </c>
      <c r="P59" s="200">
        <f t="shared" si="10"/>
        <v>0</v>
      </c>
      <c r="Q59" s="35">
        <v>0</v>
      </c>
      <c r="R59" s="200">
        <f t="shared" si="11"/>
        <v>0</v>
      </c>
    </row>
    <row r="60" spans="1:18" ht="13.5" thickBot="1" x14ac:dyDescent="0.25">
      <c r="A60" s="25"/>
      <c r="B60" s="25" t="s">
        <v>32</v>
      </c>
      <c r="C60" s="25"/>
      <c r="D60" s="25"/>
      <c r="E60" s="195"/>
      <c r="F60" s="21"/>
      <c r="G60" s="39">
        <v>0.09</v>
      </c>
      <c r="H60" s="213"/>
      <c r="I60" s="42">
        <v>7.5658884015107262</v>
      </c>
      <c r="J60" s="200">
        <f>+SUM(J18:J59)/2*H60</f>
        <v>0</v>
      </c>
      <c r="K60" s="86"/>
      <c r="L60" s="135"/>
      <c r="M60" s="42">
        <v>0</v>
      </c>
      <c r="N60" s="200">
        <f>+SUM(N18:N59)/2*L60</f>
        <v>0</v>
      </c>
      <c r="O60" s="42">
        <v>7.5658884015107262</v>
      </c>
      <c r="P60" s="200">
        <f>+SUM(P18:P59)/2*L60</f>
        <v>0</v>
      </c>
      <c r="Q60" s="42">
        <v>4842.1685769668647</v>
      </c>
      <c r="R60" s="182">
        <f>+J60*E$7</f>
        <v>0</v>
      </c>
    </row>
    <row r="61" spans="1:18" ht="13.5" thickBot="1" x14ac:dyDescent="0.25">
      <c r="A61" s="25" t="s">
        <v>33</v>
      </c>
      <c r="B61" s="25"/>
      <c r="C61" s="25"/>
      <c r="D61" s="25"/>
      <c r="E61" s="198"/>
      <c r="F61" s="25"/>
      <c r="G61" s="25"/>
      <c r="H61" s="195"/>
      <c r="I61" s="87">
        <v>165.69057587577274</v>
      </c>
      <c r="J61" s="202">
        <f>SUM(J19:J60)</f>
        <v>0</v>
      </c>
      <c r="K61" s="35"/>
      <c r="L61" s="193"/>
      <c r="M61" s="87">
        <v>0</v>
      </c>
      <c r="N61" s="202">
        <f>SUM(N19:N60)</f>
        <v>0</v>
      </c>
      <c r="O61" s="87">
        <v>165.69057587577274</v>
      </c>
      <c r="P61" s="202">
        <f>SUM(P19:P60)</f>
        <v>0</v>
      </c>
      <c r="Q61" s="87">
        <v>106041.96856049456</v>
      </c>
      <c r="R61" s="202">
        <f>SUM(R19:R60)</f>
        <v>0</v>
      </c>
    </row>
    <row r="62" spans="1:18" ht="13.5" thickTop="1" x14ac:dyDescent="0.2">
      <c r="A62" s="25" t="s">
        <v>34</v>
      </c>
      <c r="B62" s="25"/>
      <c r="C62" s="25"/>
      <c r="D62" s="25"/>
      <c r="E62" s="198"/>
      <c r="F62" s="25"/>
      <c r="G62" s="25"/>
      <c r="H62" s="195"/>
      <c r="I62" s="35">
        <v>41.709424124227269</v>
      </c>
      <c r="J62" s="200">
        <f>+J14-J61</f>
        <v>0</v>
      </c>
      <c r="K62" s="35"/>
      <c r="L62" s="193"/>
      <c r="M62" s="35">
        <v>0</v>
      </c>
      <c r="N62" s="200">
        <f>+N14-N61</f>
        <v>0</v>
      </c>
      <c r="O62" s="35">
        <v>41.709424124227269</v>
      </c>
      <c r="P62" s="200">
        <f>+P14-P61</f>
        <v>0</v>
      </c>
      <c r="Q62" s="35">
        <v>26694.031439505445</v>
      </c>
      <c r="R62" s="200">
        <f>+R14-R61</f>
        <v>0</v>
      </c>
    </row>
    <row r="63" spans="1:18" x14ac:dyDescent="0.2">
      <c r="A63" s="25"/>
      <c r="B63" s="25" t="s">
        <v>35</v>
      </c>
      <c r="C63" s="25"/>
      <c r="D63" s="25"/>
      <c r="E63" s="208"/>
      <c r="F63" s="17"/>
      <c r="G63" s="40">
        <v>3.7096858625257578</v>
      </c>
      <c r="H63" s="208" t="str">
        <f>IF(E10=0,"n/a",(YVarExp-(YTotExp+YTotRet-J10))/E10)</f>
        <v>n/a</v>
      </c>
      <c r="I63" s="25" t="s">
        <v>83</v>
      </c>
      <c r="J63" s="182"/>
      <c r="K63" s="25"/>
      <c r="L63" s="195"/>
      <c r="M63" s="25"/>
      <c r="N63" s="182"/>
      <c r="O63" s="25"/>
      <c r="P63" s="182"/>
      <c r="Q63" s="25"/>
      <c r="R63" s="182"/>
    </row>
    <row r="64" spans="1:18" x14ac:dyDescent="0.2">
      <c r="A64" s="25"/>
      <c r="B64" s="25"/>
      <c r="C64" s="25"/>
      <c r="D64" s="25"/>
      <c r="E64" s="176"/>
      <c r="F64" s="25"/>
      <c r="G64" s="25"/>
      <c r="H64" s="209"/>
      <c r="I64" s="25"/>
      <c r="J64" s="182"/>
      <c r="K64" s="25"/>
      <c r="L64" s="195"/>
      <c r="M64" s="25"/>
      <c r="N64" s="182"/>
      <c r="O64" s="25"/>
      <c r="P64" s="182"/>
      <c r="Q64" s="22" t="s">
        <v>19</v>
      </c>
      <c r="R64" s="182" t="s">
        <v>19</v>
      </c>
    </row>
    <row r="65" spans="1:18" x14ac:dyDescent="0.2">
      <c r="A65" s="23" t="s">
        <v>36</v>
      </c>
      <c r="B65" s="23"/>
      <c r="C65" s="23"/>
      <c r="D65" s="24" t="s">
        <v>2</v>
      </c>
      <c r="E65" s="194" t="s">
        <v>2</v>
      </c>
      <c r="F65" s="24" t="s">
        <v>21</v>
      </c>
      <c r="G65" s="24" t="s">
        <v>22</v>
      </c>
      <c r="H65" s="194" t="s">
        <v>22</v>
      </c>
      <c r="I65" s="24" t="s">
        <v>12</v>
      </c>
      <c r="J65" s="194" t="s">
        <v>12</v>
      </c>
      <c r="K65" s="24" t="s">
        <v>11</v>
      </c>
      <c r="L65" s="194" t="s">
        <v>11</v>
      </c>
      <c r="M65" s="24" t="s">
        <v>10</v>
      </c>
      <c r="N65" s="194" t="s">
        <v>10</v>
      </c>
      <c r="O65" s="24" t="s">
        <v>9</v>
      </c>
      <c r="P65" s="194" t="s">
        <v>9</v>
      </c>
      <c r="Q65" s="24" t="s">
        <v>12</v>
      </c>
      <c r="R65" s="206" t="s">
        <v>12</v>
      </c>
    </row>
    <row r="66" spans="1:18" x14ac:dyDescent="0.2">
      <c r="A66" s="25"/>
      <c r="B66" s="25" t="s">
        <v>104</v>
      </c>
      <c r="C66" s="25"/>
      <c r="D66" s="25"/>
      <c r="E66" s="176"/>
      <c r="F66" s="25"/>
      <c r="G66" s="25"/>
      <c r="H66" s="209"/>
      <c r="I66" s="184"/>
      <c r="J66" s="182"/>
      <c r="K66" s="223"/>
      <c r="L66" s="195"/>
      <c r="M66" s="25"/>
      <c r="N66" s="182"/>
      <c r="O66" s="25"/>
      <c r="P66" s="182"/>
      <c r="Q66" s="25"/>
      <c r="R66" s="182"/>
    </row>
    <row r="67" spans="1:18" x14ac:dyDescent="0.2">
      <c r="A67" s="25"/>
      <c r="B67" s="25"/>
      <c r="C67" s="25" t="s">
        <v>102</v>
      </c>
      <c r="D67" s="25">
        <v>1</v>
      </c>
      <c r="E67" s="130"/>
      <c r="F67" s="224" t="s">
        <v>42</v>
      </c>
      <c r="G67" s="41">
        <v>0.97617187500000002</v>
      </c>
      <c r="H67" s="131"/>
      <c r="I67" s="35">
        <v>0.97617187500000002</v>
      </c>
      <c r="J67" s="200">
        <f t="shared" ref="J67:J69" si="12">E67*H67</f>
        <v>0</v>
      </c>
      <c r="K67" s="223">
        <v>0</v>
      </c>
      <c r="L67" s="212"/>
      <c r="M67" s="35">
        <v>0</v>
      </c>
      <c r="N67" s="200">
        <f>J67*L67</f>
        <v>0</v>
      </c>
      <c r="O67" s="35">
        <v>0.97617187500000002</v>
      </c>
      <c r="P67" s="200">
        <f t="shared" ref="P67:P69" si="13">+J67-N67</f>
        <v>0</v>
      </c>
      <c r="Q67" s="35">
        <v>624.75</v>
      </c>
      <c r="R67" s="200">
        <f t="shared" ref="R67:R69" si="14">+J67*E$7</f>
        <v>0</v>
      </c>
    </row>
    <row r="68" spans="1:18" x14ac:dyDescent="0.2">
      <c r="A68" s="25"/>
      <c r="B68" s="25"/>
      <c r="C68" s="25" t="s">
        <v>103</v>
      </c>
      <c r="D68" s="25">
        <v>1</v>
      </c>
      <c r="E68" s="130"/>
      <c r="F68" s="224" t="s">
        <v>42</v>
      </c>
      <c r="G68" s="41">
        <v>7.7721260052259451</v>
      </c>
      <c r="H68" s="131"/>
      <c r="I68" s="35">
        <v>7.7721260052259451</v>
      </c>
      <c r="J68" s="200">
        <f t="shared" si="12"/>
        <v>0</v>
      </c>
      <c r="K68" s="223">
        <v>0</v>
      </c>
      <c r="L68" s="212"/>
      <c r="M68" s="35">
        <v>0</v>
      </c>
      <c r="N68" s="200">
        <f>J68*L68</f>
        <v>0</v>
      </c>
      <c r="O68" s="35">
        <v>7.7721260052259451</v>
      </c>
      <c r="P68" s="200">
        <f t="shared" si="13"/>
        <v>0</v>
      </c>
      <c r="Q68" s="35">
        <v>4974.160643344605</v>
      </c>
      <c r="R68" s="200">
        <f t="shared" si="14"/>
        <v>0</v>
      </c>
    </row>
    <row r="69" spans="1:18" x14ac:dyDescent="0.2">
      <c r="A69" s="25"/>
      <c r="B69" s="25"/>
      <c r="C69" s="25" t="s">
        <v>5</v>
      </c>
      <c r="D69" s="25">
        <v>1</v>
      </c>
      <c r="E69" s="130"/>
      <c r="F69" s="224" t="s">
        <v>42</v>
      </c>
      <c r="G69" s="41">
        <v>5.6494565394088667</v>
      </c>
      <c r="H69" s="131"/>
      <c r="I69" s="35">
        <v>5.6494565394088667</v>
      </c>
      <c r="J69" s="200">
        <f t="shared" si="12"/>
        <v>0</v>
      </c>
      <c r="K69" s="223">
        <v>0</v>
      </c>
      <c r="L69" s="212"/>
      <c r="M69" s="35">
        <v>0</v>
      </c>
      <c r="N69" s="200">
        <f>J69*L69</f>
        <v>0</v>
      </c>
      <c r="O69" s="35">
        <v>5.6494565394088667</v>
      </c>
      <c r="P69" s="200">
        <f t="shared" si="13"/>
        <v>0</v>
      </c>
      <c r="Q69" s="35">
        <v>3615.6521852216747</v>
      </c>
      <c r="R69" s="200">
        <f t="shared" si="14"/>
        <v>0</v>
      </c>
    </row>
    <row r="70" spans="1:18" x14ac:dyDescent="0.2">
      <c r="A70" s="25"/>
      <c r="B70" s="25" t="s">
        <v>88</v>
      </c>
      <c r="C70" s="25"/>
      <c r="D70" s="25"/>
      <c r="E70" s="195"/>
      <c r="F70" s="21"/>
      <c r="G70" s="41"/>
      <c r="H70" s="195"/>
      <c r="I70" s="184"/>
      <c r="J70" s="182"/>
      <c r="K70" s="223"/>
      <c r="L70" s="195"/>
      <c r="M70" s="35"/>
      <c r="N70" s="182"/>
      <c r="O70" s="35"/>
      <c r="P70" s="182"/>
      <c r="Q70" s="35"/>
      <c r="R70" s="182"/>
    </row>
    <row r="71" spans="1:18" x14ac:dyDescent="0.2">
      <c r="A71" s="25"/>
      <c r="B71" s="25"/>
      <c r="C71" s="25" t="s">
        <v>102</v>
      </c>
      <c r="D71" s="41">
        <v>6.837890625</v>
      </c>
      <c r="E71" s="130"/>
      <c r="F71" s="224" t="s">
        <v>99</v>
      </c>
      <c r="G71" s="39">
        <v>0.08</v>
      </c>
      <c r="H71" s="213"/>
      <c r="I71" s="35">
        <v>0.54703124999999997</v>
      </c>
      <c r="J71" s="200">
        <f t="shared" ref="J71:J80" si="15">E71*H71</f>
        <v>0</v>
      </c>
      <c r="K71" s="223">
        <v>0</v>
      </c>
      <c r="L71" s="212"/>
      <c r="M71" s="35">
        <v>0</v>
      </c>
      <c r="N71" s="200">
        <f>J71*L71</f>
        <v>0</v>
      </c>
      <c r="O71" s="35">
        <v>0.54703124999999997</v>
      </c>
      <c r="P71" s="200">
        <f t="shared" ref="P71:P73" si="16">+J71-N71</f>
        <v>0</v>
      </c>
      <c r="Q71" s="35">
        <v>350.09999999999997</v>
      </c>
      <c r="R71" s="200">
        <f t="shared" ref="R71:R73" si="17">+J71*E$7</f>
        <v>0</v>
      </c>
    </row>
    <row r="72" spans="1:18" x14ac:dyDescent="0.2">
      <c r="A72" s="25"/>
      <c r="B72" s="25"/>
      <c r="C72" s="25" t="s">
        <v>103</v>
      </c>
      <c r="D72" s="41">
        <v>59.162745607879927</v>
      </c>
      <c r="E72" s="130"/>
      <c r="F72" s="224" t="s">
        <v>99</v>
      </c>
      <c r="G72" s="39">
        <v>0.08</v>
      </c>
      <c r="H72" s="213"/>
      <c r="I72" s="35">
        <v>4.7330196486303944</v>
      </c>
      <c r="J72" s="200">
        <f t="shared" si="15"/>
        <v>0</v>
      </c>
      <c r="K72" s="223">
        <v>0</v>
      </c>
      <c r="L72" s="212"/>
      <c r="M72" s="35">
        <v>0</v>
      </c>
      <c r="N72" s="200">
        <f>J72*L72</f>
        <v>0</v>
      </c>
      <c r="O72" s="35">
        <v>4.7330196486303944</v>
      </c>
      <c r="P72" s="200">
        <f t="shared" si="16"/>
        <v>0</v>
      </c>
      <c r="Q72" s="35">
        <v>3029.1325751234526</v>
      </c>
      <c r="R72" s="200">
        <f t="shared" si="17"/>
        <v>0</v>
      </c>
    </row>
    <row r="73" spans="1:18" x14ac:dyDescent="0.2">
      <c r="A73" s="25"/>
      <c r="B73" s="25"/>
      <c r="C73" s="25" t="s">
        <v>5</v>
      </c>
      <c r="D73" s="41">
        <v>24.1671196408046</v>
      </c>
      <c r="E73" s="130"/>
      <c r="F73" s="224" t="s">
        <v>99</v>
      </c>
      <c r="G73" s="39">
        <v>0.08</v>
      </c>
      <c r="H73" s="213"/>
      <c r="I73" s="35">
        <v>1.9333695712643681</v>
      </c>
      <c r="J73" s="200">
        <f t="shared" si="15"/>
        <v>0</v>
      </c>
      <c r="K73" s="223">
        <v>0</v>
      </c>
      <c r="L73" s="212"/>
      <c r="M73" s="35">
        <v>0</v>
      </c>
      <c r="N73" s="200">
        <f>J73*L73</f>
        <v>0</v>
      </c>
      <c r="O73" s="35">
        <v>1.9333695712643681</v>
      </c>
      <c r="P73" s="200">
        <f t="shared" si="16"/>
        <v>0</v>
      </c>
      <c r="Q73" s="35">
        <v>1237.3565256091956</v>
      </c>
      <c r="R73" s="200">
        <f t="shared" si="17"/>
        <v>0</v>
      </c>
    </row>
    <row r="74" spans="1:18" x14ac:dyDescent="0.2">
      <c r="A74" s="25"/>
      <c r="B74" s="25" t="s">
        <v>156</v>
      </c>
      <c r="C74" s="25"/>
      <c r="D74" s="25">
        <v>1</v>
      </c>
      <c r="E74" s="130"/>
      <c r="F74" s="224" t="s">
        <v>42</v>
      </c>
      <c r="G74" s="41">
        <v>0</v>
      </c>
      <c r="H74" s="131"/>
      <c r="I74" s="35">
        <v>0</v>
      </c>
      <c r="J74" s="200">
        <f t="shared" si="15"/>
        <v>0</v>
      </c>
      <c r="K74" s="223">
        <v>0</v>
      </c>
      <c r="L74" s="212"/>
      <c r="M74" s="35">
        <v>0</v>
      </c>
      <c r="N74" s="200">
        <f t="shared" ref="N74:N81" si="18">J74*L74</f>
        <v>0</v>
      </c>
      <c r="O74" s="35">
        <v>0</v>
      </c>
      <c r="P74" s="200">
        <f t="shared" ref="P74:P81" si="19">+J74-N74</f>
        <v>0</v>
      </c>
      <c r="Q74" s="35">
        <v>0</v>
      </c>
      <c r="R74" s="200">
        <f t="shared" ref="R74:R81" si="20">+J74*E$7</f>
        <v>0</v>
      </c>
    </row>
    <row r="75" spans="1:18" x14ac:dyDescent="0.2">
      <c r="A75" s="25"/>
      <c r="B75" s="25" t="s">
        <v>152</v>
      </c>
      <c r="C75" s="25"/>
      <c r="D75" s="25">
        <v>1</v>
      </c>
      <c r="E75" s="130"/>
      <c r="F75" s="224" t="s">
        <v>42</v>
      </c>
      <c r="G75" s="41">
        <v>0</v>
      </c>
      <c r="H75" s="131"/>
      <c r="I75" s="35">
        <v>0</v>
      </c>
      <c r="J75" s="200">
        <f t="shared" si="15"/>
        <v>0</v>
      </c>
      <c r="K75" s="223">
        <v>0</v>
      </c>
      <c r="L75" s="212"/>
      <c r="M75" s="35">
        <v>0</v>
      </c>
      <c r="N75" s="200">
        <f t="shared" si="18"/>
        <v>0</v>
      </c>
      <c r="O75" s="35">
        <v>0</v>
      </c>
      <c r="P75" s="200">
        <f t="shared" si="19"/>
        <v>0</v>
      </c>
      <c r="Q75" s="35">
        <v>0</v>
      </c>
      <c r="R75" s="200">
        <f t="shared" si="20"/>
        <v>0</v>
      </c>
    </row>
    <row r="76" spans="1:18" x14ac:dyDescent="0.2">
      <c r="A76" s="25"/>
      <c r="B76" s="25" t="s">
        <v>137</v>
      </c>
      <c r="C76" s="25"/>
      <c r="D76" s="25">
        <v>1</v>
      </c>
      <c r="E76" s="130"/>
      <c r="F76" s="224" t="s">
        <v>42</v>
      </c>
      <c r="G76" s="41">
        <v>0</v>
      </c>
      <c r="H76" s="131"/>
      <c r="I76" s="35">
        <v>0</v>
      </c>
      <c r="J76" s="200">
        <f t="shared" si="15"/>
        <v>0</v>
      </c>
      <c r="K76" s="223">
        <v>0</v>
      </c>
      <c r="L76" s="212"/>
      <c r="M76" s="35">
        <v>0</v>
      </c>
      <c r="N76" s="200">
        <f t="shared" si="18"/>
        <v>0</v>
      </c>
      <c r="O76" s="35">
        <v>0</v>
      </c>
      <c r="P76" s="200">
        <f t="shared" si="19"/>
        <v>0</v>
      </c>
      <c r="Q76" s="35">
        <v>0</v>
      </c>
      <c r="R76" s="200">
        <f t="shared" si="20"/>
        <v>0</v>
      </c>
    </row>
    <row r="77" spans="1:18" x14ac:dyDescent="0.2">
      <c r="A77" s="25"/>
      <c r="B77" s="25" t="s">
        <v>419</v>
      </c>
      <c r="C77" s="25"/>
      <c r="D77" s="25">
        <v>1</v>
      </c>
      <c r="E77" s="130"/>
      <c r="F77" s="224" t="s">
        <v>42</v>
      </c>
      <c r="G77" s="41">
        <v>30</v>
      </c>
      <c r="H77" s="131"/>
      <c r="I77" s="35">
        <v>30</v>
      </c>
      <c r="J77" s="200">
        <f t="shared" si="15"/>
        <v>0</v>
      </c>
      <c r="K77" s="223">
        <v>0</v>
      </c>
      <c r="L77" s="212"/>
      <c r="M77" s="35">
        <v>0</v>
      </c>
      <c r="N77" s="200">
        <f t="shared" si="18"/>
        <v>0</v>
      </c>
      <c r="O77" s="35">
        <v>30</v>
      </c>
      <c r="P77" s="200">
        <f t="shared" si="19"/>
        <v>0</v>
      </c>
      <c r="Q77" s="35">
        <v>19200</v>
      </c>
      <c r="R77" s="200">
        <f t="shared" si="20"/>
        <v>0</v>
      </c>
    </row>
    <row r="78" spans="1:18" x14ac:dyDescent="0.2">
      <c r="A78" s="25"/>
      <c r="B78" s="25" t="s">
        <v>159</v>
      </c>
      <c r="C78" s="25"/>
      <c r="D78" s="25">
        <v>1</v>
      </c>
      <c r="E78" s="130"/>
      <c r="F78" s="224" t="s">
        <v>42</v>
      </c>
      <c r="G78" s="41">
        <v>0</v>
      </c>
      <c r="H78" s="131"/>
      <c r="I78" s="35">
        <v>0</v>
      </c>
      <c r="J78" s="200">
        <f t="shared" si="15"/>
        <v>0</v>
      </c>
      <c r="K78" s="223">
        <v>0</v>
      </c>
      <c r="L78" s="212"/>
      <c r="M78" s="35">
        <v>0</v>
      </c>
      <c r="N78" s="200">
        <f t="shared" si="18"/>
        <v>0</v>
      </c>
      <c r="O78" s="35">
        <v>0</v>
      </c>
      <c r="P78" s="200">
        <f t="shared" si="19"/>
        <v>0</v>
      </c>
      <c r="Q78" s="35">
        <v>0</v>
      </c>
      <c r="R78" s="200">
        <f t="shared" si="20"/>
        <v>0</v>
      </c>
    </row>
    <row r="79" spans="1:18" x14ac:dyDescent="0.2">
      <c r="A79" s="25"/>
      <c r="B79" s="25" t="s">
        <v>160</v>
      </c>
      <c r="C79" s="25"/>
      <c r="D79" s="25">
        <v>1</v>
      </c>
      <c r="E79" s="130"/>
      <c r="F79" s="224" t="s">
        <v>42</v>
      </c>
      <c r="G79" s="41">
        <v>0</v>
      </c>
      <c r="H79" s="131"/>
      <c r="I79" s="35">
        <v>0</v>
      </c>
      <c r="J79" s="200">
        <f t="shared" si="15"/>
        <v>0</v>
      </c>
      <c r="K79" s="223">
        <v>0</v>
      </c>
      <c r="L79" s="212"/>
      <c r="M79" s="35">
        <v>0</v>
      </c>
      <c r="N79" s="200">
        <f t="shared" si="18"/>
        <v>0</v>
      </c>
      <c r="O79" s="35">
        <v>0</v>
      </c>
      <c r="P79" s="200">
        <f t="shared" si="19"/>
        <v>0</v>
      </c>
      <c r="Q79" s="35">
        <v>0</v>
      </c>
      <c r="R79" s="200">
        <f t="shared" si="20"/>
        <v>0</v>
      </c>
    </row>
    <row r="80" spans="1:18" x14ac:dyDescent="0.2">
      <c r="A80" s="25"/>
      <c r="B80" s="131"/>
      <c r="C80" s="131"/>
      <c r="D80" s="25">
        <v>1</v>
      </c>
      <c r="E80" s="130"/>
      <c r="F80" s="224"/>
      <c r="G80" s="41">
        <v>0</v>
      </c>
      <c r="H80" s="131"/>
      <c r="I80" s="35">
        <v>0</v>
      </c>
      <c r="J80" s="200">
        <f t="shared" si="15"/>
        <v>0</v>
      </c>
      <c r="K80" s="223">
        <v>0</v>
      </c>
      <c r="L80" s="212"/>
      <c r="M80" s="35">
        <v>0</v>
      </c>
      <c r="N80" s="200">
        <f t="shared" si="18"/>
        <v>0</v>
      </c>
      <c r="O80" s="35">
        <v>0</v>
      </c>
      <c r="P80" s="200">
        <f t="shared" si="19"/>
        <v>0</v>
      </c>
      <c r="Q80" s="35">
        <v>0</v>
      </c>
      <c r="R80" s="200">
        <f t="shared" si="20"/>
        <v>0</v>
      </c>
    </row>
    <row r="81" spans="1:18" ht="13.5" thickBot="1" x14ac:dyDescent="0.25">
      <c r="A81" s="25"/>
      <c r="B81" s="131"/>
      <c r="C81" s="131"/>
      <c r="D81" s="25">
        <v>1</v>
      </c>
      <c r="E81" s="130"/>
      <c r="F81" s="224"/>
      <c r="G81" s="41">
        <v>0</v>
      </c>
      <c r="H81" s="131"/>
      <c r="I81" s="35">
        <v>0</v>
      </c>
      <c r="J81" s="200">
        <f>E81*H81</f>
        <v>0</v>
      </c>
      <c r="K81" s="223">
        <v>0</v>
      </c>
      <c r="L81" s="212"/>
      <c r="M81" s="35">
        <v>0</v>
      </c>
      <c r="N81" s="200">
        <f t="shared" si="18"/>
        <v>0</v>
      </c>
      <c r="O81" s="35">
        <v>0</v>
      </c>
      <c r="P81" s="200">
        <f t="shared" si="19"/>
        <v>0</v>
      </c>
      <c r="Q81" s="35">
        <v>0</v>
      </c>
      <c r="R81" s="200">
        <f t="shared" si="20"/>
        <v>0</v>
      </c>
    </row>
    <row r="82" spans="1:18" ht="13.5" thickBot="1" x14ac:dyDescent="0.25">
      <c r="A82" s="25" t="s">
        <v>37</v>
      </c>
      <c r="B82" s="25"/>
      <c r="C82" s="25"/>
      <c r="D82" s="25"/>
      <c r="E82" s="195"/>
      <c r="F82" s="25"/>
      <c r="G82" s="25"/>
      <c r="H82" s="195"/>
      <c r="I82" s="118">
        <v>51.611174889529579</v>
      </c>
      <c r="J82" s="202">
        <f>+SUM(J67:J81)</f>
        <v>0</v>
      </c>
      <c r="K82" s="35"/>
      <c r="L82" s="193"/>
      <c r="M82" s="118">
        <v>0</v>
      </c>
      <c r="N82" s="202">
        <f>+SUM(N67:N81)</f>
        <v>0</v>
      </c>
      <c r="O82" s="118">
        <v>51.611174889529579</v>
      </c>
      <c r="P82" s="202">
        <f>+SUM(P67:P81)</f>
        <v>0</v>
      </c>
      <c r="Q82" s="118">
        <v>33031.151929298925</v>
      </c>
      <c r="R82" s="202">
        <f>+SUM(R67:R81)</f>
        <v>0</v>
      </c>
    </row>
    <row r="83" spans="1:18" ht="14.25" thickTop="1" thickBot="1" x14ac:dyDescent="0.25">
      <c r="A83" s="25" t="s">
        <v>52</v>
      </c>
      <c r="B83" s="25"/>
      <c r="C83" s="25"/>
      <c r="D83" s="25"/>
      <c r="E83" s="195"/>
      <c r="F83" s="25"/>
      <c r="G83" s="25"/>
      <c r="H83" s="195"/>
      <c r="I83" s="87">
        <v>217.3017507653023</v>
      </c>
      <c r="J83" s="203">
        <f>+J61+J82</f>
        <v>0</v>
      </c>
      <c r="K83" s="35"/>
      <c r="L83" s="193"/>
      <c r="M83" s="87">
        <v>0</v>
      </c>
      <c r="N83" s="203">
        <f>+N61+N82</f>
        <v>0</v>
      </c>
      <c r="O83" s="87">
        <v>217.3017507653023</v>
      </c>
      <c r="P83" s="203">
        <f>+P61+P82</f>
        <v>0</v>
      </c>
      <c r="Q83" s="87">
        <v>139073.12048979348</v>
      </c>
      <c r="R83" s="203">
        <f>+R61+R82</f>
        <v>0</v>
      </c>
    </row>
    <row r="84" spans="1:18" ht="13.5" thickTop="1" x14ac:dyDescent="0.2">
      <c r="A84" s="25"/>
      <c r="B84" s="25"/>
      <c r="C84" s="25"/>
      <c r="D84" s="25"/>
      <c r="E84" s="195"/>
      <c r="F84" s="25"/>
      <c r="G84" s="25"/>
      <c r="H84" s="195"/>
      <c r="I84" s="35"/>
      <c r="J84" s="182"/>
      <c r="K84" s="35"/>
      <c r="L84" s="193"/>
      <c r="M84" s="35"/>
      <c r="N84" s="182"/>
      <c r="O84" s="35"/>
      <c r="P84" s="182"/>
      <c r="Q84" s="35"/>
      <c r="R84" s="182"/>
    </row>
    <row r="85" spans="1:18" x14ac:dyDescent="0.2">
      <c r="A85" s="25" t="s">
        <v>153</v>
      </c>
      <c r="B85" s="25"/>
      <c r="C85" s="25"/>
      <c r="D85" s="25"/>
      <c r="E85" s="195"/>
      <c r="F85" s="25"/>
      <c r="G85" s="25"/>
      <c r="H85" s="195"/>
      <c r="I85" s="35">
        <v>-9.901750765302296</v>
      </c>
      <c r="J85" s="200">
        <f>+J14-J83</f>
        <v>0</v>
      </c>
      <c r="K85" s="35"/>
      <c r="L85" s="193"/>
      <c r="M85" s="35">
        <v>0</v>
      </c>
      <c r="N85" s="200">
        <f>+N14-N83</f>
        <v>0</v>
      </c>
      <c r="O85" s="35">
        <v>-9.901750765302296</v>
      </c>
      <c r="P85" s="200">
        <f>+P14-P83</f>
        <v>0</v>
      </c>
      <c r="Q85" s="35">
        <v>-6337.1204897934804</v>
      </c>
      <c r="R85" s="200">
        <f>+R14-R83</f>
        <v>0</v>
      </c>
    </row>
    <row r="86" spans="1:18" x14ac:dyDescent="0.2">
      <c r="A86" s="25"/>
      <c r="B86" s="25"/>
      <c r="C86" s="25"/>
      <c r="D86" s="25"/>
      <c r="E86" s="195"/>
      <c r="F86" s="25"/>
      <c r="G86" s="25"/>
      <c r="H86" s="195"/>
      <c r="I86" s="35"/>
      <c r="J86" s="204"/>
      <c r="K86" s="35"/>
      <c r="L86" s="193"/>
      <c r="M86" s="35"/>
      <c r="N86" s="193"/>
      <c r="O86" s="35"/>
      <c r="P86" s="193"/>
      <c r="Q86" s="35"/>
      <c r="R86" s="204"/>
    </row>
    <row r="87" spans="1:18" ht="13.5" thickBot="1" x14ac:dyDescent="0.25">
      <c r="A87" s="44" t="s">
        <v>38</v>
      </c>
      <c r="B87" s="44"/>
      <c r="C87" s="44"/>
      <c r="D87" s="44"/>
      <c r="E87" s="199"/>
      <c r="F87" s="44"/>
      <c r="G87" s="45">
        <v>5.4300583588434099</v>
      </c>
      <c r="H87" s="210" t="str">
        <f>IF(E10=0,"n/a",(YTotExp-(YTotExp+YTotRet-J10))/E10)</f>
        <v>n/a</v>
      </c>
      <c r="I87" s="44" t="s">
        <v>83</v>
      </c>
      <c r="J87" s="205"/>
      <c r="K87" s="44"/>
      <c r="L87" s="199"/>
      <c r="M87" s="44"/>
      <c r="N87" s="199"/>
      <c r="O87" s="44"/>
      <c r="P87" s="199"/>
      <c r="Q87" s="44"/>
      <c r="R87" s="205"/>
    </row>
    <row r="88" spans="1:18" ht="13.5" thickTop="1" x14ac:dyDescent="0.2"/>
    <row r="89" spans="1:18" s="17" customFormat="1" ht="15.75" x14ac:dyDescent="0.25">
      <c r="A89"/>
      <c r="B89" s="88"/>
      <c r="C89" s="89"/>
      <c r="D89" s="234" t="s">
        <v>113</v>
      </c>
      <c r="E89" s="235"/>
      <c r="F89" s="235"/>
      <c r="G89" s="235"/>
      <c r="H89" s="235"/>
      <c r="I89" s="235"/>
      <c r="J89" s="99"/>
      <c r="K89" s="99"/>
      <c r="M89"/>
      <c r="N89"/>
    </row>
    <row r="90" spans="1:18" s="17" customFormat="1" ht="15.75" x14ac:dyDescent="0.25">
      <c r="A90"/>
      <c r="B90" s="19" t="s">
        <v>114</v>
      </c>
      <c r="C90" s="19" t="s">
        <v>114</v>
      </c>
      <c r="D90" s="123" t="s">
        <v>170</v>
      </c>
      <c r="E90" s="18"/>
      <c r="F90" s="18"/>
      <c r="G90" s="123" t="s">
        <v>170</v>
      </c>
      <c r="H90" s="18"/>
      <c r="I90" s="18"/>
      <c r="J90" s="18"/>
      <c r="K90" s="18"/>
      <c r="M90"/>
      <c r="N90"/>
    </row>
    <row r="91" spans="1:18" s="17" customFormat="1" x14ac:dyDescent="0.2">
      <c r="A91"/>
      <c r="B91" s="19" t="s">
        <v>80</v>
      </c>
      <c r="C91" s="19" t="s">
        <v>80</v>
      </c>
      <c r="D91" s="123" t="s">
        <v>157</v>
      </c>
      <c r="E91" s="119"/>
      <c r="F91" s="119"/>
      <c r="G91" s="123" t="s">
        <v>12</v>
      </c>
      <c r="H91" s="119"/>
      <c r="I91" s="119"/>
      <c r="J91" s="119"/>
      <c r="K91" s="119"/>
      <c r="M91"/>
      <c r="N91"/>
    </row>
    <row r="92" spans="1:18" s="17" customFormat="1" x14ac:dyDescent="0.2">
      <c r="A92"/>
      <c r="B92" s="19" t="s">
        <v>30</v>
      </c>
      <c r="C92" s="99" t="s">
        <v>83</v>
      </c>
      <c r="D92" s="123" t="s">
        <v>98</v>
      </c>
      <c r="E92" s="119"/>
      <c r="F92" s="119"/>
      <c r="G92" s="123" t="s">
        <v>98</v>
      </c>
      <c r="H92" s="19"/>
      <c r="I92" s="19"/>
      <c r="J92" s="19"/>
      <c r="K92" s="19"/>
      <c r="M92"/>
      <c r="N92"/>
    </row>
    <row r="93" spans="1:18" s="17" customFormat="1" x14ac:dyDescent="0.2">
      <c r="A93"/>
      <c r="B93" s="90">
        <v>0.75</v>
      </c>
      <c r="C93" s="91">
        <v>22.5</v>
      </c>
      <c r="D93" s="92">
        <v>4.9462478167010104</v>
      </c>
      <c r="E93" s="93"/>
      <c r="F93" s="94"/>
      <c r="G93" s="92">
        <v>7.2400778117912132</v>
      </c>
      <c r="H93" s="93"/>
      <c r="I93" s="93"/>
      <c r="M93"/>
      <c r="N93"/>
    </row>
    <row r="94" spans="1:18" s="17" customFormat="1" x14ac:dyDescent="0.2">
      <c r="A94"/>
      <c r="B94" s="95">
        <v>0.9</v>
      </c>
      <c r="C94" s="96">
        <v>27</v>
      </c>
      <c r="D94" s="97">
        <v>4.1218731805841751</v>
      </c>
      <c r="E94" s="83"/>
      <c r="F94" s="98"/>
      <c r="G94" s="97">
        <v>6.0333981764926774</v>
      </c>
      <c r="H94" s="83"/>
      <c r="I94" s="83"/>
      <c r="M94"/>
      <c r="N94"/>
    </row>
    <row r="95" spans="1:18" s="17" customFormat="1" x14ac:dyDescent="0.2">
      <c r="A95"/>
      <c r="B95" s="90">
        <v>1</v>
      </c>
      <c r="C95" s="91">
        <v>30</v>
      </c>
      <c r="D95" s="92">
        <v>3.7096858625257578</v>
      </c>
      <c r="E95" s="93"/>
      <c r="F95" s="94"/>
      <c r="G95" s="92">
        <v>5.4300583588434099</v>
      </c>
      <c r="H95" s="93"/>
      <c r="I95" s="93"/>
      <c r="M95"/>
      <c r="N95"/>
    </row>
    <row r="96" spans="1:18" s="17" customFormat="1" x14ac:dyDescent="0.2">
      <c r="A96"/>
      <c r="B96" s="95">
        <v>1.1000000000000001</v>
      </c>
      <c r="C96" s="96">
        <v>33</v>
      </c>
      <c r="D96" s="97">
        <v>3.3724416932052343</v>
      </c>
      <c r="E96" s="83"/>
      <c r="F96" s="98"/>
      <c r="G96" s="97">
        <v>4.9364166898576451</v>
      </c>
      <c r="H96" s="83"/>
      <c r="I96" s="83"/>
      <c r="M96"/>
      <c r="N96"/>
    </row>
    <row r="97" spans="1:18" s="17" customFormat="1" x14ac:dyDescent="0.2">
      <c r="A97"/>
      <c r="B97" s="90">
        <v>1.25</v>
      </c>
      <c r="C97" s="91">
        <v>37.5</v>
      </c>
      <c r="D97" s="92">
        <v>2.9677486900206063</v>
      </c>
      <c r="E97" s="93"/>
      <c r="F97" s="94"/>
      <c r="G97" s="92">
        <v>4.3440466870747283</v>
      </c>
      <c r="H97" s="93"/>
      <c r="I97" s="93"/>
      <c r="M97"/>
      <c r="N97"/>
    </row>
    <row r="98" spans="1:18" s="17" customFormat="1" x14ac:dyDescent="0.2">
      <c r="A98"/>
      <c r="M98"/>
      <c r="N98"/>
    </row>
    <row r="99" spans="1:18" x14ac:dyDescent="0.2">
      <c r="A99" s="25" t="s">
        <v>434</v>
      </c>
      <c r="B99" s="17"/>
      <c r="C99" s="17"/>
      <c r="D99" s="17"/>
      <c r="E99" s="17"/>
      <c r="F99" s="17"/>
      <c r="G99" s="17"/>
      <c r="H99" s="17"/>
      <c r="I99" s="17"/>
      <c r="J99" s="28"/>
      <c r="K99" s="17"/>
      <c r="L99" s="17"/>
      <c r="M99" s="17"/>
      <c r="N99" s="17"/>
      <c r="O99" s="17"/>
      <c r="P99" s="17"/>
      <c r="Q99" s="17"/>
    </row>
    <row r="100" spans="1:18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28"/>
      <c r="K100" s="17"/>
      <c r="L100" s="17"/>
      <c r="M100" s="17"/>
      <c r="N100" s="17"/>
      <c r="O100" s="17"/>
      <c r="P100" s="17"/>
      <c r="Q100" s="17"/>
    </row>
    <row r="101" spans="1:18" ht="26.25" customHeight="1" x14ac:dyDescent="0.2">
      <c r="A101" s="236" t="s">
        <v>140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19"/>
      <c r="N101" s="219"/>
      <c r="O101" s="219"/>
      <c r="P101" s="219"/>
      <c r="Q101" s="219"/>
      <c r="R101" s="219"/>
    </row>
  </sheetData>
  <sheetProtection sheet="1" objects="1" scenarios="1"/>
  <mergeCells count="6">
    <mergeCell ref="D89:I89"/>
    <mergeCell ref="A101:L101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5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22DE4-CD3C-4FD3-96BB-ACEF5874559C}">
  <sheetPr codeName="Sheet229">
    <tabColor rgb="FF92D050"/>
    <pageSetUpPr fitToPage="1"/>
  </sheetPr>
  <dimension ref="A1:S101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2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472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173</v>
      </c>
      <c r="C10" s="25"/>
      <c r="D10" s="50">
        <v>40</v>
      </c>
      <c r="E10" s="130"/>
      <c r="F10" s="224" t="s">
        <v>83</v>
      </c>
      <c r="G10" s="31">
        <v>5.0999999999999996</v>
      </c>
      <c r="H10" s="131"/>
      <c r="I10" s="35">
        <v>204</v>
      </c>
      <c r="J10" s="200">
        <f t="shared" ref="J10:J13" si="0">E10*H10</f>
        <v>0</v>
      </c>
      <c r="K10" s="223">
        <v>0</v>
      </c>
      <c r="L10" s="212"/>
      <c r="M10" s="35">
        <v>0</v>
      </c>
      <c r="N10" s="200">
        <f t="shared" ref="N10:N13" si="1">J10*L10</f>
        <v>0</v>
      </c>
      <c r="O10" s="35">
        <v>204</v>
      </c>
      <c r="P10" s="200">
        <f>+J10-N10</f>
        <v>0</v>
      </c>
      <c r="Q10" s="35">
        <v>130560</v>
      </c>
      <c r="R10" s="200">
        <f t="shared" ref="R10:R13" si="2">+J10*E$7</f>
        <v>0</v>
      </c>
      <c r="S10" s="12"/>
    </row>
    <row r="11" spans="1:19" x14ac:dyDescent="0.2">
      <c r="A11" s="25"/>
      <c r="B11" t="s">
        <v>359</v>
      </c>
      <c r="C11" s="25"/>
      <c r="D11" s="50">
        <v>64</v>
      </c>
      <c r="E11" s="130"/>
      <c r="F11" s="224" t="s">
        <v>360</v>
      </c>
      <c r="G11" s="31">
        <v>0.85</v>
      </c>
      <c r="H11" s="131"/>
      <c r="I11" s="35">
        <v>54.4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54.4</v>
      </c>
      <c r="P11" s="200">
        <f t="shared" ref="P11:P13" si="3">+J11-N11</f>
        <v>0</v>
      </c>
      <c r="Q11" s="35">
        <v>34816</v>
      </c>
      <c r="R11" s="200">
        <f t="shared" si="2"/>
        <v>0</v>
      </c>
      <c r="S11" s="12"/>
    </row>
    <row r="12" spans="1:19" x14ac:dyDescent="0.2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35">
        <v>0</v>
      </c>
      <c r="J12" s="200">
        <f t="shared" si="0"/>
        <v>0</v>
      </c>
      <c r="K12" s="223">
        <v>0</v>
      </c>
      <c r="L12" s="212"/>
      <c r="M12" s="35">
        <v>0</v>
      </c>
      <c r="N12" s="200">
        <f t="shared" si="1"/>
        <v>0</v>
      </c>
      <c r="O12" s="35">
        <v>0</v>
      </c>
      <c r="P12" s="200">
        <f t="shared" si="3"/>
        <v>0</v>
      </c>
      <c r="Q12" s="35">
        <v>0</v>
      </c>
      <c r="R12" s="200">
        <f t="shared" si="2"/>
        <v>0</v>
      </c>
    </row>
    <row r="13" spans="1:19" ht="13.5" thickBot="1" x14ac:dyDescent="0.25">
      <c r="A13" s="25"/>
      <c r="B13" s="131"/>
      <c r="C13" s="131"/>
      <c r="D13" s="50">
        <v>0</v>
      </c>
      <c r="E13" s="130"/>
      <c r="F13" s="224"/>
      <c r="G13" s="31">
        <v>0</v>
      </c>
      <c r="H13" s="131"/>
      <c r="I13" s="42">
        <v>0</v>
      </c>
      <c r="J13" s="200">
        <f t="shared" si="0"/>
        <v>0</v>
      </c>
      <c r="K13" s="223">
        <v>0</v>
      </c>
      <c r="L13" s="212"/>
      <c r="M13" s="42">
        <v>0</v>
      </c>
      <c r="N13" s="200">
        <f t="shared" si="1"/>
        <v>0</v>
      </c>
      <c r="O13" s="42">
        <v>0</v>
      </c>
      <c r="P13" s="200">
        <f t="shared" si="3"/>
        <v>0</v>
      </c>
      <c r="Q13" s="42">
        <v>0</v>
      </c>
      <c r="R13" s="182">
        <f t="shared" si="2"/>
        <v>0</v>
      </c>
    </row>
    <row r="14" spans="1:19" x14ac:dyDescent="0.2">
      <c r="A14" s="25" t="s">
        <v>24</v>
      </c>
      <c r="B14" s="25"/>
      <c r="C14" s="25"/>
      <c r="D14" s="25"/>
      <c r="E14" s="198"/>
      <c r="F14" s="25"/>
      <c r="G14" s="25"/>
      <c r="H14" s="195"/>
      <c r="I14" s="36">
        <v>258.39999999999998</v>
      </c>
      <c r="J14" s="201">
        <f>SUM(J10:J13)</f>
        <v>0</v>
      </c>
      <c r="K14" s="35"/>
      <c r="L14" s="193"/>
      <c r="M14" s="36">
        <v>0</v>
      </c>
      <c r="N14" s="201">
        <f>SUM(N10:N13)</f>
        <v>0</v>
      </c>
      <c r="O14" s="36">
        <v>258.39999999999998</v>
      </c>
      <c r="P14" s="201">
        <f>SUM(P10:P13)</f>
        <v>0</v>
      </c>
      <c r="Q14" s="36">
        <v>165376</v>
      </c>
      <c r="R14" s="201">
        <f>SUM(R10:R13)</f>
        <v>0</v>
      </c>
    </row>
    <row r="15" spans="1:19" x14ac:dyDescent="0.2">
      <c r="A15" s="25"/>
      <c r="B15" s="25"/>
      <c r="C15" s="25"/>
      <c r="D15" s="25"/>
      <c r="E15" s="176"/>
      <c r="F15" s="25"/>
      <c r="G15" s="25"/>
      <c r="H15" s="209"/>
      <c r="I15" s="35"/>
      <c r="J15" s="182"/>
      <c r="K15" s="35"/>
      <c r="L15" s="193"/>
      <c r="M15" s="35"/>
      <c r="N15" s="182"/>
      <c r="O15" s="35"/>
      <c r="P15" s="182"/>
      <c r="Q15" s="22" t="s">
        <v>19</v>
      </c>
      <c r="R15" s="182" t="s">
        <v>19</v>
      </c>
    </row>
    <row r="16" spans="1:19" x14ac:dyDescent="0.2">
      <c r="A16" s="23" t="s">
        <v>25</v>
      </c>
      <c r="B16" s="23"/>
      <c r="C16" s="23"/>
      <c r="D16" s="24" t="s">
        <v>2</v>
      </c>
      <c r="E16" s="194" t="s">
        <v>2</v>
      </c>
      <c r="F16" s="24" t="s">
        <v>21</v>
      </c>
      <c r="G16" s="24" t="s">
        <v>22</v>
      </c>
      <c r="H16" s="194" t="s">
        <v>22</v>
      </c>
      <c r="I16" s="24" t="s">
        <v>12</v>
      </c>
      <c r="J16" s="194" t="s">
        <v>12</v>
      </c>
      <c r="K16" s="24" t="s">
        <v>11</v>
      </c>
      <c r="L16" s="194" t="s">
        <v>11</v>
      </c>
      <c r="M16" s="24" t="s">
        <v>10</v>
      </c>
      <c r="N16" s="194" t="s">
        <v>10</v>
      </c>
      <c r="O16" s="24" t="s">
        <v>9</v>
      </c>
      <c r="P16" s="194" t="s">
        <v>9</v>
      </c>
      <c r="Q16" s="24" t="s">
        <v>12</v>
      </c>
      <c r="R16" s="206" t="s">
        <v>12</v>
      </c>
    </row>
    <row r="17" spans="1:18" x14ac:dyDescent="0.2">
      <c r="A17" s="25" t="s">
        <v>26</v>
      </c>
      <c r="B17" s="25"/>
      <c r="C17" s="25"/>
      <c r="D17" s="25"/>
      <c r="E17" s="176"/>
      <c r="F17" s="25"/>
      <c r="G17" s="25"/>
      <c r="H17" s="209"/>
      <c r="I17" s="25"/>
      <c r="J17" s="182"/>
      <c r="K17" s="25"/>
      <c r="L17" s="195"/>
      <c r="M17" s="25"/>
      <c r="N17" s="182"/>
      <c r="O17" s="25"/>
      <c r="P17" s="182"/>
      <c r="Q17" s="25"/>
      <c r="R17" s="182"/>
    </row>
    <row r="18" spans="1:18" x14ac:dyDescent="0.2">
      <c r="A18" s="25"/>
      <c r="B18" s="25" t="s">
        <v>1</v>
      </c>
      <c r="C18" s="25"/>
      <c r="D18" s="25"/>
      <c r="E18" s="25"/>
      <c r="F18" s="25"/>
      <c r="G18" s="25"/>
      <c r="H18" s="25"/>
      <c r="I18" s="25"/>
      <c r="J18" s="25"/>
      <c r="K18" s="223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 t="s">
        <v>458</v>
      </c>
      <c r="C19" s="25" t="s">
        <v>407</v>
      </c>
      <c r="D19" s="25">
        <v>50</v>
      </c>
      <c r="E19" s="130"/>
      <c r="F19" s="224" t="s">
        <v>82</v>
      </c>
      <c r="G19" s="41">
        <v>0.23</v>
      </c>
      <c r="H19" s="131"/>
      <c r="I19" s="35">
        <v>11.5</v>
      </c>
      <c r="J19" s="200">
        <f t="shared" ref="J19:J39" si="4">E19*H19</f>
        <v>0</v>
      </c>
      <c r="K19" s="223">
        <v>0</v>
      </c>
      <c r="L19" s="212"/>
      <c r="M19" s="35">
        <v>0</v>
      </c>
      <c r="N19" s="200">
        <f t="shared" ref="N19:N39" si="5">J19*L19</f>
        <v>0</v>
      </c>
      <c r="O19" s="35">
        <v>11.5</v>
      </c>
      <c r="P19" s="200">
        <f t="shared" ref="P19:P39" si="6">+J19-N19</f>
        <v>0</v>
      </c>
      <c r="Q19" s="35">
        <v>7360</v>
      </c>
      <c r="R19" s="200">
        <f t="shared" ref="R19:R39" si="7">+J19*E$7</f>
        <v>0</v>
      </c>
    </row>
    <row r="20" spans="1:18" x14ac:dyDescent="0.2">
      <c r="A20" s="25"/>
      <c r="B20" s="25" t="s">
        <v>0</v>
      </c>
      <c r="C20" s="25"/>
      <c r="D20" s="25"/>
      <c r="E20" s="25"/>
      <c r="F20" s="25"/>
      <c r="G20" s="25"/>
      <c r="H20" s="25"/>
      <c r="I20" s="25"/>
      <c r="J20" s="25"/>
      <c r="K20" s="223"/>
      <c r="L20" s="25"/>
      <c r="M20" s="25"/>
      <c r="N20" s="25"/>
      <c r="O20" s="25"/>
      <c r="P20" s="25"/>
      <c r="Q20" s="25"/>
      <c r="R20" s="25"/>
    </row>
    <row r="21" spans="1:18" x14ac:dyDescent="0.2">
      <c r="A21" s="25"/>
      <c r="B21" s="25" t="s">
        <v>458</v>
      </c>
      <c r="C21" s="25" t="s">
        <v>342</v>
      </c>
      <c r="D21" s="25">
        <v>60</v>
      </c>
      <c r="E21" s="130"/>
      <c r="F21" s="224" t="s">
        <v>82</v>
      </c>
      <c r="G21" s="41">
        <v>0.53800000000000003</v>
      </c>
      <c r="H21" s="131"/>
      <c r="I21" s="35">
        <v>32.28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32.28</v>
      </c>
      <c r="P21" s="200">
        <f t="shared" si="6"/>
        <v>0</v>
      </c>
      <c r="Q21" s="35">
        <v>20659.2</v>
      </c>
      <c r="R21" s="200">
        <f t="shared" si="7"/>
        <v>0</v>
      </c>
    </row>
    <row r="22" spans="1:18" x14ac:dyDescent="0.2">
      <c r="A22" s="25"/>
      <c r="B22" s="25" t="s">
        <v>458</v>
      </c>
      <c r="C22" s="25" t="s">
        <v>378</v>
      </c>
      <c r="D22" s="25">
        <v>25</v>
      </c>
      <c r="E22" s="130"/>
      <c r="F22" s="224" t="s">
        <v>82</v>
      </c>
      <c r="G22" s="41">
        <v>0.56999999999999995</v>
      </c>
      <c r="H22" s="131"/>
      <c r="I22" s="35">
        <v>14.249999999999998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14.249999999999998</v>
      </c>
      <c r="P22" s="200">
        <f t="shared" si="6"/>
        <v>0</v>
      </c>
      <c r="Q22" s="35">
        <v>9119.9999999999982</v>
      </c>
      <c r="R22" s="200">
        <f t="shared" si="7"/>
        <v>0</v>
      </c>
    </row>
    <row r="23" spans="1:18" x14ac:dyDescent="0.2">
      <c r="A23" s="25"/>
      <c r="B23" s="25" t="s">
        <v>50</v>
      </c>
      <c r="C23" s="25"/>
      <c r="D23" s="25"/>
      <c r="E23" s="25"/>
      <c r="F23" s="25"/>
      <c r="G23" s="25"/>
      <c r="H23" s="25"/>
      <c r="I23" s="25"/>
      <c r="J23" s="25"/>
      <c r="K23" s="223"/>
      <c r="L23" s="25"/>
      <c r="M23" s="25"/>
      <c r="N23" s="25"/>
      <c r="O23" s="25"/>
      <c r="P23" s="25"/>
      <c r="Q23" s="25"/>
      <c r="R23" s="25"/>
    </row>
    <row r="24" spans="1:18" x14ac:dyDescent="0.2">
      <c r="A24" s="25"/>
      <c r="B24" s="25" t="s">
        <v>458</v>
      </c>
      <c r="C24" s="25" t="s">
        <v>371</v>
      </c>
      <c r="D24" s="25">
        <v>1</v>
      </c>
      <c r="E24" s="130"/>
      <c r="F24" s="224" t="s">
        <v>42</v>
      </c>
      <c r="G24" s="41">
        <v>35</v>
      </c>
      <c r="H24" s="131"/>
      <c r="I24" s="35">
        <v>35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35</v>
      </c>
      <c r="P24" s="200">
        <f t="shared" si="6"/>
        <v>0</v>
      </c>
      <c r="Q24" s="35">
        <v>22400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398</v>
      </c>
      <c r="D25" s="25">
        <v>10</v>
      </c>
      <c r="E25" s="130"/>
      <c r="F25" s="224" t="s">
        <v>83</v>
      </c>
      <c r="G25" s="41">
        <v>0.24</v>
      </c>
      <c r="H25" s="131"/>
      <c r="I25" s="35">
        <v>2.4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2.4</v>
      </c>
      <c r="P25" s="200">
        <f t="shared" si="6"/>
        <v>0</v>
      </c>
      <c r="Q25" s="35">
        <v>1536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373</v>
      </c>
      <c r="D26" s="25">
        <v>30</v>
      </c>
      <c r="E26" s="130"/>
      <c r="F26" s="224" t="s">
        <v>83</v>
      </c>
      <c r="G26" s="41">
        <v>0.24</v>
      </c>
      <c r="H26" s="131"/>
      <c r="I26" s="35">
        <v>7.1999999999999993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7.1999999999999993</v>
      </c>
      <c r="P26" s="200">
        <f t="shared" si="6"/>
        <v>0</v>
      </c>
      <c r="Q26" s="35">
        <v>4608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176</v>
      </c>
      <c r="D27" s="25">
        <v>1</v>
      </c>
      <c r="E27" s="130"/>
      <c r="F27" s="224" t="s">
        <v>42</v>
      </c>
      <c r="G27" s="41">
        <v>5</v>
      </c>
      <c r="H27" s="131"/>
      <c r="I27" s="35">
        <v>5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5</v>
      </c>
      <c r="P27" s="200">
        <f t="shared" si="6"/>
        <v>0</v>
      </c>
      <c r="Q27" s="35">
        <v>3200</v>
      </c>
      <c r="R27" s="200">
        <f t="shared" si="7"/>
        <v>0</v>
      </c>
    </row>
    <row r="28" spans="1:18" x14ac:dyDescent="0.2">
      <c r="A28" s="25"/>
      <c r="B28" s="25" t="s">
        <v>27</v>
      </c>
      <c r="C28" s="25"/>
      <c r="D28" s="25"/>
      <c r="E28" s="25"/>
      <c r="F28" s="25"/>
      <c r="G28" s="25"/>
      <c r="H28" s="25"/>
      <c r="I28" s="25"/>
      <c r="J28" s="25"/>
      <c r="K28" s="223"/>
      <c r="L28" s="25"/>
      <c r="M28" s="25"/>
      <c r="N28" s="25"/>
      <c r="O28" s="25"/>
      <c r="P28" s="25"/>
      <c r="Q28" s="25"/>
      <c r="R28" s="25"/>
    </row>
    <row r="29" spans="1:18" x14ac:dyDescent="0.2">
      <c r="A29" s="25"/>
      <c r="B29" s="25" t="s">
        <v>458</v>
      </c>
      <c r="C29" s="25" t="s">
        <v>397</v>
      </c>
      <c r="D29" s="25">
        <v>1</v>
      </c>
      <c r="E29" s="130"/>
      <c r="F29" s="224" t="s">
        <v>42</v>
      </c>
      <c r="G29" s="41">
        <v>12</v>
      </c>
      <c r="H29" s="131"/>
      <c r="I29" s="35">
        <v>12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12</v>
      </c>
      <c r="P29" s="200">
        <f t="shared" si="6"/>
        <v>0</v>
      </c>
      <c r="Q29" s="35">
        <v>7680</v>
      </c>
      <c r="R29" s="200">
        <f t="shared" si="7"/>
        <v>0</v>
      </c>
    </row>
    <row r="30" spans="1:18" x14ac:dyDescent="0.2">
      <c r="A30" s="25"/>
      <c r="B30" s="25" t="s">
        <v>49</v>
      </c>
      <c r="C30" s="25"/>
      <c r="D30" s="25"/>
      <c r="E30" s="25"/>
      <c r="F30" s="25"/>
      <c r="G30" s="25"/>
      <c r="H30" s="25"/>
      <c r="I30" s="25"/>
      <c r="J30" s="25"/>
      <c r="K30" s="223"/>
      <c r="L30" s="25"/>
      <c r="M30" s="25"/>
      <c r="N30" s="25"/>
      <c r="O30" s="25"/>
      <c r="P30" s="25"/>
      <c r="Q30" s="25"/>
      <c r="R30" s="25"/>
    </row>
    <row r="31" spans="1:18" x14ac:dyDescent="0.2">
      <c r="A31" s="25"/>
      <c r="B31" s="25" t="s">
        <v>458</v>
      </c>
      <c r="C31" s="25" t="s">
        <v>388</v>
      </c>
      <c r="D31" s="25">
        <v>6.4</v>
      </c>
      <c r="E31" s="130"/>
      <c r="F31" s="224" t="s">
        <v>410</v>
      </c>
      <c r="G31" s="41">
        <v>0.171875</v>
      </c>
      <c r="H31" s="131"/>
      <c r="I31" s="35">
        <v>1.1000000000000001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1.1000000000000001</v>
      </c>
      <c r="P31" s="200">
        <f t="shared" si="6"/>
        <v>0</v>
      </c>
      <c r="Q31" s="35">
        <v>704</v>
      </c>
      <c r="R31" s="200">
        <f t="shared" si="7"/>
        <v>0</v>
      </c>
    </row>
    <row r="32" spans="1:18" x14ac:dyDescent="0.2">
      <c r="A32" s="25"/>
      <c r="B32" s="25" t="s">
        <v>458</v>
      </c>
      <c r="C32" s="25" t="s">
        <v>438</v>
      </c>
      <c r="D32" s="25">
        <v>4.1999999999999993</v>
      </c>
      <c r="E32" s="130"/>
      <c r="F32" s="224" t="s">
        <v>316</v>
      </c>
      <c r="G32" s="41">
        <v>2.84</v>
      </c>
      <c r="H32" s="131"/>
      <c r="I32" s="35">
        <v>11.927999999999997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11.927999999999997</v>
      </c>
      <c r="P32" s="200">
        <f t="shared" si="6"/>
        <v>0</v>
      </c>
      <c r="Q32" s="35">
        <v>7633.9199999999983</v>
      </c>
      <c r="R32" s="200">
        <f t="shared" si="7"/>
        <v>0</v>
      </c>
    </row>
    <row r="33" spans="1:18" x14ac:dyDescent="0.2">
      <c r="A33" s="25"/>
      <c r="B33" s="25" t="s">
        <v>458</v>
      </c>
      <c r="C33" s="25" t="s">
        <v>470</v>
      </c>
      <c r="D33" s="25">
        <v>6</v>
      </c>
      <c r="E33" s="130"/>
      <c r="F33" s="224" t="s">
        <v>316</v>
      </c>
      <c r="G33" s="41">
        <v>2.81</v>
      </c>
      <c r="H33" s="131"/>
      <c r="I33" s="35">
        <v>16.86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16.86</v>
      </c>
      <c r="P33" s="200">
        <f t="shared" si="6"/>
        <v>0</v>
      </c>
      <c r="Q33" s="35">
        <v>10790.4</v>
      </c>
      <c r="R33" s="200">
        <f t="shared" si="7"/>
        <v>0</v>
      </c>
    </row>
    <row r="34" spans="1:18" x14ac:dyDescent="0.2">
      <c r="A34" s="25"/>
      <c r="B34" s="25" t="s">
        <v>48</v>
      </c>
      <c r="C34" s="25"/>
      <c r="D34" s="25"/>
      <c r="E34" s="25"/>
      <c r="F34" s="25"/>
      <c r="G34" s="25"/>
      <c r="H34" s="25"/>
      <c r="I34" s="25"/>
      <c r="J34" s="25"/>
      <c r="K34" s="223"/>
      <c r="L34" s="25"/>
      <c r="M34" s="25"/>
      <c r="N34" s="25"/>
      <c r="O34" s="25"/>
      <c r="P34" s="25"/>
      <c r="Q34" s="25"/>
      <c r="R34" s="25"/>
    </row>
    <row r="35" spans="1:18" x14ac:dyDescent="0.2">
      <c r="A35" s="25"/>
      <c r="B35" s="25" t="s">
        <v>458</v>
      </c>
      <c r="C35" s="25" t="s">
        <v>429</v>
      </c>
      <c r="D35" s="25">
        <v>2</v>
      </c>
      <c r="E35" s="130"/>
      <c r="F35" s="224" t="s">
        <v>410</v>
      </c>
      <c r="G35" s="41">
        <v>4.5</v>
      </c>
      <c r="H35" s="131"/>
      <c r="I35" s="35">
        <v>9</v>
      </c>
      <c r="J35" s="200">
        <f t="shared" si="4"/>
        <v>0</v>
      </c>
      <c r="K35" s="223">
        <v>0</v>
      </c>
      <c r="L35" s="212"/>
      <c r="M35" s="35">
        <v>0</v>
      </c>
      <c r="N35" s="200">
        <f t="shared" si="5"/>
        <v>0</v>
      </c>
      <c r="O35" s="35">
        <v>9</v>
      </c>
      <c r="P35" s="200">
        <f t="shared" si="6"/>
        <v>0</v>
      </c>
      <c r="Q35" s="35">
        <v>5760</v>
      </c>
      <c r="R35" s="200">
        <f t="shared" si="7"/>
        <v>0</v>
      </c>
    </row>
    <row r="36" spans="1:18" x14ac:dyDescent="0.2">
      <c r="A36" s="25"/>
      <c r="B36" s="25" t="s">
        <v>58</v>
      </c>
      <c r="C36" s="25"/>
      <c r="D36" s="25"/>
      <c r="E36" s="25"/>
      <c r="F36" s="25"/>
      <c r="G36" s="25"/>
      <c r="H36" s="25"/>
      <c r="I36" s="25"/>
      <c r="J36" s="25"/>
      <c r="K36" s="223"/>
      <c r="L36" s="25"/>
      <c r="M36" s="25"/>
      <c r="N36" s="25"/>
      <c r="O36" s="25"/>
      <c r="P36" s="25"/>
      <c r="Q36" s="25"/>
      <c r="R36" s="25"/>
    </row>
    <row r="37" spans="1:18" x14ac:dyDescent="0.2">
      <c r="A37" s="25"/>
      <c r="B37" s="25" t="s">
        <v>458</v>
      </c>
      <c r="C37" s="25" t="s">
        <v>381</v>
      </c>
      <c r="D37" s="25">
        <v>1</v>
      </c>
      <c r="E37" s="130"/>
      <c r="F37" s="224" t="s">
        <v>42</v>
      </c>
      <c r="G37" s="41">
        <v>5.5</v>
      </c>
      <c r="H37" s="131"/>
      <c r="I37" s="35">
        <v>5.5</v>
      </c>
      <c r="J37" s="200">
        <f t="shared" si="4"/>
        <v>0</v>
      </c>
      <c r="K37" s="223">
        <v>0</v>
      </c>
      <c r="L37" s="212"/>
      <c r="M37" s="35">
        <v>0</v>
      </c>
      <c r="N37" s="200">
        <f t="shared" si="5"/>
        <v>0</v>
      </c>
      <c r="O37" s="35">
        <v>5.5</v>
      </c>
      <c r="P37" s="200">
        <f t="shared" si="6"/>
        <v>0</v>
      </c>
      <c r="Q37" s="35">
        <v>3520</v>
      </c>
      <c r="R37" s="200">
        <f t="shared" si="7"/>
        <v>0</v>
      </c>
    </row>
    <row r="38" spans="1:18" x14ac:dyDescent="0.2">
      <c r="A38" s="25"/>
      <c r="B38" s="131"/>
      <c r="C38" s="131"/>
      <c r="D38" s="25">
        <v>0</v>
      </c>
      <c r="E38" s="130"/>
      <c r="F38" s="224"/>
      <c r="G38" s="41">
        <v>0</v>
      </c>
      <c r="H38" s="131"/>
      <c r="I38" s="35">
        <v>0</v>
      </c>
      <c r="J38" s="200">
        <f t="shared" si="4"/>
        <v>0</v>
      </c>
      <c r="K38" s="223">
        <v>0</v>
      </c>
      <c r="L38" s="212"/>
      <c r="M38" s="35">
        <v>0</v>
      </c>
      <c r="N38" s="200">
        <f t="shared" si="5"/>
        <v>0</v>
      </c>
      <c r="O38" s="35">
        <v>0</v>
      </c>
      <c r="P38" s="200">
        <f t="shared" si="6"/>
        <v>0</v>
      </c>
      <c r="Q38" s="35">
        <v>0</v>
      </c>
      <c r="R38" s="200">
        <f t="shared" si="7"/>
        <v>0</v>
      </c>
    </row>
    <row r="39" spans="1:18" x14ac:dyDescent="0.2">
      <c r="A39" s="25"/>
      <c r="B39" s="131"/>
      <c r="C39" s="131"/>
      <c r="D39" s="25">
        <v>0</v>
      </c>
      <c r="E39" s="130"/>
      <c r="F39" s="224"/>
      <c r="G39" s="41">
        <v>0</v>
      </c>
      <c r="H39" s="131"/>
      <c r="I39" s="35">
        <v>0</v>
      </c>
      <c r="J39" s="200">
        <f t="shared" si="4"/>
        <v>0</v>
      </c>
      <c r="K39" s="223">
        <v>0</v>
      </c>
      <c r="L39" s="212"/>
      <c r="M39" s="35">
        <v>0</v>
      </c>
      <c r="N39" s="200">
        <f t="shared" si="5"/>
        <v>0</v>
      </c>
      <c r="O39" s="35">
        <v>0</v>
      </c>
      <c r="P39" s="200">
        <f t="shared" si="6"/>
        <v>0</v>
      </c>
      <c r="Q39" s="35">
        <v>0</v>
      </c>
      <c r="R39" s="200">
        <f t="shared" si="7"/>
        <v>0</v>
      </c>
    </row>
    <row r="40" spans="1:18" x14ac:dyDescent="0.2">
      <c r="A40" s="25"/>
      <c r="B40" s="131"/>
      <c r="C40" s="131"/>
      <c r="D40" s="25">
        <v>0</v>
      </c>
      <c r="E40" s="130"/>
      <c r="F40" s="224"/>
      <c r="G40" s="41">
        <v>0</v>
      </c>
      <c r="H40" s="131"/>
      <c r="I40" s="35">
        <v>0</v>
      </c>
      <c r="J40" s="200">
        <f>E40*H40</f>
        <v>0</v>
      </c>
      <c r="K40" s="223">
        <v>0</v>
      </c>
      <c r="L40" s="212"/>
      <c r="M40" s="35">
        <v>0</v>
      </c>
      <c r="N40" s="200">
        <f>J40*L40</f>
        <v>0</v>
      </c>
      <c r="O40" s="35">
        <v>0</v>
      </c>
      <c r="P40" s="200">
        <f>+J40-N40</f>
        <v>0</v>
      </c>
      <c r="Q40" s="35">
        <v>0</v>
      </c>
      <c r="R40" s="200">
        <f>+J40*E$7</f>
        <v>0</v>
      </c>
    </row>
    <row r="41" spans="1:18" x14ac:dyDescent="0.2">
      <c r="A41" s="25"/>
      <c r="B41" s="25" t="s">
        <v>106</v>
      </c>
      <c r="C41" s="25"/>
      <c r="D41" s="25"/>
      <c r="E41" s="104"/>
      <c r="H41" s="104"/>
      <c r="I41" s="121"/>
      <c r="J41" s="104"/>
      <c r="K41" s="223"/>
      <c r="L41" s="104"/>
      <c r="N41" s="104"/>
      <c r="P41" s="104"/>
      <c r="R41" s="104"/>
    </row>
    <row r="42" spans="1:18" x14ac:dyDescent="0.2">
      <c r="A42" s="25"/>
      <c r="B42" s="25"/>
      <c r="C42" s="25" t="s">
        <v>103</v>
      </c>
      <c r="D42" s="25">
        <v>0.17</v>
      </c>
      <c r="E42" s="130"/>
      <c r="F42" s="224" t="s">
        <v>44</v>
      </c>
      <c r="G42" s="41">
        <v>15</v>
      </c>
      <c r="H42" s="131"/>
      <c r="I42" s="35">
        <v>2.5500000000000003</v>
      </c>
      <c r="J42" s="200">
        <f>E42*H42</f>
        <v>0</v>
      </c>
      <c r="K42" s="223">
        <v>0</v>
      </c>
      <c r="L42" s="212"/>
      <c r="M42" s="35">
        <v>0</v>
      </c>
      <c r="N42" s="200">
        <f>J42*L42</f>
        <v>0</v>
      </c>
      <c r="O42" s="35">
        <v>2.5500000000000003</v>
      </c>
      <c r="P42" s="200">
        <f>+J42-N42</f>
        <v>0</v>
      </c>
      <c r="Q42" s="35">
        <v>1632.0000000000002</v>
      </c>
      <c r="R42" s="200">
        <f>+J42*E$7</f>
        <v>0</v>
      </c>
    </row>
    <row r="43" spans="1:18" x14ac:dyDescent="0.2">
      <c r="A43" s="25"/>
      <c r="B43" s="25"/>
      <c r="C43" s="25" t="s">
        <v>105</v>
      </c>
      <c r="D43" s="25">
        <v>0.2</v>
      </c>
      <c r="E43" s="130"/>
      <c r="F43" s="224" t="s">
        <v>44</v>
      </c>
      <c r="G43" s="41">
        <v>15</v>
      </c>
      <c r="H43" s="131"/>
      <c r="I43" s="35">
        <v>3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3</v>
      </c>
      <c r="P43" s="200">
        <f>+J43-N43</f>
        <v>0</v>
      </c>
      <c r="Q43" s="35">
        <v>1920</v>
      </c>
      <c r="R43" s="200">
        <f>+J43*E$7</f>
        <v>0</v>
      </c>
    </row>
    <row r="44" spans="1:18" x14ac:dyDescent="0.2">
      <c r="A44" s="25"/>
      <c r="B44" s="25"/>
      <c r="C44" s="25"/>
      <c r="D44" s="25"/>
      <c r="E44" s="207"/>
      <c r="F44" s="21"/>
      <c r="G44" s="41"/>
      <c r="H44" s="196"/>
      <c r="I44" s="35"/>
      <c r="J44" s="182"/>
      <c r="K44" s="223"/>
      <c r="L44" s="196"/>
      <c r="M44" s="35"/>
      <c r="N44" s="182"/>
      <c r="O44" s="35"/>
      <c r="P44" s="182"/>
      <c r="Q44" s="35"/>
      <c r="R44" s="182"/>
    </row>
    <row r="45" spans="1:18" x14ac:dyDescent="0.2">
      <c r="A45" s="25"/>
      <c r="B45" s="25" t="s">
        <v>51</v>
      </c>
      <c r="C45" s="25"/>
      <c r="D45" s="25"/>
      <c r="E45" s="207"/>
      <c r="F45" s="21"/>
      <c r="G45" s="41"/>
      <c r="H45" s="196"/>
      <c r="I45" s="184"/>
      <c r="J45" s="182"/>
      <c r="K45" s="223"/>
      <c r="L45" s="196"/>
      <c r="M45" s="35"/>
      <c r="N45" s="182"/>
      <c r="O45" s="35"/>
      <c r="P45" s="182"/>
      <c r="Q45" s="35"/>
      <c r="R45" s="182"/>
    </row>
    <row r="46" spans="1:18" x14ac:dyDescent="0.2">
      <c r="A46" s="25"/>
      <c r="B46" s="25"/>
      <c r="C46" s="25" t="s">
        <v>102</v>
      </c>
      <c r="D46" s="25">
        <v>1</v>
      </c>
      <c r="E46" s="130"/>
      <c r="F46" s="224" t="s">
        <v>42</v>
      </c>
      <c r="G46" s="41">
        <v>0</v>
      </c>
      <c r="H46" s="131"/>
      <c r="I46" s="35">
        <v>0</v>
      </c>
      <c r="J46" s="200">
        <f>E46*H46</f>
        <v>0</v>
      </c>
      <c r="K46" s="223">
        <v>0</v>
      </c>
      <c r="L46" s="212"/>
      <c r="M46" s="35">
        <v>0</v>
      </c>
      <c r="N46" s="200">
        <f>J46*L46</f>
        <v>0</v>
      </c>
      <c r="O46" s="35">
        <v>0</v>
      </c>
      <c r="P46" s="200">
        <f>+J46-N46</f>
        <v>0</v>
      </c>
      <c r="Q46" s="35">
        <v>0</v>
      </c>
      <c r="R46" s="200">
        <f>+J46*E$7</f>
        <v>0</v>
      </c>
    </row>
    <row r="47" spans="1:18" x14ac:dyDescent="0.2">
      <c r="A47" s="25"/>
      <c r="B47" s="25"/>
      <c r="C47" s="25" t="s">
        <v>103</v>
      </c>
      <c r="D47" s="25">
        <v>2.0299999999999998</v>
      </c>
      <c r="E47" s="130"/>
      <c r="F47" s="224" t="s">
        <v>79</v>
      </c>
      <c r="G47" s="41">
        <v>3.0190000000000001</v>
      </c>
      <c r="H47" s="131"/>
      <c r="I47" s="35">
        <v>6.1285699999999999</v>
      </c>
      <c r="J47" s="200">
        <f>E47*H47</f>
        <v>0</v>
      </c>
      <c r="K47" s="223">
        <v>0</v>
      </c>
      <c r="L47" s="212"/>
      <c r="M47" s="35">
        <v>0</v>
      </c>
      <c r="N47" s="200">
        <f>J47*L47</f>
        <v>0</v>
      </c>
      <c r="O47" s="35">
        <v>6.1285699999999999</v>
      </c>
      <c r="P47" s="200">
        <f>+J47-N47</f>
        <v>0</v>
      </c>
      <c r="Q47" s="35">
        <v>3922.2847999999999</v>
      </c>
      <c r="R47" s="200">
        <f>+J47*E$7</f>
        <v>0</v>
      </c>
    </row>
    <row r="48" spans="1:18" x14ac:dyDescent="0.2">
      <c r="A48" s="25"/>
      <c r="B48" s="25"/>
      <c r="C48" s="25"/>
      <c r="D48" s="25"/>
      <c r="E48" s="207"/>
      <c r="F48" s="21"/>
      <c r="G48" s="41"/>
      <c r="H48" s="196"/>
      <c r="I48" s="35"/>
      <c r="J48" s="182"/>
      <c r="K48" s="223"/>
      <c r="L48" s="196"/>
      <c r="M48" s="35"/>
      <c r="N48" s="182"/>
      <c r="O48" s="35"/>
      <c r="P48" s="182"/>
      <c r="Q48" s="35"/>
      <c r="R48" s="182"/>
    </row>
    <row r="49" spans="1:18" x14ac:dyDescent="0.2">
      <c r="A49" s="25"/>
      <c r="B49" s="25" t="s">
        <v>29</v>
      </c>
      <c r="C49" s="25"/>
      <c r="D49" s="25"/>
      <c r="E49" s="207"/>
      <c r="F49" s="21"/>
      <c r="G49" s="41"/>
      <c r="H49" s="196"/>
      <c r="I49" s="184"/>
      <c r="J49" s="182"/>
      <c r="K49" s="223"/>
      <c r="L49" s="196"/>
      <c r="M49" s="35"/>
      <c r="N49" s="182"/>
      <c r="O49" s="35"/>
      <c r="P49" s="182"/>
      <c r="Q49" s="35"/>
      <c r="R49" s="182"/>
    </row>
    <row r="50" spans="1:18" x14ac:dyDescent="0.2">
      <c r="A50" s="25"/>
      <c r="B50" s="25"/>
      <c r="C50" s="25" t="s">
        <v>102</v>
      </c>
      <c r="D50" s="25">
        <v>1</v>
      </c>
      <c r="E50" s="130"/>
      <c r="F50" s="224" t="s">
        <v>42</v>
      </c>
      <c r="G50" s="41">
        <v>2.109375</v>
      </c>
      <c r="H50" s="131"/>
      <c r="I50" s="35">
        <v>2.109375</v>
      </c>
      <c r="J50" s="200">
        <f>E50*H50</f>
        <v>0</v>
      </c>
      <c r="K50" s="223">
        <v>0</v>
      </c>
      <c r="L50" s="212"/>
      <c r="M50" s="35">
        <v>0</v>
      </c>
      <c r="N50" s="200">
        <f>J50*L50</f>
        <v>0</v>
      </c>
      <c r="O50" s="35">
        <v>2.109375</v>
      </c>
      <c r="P50" s="200">
        <f>+J50-N50</f>
        <v>0</v>
      </c>
      <c r="Q50" s="35">
        <v>1350</v>
      </c>
      <c r="R50" s="200">
        <f>+J50*E$7</f>
        <v>0</v>
      </c>
    </row>
    <row r="51" spans="1:18" x14ac:dyDescent="0.2">
      <c r="A51" s="25"/>
      <c r="B51" s="25"/>
      <c r="C51" s="25" t="s">
        <v>103</v>
      </c>
      <c r="D51" s="25">
        <v>0</v>
      </c>
      <c r="E51" s="130"/>
      <c r="F51" s="224" t="s">
        <v>79</v>
      </c>
      <c r="G51" s="41">
        <v>3.09</v>
      </c>
      <c r="H51" s="131"/>
      <c r="I51" s="35">
        <v>0</v>
      </c>
      <c r="J51" s="200">
        <f>E51*H51</f>
        <v>0</v>
      </c>
      <c r="K51" s="223">
        <v>0</v>
      </c>
      <c r="L51" s="212"/>
      <c r="M51" s="35">
        <v>0</v>
      </c>
      <c r="N51" s="200">
        <f>J51*L51</f>
        <v>0</v>
      </c>
      <c r="O51" s="35">
        <v>0</v>
      </c>
      <c r="P51" s="200">
        <f>+J51-N51</f>
        <v>0</v>
      </c>
      <c r="Q51" s="35">
        <v>0</v>
      </c>
      <c r="R51" s="200">
        <f>+J51*E$7</f>
        <v>0</v>
      </c>
    </row>
    <row r="52" spans="1:18" x14ac:dyDescent="0.2">
      <c r="A52" s="25"/>
      <c r="B52" s="25"/>
      <c r="C52" s="25"/>
      <c r="D52" s="25"/>
      <c r="E52" s="207"/>
      <c r="F52" s="21"/>
      <c r="G52" s="41"/>
      <c r="H52" s="196"/>
      <c r="I52" s="35"/>
      <c r="J52" s="182"/>
      <c r="K52" s="223"/>
      <c r="L52" s="196"/>
      <c r="M52" s="35"/>
      <c r="N52" s="182"/>
      <c r="O52" s="35"/>
      <c r="P52" s="182"/>
      <c r="Q52" s="35"/>
      <c r="R52" s="182"/>
    </row>
    <row r="53" spans="1:18" x14ac:dyDescent="0.2">
      <c r="A53" s="25"/>
      <c r="B53" s="25" t="s">
        <v>47</v>
      </c>
      <c r="C53" s="25"/>
      <c r="D53" s="25"/>
      <c r="E53" s="207"/>
      <c r="F53" s="21"/>
      <c r="G53" s="41"/>
      <c r="H53" s="197"/>
      <c r="I53" s="184"/>
      <c r="J53" s="182"/>
      <c r="K53" s="223"/>
      <c r="L53" s="197"/>
      <c r="M53" s="35"/>
      <c r="N53" s="182"/>
      <c r="O53" s="35"/>
      <c r="P53" s="182"/>
      <c r="Q53" s="35"/>
      <c r="R53" s="182"/>
    </row>
    <row r="54" spans="1:18" x14ac:dyDescent="0.2">
      <c r="A54" s="25"/>
      <c r="B54" s="25"/>
      <c r="C54" s="25" t="s">
        <v>102</v>
      </c>
      <c r="D54" s="25">
        <v>1</v>
      </c>
      <c r="E54" s="130"/>
      <c r="F54" s="224" t="s">
        <v>42</v>
      </c>
      <c r="G54" s="41">
        <v>0.703125</v>
      </c>
      <c r="H54" s="131"/>
      <c r="I54" s="35">
        <v>0.703125</v>
      </c>
      <c r="J54" s="200">
        <f t="shared" ref="J54:J59" si="8">E54*H54</f>
        <v>0</v>
      </c>
      <c r="K54" s="223">
        <v>0</v>
      </c>
      <c r="L54" s="212"/>
      <c r="M54" s="35">
        <v>0</v>
      </c>
      <c r="N54" s="200">
        <f t="shared" ref="N54:N59" si="9">J54*L54</f>
        <v>0</v>
      </c>
      <c r="O54" s="35">
        <v>0.703125</v>
      </c>
      <c r="P54" s="200">
        <f t="shared" ref="P54:P59" si="10">+J54-N54</f>
        <v>0</v>
      </c>
      <c r="Q54" s="35">
        <v>450</v>
      </c>
      <c r="R54" s="200">
        <f t="shared" ref="R54:R59" si="11">+J54*E$7</f>
        <v>0</v>
      </c>
    </row>
    <row r="55" spans="1:18" x14ac:dyDescent="0.2">
      <c r="A55" s="25"/>
      <c r="B55" s="25"/>
      <c r="C55" s="25" t="s">
        <v>46</v>
      </c>
      <c r="D55" s="25">
        <v>1</v>
      </c>
      <c r="E55" s="130"/>
      <c r="F55" s="224" t="s">
        <v>42</v>
      </c>
      <c r="G55" s="41">
        <v>0</v>
      </c>
      <c r="H55" s="131"/>
      <c r="I55" s="35">
        <v>0</v>
      </c>
      <c r="J55" s="200">
        <f t="shared" si="8"/>
        <v>0</v>
      </c>
      <c r="K55" s="223">
        <v>0</v>
      </c>
      <c r="L55" s="212"/>
      <c r="M55" s="35">
        <v>0</v>
      </c>
      <c r="N55" s="200">
        <f t="shared" si="9"/>
        <v>0</v>
      </c>
      <c r="O55" s="35">
        <v>0</v>
      </c>
      <c r="P55" s="200">
        <f t="shared" si="10"/>
        <v>0</v>
      </c>
      <c r="Q55" s="35">
        <v>0</v>
      </c>
      <c r="R55" s="200">
        <f t="shared" si="11"/>
        <v>0</v>
      </c>
    </row>
    <row r="56" spans="1:18" x14ac:dyDescent="0.2">
      <c r="A56" s="25"/>
      <c r="B56" s="25"/>
      <c r="C56" s="25" t="s">
        <v>103</v>
      </c>
      <c r="D56" s="25">
        <v>1</v>
      </c>
      <c r="E56" s="130"/>
      <c r="F56" s="224" t="s">
        <v>42</v>
      </c>
      <c r="G56" s="41">
        <v>4.8528683855664339</v>
      </c>
      <c r="H56" s="131"/>
      <c r="I56" s="35">
        <v>4.8528683855664339</v>
      </c>
      <c r="J56" s="200">
        <f t="shared" si="8"/>
        <v>0</v>
      </c>
      <c r="K56" s="223">
        <v>0</v>
      </c>
      <c r="L56" s="212"/>
      <c r="M56" s="35">
        <v>0</v>
      </c>
      <c r="N56" s="200">
        <f t="shared" si="9"/>
        <v>0</v>
      </c>
      <c r="O56" s="35">
        <v>4.8528683855664339</v>
      </c>
      <c r="P56" s="200">
        <f t="shared" si="10"/>
        <v>0</v>
      </c>
      <c r="Q56" s="35">
        <v>3105.8357667625178</v>
      </c>
      <c r="R56" s="200">
        <f t="shared" si="11"/>
        <v>0</v>
      </c>
    </row>
    <row r="57" spans="1:18" x14ac:dyDescent="0.2">
      <c r="A57" s="25"/>
      <c r="B57" s="25"/>
      <c r="C57" s="25" t="s">
        <v>5</v>
      </c>
      <c r="D57" s="25">
        <v>1</v>
      </c>
      <c r="E57" s="130"/>
      <c r="F57" s="224" t="s">
        <v>42</v>
      </c>
      <c r="G57" s="41">
        <v>10.442117343658142</v>
      </c>
      <c r="H57" s="131"/>
      <c r="I57" s="35">
        <v>10.442117343658142</v>
      </c>
      <c r="J57" s="200">
        <f t="shared" si="8"/>
        <v>0</v>
      </c>
      <c r="K57" s="223">
        <v>0</v>
      </c>
      <c r="L57" s="212"/>
      <c r="M57" s="35">
        <v>0</v>
      </c>
      <c r="N57" s="200">
        <f t="shared" si="9"/>
        <v>0</v>
      </c>
      <c r="O57" s="35">
        <v>10.442117343658142</v>
      </c>
      <c r="P57" s="200">
        <f t="shared" si="10"/>
        <v>0</v>
      </c>
      <c r="Q57" s="35">
        <v>6682.9550999412104</v>
      </c>
      <c r="R57" s="200">
        <f t="shared" si="11"/>
        <v>0</v>
      </c>
    </row>
    <row r="58" spans="1:18" x14ac:dyDescent="0.2">
      <c r="A58" s="25"/>
      <c r="B58" s="131"/>
      <c r="C58" s="131"/>
      <c r="D58" s="25"/>
      <c r="E58" s="130"/>
      <c r="F58" s="224"/>
      <c r="G58" s="41"/>
      <c r="H58" s="131"/>
      <c r="I58" s="35">
        <v>0</v>
      </c>
      <c r="J58" s="200">
        <f t="shared" si="8"/>
        <v>0</v>
      </c>
      <c r="K58" s="223">
        <v>0</v>
      </c>
      <c r="L58" s="212"/>
      <c r="M58" s="35">
        <v>0</v>
      </c>
      <c r="N58" s="200">
        <f t="shared" si="9"/>
        <v>0</v>
      </c>
      <c r="O58" s="35">
        <v>0</v>
      </c>
      <c r="P58" s="200">
        <f t="shared" si="10"/>
        <v>0</v>
      </c>
      <c r="Q58" s="35">
        <v>0</v>
      </c>
      <c r="R58" s="200">
        <f t="shared" si="11"/>
        <v>0</v>
      </c>
    </row>
    <row r="59" spans="1:18" x14ac:dyDescent="0.2">
      <c r="A59" s="25"/>
      <c r="B59" s="131"/>
      <c r="C59" s="131"/>
      <c r="D59" s="25"/>
      <c r="E59" s="130"/>
      <c r="F59" s="224"/>
      <c r="G59" s="41"/>
      <c r="H59" s="131"/>
      <c r="I59" s="35">
        <v>0</v>
      </c>
      <c r="J59" s="200">
        <f t="shared" si="8"/>
        <v>0</v>
      </c>
      <c r="K59" s="223">
        <v>0</v>
      </c>
      <c r="L59" s="212"/>
      <c r="M59" s="35">
        <v>0</v>
      </c>
      <c r="N59" s="200">
        <f t="shared" si="9"/>
        <v>0</v>
      </c>
      <c r="O59" s="35">
        <v>0</v>
      </c>
      <c r="P59" s="200">
        <f t="shared" si="10"/>
        <v>0</v>
      </c>
      <c r="Q59" s="35">
        <v>0</v>
      </c>
      <c r="R59" s="200">
        <f t="shared" si="11"/>
        <v>0</v>
      </c>
    </row>
    <row r="60" spans="1:18" ht="13.5" thickBot="1" x14ac:dyDescent="0.25">
      <c r="A60" s="25"/>
      <c r="B60" s="25" t="s">
        <v>32</v>
      </c>
      <c r="C60" s="25"/>
      <c r="D60" s="25"/>
      <c r="E60" s="195"/>
      <c r="F60" s="21"/>
      <c r="G60" s="39">
        <v>0.09</v>
      </c>
      <c r="H60" s="213"/>
      <c r="I60" s="42">
        <v>9.8742746502221994</v>
      </c>
      <c r="J60" s="200">
        <f>+SUM(J18:J59)/2*H60</f>
        <v>0</v>
      </c>
      <c r="K60" s="86"/>
      <c r="L60" s="135"/>
      <c r="M60" s="42">
        <v>0</v>
      </c>
      <c r="N60" s="200">
        <f>+SUM(N18:N59)/2*L60</f>
        <v>0</v>
      </c>
      <c r="O60" s="42">
        <v>9.8742746502221994</v>
      </c>
      <c r="P60" s="200">
        <f>+SUM(P18:P59)/2*L60</f>
        <v>0</v>
      </c>
      <c r="Q60" s="42">
        <v>6319.5357761422074</v>
      </c>
      <c r="R60" s="182">
        <f>+J60*E$7</f>
        <v>0</v>
      </c>
    </row>
    <row r="61" spans="1:18" ht="13.5" thickBot="1" x14ac:dyDescent="0.25">
      <c r="A61" s="25" t="s">
        <v>33</v>
      </c>
      <c r="B61" s="25"/>
      <c r="C61" s="25"/>
      <c r="D61" s="25"/>
      <c r="E61" s="198"/>
      <c r="F61" s="25"/>
      <c r="G61" s="25"/>
      <c r="H61" s="195"/>
      <c r="I61" s="87">
        <v>203.67833037944681</v>
      </c>
      <c r="J61" s="202">
        <f>SUM(J19:J60)</f>
        <v>0</v>
      </c>
      <c r="K61" s="35"/>
      <c r="L61" s="193"/>
      <c r="M61" s="87">
        <v>0</v>
      </c>
      <c r="N61" s="202">
        <f>SUM(N19:N60)</f>
        <v>0</v>
      </c>
      <c r="O61" s="87">
        <v>203.67833037944681</v>
      </c>
      <c r="P61" s="202">
        <f>SUM(P19:P60)</f>
        <v>0</v>
      </c>
      <c r="Q61" s="87">
        <v>130354.13144284593</v>
      </c>
      <c r="R61" s="202">
        <f>SUM(R19:R60)</f>
        <v>0</v>
      </c>
    </row>
    <row r="62" spans="1:18" ht="13.5" thickTop="1" x14ac:dyDescent="0.2">
      <c r="A62" s="25" t="s">
        <v>34</v>
      </c>
      <c r="B62" s="25"/>
      <c r="C62" s="25"/>
      <c r="D62" s="25"/>
      <c r="E62" s="198"/>
      <c r="F62" s="25"/>
      <c r="G62" s="25"/>
      <c r="H62" s="195"/>
      <c r="I62" s="35">
        <v>54.721669620553172</v>
      </c>
      <c r="J62" s="200">
        <f>+J14-J61</f>
        <v>0</v>
      </c>
      <c r="K62" s="35"/>
      <c r="L62" s="193"/>
      <c r="M62" s="35">
        <v>0</v>
      </c>
      <c r="N62" s="200">
        <f>+N14-N61</f>
        <v>0</v>
      </c>
      <c r="O62" s="35">
        <v>54.721669620553172</v>
      </c>
      <c r="P62" s="200">
        <f>+P14-P61</f>
        <v>0</v>
      </c>
      <c r="Q62" s="35">
        <v>35021.86855715407</v>
      </c>
      <c r="R62" s="200">
        <f>+R14-R61</f>
        <v>0</v>
      </c>
    </row>
    <row r="63" spans="1:18" x14ac:dyDescent="0.2">
      <c r="A63" s="25"/>
      <c r="B63" s="25" t="s">
        <v>35</v>
      </c>
      <c r="C63" s="25"/>
      <c r="D63" s="25"/>
      <c r="E63" s="208"/>
      <c r="F63" s="17"/>
      <c r="G63" s="40">
        <v>3.73195825948617</v>
      </c>
      <c r="H63" s="208" t="str">
        <f>IF(E10=0,"n/a",(YVarExp-(YTotExp+YTotRet-J10))/E10)</f>
        <v>n/a</v>
      </c>
      <c r="I63" s="25" t="s">
        <v>83</v>
      </c>
      <c r="J63" s="182"/>
      <c r="K63" s="25"/>
      <c r="L63" s="195"/>
      <c r="M63" s="25"/>
      <c r="N63" s="182"/>
      <c r="O63" s="25"/>
      <c r="P63" s="182"/>
      <c r="Q63" s="25"/>
      <c r="R63" s="182"/>
    </row>
    <row r="64" spans="1:18" x14ac:dyDescent="0.2">
      <c r="A64" s="25"/>
      <c r="B64" s="25"/>
      <c r="C64" s="25"/>
      <c r="D64" s="25"/>
      <c r="E64" s="176"/>
      <c r="F64" s="25"/>
      <c r="G64" s="25"/>
      <c r="H64" s="209"/>
      <c r="I64" s="25"/>
      <c r="J64" s="182"/>
      <c r="K64" s="25"/>
      <c r="L64" s="195"/>
      <c r="M64" s="25"/>
      <c r="N64" s="182"/>
      <c r="O64" s="25"/>
      <c r="P64" s="182"/>
      <c r="Q64" s="22" t="s">
        <v>19</v>
      </c>
      <c r="R64" s="182" t="s">
        <v>19</v>
      </c>
    </row>
    <row r="65" spans="1:18" x14ac:dyDescent="0.2">
      <c r="A65" s="23" t="s">
        <v>36</v>
      </c>
      <c r="B65" s="23"/>
      <c r="C65" s="23"/>
      <c r="D65" s="24" t="s">
        <v>2</v>
      </c>
      <c r="E65" s="194" t="s">
        <v>2</v>
      </c>
      <c r="F65" s="24" t="s">
        <v>21</v>
      </c>
      <c r="G65" s="24" t="s">
        <v>22</v>
      </c>
      <c r="H65" s="194" t="s">
        <v>22</v>
      </c>
      <c r="I65" s="24" t="s">
        <v>12</v>
      </c>
      <c r="J65" s="194" t="s">
        <v>12</v>
      </c>
      <c r="K65" s="24" t="s">
        <v>11</v>
      </c>
      <c r="L65" s="194" t="s">
        <v>11</v>
      </c>
      <c r="M65" s="24" t="s">
        <v>10</v>
      </c>
      <c r="N65" s="194" t="s">
        <v>10</v>
      </c>
      <c r="O65" s="24" t="s">
        <v>9</v>
      </c>
      <c r="P65" s="194" t="s">
        <v>9</v>
      </c>
      <c r="Q65" s="24" t="s">
        <v>12</v>
      </c>
      <c r="R65" s="206" t="s">
        <v>12</v>
      </c>
    </row>
    <row r="66" spans="1:18" x14ac:dyDescent="0.2">
      <c r="A66" s="25"/>
      <c r="B66" s="25" t="s">
        <v>104</v>
      </c>
      <c r="C66" s="25"/>
      <c r="D66" s="25"/>
      <c r="E66" s="176"/>
      <c r="F66" s="25"/>
      <c r="G66" s="25"/>
      <c r="H66" s="209"/>
      <c r="I66" s="184"/>
      <c r="J66" s="182"/>
      <c r="K66" s="223"/>
      <c r="L66" s="195"/>
      <c r="M66" s="25"/>
      <c r="N66" s="182"/>
      <c r="O66" s="25"/>
      <c r="P66" s="182"/>
      <c r="Q66" s="25"/>
      <c r="R66" s="182"/>
    </row>
    <row r="67" spans="1:18" x14ac:dyDescent="0.2">
      <c r="A67" s="25"/>
      <c r="B67" s="25"/>
      <c r="C67" s="25" t="s">
        <v>102</v>
      </c>
      <c r="D67" s="25">
        <v>1</v>
      </c>
      <c r="E67" s="130"/>
      <c r="F67" s="224" t="s">
        <v>42</v>
      </c>
      <c r="G67" s="41">
        <v>0.97617187500000002</v>
      </c>
      <c r="H67" s="131"/>
      <c r="I67" s="35">
        <v>0.97617187500000002</v>
      </c>
      <c r="J67" s="200">
        <f t="shared" ref="J67:J69" si="12">E67*H67</f>
        <v>0</v>
      </c>
      <c r="K67" s="223">
        <v>0</v>
      </c>
      <c r="L67" s="212"/>
      <c r="M67" s="35">
        <v>0</v>
      </c>
      <c r="N67" s="200">
        <f>J67*L67</f>
        <v>0</v>
      </c>
      <c r="O67" s="35">
        <v>0.97617187500000002</v>
      </c>
      <c r="P67" s="200">
        <f t="shared" ref="P67:P69" si="13">+J67-N67</f>
        <v>0</v>
      </c>
      <c r="Q67" s="35">
        <v>624.75</v>
      </c>
      <c r="R67" s="200">
        <f t="shared" ref="R67:R69" si="14">+J67*E$7</f>
        <v>0</v>
      </c>
    </row>
    <row r="68" spans="1:18" x14ac:dyDescent="0.2">
      <c r="A68" s="25"/>
      <c r="B68" s="25"/>
      <c r="C68" s="25" t="s">
        <v>103</v>
      </c>
      <c r="D68" s="25">
        <v>1</v>
      </c>
      <c r="E68" s="130"/>
      <c r="F68" s="224" t="s">
        <v>42</v>
      </c>
      <c r="G68" s="41">
        <v>13.954709944459021</v>
      </c>
      <c r="H68" s="131"/>
      <c r="I68" s="35">
        <v>13.954709944459021</v>
      </c>
      <c r="J68" s="200">
        <f t="shared" si="12"/>
        <v>0</v>
      </c>
      <c r="K68" s="223">
        <v>0</v>
      </c>
      <c r="L68" s="212"/>
      <c r="M68" s="35">
        <v>0</v>
      </c>
      <c r="N68" s="200">
        <f>J68*L68</f>
        <v>0</v>
      </c>
      <c r="O68" s="35">
        <v>13.954709944459021</v>
      </c>
      <c r="P68" s="200">
        <f t="shared" si="13"/>
        <v>0</v>
      </c>
      <c r="Q68" s="35">
        <v>8931.0143644537729</v>
      </c>
      <c r="R68" s="200">
        <f t="shared" si="14"/>
        <v>0</v>
      </c>
    </row>
    <row r="69" spans="1:18" x14ac:dyDescent="0.2">
      <c r="A69" s="25"/>
      <c r="B69" s="25"/>
      <c r="C69" s="25" t="s">
        <v>5</v>
      </c>
      <c r="D69" s="25">
        <v>1</v>
      </c>
      <c r="E69" s="130"/>
      <c r="F69" s="224" t="s">
        <v>42</v>
      </c>
      <c r="G69" s="41">
        <v>9.3979056092923283</v>
      </c>
      <c r="H69" s="131"/>
      <c r="I69" s="35">
        <v>9.3979056092923283</v>
      </c>
      <c r="J69" s="200">
        <f t="shared" si="12"/>
        <v>0</v>
      </c>
      <c r="K69" s="223">
        <v>0</v>
      </c>
      <c r="L69" s="212"/>
      <c r="M69" s="35">
        <v>0</v>
      </c>
      <c r="N69" s="200">
        <f>J69*L69</f>
        <v>0</v>
      </c>
      <c r="O69" s="35">
        <v>9.3979056092923283</v>
      </c>
      <c r="P69" s="200">
        <f t="shared" si="13"/>
        <v>0</v>
      </c>
      <c r="Q69" s="35">
        <v>6014.6595899470904</v>
      </c>
      <c r="R69" s="200">
        <f t="shared" si="14"/>
        <v>0</v>
      </c>
    </row>
    <row r="70" spans="1:18" x14ac:dyDescent="0.2">
      <c r="A70" s="25"/>
      <c r="B70" s="25" t="s">
        <v>88</v>
      </c>
      <c r="C70" s="25"/>
      <c r="D70" s="25"/>
      <c r="E70" s="195"/>
      <c r="F70" s="21"/>
      <c r="G70" s="41"/>
      <c r="H70" s="195"/>
      <c r="I70" s="184"/>
      <c r="J70" s="182"/>
      <c r="K70" s="223"/>
      <c r="L70" s="195"/>
      <c r="M70" s="35"/>
      <c r="N70" s="182"/>
      <c r="O70" s="35"/>
      <c r="P70" s="182"/>
      <c r="Q70" s="35"/>
      <c r="R70" s="182"/>
    </row>
    <row r="71" spans="1:18" x14ac:dyDescent="0.2">
      <c r="A71" s="25"/>
      <c r="B71" s="25"/>
      <c r="C71" s="25" t="s">
        <v>102</v>
      </c>
      <c r="D71" s="41">
        <v>6.837890625</v>
      </c>
      <c r="E71" s="130"/>
      <c r="F71" s="224" t="s">
        <v>99</v>
      </c>
      <c r="G71" s="39">
        <v>0.08</v>
      </c>
      <c r="H71" s="213"/>
      <c r="I71" s="35">
        <v>0.54703124999999997</v>
      </c>
      <c r="J71" s="200">
        <f t="shared" ref="J71:J80" si="15">E71*H71</f>
        <v>0</v>
      </c>
      <c r="K71" s="223">
        <v>0</v>
      </c>
      <c r="L71" s="212"/>
      <c r="M71" s="35">
        <v>0</v>
      </c>
      <c r="N71" s="200">
        <f>J71*L71</f>
        <v>0</v>
      </c>
      <c r="O71" s="35">
        <v>0.54703124999999997</v>
      </c>
      <c r="P71" s="200">
        <f t="shared" ref="P71:P73" si="16">+J71-N71</f>
        <v>0</v>
      </c>
      <c r="Q71" s="35">
        <v>350.09999999999997</v>
      </c>
      <c r="R71" s="200">
        <f t="shared" ref="R71:R73" si="17">+J71*E$7</f>
        <v>0</v>
      </c>
    </row>
    <row r="72" spans="1:18" x14ac:dyDescent="0.2">
      <c r="A72" s="25"/>
      <c r="B72" s="25"/>
      <c r="C72" s="25" t="s">
        <v>103</v>
      </c>
      <c r="D72" s="41">
        <v>104.557822655919</v>
      </c>
      <c r="E72" s="130"/>
      <c r="F72" s="224" t="s">
        <v>99</v>
      </c>
      <c r="G72" s="39">
        <v>0.08</v>
      </c>
      <c r="H72" s="213"/>
      <c r="I72" s="35">
        <v>8.3646258124735198</v>
      </c>
      <c r="J72" s="200">
        <f t="shared" si="15"/>
        <v>0</v>
      </c>
      <c r="K72" s="223">
        <v>0</v>
      </c>
      <c r="L72" s="212"/>
      <c r="M72" s="35">
        <v>0</v>
      </c>
      <c r="N72" s="200">
        <f>J72*L72</f>
        <v>0</v>
      </c>
      <c r="O72" s="35">
        <v>8.3646258124735198</v>
      </c>
      <c r="P72" s="200">
        <f t="shared" si="16"/>
        <v>0</v>
      </c>
      <c r="Q72" s="35">
        <v>5353.3605199830527</v>
      </c>
      <c r="R72" s="200">
        <f t="shared" si="17"/>
        <v>0</v>
      </c>
    </row>
    <row r="73" spans="1:18" x14ac:dyDescent="0.2">
      <c r="A73" s="25"/>
      <c r="B73" s="25"/>
      <c r="C73" s="25" t="s">
        <v>5</v>
      </c>
      <c r="D73" s="41">
        <v>40.202151773083855</v>
      </c>
      <c r="E73" s="130"/>
      <c r="F73" s="224" t="s">
        <v>99</v>
      </c>
      <c r="G73" s="39">
        <v>0.08</v>
      </c>
      <c r="H73" s="213"/>
      <c r="I73" s="35">
        <v>3.2161721418467084</v>
      </c>
      <c r="J73" s="200">
        <f t="shared" si="15"/>
        <v>0</v>
      </c>
      <c r="K73" s="223">
        <v>0</v>
      </c>
      <c r="L73" s="212"/>
      <c r="M73" s="35">
        <v>0</v>
      </c>
      <c r="N73" s="200">
        <f>J73*L73</f>
        <v>0</v>
      </c>
      <c r="O73" s="35">
        <v>3.2161721418467084</v>
      </c>
      <c r="P73" s="200">
        <f t="shared" si="16"/>
        <v>0</v>
      </c>
      <c r="Q73" s="35">
        <v>2058.3501707818932</v>
      </c>
      <c r="R73" s="200">
        <f t="shared" si="17"/>
        <v>0</v>
      </c>
    </row>
    <row r="74" spans="1:18" x14ac:dyDescent="0.2">
      <c r="A74" s="25"/>
      <c r="B74" s="25" t="s">
        <v>156</v>
      </c>
      <c r="C74" s="25"/>
      <c r="D74" s="25">
        <v>1</v>
      </c>
      <c r="E74" s="130"/>
      <c r="F74" s="224" t="s">
        <v>42</v>
      </c>
      <c r="G74" s="41">
        <v>0</v>
      </c>
      <c r="H74" s="131"/>
      <c r="I74" s="35">
        <v>0</v>
      </c>
      <c r="J74" s="200">
        <f t="shared" si="15"/>
        <v>0</v>
      </c>
      <c r="K74" s="223">
        <v>0</v>
      </c>
      <c r="L74" s="212"/>
      <c r="M74" s="35">
        <v>0</v>
      </c>
      <c r="N74" s="200">
        <f t="shared" ref="N74:N81" si="18">J74*L74</f>
        <v>0</v>
      </c>
      <c r="O74" s="35">
        <v>0</v>
      </c>
      <c r="P74" s="200">
        <f t="shared" ref="P74:P81" si="19">+J74-N74</f>
        <v>0</v>
      </c>
      <c r="Q74" s="35">
        <v>0</v>
      </c>
      <c r="R74" s="200">
        <f t="shared" ref="R74:R81" si="20">+J74*E$7</f>
        <v>0</v>
      </c>
    </row>
    <row r="75" spans="1:18" x14ac:dyDescent="0.2">
      <c r="A75" s="25"/>
      <c r="B75" s="25" t="s">
        <v>152</v>
      </c>
      <c r="C75" s="25"/>
      <c r="D75" s="25">
        <v>1</v>
      </c>
      <c r="E75" s="130"/>
      <c r="F75" s="224" t="s">
        <v>42</v>
      </c>
      <c r="G75" s="41">
        <v>0</v>
      </c>
      <c r="H75" s="131"/>
      <c r="I75" s="35">
        <v>0</v>
      </c>
      <c r="J75" s="200">
        <f t="shared" si="15"/>
        <v>0</v>
      </c>
      <c r="K75" s="223">
        <v>0</v>
      </c>
      <c r="L75" s="212"/>
      <c r="M75" s="35">
        <v>0</v>
      </c>
      <c r="N75" s="200">
        <f t="shared" si="18"/>
        <v>0</v>
      </c>
      <c r="O75" s="35">
        <v>0</v>
      </c>
      <c r="P75" s="200">
        <f t="shared" si="19"/>
        <v>0</v>
      </c>
      <c r="Q75" s="35">
        <v>0</v>
      </c>
      <c r="R75" s="200">
        <f t="shared" si="20"/>
        <v>0</v>
      </c>
    </row>
    <row r="76" spans="1:18" x14ac:dyDescent="0.2">
      <c r="A76" s="25"/>
      <c r="B76" s="25" t="s">
        <v>137</v>
      </c>
      <c r="C76" s="25"/>
      <c r="D76" s="25">
        <v>1</v>
      </c>
      <c r="E76" s="130"/>
      <c r="F76" s="224" t="s">
        <v>42</v>
      </c>
      <c r="G76" s="41">
        <v>0</v>
      </c>
      <c r="H76" s="131"/>
      <c r="I76" s="35">
        <v>0</v>
      </c>
      <c r="J76" s="200">
        <f t="shared" si="15"/>
        <v>0</v>
      </c>
      <c r="K76" s="223">
        <v>0</v>
      </c>
      <c r="L76" s="212"/>
      <c r="M76" s="35">
        <v>0</v>
      </c>
      <c r="N76" s="200">
        <f t="shared" si="18"/>
        <v>0</v>
      </c>
      <c r="O76" s="35">
        <v>0</v>
      </c>
      <c r="P76" s="200">
        <f t="shared" si="19"/>
        <v>0</v>
      </c>
      <c r="Q76" s="35">
        <v>0</v>
      </c>
      <c r="R76" s="200">
        <f t="shared" si="20"/>
        <v>0</v>
      </c>
    </row>
    <row r="77" spans="1:18" x14ac:dyDescent="0.2">
      <c r="A77" s="25"/>
      <c r="B77" s="25" t="s">
        <v>419</v>
      </c>
      <c r="C77" s="25"/>
      <c r="D77" s="25">
        <v>1</v>
      </c>
      <c r="E77" s="130"/>
      <c r="F77" s="224" t="s">
        <v>42</v>
      </c>
      <c r="G77" s="41">
        <v>30</v>
      </c>
      <c r="H77" s="131"/>
      <c r="I77" s="35">
        <v>30</v>
      </c>
      <c r="J77" s="200">
        <f t="shared" si="15"/>
        <v>0</v>
      </c>
      <c r="K77" s="223">
        <v>0</v>
      </c>
      <c r="L77" s="212"/>
      <c r="M77" s="35">
        <v>0</v>
      </c>
      <c r="N77" s="200">
        <f t="shared" si="18"/>
        <v>0</v>
      </c>
      <c r="O77" s="35">
        <v>30</v>
      </c>
      <c r="P77" s="200">
        <f t="shared" si="19"/>
        <v>0</v>
      </c>
      <c r="Q77" s="35">
        <v>19200</v>
      </c>
      <c r="R77" s="200">
        <f t="shared" si="20"/>
        <v>0</v>
      </c>
    </row>
    <row r="78" spans="1:18" x14ac:dyDescent="0.2">
      <c r="A78" s="25"/>
      <c r="B78" s="25" t="s">
        <v>159</v>
      </c>
      <c r="C78" s="25"/>
      <c r="D78" s="25">
        <v>1</v>
      </c>
      <c r="E78" s="130"/>
      <c r="F78" s="224" t="s">
        <v>42</v>
      </c>
      <c r="G78" s="41">
        <v>0</v>
      </c>
      <c r="H78" s="131"/>
      <c r="I78" s="35">
        <v>0</v>
      </c>
      <c r="J78" s="200">
        <f t="shared" si="15"/>
        <v>0</v>
      </c>
      <c r="K78" s="223">
        <v>0</v>
      </c>
      <c r="L78" s="212"/>
      <c r="M78" s="35">
        <v>0</v>
      </c>
      <c r="N78" s="200">
        <f t="shared" si="18"/>
        <v>0</v>
      </c>
      <c r="O78" s="35">
        <v>0</v>
      </c>
      <c r="P78" s="200">
        <f t="shared" si="19"/>
        <v>0</v>
      </c>
      <c r="Q78" s="35">
        <v>0</v>
      </c>
      <c r="R78" s="200">
        <f t="shared" si="20"/>
        <v>0</v>
      </c>
    </row>
    <row r="79" spans="1:18" x14ac:dyDescent="0.2">
      <c r="A79" s="25"/>
      <c r="B79" s="25" t="s">
        <v>160</v>
      </c>
      <c r="C79" s="25"/>
      <c r="D79" s="25">
        <v>1</v>
      </c>
      <c r="E79" s="130"/>
      <c r="F79" s="224" t="s">
        <v>42</v>
      </c>
      <c r="G79" s="41">
        <v>0</v>
      </c>
      <c r="H79" s="131"/>
      <c r="I79" s="35">
        <v>0</v>
      </c>
      <c r="J79" s="200">
        <f t="shared" si="15"/>
        <v>0</v>
      </c>
      <c r="K79" s="223">
        <v>0</v>
      </c>
      <c r="L79" s="212"/>
      <c r="M79" s="35">
        <v>0</v>
      </c>
      <c r="N79" s="200">
        <f t="shared" si="18"/>
        <v>0</v>
      </c>
      <c r="O79" s="35">
        <v>0</v>
      </c>
      <c r="P79" s="200">
        <f t="shared" si="19"/>
        <v>0</v>
      </c>
      <c r="Q79" s="35">
        <v>0</v>
      </c>
      <c r="R79" s="200">
        <f t="shared" si="20"/>
        <v>0</v>
      </c>
    </row>
    <row r="80" spans="1:18" x14ac:dyDescent="0.2">
      <c r="A80" s="25"/>
      <c r="B80" s="131"/>
      <c r="C80" s="131"/>
      <c r="D80" s="25">
        <v>1</v>
      </c>
      <c r="E80" s="130"/>
      <c r="F80" s="224"/>
      <c r="G80" s="41">
        <v>0</v>
      </c>
      <c r="H80" s="131"/>
      <c r="I80" s="35">
        <v>0</v>
      </c>
      <c r="J80" s="200">
        <f t="shared" si="15"/>
        <v>0</v>
      </c>
      <c r="K80" s="223">
        <v>0</v>
      </c>
      <c r="L80" s="212"/>
      <c r="M80" s="35">
        <v>0</v>
      </c>
      <c r="N80" s="200">
        <f t="shared" si="18"/>
        <v>0</v>
      </c>
      <c r="O80" s="35">
        <v>0</v>
      </c>
      <c r="P80" s="200">
        <f t="shared" si="19"/>
        <v>0</v>
      </c>
      <c r="Q80" s="35">
        <v>0</v>
      </c>
      <c r="R80" s="200">
        <f t="shared" si="20"/>
        <v>0</v>
      </c>
    </row>
    <row r="81" spans="1:18" ht="13.5" thickBot="1" x14ac:dyDescent="0.25">
      <c r="A81" s="25"/>
      <c r="B81" s="131"/>
      <c r="C81" s="131"/>
      <c r="D81" s="25">
        <v>1</v>
      </c>
      <c r="E81" s="130"/>
      <c r="F81" s="224"/>
      <c r="G81" s="41">
        <v>0</v>
      </c>
      <c r="H81" s="131"/>
      <c r="I81" s="35">
        <v>0</v>
      </c>
      <c r="J81" s="200">
        <f>E81*H81</f>
        <v>0</v>
      </c>
      <c r="K81" s="223">
        <v>0</v>
      </c>
      <c r="L81" s="212"/>
      <c r="M81" s="35">
        <v>0</v>
      </c>
      <c r="N81" s="200">
        <f t="shared" si="18"/>
        <v>0</v>
      </c>
      <c r="O81" s="35">
        <v>0</v>
      </c>
      <c r="P81" s="200">
        <f t="shared" si="19"/>
        <v>0</v>
      </c>
      <c r="Q81" s="35">
        <v>0</v>
      </c>
      <c r="R81" s="200">
        <f t="shared" si="20"/>
        <v>0</v>
      </c>
    </row>
    <row r="82" spans="1:18" ht="13.5" thickBot="1" x14ac:dyDescent="0.25">
      <c r="A82" s="25" t="s">
        <v>37</v>
      </c>
      <c r="B82" s="25"/>
      <c r="C82" s="25"/>
      <c r="D82" s="25"/>
      <c r="E82" s="195"/>
      <c r="F82" s="25"/>
      <c r="G82" s="25"/>
      <c r="H82" s="195"/>
      <c r="I82" s="118">
        <v>66.456616633071576</v>
      </c>
      <c r="J82" s="202">
        <f>+SUM(J67:J81)</f>
        <v>0</v>
      </c>
      <c r="K82" s="35"/>
      <c r="L82" s="193"/>
      <c r="M82" s="118">
        <v>0</v>
      </c>
      <c r="N82" s="202">
        <f>+SUM(N67:N81)</f>
        <v>0</v>
      </c>
      <c r="O82" s="118">
        <v>66.456616633071576</v>
      </c>
      <c r="P82" s="202">
        <f>+SUM(P67:P81)</f>
        <v>0</v>
      </c>
      <c r="Q82" s="118">
        <v>42532.234645165809</v>
      </c>
      <c r="R82" s="202">
        <f>+SUM(R67:R81)</f>
        <v>0</v>
      </c>
    </row>
    <row r="83" spans="1:18" ht="14.25" thickTop="1" thickBot="1" x14ac:dyDescent="0.25">
      <c r="A83" s="25" t="s">
        <v>52</v>
      </c>
      <c r="B83" s="25"/>
      <c r="C83" s="25"/>
      <c r="D83" s="25"/>
      <c r="E83" s="195"/>
      <c r="F83" s="25"/>
      <c r="G83" s="25"/>
      <c r="H83" s="195"/>
      <c r="I83" s="87">
        <v>270.13494701251841</v>
      </c>
      <c r="J83" s="203">
        <f>+J61+J82</f>
        <v>0</v>
      </c>
      <c r="K83" s="35"/>
      <c r="L83" s="193"/>
      <c r="M83" s="87">
        <v>0</v>
      </c>
      <c r="N83" s="203">
        <f>+N61+N82</f>
        <v>0</v>
      </c>
      <c r="O83" s="87">
        <v>270.13494701251841</v>
      </c>
      <c r="P83" s="203">
        <f>+P61+P82</f>
        <v>0</v>
      </c>
      <c r="Q83" s="87">
        <v>172886.36608801174</v>
      </c>
      <c r="R83" s="203">
        <f>+R61+R82</f>
        <v>0</v>
      </c>
    </row>
    <row r="84" spans="1:18" ht="13.5" thickTop="1" x14ac:dyDescent="0.2">
      <c r="A84" s="25"/>
      <c r="B84" s="25"/>
      <c r="C84" s="25"/>
      <c r="D84" s="25"/>
      <c r="E84" s="195"/>
      <c r="F84" s="25"/>
      <c r="G84" s="25"/>
      <c r="H84" s="195"/>
      <c r="I84" s="35"/>
      <c r="J84" s="182"/>
      <c r="K84" s="35"/>
      <c r="L84" s="193"/>
      <c r="M84" s="35"/>
      <c r="N84" s="182"/>
      <c r="O84" s="35"/>
      <c r="P84" s="182"/>
      <c r="Q84" s="35"/>
      <c r="R84" s="182"/>
    </row>
    <row r="85" spans="1:18" x14ac:dyDescent="0.2">
      <c r="A85" s="25" t="s">
        <v>153</v>
      </c>
      <c r="B85" s="25"/>
      <c r="C85" s="25"/>
      <c r="D85" s="25"/>
      <c r="E85" s="195"/>
      <c r="F85" s="25"/>
      <c r="G85" s="25"/>
      <c r="H85" s="195"/>
      <c r="I85" s="35">
        <v>-11.734947012518433</v>
      </c>
      <c r="J85" s="200">
        <f>+J14-J83</f>
        <v>0</v>
      </c>
      <c r="K85" s="35"/>
      <c r="L85" s="193"/>
      <c r="M85" s="35">
        <v>0</v>
      </c>
      <c r="N85" s="200">
        <f>+N14-N83</f>
        <v>0</v>
      </c>
      <c r="O85" s="35">
        <v>-11.734947012518433</v>
      </c>
      <c r="P85" s="200">
        <f>+P14-P83</f>
        <v>0</v>
      </c>
      <c r="Q85" s="35">
        <v>-7510.3660880117386</v>
      </c>
      <c r="R85" s="200">
        <f>+R14-R83</f>
        <v>0</v>
      </c>
    </row>
    <row r="86" spans="1:18" x14ac:dyDescent="0.2">
      <c r="A86" s="25"/>
      <c r="B86" s="25"/>
      <c r="C86" s="25"/>
      <c r="D86" s="25"/>
      <c r="E86" s="195"/>
      <c r="F86" s="25"/>
      <c r="G86" s="25"/>
      <c r="H86" s="195"/>
      <c r="I86" s="35"/>
      <c r="J86" s="204"/>
      <c r="K86" s="35"/>
      <c r="L86" s="193"/>
      <c r="M86" s="35"/>
      <c r="N86" s="193"/>
      <c r="O86" s="35"/>
      <c r="P86" s="193"/>
      <c r="Q86" s="35"/>
      <c r="R86" s="204"/>
    </row>
    <row r="87" spans="1:18" ht="13.5" thickBot="1" x14ac:dyDescent="0.25">
      <c r="A87" s="44" t="s">
        <v>38</v>
      </c>
      <c r="B87" s="44"/>
      <c r="C87" s="44"/>
      <c r="D87" s="44"/>
      <c r="E87" s="199"/>
      <c r="F87" s="44"/>
      <c r="G87" s="45">
        <v>5.3933736753129597</v>
      </c>
      <c r="H87" s="210" t="str">
        <f>IF(E10=0,"n/a",(YTotExp-(YTotExp+YTotRet-J10))/E10)</f>
        <v>n/a</v>
      </c>
      <c r="I87" s="44" t="s">
        <v>83</v>
      </c>
      <c r="J87" s="205"/>
      <c r="K87" s="44"/>
      <c r="L87" s="199"/>
      <c r="M87" s="44"/>
      <c r="N87" s="199"/>
      <c r="O87" s="44"/>
      <c r="P87" s="199"/>
      <c r="Q87" s="44"/>
      <c r="R87" s="205"/>
    </row>
    <row r="88" spans="1:18" ht="13.5" thickTop="1" x14ac:dyDescent="0.2"/>
    <row r="89" spans="1:18" s="17" customFormat="1" ht="15.75" x14ac:dyDescent="0.25">
      <c r="A89"/>
      <c r="B89" s="88"/>
      <c r="C89" s="89"/>
      <c r="D89" s="234" t="s">
        <v>113</v>
      </c>
      <c r="E89" s="235"/>
      <c r="F89" s="235"/>
      <c r="G89" s="235"/>
      <c r="H89" s="235"/>
      <c r="I89" s="235"/>
      <c r="J89" s="99"/>
      <c r="K89" s="99"/>
      <c r="M89"/>
      <c r="N89"/>
    </row>
    <row r="90" spans="1:18" s="17" customFormat="1" ht="15.75" x14ac:dyDescent="0.25">
      <c r="A90"/>
      <c r="B90" s="19" t="s">
        <v>114</v>
      </c>
      <c r="C90" s="19" t="s">
        <v>114</v>
      </c>
      <c r="D90" s="123" t="s">
        <v>170</v>
      </c>
      <c r="E90" s="18"/>
      <c r="F90" s="18"/>
      <c r="G90" s="123" t="s">
        <v>170</v>
      </c>
      <c r="H90" s="18"/>
      <c r="I90" s="18"/>
      <c r="J90" s="18"/>
      <c r="K90" s="18"/>
      <c r="M90"/>
      <c r="N90"/>
    </row>
    <row r="91" spans="1:18" s="17" customFormat="1" x14ac:dyDescent="0.2">
      <c r="A91"/>
      <c r="B91" s="19" t="s">
        <v>80</v>
      </c>
      <c r="C91" s="19" t="s">
        <v>80</v>
      </c>
      <c r="D91" s="123" t="s">
        <v>157</v>
      </c>
      <c r="E91" s="119"/>
      <c r="F91" s="119"/>
      <c r="G91" s="123" t="s">
        <v>12</v>
      </c>
      <c r="H91" s="119"/>
      <c r="I91" s="119"/>
      <c r="J91" s="119"/>
      <c r="K91" s="119"/>
      <c r="M91"/>
      <c r="N91"/>
    </row>
    <row r="92" spans="1:18" s="17" customFormat="1" x14ac:dyDescent="0.2">
      <c r="A92"/>
      <c r="B92" s="19" t="s">
        <v>30</v>
      </c>
      <c r="C92" s="99" t="s">
        <v>83</v>
      </c>
      <c r="D92" s="123" t="s">
        <v>98</v>
      </c>
      <c r="E92" s="119"/>
      <c r="F92" s="119"/>
      <c r="G92" s="123" t="s">
        <v>98</v>
      </c>
      <c r="H92" s="19"/>
      <c r="I92" s="19"/>
      <c r="J92" s="19"/>
      <c r="K92" s="19"/>
      <c r="M92"/>
      <c r="N92"/>
    </row>
    <row r="93" spans="1:18" s="17" customFormat="1" x14ac:dyDescent="0.2">
      <c r="A93"/>
      <c r="B93" s="90">
        <v>0.75</v>
      </c>
      <c r="C93" s="91">
        <v>30</v>
      </c>
      <c r="D93" s="92">
        <v>4.97594434598156</v>
      </c>
      <c r="E93" s="93"/>
      <c r="F93" s="94"/>
      <c r="G93" s="92">
        <v>7.19116490041728</v>
      </c>
      <c r="H93" s="93"/>
      <c r="I93" s="93"/>
      <c r="M93"/>
      <c r="N93"/>
    </row>
    <row r="94" spans="1:18" s="17" customFormat="1" x14ac:dyDescent="0.2">
      <c r="A94"/>
      <c r="B94" s="95">
        <v>0.9</v>
      </c>
      <c r="C94" s="96">
        <v>36</v>
      </c>
      <c r="D94" s="97">
        <v>4.1466202883179664</v>
      </c>
      <c r="E94" s="83"/>
      <c r="F94" s="98"/>
      <c r="G94" s="97">
        <v>5.9926374170144001</v>
      </c>
      <c r="H94" s="83"/>
      <c r="I94" s="83"/>
      <c r="M94"/>
      <c r="N94"/>
    </row>
    <row r="95" spans="1:18" s="17" customFormat="1" x14ac:dyDescent="0.2">
      <c r="A95"/>
      <c r="B95" s="90">
        <v>1</v>
      </c>
      <c r="C95" s="91">
        <v>40</v>
      </c>
      <c r="D95" s="92">
        <v>3.73195825948617</v>
      </c>
      <c r="E95" s="93"/>
      <c r="F95" s="94"/>
      <c r="G95" s="92">
        <v>5.3933736753129597</v>
      </c>
      <c r="H95" s="93"/>
      <c r="I95" s="93"/>
      <c r="M95"/>
      <c r="N95"/>
    </row>
    <row r="96" spans="1:18" s="17" customFormat="1" x14ac:dyDescent="0.2">
      <c r="A96"/>
      <c r="B96" s="95">
        <v>1.1000000000000001</v>
      </c>
      <c r="C96" s="96">
        <v>44</v>
      </c>
      <c r="D96" s="97">
        <v>3.3926893268056091</v>
      </c>
      <c r="E96" s="83"/>
      <c r="F96" s="98"/>
      <c r="G96" s="97">
        <v>4.9030669775572369</v>
      </c>
      <c r="H96" s="83"/>
      <c r="I96" s="83"/>
      <c r="M96"/>
      <c r="N96"/>
    </row>
    <row r="97" spans="1:18" s="17" customFormat="1" x14ac:dyDescent="0.2">
      <c r="A97"/>
      <c r="B97" s="90">
        <v>1.25</v>
      </c>
      <c r="C97" s="91">
        <v>50</v>
      </c>
      <c r="D97" s="92">
        <v>2.985566607588936</v>
      </c>
      <c r="E97" s="93"/>
      <c r="F97" s="94"/>
      <c r="G97" s="92">
        <v>4.3146989402503682</v>
      </c>
      <c r="H97" s="93"/>
      <c r="I97" s="93"/>
      <c r="M97"/>
      <c r="N97"/>
    </row>
    <row r="98" spans="1:18" s="17" customFormat="1" x14ac:dyDescent="0.2">
      <c r="A98"/>
      <c r="M98"/>
      <c r="N98"/>
    </row>
    <row r="99" spans="1:18" x14ac:dyDescent="0.2">
      <c r="A99" s="25" t="s">
        <v>434</v>
      </c>
      <c r="B99" s="17"/>
      <c r="C99" s="17"/>
      <c r="D99" s="17"/>
      <c r="E99" s="17"/>
      <c r="F99" s="17"/>
      <c r="G99" s="17"/>
      <c r="H99" s="17"/>
      <c r="I99" s="17"/>
      <c r="J99" s="28"/>
      <c r="K99" s="17"/>
      <c r="L99" s="17"/>
      <c r="M99" s="17"/>
      <c r="N99" s="17"/>
      <c r="O99" s="17"/>
      <c r="P99" s="17"/>
      <c r="Q99" s="17"/>
    </row>
    <row r="100" spans="1:18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28"/>
      <c r="K100" s="17"/>
      <c r="L100" s="17"/>
      <c r="M100" s="17"/>
      <c r="N100" s="17"/>
      <c r="O100" s="17"/>
      <c r="P100" s="17"/>
      <c r="Q100" s="17"/>
    </row>
    <row r="101" spans="1:18" ht="26.25" customHeight="1" x14ac:dyDescent="0.2">
      <c r="A101" s="236" t="s">
        <v>140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19"/>
      <c r="N101" s="219"/>
      <c r="O101" s="219"/>
      <c r="P101" s="219"/>
      <c r="Q101" s="219"/>
      <c r="R101" s="219"/>
    </row>
  </sheetData>
  <sheetProtection sheet="1" objects="1" scenarios="1"/>
  <mergeCells count="6">
    <mergeCell ref="D89:I89"/>
    <mergeCell ref="A101:L101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5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67586-42F2-4352-A4EB-BF26E0FB994B}">
  <sheetPr codeName="Sheet227">
    <tabColor rgb="FF92D050"/>
    <pageSetUpPr fitToPage="1"/>
  </sheetPr>
  <dimension ref="A1:S104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2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469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173</v>
      </c>
      <c r="C10" s="25"/>
      <c r="D10" s="50">
        <v>60</v>
      </c>
      <c r="E10" s="130"/>
      <c r="F10" s="224" t="s">
        <v>83</v>
      </c>
      <c r="G10" s="31">
        <v>5.0999999999999996</v>
      </c>
      <c r="H10" s="131"/>
      <c r="I10" s="35">
        <v>306</v>
      </c>
      <c r="J10" s="200">
        <f t="shared" ref="J10:J13" si="0">E10*H10</f>
        <v>0</v>
      </c>
      <c r="K10" s="223">
        <v>0</v>
      </c>
      <c r="L10" s="212"/>
      <c r="M10" s="35">
        <v>0</v>
      </c>
      <c r="N10" s="200">
        <f t="shared" ref="N10:N13" si="1">J10*L10</f>
        <v>0</v>
      </c>
      <c r="O10" s="35">
        <v>306</v>
      </c>
      <c r="P10" s="200">
        <f>+J10-N10</f>
        <v>0</v>
      </c>
      <c r="Q10" s="35">
        <v>195840</v>
      </c>
      <c r="R10" s="200">
        <f t="shared" ref="R10:R13" si="2">+J10*E$7</f>
        <v>0</v>
      </c>
      <c r="S10" s="12"/>
    </row>
    <row r="11" spans="1:19" x14ac:dyDescent="0.2">
      <c r="A11" s="25"/>
      <c r="B11" t="s">
        <v>359</v>
      </c>
      <c r="C11" s="25"/>
      <c r="D11" s="50">
        <v>85</v>
      </c>
      <c r="E11" s="130"/>
      <c r="F11" s="224" t="s">
        <v>360</v>
      </c>
      <c r="G11" s="31">
        <v>0.85</v>
      </c>
      <c r="H11" s="131"/>
      <c r="I11" s="35">
        <v>72.25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72.25</v>
      </c>
      <c r="P11" s="200">
        <f t="shared" ref="P11:P13" si="3">+J11-N11</f>
        <v>0</v>
      </c>
      <c r="Q11" s="35">
        <v>46240</v>
      </c>
      <c r="R11" s="200">
        <f t="shared" si="2"/>
        <v>0</v>
      </c>
      <c r="S11" s="12"/>
    </row>
    <row r="12" spans="1:19" x14ac:dyDescent="0.2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35">
        <v>0</v>
      </c>
      <c r="J12" s="200">
        <f t="shared" si="0"/>
        <v>0</v>
      </c>
      <c r="K12" s="223">
        <v>0</v>
      </c>
      <c r="L12" s="212"/>
      <c r="M12" s="35">
        <v>0</v>
      </c>
      <c r="N12" s="200">
        <f t="shared" si="1"/>
        <v>0</v>
      </c>
      <c r="O12" s="35">
        <v>0</v>
      </c>
      <c r="P12" s="200">
        <f t="shared" si="3"/>
        <v>0</v>
      </c>
      <c r="Q12" s="35">
        <v>0</v>
      </c>
      <c r="R12" s="200">
        <f t="shared" si="2"/>
        <v>0</v>
      </c>
    </row>
    <row r="13" spans="1:19" ht="13.5" thickBot="1" x14ac:dyDescent="0.25">
      <c r="A13" s="25"/>
      <c r="B13" s="131"/>
      <c r="C13" s="131"/>
      <c r="D13" s="50">
        <v>0</v>
      </c>
      <c r="E13" s="130"/>
      <c r="F13" s="224"/>
      <c r="G13" s="31">
        <v>0</v>
      </c>
      <c r="H13" s="131"/>
      <c r="I13" s="42">
        <v>0</v>
      </c>
      <c r="J13" s="200">
        <f t="shared" si="0"/>
        <v>0</v>
      </c>
      <c r="K13" s="223">
        <v>0</v>
      </c>
      <c r="L13" s="212"/>
      <c r="M13" s="42">
        <v>0</v>
      </c>
      <c r="N13" s="200">
        <f t="shared" si="1"/>
        <v>0</v>
      </c>
      <c r="O13" s="42">
        <v>0</v>
      </c>
      <c r="P13" s="200">
        <f t="shared" si="3"/>
        <v>0</v>
      </c>
      <c r="Q13" s="42">
        <v>0</v>
      </c>
      <c r="R13" s="182">
        <f t="shared" si="2"/>
        <v>0</v>
      </c>
    </row>
    <row r="14" spans="1:19" x14ac:dyDescent="0.2">
      <c r="A14" s="25" t="s">
        <v>24</v>
      </c>
      <c r="B14" s="25"/>
      <c r="C14" s="25"/>
      <c r="D14" s="25"/>
      <c r="E14" s="198"/>
      <c r="F14" s="25"/>
      <c r="G14" s="25"/>
      <c r="H14" s="195"/>
      <c r="I14" s="36">
        <v>378.25</v>
      </c>
      <c r="J14" s="201">
        <f>SUM(J10:J13)</f>
        <v>0</v>
      </c>
      <c r="K14" s="35"/>
      <c r="L14" s="193"/>
      <c r="M14" s="36">
        <v>0</v>
      </c>
      <c r="N14" s="201">
        <f>SUM(N10:N13)</f>
        <v>0</v>
      </c>
      <c r="O14" s="36">
        <v>378.25</v>
      </c>
      <c r="P14" s="201">
        <f>SUM(P10:P13)</f>
        <v>0</v>
      </c>
      <c r="Q14" s="36">
        <v>242080</v>
      </c>
      <c r="R14" s="201">
        <f>SUM(R10:R13)</f>
        <v>0</v>
      </c>
    </row>
    <row r="15" spans="1:19" x14ac:dyDescent="0.2">
      <c r="A15" s="25"/>
      <c r="B15" s="25"/>
      <c r="C15" s="25"/>
      <c r="D15" s="25"/>
      <c r="E15" s="176"/>
      <c r="F15" s="25"/>
      <c r="G15" s="25"/>
      <c r="H15" s="209"/>
      <c r="I15" s="35"/>
      <c r="J15" s="182"/>
      <c r="K15" s="35"/>
      <c r="L15" s="193"/>
      <c r="M15" s="35"/>
      <c r="N15" s="182"/>
      <c r="O15" s="35"/>
      <c r="P15" s="182"/>
      <c r="Q15" s="22" t="s">
        <v>19</v>
      </c>
      <c r="R15" s="182" t="s">
        <v>19</v>
      </c>
    </row>
    <row r="16" spans="1:19" x14ac:dyDescent="0.2">
      <c r="A16" s="23" t="s">
        <v>25</v>
      </c>
      <c r="B16" s="23"/>
      <c r="C16" s="23"/>
      <c r="D16" s="24" t="s">
        <v>2</v>
      </c>
      <c r="E16" s="194" t="s">
        <v>2</v>
      </c>
      <c r="F16" s="24" t="s">
        <v>21</v>
      </c>
      <c r="G16" s="24" t="s">
        <v>22</v>
      </c>
      <c r="H16" s="194" t="s">
        <v>22</v>
      </c>
      <c r="I16" s="24" t="s">
        <v>12</v>
      </c>
      <c r="J16" s="194" t="s">
        <v>12</v>
      </c>
      <c r="K16" s="24" t="s">
        <v>11</v>
      </c>
      <c r="L16" s="194" t="s">
        <v>11</v>
      </c>
      <c r="M16" s="24" t="s">
        <v>10</v>
      </c>
      <c r="N16" s="194" t="s">
        <v>10</v>
      </c>
      <c r="O16" s="24" t="s">
        <v>9</v>
      </c>
      <c r="P16" s="194" t="s">
        <v>9</v>
      </c>
      <c r="Q16" s="24" t="s">
        <v>12</v>
      </c>
      <c r="R16" s="206" t="s">
        <v>12</v>
      </c>
    </row>
    <row r="17" spans="1:18" x14ac:dyDescent="0.2">
      <c r="A17" s="25" t="s">
        <v>26</v>
      </c>
      <c r="B17" s="25"/>
      <c r="C17" s="25"/>
      <c r="D17" s="25"/>
      <c r="E17" s="176"/>
      <c r="F17" s="25"/>
      <c r="G17" s="25"/>
      <c r="H17" s="209"/>
      <c r="I17" s="25"/>
      <c r="J17" s="182"/>
      <c r="K17" s="25"/>
      <c r="L17" s="195"/>
      <c r="M17" s="25"/>
      <c r="N17" s="182"/>
      <c r="O17" s="25"/>
      <c r="P17" s="182"/>
      <c r="Q17" s="25"/>
      <c r="R17" s="182"/>
    </row>
    <row r="18" spans="1:18" x14ac:dyDescent="0.2">
      <c r="A18" s="25"/>
      <c r="B18" s="25" t="s">
        <v>1</v>
      </c>
      <c r="C18" s="25"/>
      <c r="D18" s="25"/>
      <c r="E18" s="25"/>
      <c r="F18" s="25"/>
      <c r="G18" s="25"/>
      <c r="H18" s="25"/>
      <c r="I18" s="25"/>
      <c r="J18" s="25"/>
      <c r="K18" s="223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 t="s">
        <v>458</v>
      </c>
      <c r="C19" s="25" t="s">
        <v>407</v>
      </c>
      <c r="D19" s="25">
        <v>75</v>
      </c>
      <c r="E19" s="130"/>
      <c r="F19" s="224" t="s">
        <v>82</v>
      </c>
      <c r="G19" s="41">
        <v>0.23</v>
      </c>
      <c r="H19" s="131"/>
      <c r="I19" s="35">
        <v>17.25</v>
      </c>
      <c r="J19" s="200">
        <f t="shared" ref="J19:J37" si="4">E19*H19</f>
        <v>0</v>
      </c>
      <c r="K19" s="223">
        <v>0</v>
      </c>
      <c r="L19" s="212"/>
      <c r="M19" s="35">
        <v>0</v>
      </c>
      <c r="N19" s="200">
        <f t="shared" ref="N19:N37" si="5">J19*L19</f>
        <v>0</v>
      </c>
      <c r="O19" s="35">
        <v>17.25</v>
      </c>
      <c r="P19" s="200">
        <f t="shared" ref="P19:P37" si="6">+J19-N19</f>
        <v>0</v>
      </c>
      <c r="Q19" s="35">
        <v>11040</v>
      </c>
      <c r="R19" s="200">
        <f t="shared" ref="R19:R37" si="7">+J19*E$7</f>
        <v>0</v>
      </c>
    </row>
    <row r="20" spans="1:18" x14ac:dyDescent="0.2">
      <c r="A20" s="25"/>
      <c r="B20" s="25" t="s">
        <v>0</v>
      </c>
      <c r="C20" s="25"/>
      <c r="D20" s="25"/>
      <c r="E20" s="25"/>
      <c r="F20" s="25"/>
      <c r="G20" s="25"/>
      <c r="H20" s="25"/>
      <c r="I20" s="25"/>
      <c r="J20" s="25"/>
      <c r="K20" s="223"/>
      <c r="L20" s="25"/>
      <c r="M20" s="25"/>
      <c r="N20" s="25"/>
      <c r="O20" s="25"/>
      <c r="P20" s="25"/>
      <c r="Q20" s="25"/>
      <c r="R20" s="25"/>
    </row>
    <row r="21" spans="1:18" x14ac:dyDescent="0.2">
      <c r="A21" s="25"/>
      <c r="B21" s="25" t="s">
        <v>458</v>
      </c>
      <c r="C21" s="25" t="s">
        <v>342</v>
      </c>
      <c r="D21" s="25">
        <v>110</v>
      </c>
      <c r="E21" s="130"/>
      <c r="F21" s="224" t="s">
        <v>82</v>
      </c>
      <c r="G21" s="41">
        <v>0.53800000000000003</v>
      </c>
      <c r="H21" s="131"/>
      <c r="I21" s="35">
        <v>59.180000000000007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59.180000000000007</v>
      </c>
      <c r="P21" s="200">
        <f t="shared" si="6"/>
        <v>0</v>
      </c>
      <c r="Q21" s="35">
        <v>37875.200000000004</v>
      </c>
      <c r="R21" s="200">
        <f t="shared" si="7"/>
        <v>0</v>
      </c>
    </row>
    <row r="22" spans="1:18" x14ac:dyDescent="0.2">
      <c r="A22" s="25"/>
      <c r="B22" s="25" t="s">
        <v>458</v>
      </c>
      <c r="C22" s="25" t="s">
        <v>378</v>
      </c>
      <c r="D22" s="25">
        <v>25</v>
      </c>
      <c r="E22" s="130"/>
      <c r="F22" s="224" t="s">
        <v>82</v>
      </c>
      <c r="G22" s="41">
        <v>0.56999999999999995</v>
      </c>
      <c r="H22" s="131"/>
      <c r="I22" s="35">
        <v>14.249999999999998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14.249999999999998</v>
      </c>
      <c r="P22" s="200">
        <f t="shared" si="6"/>
        <v>0</v>
      </c>
      <c r="Q22" s="35">
        <v>9119.9999999999982</v>
      </c>
      <c r="R22" s="200">
        <f t="shared" si="7"/>
        <v>0</v>
      </c>
    </row>
    <row r="23" spans="1:18" x14ac:dyDescent="0.2">
      <c r="A23" s="25"/>
      <c r="B23" s="25" t="s">
        <v>50</v>
      </c>
      <c r="C23" s="25"/>
      <c r="D23" s="25"/>
      <c r="E23" s="25"/>
      <c r="F23" s="25"/>
      <c r="G23" s="25"/>
      <c r="H23" s="25"/>
      <c r="I23" s="25"/>
      <c r="J23" s="25"/>
      <c r="K23" s="223"/>
      <c r="L23" s="25"/>
      <c r="M23" s="25"/>
      <c r="N23" s="25"/>
      <c r="O23" s="25"/>
      <c r="P23" s="25"/>
      <c r="Q23" s="25"/>
      <c r="R23" s="25"/>
    </row>
    <row r="24" spans="1:18" x14ac:dyDescent="0.2">
      <c r="A24" s="25"/>
      <c r="B24" s="25" t="s">
        <v>458</v>
      </c>
      <c r="C24" s="25" t="s">
        <v>371</v>
      </c>
      <c r="D24" s="25">
        <v>1</v>
      </c>
      <c r="E24" s="130"/>
      <c r="F24" s="224" t="s">
        <v>42</v>
      </c>
      <c r="G24" s="41">
        <v>35</v>
      </c>
      <c r="H24" s="131"/>
      <c r="I24" s="35">
        <v>35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35</v>
      </c>
      <c r="P24" s="200">
        <f t="shared" si="6"/>
        <v>0</v>
      </c>
      <c r="Q24" s="35">
        <v>22400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398</v>
      </c>
      <c r="D25" s="25">
        <v>10</v>
      </c>
      <c r="E25" s="130"/>
      <c r="F25" s="224" t="s">
        <v>83</v>
      </c>
      <c r="G25" s="41">
        <v>0.24</v>
      </c>
      <c r="H25" s="131"/>
      <c r="I25" s="35">
        <v>2.4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2.4</v>
      </c>
      <c r="P25" s="200">
        <f t="shared" si="6"/>
        <v>0</v>
      </c>
      <c r="Q25" s="35">
        <v>1536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373</v>
      </c>
      <c r="D26" s="25">
        <v>30</v>
      </c>
      <c r="E26" s="130"/>
      <c r="F26" s="224" t="s">
        <v>83</v>
      </c>
      <c r="G26" s="41">
        <v>0.24</v>
      </c>
      <c r="H26" s="131"/>
      <c r="I26" s="35">
        <v>7.1999999999999993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7.1999999999999993</v>
      </c>
      <c r="P26" s="200">
        <f t="shared" si="6"/>
        <v>0</v>
      </c>
      <c r="Q26" s="35">
        <v>4608</v>
      </c>
      <c r="R26" s="200">
        <f t="shared" si="7"/>
        <v>0</v>
      </c>
    </row>
    <row r="27" spans="1:18" x14ac:dyDescent="0.2">
      <c r="A27" s="25"/>
      <c r="B27" s="25" t="s">
        <v>458</v>
      </c>
      <c r="C27" s="25" t="s">
        <v>176</v>
      </c>
      <c r="D27" s="25">
        <v>1</v>
      </c>
      <c r="E27" s="130"/>
      <c r="F27" s="224" t="s">
        <v>42</v>
      </c>
      <c r="G27" s="41">
        <v>5</v>
      </c>
      <c r="H27" s="131"/>
      <c r="I27" s="35">
        <v>5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5</v>
      </c>
      <c r="P27" s="200">
        <f t="shared" si="6"/>
        <v>0</v>
      </c>
      <c r="Q27" s="35">
        <v>3200</v>
      </c>
      <c r="R27" s="200">
        <f t="shared" si="7"/>
        <v>0</v>
      </c>
    </row>
    <row r="28" spans="1:18" x14ac:dyDescent="0.2">
      <c r="A28" s="25"/>
      <c r="B28" s="25" t="s">
        <v>27</v>
      </c>
      <c r="C28" s="25"/>
      <c r="D28" s="25"/>
      <c r="E28" s="25"/>
      <c r="F28" s="25"/>
      <c r="G28" s="25"/>
      <c r="H28" s="25"/>
      <c r="I28" s="25"/>
      <c r="J28" s="25"/>
      <c r="K28" s="223"/>
      <c r="L28" s="25"/>
      <c r="M28" s="25"/>
      <c r="N28" s="25"/>
      <c r="O28" s="25"/>
      <c r="P28" s="25"/>
      <c r="Q28" s="25"/>
      <c r="R28" s="25"/>
    </row>
    <row r="29" spans="1:18" x14ac:dyDescent="0.2">
      <c r="A29" s="25"/>
      <c r="B29" s="25" t="s">
        <v>458</v>
      </c>
      <c r="C29" s="25" t="s">
        <v>397</v>
      </c>
      <c r="D29" s="25">
        <v>1</v>
      </c>
      <c r="E29" s="130"/>
      <c r="F29" s="224" t="s">
        <v>42</v>
      </c>
      <c r="G29" s="41">
        <v>12</v>
      </c>
      <c r="H29" s="131"/>
      <c r="I29" s="35">
        <v>12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12</v>
      </c>
      <c r="P29" s="200">
        <f t="shared" si="6"/>
        <v>0</v>
      </c>
      <c r="Q29" s="35">
        <v>7680</v>
      </c>
      <c r="R29" s="200">
        <f t="shared" si="7"/>
        <v>0</v>
      </c>
    </row>
    <row r="30" spans="1:18" x14ac:dyDescent="0.2">
      <c r="A30" s="25"/>
      <c r="B30" s="25" t="s">
        <v>49</v>
      </c>
      <c r="C30" s="25"/>
      <c r="D30" s="25"/>
      <c r="E30" s="25"/>
      <c r="F30" s="25"/>
      <c r="G30" s="25"/>
      <c r="H30" s="25"/>
      <c r="I30" s="25"/>
      <c r="J30" s="25"/>
      <c r="K30" s="223"/>
      <c r="L30" s="25"/>
      <c r="M30" s="25"/>
      <c r="N30" s="25"/>
      <c r="O30" s="25"/>
      <c r="P30" s="25"/>
      <c r="Q30" s="25"/>
      <c r="R30" s="25"/>
    </row>
    <row r="31" spans="1:18" x14ac:dyDescent="0.2">
      <c r="A31" s="25"/>
      <c r="B31" s="25" t="s">
        <v>458</v>
      </c>
      <c r="C31" s="25" t="s">
        <v>388</v>
      </c>
      <c r="D31" s="25">
        <v>6.4</v>
      </c>
      <c r="E31" s="130"/>
      <c r="F31" s="224" t="s">
        <v>410</v>
      </c>
      <c r="G31" s="41">
        <v>0.171875</v>
      </c>
      <c r="H31" s="131"/>
      <c r="I31" s="35">
        <v>1.1000000000000001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1.1000000000000001</v>
      </c>
      <c r="P31" s="200">
        <f t="shared" si="6"/>
        <v>0</v>
      </c>
      <c r="Q31" s="35">
        <v>704</v>
      </c>
      <c r="R31" s="200">
        <f t="shared" si="7"/>
        <v>0</v>
      </c>
    </row>
    <row r="32" spans="1:18" x14ac:dyDescent="0.2">
      <c r="A32" s="25"/>
      <c r="B32" s="25" t="s">
        <v>458</v>
      </c>
      <c r="C32" s="25" t="s">
        <v>438</v>
      </c>
      <c r="D32" s="25">
        <v>1.4</v>
      </c>
      <c r="E32" s="130"/>
      <c r="F32" s="224" t="s">
        <v>316</v>
      </c>
      <c r="G32" s="41">
        <v>2.84</v>
      </c>
      <c r="H32" s="131"/>
      <c r="I32" s="35">
        <v>3.9759999999999995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3.9759999999999995</v>
      </c>
      <c r="P32" s="200">
        <f t="shared" si="6"/>
        <v>0</v>
      </c>
      <c r="Q32" s="35">
        <v>2544.64</v>
      </c>
      <c r="R32" s="200">
        <f t="shared" si="7"/>
        <v>0</v>
      </c>
    </row>
    <row r="33" spans="1:18" x14ac:dyDescent="0.2">
      <c r="A33" s="25"/>
      <c r="B33" s="25" t="s">
        <v>458</v>
      </c>
      <c r="C33" s="25" t="s">
        <v>402</v>
      </c>
      <c r="D33" s="25">
        <v>2</v>
      </c>
      <c r="E33" s="130"/>
      <c r="F33" s="224" t="s">
        <v>316</v>
      </c>
      <c r="G33" s="41">
        <v>2.81</v>
      </c>
      <c r="H33" s="131"/>
      <c r="I33" s="35">
        <v>5.62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5.62</v>
      </c>
      <c r="P33" s="200">
        <f t="shared" si="6"/>
        <v>0</v>
      </c>
      <c r="Q33" s="35">
        <v>3596.8</v>
      </c>
      <c r="R33" s="200">
        <f t="shared" si="7"/>
        <v>0</v>
      </c>
    </row>
    <row r="34" spans="1:18" x14ac:dyDescent="0.2">
      <c r="A34" s="25"/>
      <c r="B34" s="25" t="s">
        <v>48</v>
      </c>
      <c r="C34" s="25"/>
      <c r="D34" s="25"/>
      <c r="E34" s="25"/>
      <c r="F34" s="25"/>
      <c r="G34" s="25"/>
      <c r="H34" s="25"/>
      <c r="I34" s="25"/>
      <c r="J34" s="25"/>
      <c r="K34" s="223"/>
      <c r="L34" s="25"/>
      <c r="M34" s="25"/>
      <c r="N34" s="25"/>
      <c r="O34" s="25"/>
      <c r="P34" s="25"/>
      <c r="Q34" s="25"/>
      <c r="R34" s="25"/>
    </row>
    <row r="35" spans="1:18" x14ac:dyDescent="0.2">
      <c r="A35" s="25"/>
      <c r="B35" s="25" t="s">
        <v>458</v>
      </c>
      <c r="C35" s="25" t="s">
        <v>429</v>
      </c>
      <c r="D35" s="25">
        <v>2</v>
      </c>
      <c r="E35" s="130"/>
      <c r="F35" s="224" t="s">
        <v>410</v>
      </c>
      <c r="G35" s="41">
        <v>4.5</v>
      </c>
      <c r="H35" s="131"/>
      <c r="I35" s="35">
        <v>9</v>
      </c>
      <c r="J35" s="200">
        <f t="shared" si="4"/>
        <v>0</v>
      </c>
      <c r="K35" s="223">
        <v>0</v>
      </c>
      <c r="L35" s="212"/>
      <c r="M35" s="35">
        <v>0</v>
      </c>
      <c r="N35" s="200">
        <f t="shared" si="5"/>
        <v>0</v>
      </c>
      <c r="O35" s="35">
        <v>9</v>
      </c>
      <c r="P35" s="200">
        <f t="shared" si="6"/>
        <v>0</v>
      </c>
      <c r="Q35" s="35">
        <v>5760</v>
      </c>
      <c r="R35" s="200">
        <f t="shared" si="7"/>
        <v>0</v>
      </c>
    </row>
    <row r="36" spans="1:18" x14ac:dyDescent="0.2">
      <c r="A36" s="25"/>
      <c r="B36" s="131"/>
      <c r="C36" s="131"/>
      <c r="D36" s="25">
        <v>0</v>
      </c>
      <c r="E36" s="130"/>
      <c r="F36" s="224"/>
      <c r="G36" s="41">
        <v>0</v>
      </c>
      <c r="H36" s="131"/>
      <c r="I36" s="35">
        <v>0</v>
      </c>
      <c r="J36" s="200">
        <f t="shared" si="4"/>
        <v>0</v>
      </c>
      <c r="K36" s="223">
        <v>0</v>
      </c>
      <c r="L36" s="212"/>
      <c r="M36" s="35">
        <v>0</v>
      </c>
      <c r="N36" s="200">
        <f t="shared" si="5"/>
        <v>0</v>
      </c>
      <c r="O36" s="35">
        <v>0</v>
      </c>
      <c r="P36" s="200">
        <f t="shared" si="6"/>
        <v>0</v>
      </c>
      <c r="Q36" s="35">
        <v>0</v>
      </c>
      <c r="R36" s="200">
        <f t="shared" si="7"/>
        <v>0</v>
      </c>
    </row>
    <row r="37" spans="1:18" x14ac:dyDescent="0.2">
      <c r="A37" s="25"/>
      <c r="B37" s="131"/>
      <c r="C37" s="131"/>
      <c r="D37" s="25">
        <v>0</v>
      </c>
      <c r="E37" s="130"/>
      <c r="F37" s="224"/>
      <c r="G37" s="41">
        <v>0</v>
      </c>
      <c r="H37" s="131"/>
      <c r="I37" s="35">
        <v>0</v>
      </c>
      <c r="J37" s="200">
        <f t="shared" si="4"/>
        <v>0</v>
      </c>
      <c r="K37" s="223">
        <v>0</v>
      </c>
      <c r="L37" s="212"/>
      <c r="M37" s="35">
        <v>0</v>
      </c>
      <c r="N37" s="200">
        <f t="shared" si="5"/>
        <v>0</v>
      </c>
      <c r="O37" s="35">
        <v>0</v>
      </c>
      <c r="P37" s="200">
        <f t="shared" si="6"/>
        <v>0</v>
      </c>
      <c r="Q37" s="35">
        <v>0</v>
      </c>
      <c r="R37" s="200">
        <f t="shared" si="7"/>
        <v>0</v>
      </c>
    </row>
    <row r="38" spans="1:18" x14ac:dyDescent="0.2">
      <c r="A38" s="25"/>
      <c r="B38" s="131"/>
      <c r="C38" s="131"/>
      <c r="D38" s="25">
        <v>0</v>
      </c>
      <c r="E38" s="130"/>
      <c r="F38" s="224"/>
      <c r="G38" s="41">
        <v>0</v>
      </c>
      <c r="H38" s="131"/>
      <c r="I38" s="35">
        <v>0</v>
      </c>
      <c r="J38" s="200">
        <f>E38*H38</f>
        <v>0</v>
      </c>
      <c r="K38" s="223">
        <v>0</v>
      </c>
      <c r="L38" s="212"/>
      <c r="M38" s="35">
        <v>0</v>
      </c>
      <c r="N38" s="200">
        <f>J38*L38</f>
        <v>0</v>
      </c>
      <c r="O38" s="35">
        <v>0</v>
      </c>
      <c r="P38" s="200">
        <f>+J38-N38</f>
        <v>0</v>
      </c>
      <c r="Q38" s="35">
        <v>0</v>
      </c>
      <c r="R38" s="200">
        <f>+J38*E$7</f>
        <v>0</v>
      </c>
    </row>
    <row r="39" spans="1:18" x14ac:dyDescent="0.2">
      <c r="A39" s="25"/>
      <c r="B39" s="25" t="s">
        <v>45</v>
      </c>
      <c r="C39" s="25"/>
      <c r="D39" s="25"/>
      <c r="E39" s="207"/>
      <c r="F39" s="21"/>
      <c r="G39" s="41"/>
      <c r="H39" s="196"/>
      <c r="I39" s="184"/>
      <c r="J39" s="182"/>
      <c r="K39" s="223"/>
      <c r="L39" s="196"/>
      <c r="M39" s="35"/>
      <c r="N39" s="182"/>
      <c r="O39" s="35"/>
      <c r="P39" s="182"/>
      <c r="Q39" s="35"/>
      <c r="R39" s="182"/>
    </row>
    <row r="40" spans="1:18" x14ac:dyDescent="0.2">
      <c r="A40" s="25"/>
      <c r="B40" s="25"/>
      <c r="C40" s="25" t="s">
        <v>146</v>
      </c>
      <c r="D40" s="34">
        <v>10</v>
      </c>
      <c r="E40" s="130"/>
      <c r="F40" s="224" t="s">
        <v>142</v>
      </c>
      <c r="G40" s="41">
        <v>6.75</v>
      </c>
      <c r="H40" s="131"/>
      <c r="I40" s="35">
        <v>67.5</v>
      </c>
      <c r="J40" s="200">
        <f t="shared" ref="J40:J41" si="8">E40*H40</f>
        <v>0</v>
      </c>
      <c r="K40" s="223">
        <v>0</v>
      </c>
      <c r="L40" s="212"/>
      <c r="M40" s="35">
        <v>0</v>
      </c>
      <c r="N40" s="200">
        <f t="shared" ref="N40:N41" si="9">J40*L40</f>
        <v>0</v>
      </c>
      <c r="O40" s="35">
        <v>67.5</v>
      </c>
      <c r="P40" s="200">
        <f t="shared" ref="P40:P41" si="10">+J40-N40</f>
        <v>0</v>
      </c>
      <c r="Q40" s="35">
        <v>43200</v>
      </c>
      <c r="R40" s="200">
        <f t="shared" ref="R40:R41" si="11">+J40*E$7</f>
        <v>0</v>
      </c>
    </row>
    <row r="41" spans="1:18" x14ac:dyDescent="0.2">
      <c r="A41" s="25"/>
      <c r="B41" s="25"/>
      <c r="C41" s="25" t="s">
        <v>136</v>
      </c>
      <c r="D41" s="34">
        <v>0.51200000000000001</v>
      </c>
      <c r="E41" s="130"/>
      <c r="F41" s="224" t="s">
        <v>44</v>
      </c>
      <c r="G41" s="41">
        <v>15</v>
      </c>
      <c r="H41" s="131"/>
      <c r="I41" s="35">
        <v>7.68</v>
      </c>
      <c r="J41" s="200">
        <f t="shared" si="8"/>
        <v>0</v>
      </c>
      <c r="K41" s="223">
        <v>0</v>
      </c>
      <c r="L41" s="212"/>
      <c r="M41" s="35">
        <v>0</v>
      </c>
      <c r="N41" s="200">
        <f t="shared" si="9"/>
        <v>0</v>
      </c>
      <c r="O41" s="35">
        <v>7.68</v>
      </c>
      <c r="P41" s="200">
        <f t="shared" si="10"/>
        <v>0</v>
      </c>
      <c r="Q41" s="35">
        <v>4915.2</v>
      </c>
      <c r="R41" s="200">
        <f t="shared" si="11"/>
        <v>0</v>
      </c>
    </row>
    <row r="42" spans="1:18" x14ac:dyDescent="0.2">
      <c r="A42" s="25"/>
      <c r="B42" s="25" t="s">
        <v>106</v>
      </c>
      <c r="C42" s="25"/>
      <c r="D42" s="25"/>
      <c r="E42" s="104"/>
      <c r="H42" s="104"/>
      <c r="I42" s="121"/>
      <c r="J42" s="104"/>
      <c r="K42" s="223"/>
      <c r="L42" s="104"/>
      <c r="N42" s="104"/>
      <c r="P42" s="104"/>
      <c r="R42" s="104"/>
    </row>
    <row r="43" spans="1:18" x14ac:dyDescent="0.2">
      <c r="A43" s="25"/>
      <c r="B43" s="25"/>
      <c r="C43" s="25" t="s">
        <v>103</v>
      </c>
      <c r="D43" s="25">
        <v>0.2</v>
      </c>
      <c r="E43" s="130"/>
      <c r="F43" s="224" t="s">
        <v>44</v>
      </c>
      <c r="G43" s="41">
        <v>15</v>
      </c>
      <c r="H43" s="131"/>
      <c r="I43" s="35">
        <v>3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3</v>
      </c>
      <c r="P43" s="200">
        <f>+J43-N43</f>
        <v>0</v>
      </c>
      <c r="Q43" s="35">
        <v>1920</v>
      </c>
      <c r="R43" s="200">
        <f>+J43*E$7</f>
        <v>0</v>
      </c>
    </row>
    <row r="44" spans="1:18" x14ac:dyDescent="0.2">
      <c r="A44" s="25"/>
      <c r="B44" s="25"/>
      <c r="C44" s="25" t="s">
        <v>105</v>
      </c>
      <c r="D44" s="25">
        <v>0.23</v>
      </c>
      <c r="E44" s="130"/>
      <c r="F44" s="224" t="s">
        <v>44</v>
      </c>
      <c r="G44" s="41">
        <v>15</v>
      </c>
      <c r="H44" s="131"/>
      <c r="I44" s="35">
        <v>3.45</v>
      </c>
      <c r="J44" s="200">
        <f>E44*H44</f>
        <v>0</v>
      </c>
      <c r="K44" s="223">
        <v>0</v>
      </c>
      <c r="L44" s="212"/>
      <c r="M44" s="35">
        <v>0</v>
      </c>
      <c r="N44" s="200">
        <f>J44*L44</f>
        <v>0</v>
      </c>
      <c r="O44" s="35">
        <v>3.45</v>
      </c>
      <c r="P44" s="200">
        <f>+J44-N44</f>
        <v>0</v>
      </c>
      <c r="Q44" s="35">
        <v>2208</v>
      </c>
      <c r="R44" s="200">
        <f>+J44*E$7</f>
        <v>0</v>
      </c>
    </row>
    <row r="45" spans="1:18" x14ac:dyDescent="0.2">
      <c r="A45" s="25"/>
      <c r="B45" s="25"/>
      <c r="C45" s="25"/>
      <c r="D45" s="25"/>
      <c r="E45" s="207"/>
      <c r="F45" s="21"/>
      <c r="G45" s="41"/>
      <c r="H45" s="196"/>
      <c r="I45" s="35"/>
      <c r="J45" s="182"/>
      <c r="K45" s="223"/>
      <c r="L45" s="196"/>
      <c r="M45" s="35"/>
      <c r="N45" s="182"/>
      <c r="O45" s="35"/>
      <c r="P45" s="182"/>
      <c r="Q45" s="35"/>
      <c r="R45" s="182"/>
    </row>
    <row r="46" spans="1:18" x14ac:dyDescent="0.2">
      <c r="A46" s="25"/>
      <c r="B46" s="25" t="s">
        <v>51</v>
      </c>
      <c r="C46" s="25"/>
      <c r="D46" s="25"/>
      <c r="E46" s="207"/>
      <c r="F46" s="21"/>
      <c r="G46" s="41"/>
      <c r="H46" s="196"/>
      <c r="I46" s="184"/>
      <c r="J46" s="182"/>
      <c r="K46" s="223"/>
      <c r="L46" s="196"/>
      <c r="M46" s="35"/>
      <c r="N46" s="182"/>
      <c r="O46" s="35"/>
      <c r="P46" s="182"/>
      <c r="Q46" s="35"/>
      <c r="R46" s="182"/>
    </row>
    <row r="47" spans="1:18" x14ac:dyDescent="0.2">
      <c r="A47" s="25"/>
      <c r="B47" s="25"/>
      <c r="C47" s="25" t="s">
        <v>102</v>
      </c>
      <c r="D47" s="25">
        <v>1</v>
      </c>
      <c r="E47" s="130"/>
      <c r="F47" s="224" t="s">
        <v>42</v>
      </c>
      <c r="G47" s="41">
        <v>0</v>
      </c>
      <c r="H47" s="131"/>
      <c r="I47" s="35">
        <v>0</v>
      </c>
      <c r="J47" s="200">
        <f>E47*H47</f>
        <v>0</v>
      </c>
      <c r="K47" s="223">
        <v>0</v>
      </c>
      <c r="L47" s="212"/>
      <c r="M47" s="35">
        <v>0</v>
      </c>
      <c r="N47" s="200">
        <f>J47*L47</f>
        <v>0</v>
      </c>
      <c r="O47" s="35">
        <v>0</v>
      </c>
      <c r="P47" s="200">
        <f>+J47-N47</f>
        <v>0</v>
      </c>
      <c r="Q47" s="35">
        <v>0</v>
      </c>
      <c r="R47" s="200">
        <f>+J47*E$7</f>
        <v>0</v>
      </c>
    </row>
    <row r="48" spans="1:18" x14ac:dyDescent="0.2">
      <c r="A48" s="25"/>
      <c r="B48" s="25"/>
      <c r="C48" s="25" t="s">
        <v>103</v>
      </c>
      <c r="D48" s="25">
        <v>2.39</v>
      </c>
      <c r="E48" s="130"/>
      <c r="F48" s="224" t="s">
        <v>79</v>
      </c>
      <c r="G48" s="41">
        <v>3.0190000000000001</v>
      </c>
      <c r="H48" s="131"/>
      <c r="I48" s="35">
        <v>7.2154100000000003</v>
      </c>
      <c r="J48" s="200">
        <f>E48*H48</f>
        <v>0</v>
      </c>
      <c r="K48" s="223">
        <v>0</v>
      </c>
      <c r="L48" s="212"/>
      <c r="M48" s="35">
        <v>0</v>
      </c>
      <c r="N48" s="200">
        <f>J48*L48</f>
        <v>0</v>
      </c>
      <c r="O48" s="35">
        <v>7.2154100000000003</v>
      </c>
      <c r="P48" s="200">
        <f>+J48-N48</f>
        <v>0</v>
      </c>
      <c r="Q48" s="35">
        <v>4617.8624</v>
      </c>
      <c r="R48" s="200">
        <f>+J48*E$7</f>
        <v>0</v>
      </c>
    </row>
    <row r="49" spans="1:18" x14ac:dyDescent="0.2">
      <c r="A49" s="25"/>
      <c r="B49" s="25"/>
      <c r="C49" s="25"/>
      <c r="D49" s="25"/>
      <c r="E49" s="207"/>
      <c r="F49" s="21"/>
      <c r="G49" s="41"/>
      <c r="H49" s="196"/>
      <c r="I49" s="35"/>
      <c r="J49" s="182"/>
      <c r="K49" s="223"/>
      <c r="L49" s="196"/>
      <c r="M49" s="35"/>
      <c r="N49" s="182"/>
      <c r="O49" s="35"/>
      <c r="P49" s="182"/>
      <c r="Q49" s="35"/>
      <c r="R49" s="182"/>
    </row>
    <row r="50" spans="1:18" x14ac:dyDescent="0.2">
      <c r="A50" s="25"/>
      <c r="B50" s="25" t="s">
        <v>29</v>
      </c>
      <c r="C50" s="25"/>
      <c r="D50" s="25"/>
      <c r="E50" s="207"/>
      <c r="F50" s="21"/>
      <c r="G50" s="41"/>
      <c r="H50" s="196"/>
      <c r="I50" s="184"/>
      <c r="J50" s="182"/>
      <c r="K50" s="223"/>
      <c r="L50" s="196"/>
      <c r="M50" s="35"/>
      <c r="N50" s="182"/>
      <c r="O50" s="35"/>
      <c r="P50" s="182"/>
      <c r="Q50" s="35"/>
      <c r="R50" s="182"/>
    </row>
    <row r="51" spans="1:18" x14ac:dyDescent="0.2">
      <c r="A51" s="25"/>
      <c r="B51" s="25"/>
      <c r="C51" s="25" t="s">
        <v>102</v>
      </c>
      <c r="D51" s="25">
        <v>1</v>
      </c>
      <c r="E51" s="130"/>
      <c r="F51" s="224" t="s">
        <v>42</v>
      </c>
      <c r="G51" s="41">
        <v>2.109375</v>
      </c>
      <c r="H51" s="131"/>
      <c r="I51" s="35">
        <v>2.109375</v>
      </c>
      <c r="J51" s="200">
        <f>E51*H51</f>
        <v>0</v>
      </c>
      <c r="K51" s="223">
        <v>0</v>
      </c>
      <c r="L51" s="212"/>
      <c r="M51" s="35">
        <v>0</v>
      </c>
      <c r="N51" s="200">
        <f>J51*L51</f>
        <v>0</v>
      </c>
      <c r="O51" s="35">
        <v>2.109375</v>
      </c>
      <c r="P51" s="200">
        <f>+J51-N51</f>
        <v>0</v>
      </c>
      <c r="Q51" s="35">
        <v>1350</v>
      </c>
      <c r="R51" s="200">
        <f>+J51*E$7</f>
        <v>0</v>
      </c>
    </row>
    <row r="52" spans="1:18" x14ac:dyDescent="0.2">
      <c r="A52" s="25"/>
      <c r="B52" s="25"/>
      <c r="C52" s="25" t="s">
        <v>103</v>
      </c>
      <c r="D52" s="25">
        <v>0</v>
      </c>
      <c r="E52" s="130"/>
      <c r="F52" s="224" t="s">
        <v>79</v>
      </c>
      <c r="G52" s="41">
        <v>3.09</v>
      </c>
      <c r="H52" s="131"/>
      <c r="I52" s="35">
        <v>0</v>
      </c>
      <c r="J52" s="200">
        <f>E52*H52</f>
        <v>0</v>
      </c>
      <c r="K52" s="223">
        <v>0</v>
      </c>
      <c r="L52" s="212"/>
      <c r="M52" s="35">
        <v>0</v>
      </c>
      <c r="N52" s="200">
        <f>J52*L52</f>
        <v>0</v>
      </c>
      <c r="O52" s="35">
        <v>0</v>
      </c>
      <c r="P52" s="200">
        <f>+J52-N52</f>
        <v>0</v>
      </c>
      <c r="Q52" s="35">
        <v>0</v>
      </c>
      <c r="R52" s="200">
        <f>+J52*E$7</f>
        <v>0</v>
      </c>
    </row>
    <row r="53" spans="1:18" x14ac:dyDescent="0.2">
      <c r="A53" s="25"/>
      <c r="B53" s="25"/>
      <c r="C53" s="25"/>
      <c r="D53" s="25"/>
      <c r="E53" s="207"/>
      <c r="F53" s="21"/>
      <c r="G53" s="41"/>
      <c r="H53" s="196"/>
      <c r="I53" s="35"/>
      <c r="J53" s="182"/>
      <c r="K53" s="223"/>
      <c r="L53" s="196"/>
      <c r="M53" s="35"/>
      <c r="N53" s="182"/>
      <c r="O53" s="35"/>
      <c r="P53" s="182"/>
      <c r="Q53" s="35"/>
      <c r="R53" s="182"/>
    </row>
    <row r="54" spans="1:18" x14ac:dyDescent="0.2">
      <c r="A54" s="25"/>
      <c r="B54" s="25" t="s">
        <v>47</v>
      </c>
      <c r="C54" s="25"/>
      <c r="D54" s="25"/>
      <c r="E54" s="207"/>
      <c r="F54" s="21"/>
      <c r="G54" s="41"/>
      <c r="H54" s="197"/>
      <c r="I54" s="184"/>
      <c r="J54" s="182"/>
      <c r="K54" s="223"/>
      <c r="L54" s="197"/>
      <c r="M54" s="35"/>
      <c r="N54" s="182"/>
      <c r="O54" s="35"/>
      <c r="P54" s="182"/>
      <c r="Q54" s="35"/>
      <c r="R54" s="182"/>
    </row>
    <row r="55" spans="1:18" x14ac:dyDescent="0.2">
      <c r="A55" s="25"/>
      <c r="B55" s="25"/>
      <c r="C55" s="25" t="s">
        <v>102</v>
      </c>
      <c r="D55" s="25">
        <v>1</v>
      </c>
      <c r="E55" s="130"/>
      <c r="F55" s="224" t="s">
        <v>42</v>
      </c>
      <c r="G55" s="41">
        <v>0.703125</v>
      </c>
      <c r="H55" s="131"/>
      <c r="I55" s="35">
        <v>0.703125</v>
      </c>
      <c r="J55" s="200">
        <f t="shared" ref="J55:J60" si="12">E55*H55</f>
        <v>0</v>
      </c>
      <c r="K55" s="223">
        <v>0</v>
      </c>
      <c r="L55" s="212"/>
      <c r="M55" s="35">
        <v>0</v>
      </c>
      <c r="N55" s="200">
        <f t="shared" ref="N55:N60" si="13">J55*L55</f>
        <v>0</v>
      </c>
      <c r="O55" s="35">
        <v>0.703125</v>
      </c>
      <c r="P55" s="200">
        <f t="shared" ref="P55:P60" si="14">+J55-N55</f>
        <v>0</v>
      </c>
      <c r="Q55" s="35">
        <v>450</v>
      </c>
      <c r="R55" s="200">
        <f t="shared" ref="R55:R60" si="15">+J55*E$7</f>
        <v>0</v>
      </c>
    </row>
    <row r="56" spans="1:18" x14ac:dyDescent="0.2">
      <c r="A56" s="25"/>
      <c r="B56" s="25"/>
      <c r="C56" s="25" t="s">
        <v>46</v>
      </c>
      <c r="D56" s="25">
        <v>1</v>
      </c>
      <c r="E56" s="130"/>
      <c r="F56" s="224" t="s">
        <v>42</v>
      </c>
      <c r="G56" s="41">
        <v>11.113</v>
      </c>
      <c r="H56" s="131"/>
      <c r="I56" s="35">
        <v>11.113</v>
      </c>
      <c r="J56" s="200">
        <f t="shared" si="12"/>
        <v>0</v>
      </c>
      <c r="K56" s="223">
        <v>0</v>
      </c>
      <c r="L56" s="212"/>
      <c r="M56" s="35">
        <v>0</v>
      </c>
      <c r="N56" s="200">
        <f t="shared" si="13"/>
        <v>0</v>
      </c>
      <c r="O56" s="35">
        <v>11.113</v>
      </c>
      <c r="P56" s="200">
        <f t="shared" si="14"/>
        <v>0</v>
      </c>
      <c r="Q56" s="35">
        <v>7112.32</v>
      </c>
      <c r="R56" s="200">
        <f t="shared" si="15"/>
        <v>0</v>
      </c>
    </row>
    <row r="57" spans="1:18" x14ac:dyDescent="0.2">
      <c r="A57" s="25"/>
      <c r="B57" s="25"/>
      <c r="C57" s="25" t="s">
        <v>103</v>
      </c>
      <c r="D57" s="25">
        <v>1</v>
      </c>
      <c r="E57" s="130"/>
      <c r="F57" s="224" t="s">
        <v>42</v>
      </c>
      <c r="G57" s="41">
        <v>6.8087151973205282</v>
      </c>
      <c r="H57" s="131"/>
      <c r="I57" s="35">
        <v>6.8087151973205282</v>
      </c>
      <c r="J57" s="200">
        <f t="shared" si="12"/>
        <v>0</v>
      </c>
      <c r="K57" s="223">
        <v>0</v>
      </c>
      <c r="L57" s="212"/>
      <c r="M57" s="35">
        <v>0</v>
      </c>
      <c r="N57" s="200">
        <f t="shared" si="13"/>
        <v>0</v>
      </c>
      <c r="O57" s="35">
        <v>6.8087151973205282</v>
      </c>
      <c r="P57" s="200">
        <f t="shared" si="14"/>
        <v>0</v>
      </c>
      <c r="Q57" s="35">
        <v>4357.5777262851379</v>
      </c>
      <c r="R57" s="200">
        <f t="shared" si="15"/>
        <v>0</v>
      </c>
    </row>
    <row r="58" spans="1:18" x14ac:dyDescent="0.2">
      <c r="A58" s="25"/>
      <c r="B58" s="25"/>
      <c r="C58" s="25" t="s">
        <v>5</v>
      </c>
      <c r="D58" s="25">
        <v>1</v>
      </c>
      <c r="E58" s="130"/>
      <c r="F58" s="224" t="s">
        <v>42</v>
      </c>
      <c r="G58" s="41">
        <v>12.850562707642814</v>
      </c>
      <c r="H58" s="131"/>
      <c r="I58" s="35">
        <v>12.850562707642814</v>
      </c>
      <c r="J58" s="200">
        <f t="shared" si="12"/>
        <v>0</v>
      </c>
      <c r="K58" s="223">
        <v>0</v>
      </c>
      <c r="L58" s="212"/>
      <c r="M58" s="35">
        <v>0</v>
      </c>
      <c r="N58" s="200">
        <f t="shared" si="13"/>
        <v>0</v>
      </c>
      <c r="O58" s="35">
        <v>12.850562707642814</v>
      </c>
      <c r="P58" s="200">
        <f t="shared" si="14"/>
        <v>0</v>
      </c>
      <c r="Q58" s="35">
        <v>8224.360132891401</v>
      </c>
      <c r="R58" s="200">
        <f t="shared" si="15"/>
        <v>0</v>
      </c>
    </row>
    <row r="59" spans="1:18" x14ac:dyDescent="0.2">
      <c r="A59" s="25"/>
      <c r="B59" s="131"/>
      <c r="C59" s="131"/>
      <c r="D59" s="25"/>
      <c r="E59" s="130"/>
      <c r="F59" s="224"/>
      <c r="G59" s="41"/>
      <c r="H59" s="131"/>
      <c r="I59" s="35">
        <v>0</v>
      </c>
      <c r="J59" s="200">
        <f t="shared" si="12"/>
        <v>0</v>
      </c>
      <c r="K59" s="223">
        <v>0</v>
      </c>
      <c r="L59" s="212"/>
      <c r="M59" s="35">
        <v>0</v>
      </c>
      <c r="N59" s="200">
        <f t="shared" si="13"/>
        <v>0</v>
      </c>
      <c r="O59" s="35">
        <v>0</v>
      </c>
      <c r="P59" s="200">
        <f t="shared" si="14"/>
        <v>0</v>
      </c>
      <c r="Q59" s="35">
        <v>0</v>
      </c>
      <c r="R59" s="200">
        <f t="shared" si="15"/>
        <v>0</v>
      </c>
    </row>
    <row r="60" spans="1:18" x14ac:dyDescent="0.2">
      <c r="A60" s="25"/>
      <c r="B60" s="131"/>
      <c r="C60" s="131"/>
      <c r="D60" s="25"/>
      <c r="E60" s="130"/>
      <c r="F60" s="224"/>
      <c r="G60" s="41"/>
      <c r="H60" s="131"/>
      <c r="I60" s="35">
        <v>0</v>
      </c>
      <c r="J60" s="200">
        <f t="shared" si="12"/>
        <v>0</v>
      </c>
      <c r="K60" s="223">
        <v>0</v>
      </c>
      <c r="L60" s="212"/>
      <c r="M60" s="35">
        <v>0</v>
      </c>
      <c r="N60" s="200">
        <f t="shared" si="13"/>
        <v>0</v>
      </c>
      <c r="O60" s="35">
        <v>0</v>
      </c>
      <c r="P60" s="200">
        <f t="shared" si="14"/>
        <v>0</v>
      </c>
      <c r="Q60" s="35">
        <v>0</v>
      </c>
      <c r="R60" s="200">
        <f t="shared" si="15"/>
        <v>0</v>
      </c>
    </row>
    <row r="61" spans="1:18" ht="13.5" thickBot="1" x14ac:dyDescent="0.25">
      <c r="A61" s="25"/>
      <c r="B61" s="25" t="s">
        <v>32</v>
      </c>
      <c r="C61" s="25"/>
      <c r="D61" s="25"/>
      <c r="E61" s="195"/>
      <c r="F61" s="21"/>
      <c r="G61" s="39">
        <v>0.09</v>
      </c>
      <c r="H61" s="213"/>
      <c r="I61" s="42">
        <v>14.958868838581898</v>
      </c>
      <c r="J61" s="200">
        <f>+SUM(J18:J60)/2*H61</f>
        <v>0</v>
      </c>
      <c r="K61" s="86"/>
      <c r="L61" s="135"/>
      <c r="M61" s="42">
        <v>0</v>
      </c>
      <c r="N61" s="200">
        <f>+SUM(N18:N60)/2*L61</f>
        <v>0</v>
      </c>
      <c r="O61" s="42">
        <v>14.958868838581898</v>
      </c>
      <c r="P61" s="200">
        <f>+SUM(P18:P60)/2*L61</f>
        <v>0</v>
      </c>
      <c r="Q61" s="42">
        <v>9573.6760566924149</v>
      </c>
      <c r="R61" s="182">
        <f>+J61*E$7</f>
        <v>0</v>
      </c>
    </row>
    <row r="62" spans="1:18" ht="13.5" thickBot="1" x14ac:dyDescent="0.25">
      <c r="A62" s="25" t="s">
        <v>33</v>
      </c>
      <c r="B62" s="25"/>
      <c r="C62" s="25"/>
      <c r="D62" s="25"/>
      <c r="E62" s="198"/>
      <c r="F62" s="25"/>
      <c r="G62" s="25"/>
      <c r="H62" s="195"/>
      <c r="I62" s="87">
        <v>309.36505674354527</v>
      </c>
      <c r="J62" s="202">
        <f>SUM(J19:J61)</f>
        <v>0</v>
      </c>
      <c r="K62" s="35"/>
      <c r="L62" s="193"/>
      <c r="M62" s="87">
        <v>0</v>
      </c>
      <c r="N62" s="202">
        <f>SUM(N19:N61)</f>
        <v>0</v>
      </c>
      <c r="O62" s="87">
        <v>309.36505674354527</v>
      </c>
      <c r="P62" s="202">
        <f>SUM(P19:P61)</f>
        <v>0</v>
      </c>
      <c r="Q62" s="87">
        <v>197993.63631586899</v>
      </c>
      <c r="R62" s="202">
        <f>SUM(R19:R61)</f>
        <v>0</v>
      </c>
    </row>
    <row r="63" spans="1:18" ht="13.5" thickTop="1" x14ac:dyDescent="0.2">
      <c r="A63" s="25" t="s">
        <v>34</v>
      </c>
      <c r="B63" s="25"/>
      <c r="C63" s="25"/>
      <c r="D63" s="25"/>
      <c r="E63" s="198"/>
      <c r="F63" s="25"/>
      <c r="G63" s="25"/>
      <c r="H63" s="195"/>
      <c r="I63" s="35">
        <v>68.884943256454733</v>
      </c>
      <c r="J63" s="200">
        <f>+J14-J62</f>
        <v>0</v>
      </c>
      <c r="K63" s="35"/>
      <c r="L63" s="193"/>
      <c r="M63" s="35">
        <v>0</v>
      </c>
      <c r="N63" s="200">
        <f>+N14-N62</f>
        <v>0</v>
      </c>
      <c r="O63" s="35">
        <v>68.884943256454733</v>
      </c>
      <c r="P63" s="200">
        <f>+P14-P62</f>
        <v>0</v>
      </c>
      <c r="Q63" s="35">
        <v>44086.363684131007</v>
      </c>
      <c r="R63" s="200">
        <f>+R14-R62</f>
        <v>0</v>
      </c>
    </row>
    <row r="64" spans="1:18" x14ac:dyDescent="0.2">
      <c r="A64" s="25"/>
      <c r="B64" s="25" t="s">
        <v>35</v>
      </c>
      <c r="C64" s="25"/>
      <c r="D64" s="25"/>
      <c r="E64" s="208"/>
      <c r="F64" s="17"/>
      <c r="G64" s="40">
        <v>3.9519176123924211</v>
      </c>
      <c r="H64" s="208" t="str">
        <f>IF(E10=0,"n/a",(YVarExp-(YTotExp+YTotRet-J10))/E10)</f>
        <v>n/a</v>
      </c>
      <c r="I64" s="25" t="s">
        <v>83</v>
      </c>
      <c r="J64" s="182"/>
      <c r="K64" s="25"/>
      <c r="L64" s="195"/>
      <c r="M64" s="25"/>
      <c r="N64" s="182"/>
      <c r="O64" s="25"/>
      <c r="P64" s="182"/>
      <c r="Q64" s="25"/>
      <c r="R64" s="182"/>
    </row>
    <row r="65" spans="1:18" x14ac:dyDescent="0.2">
      <c r="A65" s="25"/>
      <c r="B65" s="25"/>
      <c r="C65" s="25"/>
      <c r="D65" s="25"/>
      <c r="E65" s="176"/>
      <c r="F65" s="25"/>
      <c r="G65" s="25"/>
      <c r="H65" s="209"/>
      <c r="I65" s="25"/>
      <c r="J65" s="182"/>
      <c r="K65" s="25"/>
      <c r="L65" s="195"/>
      <c r="M65" s="25"/>
      <c r="N65" s="182"/>
      <c r="O65" s="25"/>
      <c r="P65" s="182"/>
      <c r="Q65" s="22" t="s">
        <v>19</v>
      </c>
      <c r="R65" s="182" t="s">
        <v>19</v>
      </c>
    </row>
    <row r="66" spans="1:18" x14ac:dyDescent="0.2">
      <c r="A66" s="23" t="s">
        <v>36</v>
      </c>
      <c r="B66" s="23"/>
      <c r="C66" s="23"/>
      <c r="D66" s="24" t="s">
        <v>2</v>
      </c>
      <c r="E66" s="194" t="s">
        <v>2</v>
      </c>
      <c r="F66" s="24" t="s">
        <v>21</v>
      </c>
      <c r="G66" s="24" t="s">
        <v>22</v>
      </c>
      <c r="H66" s="194" t="s">
        <v>22</v>
      </c>
      <c r="I66" s="24" t="s">
        <v>12</v>
      </c>
      <c r="J66" s="194" t="s">
        <v>12</v>
      </c>
      <c r="K66" s="24" t="s">
        <v>11</v>
      </c>
      <c r="L66" s="194" t="s">
        <v>11</v>
      </c>
      <c r="M66" s="24" t="s">
        <v>10</v>
      </c>
      <c r="N66" s="194" t="s">
        <v>10</v>
      </c>
      <c r="O66" s="24" t="s">
        <v>9</v>
      </c>
      <c r="P66" s="194" t="s">
        <v>9</v>
      </c>
      <c r="Q66" s="24" t="s">
        <v>12</v>
      </c>
      <c r="R66" s="206" t="s">
        <v>12</v>
      </c>
    </row>
    <row r="67" spans="1:18" x14ac:dyDescent="0.2">
      <c r="A67" s="25"/>
      <c r="B67" s="25" t="s">
        <v>104</v>
      </c>
      <c r="C67" s="25"/>
      <c r="D67" s="25"/>
      <c r="E67" s="176"/>
      <c r="F67" s="25"/>
      <c r="G67" s="25"/>
      <c r="H67" s="209"/>
      <c r="I67" s="184"/>
      <c r="J67" s="182"/>
      <c r="K67" s="223"/>
      <c r="L67" s="195"/>
      <c r="M67" s="25"/>
      <c r="N67" s="182"/>
      <c r="O67" s="25"/>
      <c r="P67" s="182"/>
      <c r="Q67" s="25"/>
      <c r="R67" s="182"/>
    </row>
    <row r="68" spans="1:18" x14ac:dyDescent="0.2">
      <c r="A68" s="25"/>
      <c r="B68" s="25"/>
      <c r="C68" s="25" t="s">
        <v>102</v>
      </c>
      <c r="D68" s="25">
        <v>1</v>
      </c>
      <c r="E68" s="130"/>
      <c r="F68" s="224" t="s">
        <v>42</v>
      </c>
      <c r="G68" s="41">
        <v>0.97617187500000002</v>
      </c>
      <c r="H68" s="131"/>
      <c r="I68" s="35">
        <v>0.97617187500000002</v>
      </c>
      <c r="J68" s="200">
        <f t="shared" ref="J68:J71" si="16">E68*H68</f>
        <v>0</v>
      </c>
      <c r="K68" s="223">
        <v>0</v>
      </c>
      <c r="L68" s="212"/>
      <c r="M68" s="35">
        <v>0</v>
      </c>
      <c r="N68" s="200">
        <f>J68*L68</f>
        <v>0</v>
      </c>
      <c r="O68" s="35">
        <v>0.97617187500000002</v>
      </c>
      <c r="P68" s="200">
        <f t="shared" ref="P68:P71" si="17">+J68-N68</f>
        <v>0</v>
      </c>
      <c r="Q68" s="35">
        <v>624.75</v>
      </c>
      <c r="R68" s="200">
        <f t="shared" ref="R68:R71" si="18">+J68*E$7</f>
        <v>0</v>
      </c>
    </row>
    <row r="69" spans="1:18" x14ac:dyDescent="0.2">
      <c r="A69" s="25"/>
      <c r="B69" s="25"/>
      <c r="C69" s="25" t="s">
        <v>46</v>
      </c>
      <c r="D69" s="25">
        <v>1</v>
      </c>
      <c r="E69" s="130"/>
      <c r="F69" s="224" t="s">
        <v>42</v>
      </c>
      <c r="G69" s="41">
        <v>24.375</v>
      </c>
      <c r="H69" s="131"/>
      <c r="I69" s="35">
        <v>24.375</v>
      </c>
      <c r="J69" s="200">
        <f t="shared" si="16"/>
        <v>0</v>
      </c>
      <c r="K69" s="223">
        <v>0</v>
      </c>
      <c r="L69" s="212"/>
      <c r="M69" s="35">
        <v>0</v>
      </c>
      <c r="N69" s="200">
        <f>J69*L69</f>
        <v>0</v>
      </c>
      <c r="O69" s="35">
        <v>24.375</v>
      </c>
      <c r="P69" s="200">
        <f t="shared" si="17"/>
        <v>0</v>
      </c>
      <c r="Q69" s="35">
        <v>15600</v>
      </c>
      <c r="R69" s="200">
        <f t="shared" si="18"/>
        <v>0</v>
      </c>
    </row>
    <row r="70" spans="1:18" x14ac:dyDescent="0.2">
      <c r="A70" s="25"/>
      <c r="B70" s="25"/>
      <c r="C70" s="25" t="s">
        <v>103</v>
      </c>
      <c r="D70" s="25">
        <v>1</v>
      </c>
      <c r="E70" s="130"/>
      <c r="F70" s="224" t="s">
        <v>42</v>
      </c>
      <c r="G70" s="41">
        <v>9.2706921904079707</v>
      </c>
      <c r="H70" s="131"/>
      <c r="I70" s="35">
        <v>9.2706921904079707</v>
      </c>
      <c r="J70" s="200">
        <f t="shared" si="16"/>
        <v>0</v>
      </c>
      <c r="K70" s="223">
        <v>0</v>
      </c>
      <c r="L70" s="212"/>
      <c r="M70" s="35">
        <v>0</v>
      </c>
      <c r="N70" s="200">
        <f>J70*L70</f>
        <v>0</v>
      </c>
      <c r="O70" s="35">
        <v>9.2706921904079707</v>
      </c>
      <c r="P70" s="200">
        <f t="shared" si="17"/>
        <v>0</v>
      </c>
      <c r="Q70" s="35">
        <v>5933.2430018611012</v>
      </c>
      <c r="R70" s="200">
        <f t="shared" si="18"/>
        <v>0</v>
      </c>
    </row>
    <row r="71" spans="1:18" x14ac:dyDescent="0.2">
      <c r="A71" s="25"/>
      <c r="B71" s="25"/>
      <c r="C71" s="25" t="s">
        <v>5</v>
      </c>
      <c r="D71" s="25">
        <v>1</v>
      </c>
      <c r="E71" s="130"/>
      <c r="F71" s="224" t="s">
        <v>42</v>
      </c>
      <c r="G71" s="41">
        <v>12.494478220129768</v>
      </c>
      <c r="H71" s="131"/>
      <c r="I71" s="35">
        <v>12.494478220129768</v>
      </c>
      <c r="J71" s="200">
        <f t="shared" si="16"/>
        <v>0</v>
      </c>
      <c r="K71" s="223">
        <v>0</v>
      </c>
      <c r="L71" s="212"/>
      <c r="M71" s="35">
        <v>0</v>
      </c>
      <c r="N71" s="200">
        <f>J71*L71</f>
        <v>0</v>
      </c>
      <c r="O71" s="35">
        <v>12.494478220129768</v>
      </c>
      <c r="P71" s="200">
        <f t="shared" si="17"/>
        <v>0</v>
      </c>
      <c r="Q71" s="35">
        <v>7996.4660608830509</v>
      </c>
      <c r="R71" s="200">
        <f t="shared" si="18"/>
        <v>0</v>
      </c>
    </row>
    <row r="72" spans="1:18" x14ac:dyDescent="0.2">
      <c r="A72" s="25"/>
      <c r="B72" s="25" t="s">
        <v>88</v>
      </c>
      <c r="C72" s="25"/>
      <c r="D72" s="25"/>
      <c r="E72" s="195"/>
      <c r="F72" s="21"/>
      <c r="G72" s="41"/>
      <c r="H72" s="195"/>
      <c r="I72" s="184"/>
      <c r="J72" s="182"/>
      <c r="K72" s="223"/>
      <c r="L72" s="195"/>
      <c r="M72" s="35"/>
      <c r="N72" s="182"/>
      <c r="O72" s="35"/>
      <c r="P72" s="182"/>
      <c r="Q72" s="35"/>
      <c r="R72" s="182"/>
    </row>
    <row r="73" spans="1:18" x14ac:dyDescent="0.2">
      <c r="A73" s="25"/>
      <c r="B73" s="25"/>
      <c r="C73" s="25" t="s">
        <v>102</v>
      </c>
      <c r="D73" s="41">
        <v>6.837890625</v>
      </c>
      <c r="E73" s="130"/>
      <c r="F73" s="224" t="s">
        <v>99</v>
      </c>
      <c r="G73" s="39">
        <v>0.08</v>
      </c>
      <c r="H73" s="213"/>
      <c r="I73" s="35">
        <v>0.54703124999999997</v>
      </c>
      <c r="J73" s="200">
        <f t="shared" ref="J73:J83" si="19">E73*H73</f>
        <v>0</v>
      </c>
      <c r="K73" s="223">
        <v>0</v>
      </c>
      <c r="L73" s="212"/>
      <c r="M73" s="35">
        <v>0</v>
      </c>
      <c r="N73" s="200">
        <f>J73*L73</f>
        <v>0</v>
      </c>
      <c r="O73" s="35">
        <v>0.54703124999999997</v>
      </c>
      <c r="P73" s="200">
        <f t="shared" ref="P73:P76" si="20">+J73-N73</f>
        <v>0</v>
      </c>
      <c r="Q73" s="35">
        <v>350.09999999999997</v>
      </c>
      <c r="R73" s="200">
        <f t="shared" ref="R73:R76" si="21">+J73*E$7</f>
        <v>0</v>
      </c>
    </row>
    <row r="74" spans="1:18" x14ac:dyDescent="0.2">
      <c r="A74" s="25"/>
      <c r="B74" s="25"/>
      <c r="C74" s="25" t="s">
        <v>46</v>
      </c>
      <c r="D74" s="41">
        <v>710.9375</v>
      </c>
      <c r="E74" s="130"/>
      <c r="F74" s="224" t="s">
        <v>99</v>
      </c>
      <c r="G74" s="39">
        <v>0.08</v>
      </c>
      <c r="H74" s="213"/>
      <c r="I74" s="35">
        <v>56.875</v>
      </c>
      <c r="J74" s="200">
        <f t="shared" si="19"/>
        <v>0</v>
      </c>
      <c r="K74" s="223">
        <v>0</v>
      </c>
      <c r="L74" s="212"/>
      <c r="M74" s="35">
        <v>0</v>
      </c>
      <c r="N74" s="200">
        <f>J74*L74</f>
        <v>0</v>
      </c>
      <c r="O74" s="35">
        <v>56.875</v>
      </c>
      <c r="P74" s="200">
        <f t="shared" si="20"/>
        <v>0</v>
      </c>
      <c r="Q74" s="35">
        <v>36400</v>
      </c>
      <c r="R74" s="200">
        <f t="shared" si="21"/>
        <v>0</v>
      </c>
    </row>
    <row r="75" spans="1:18" x14ac:dyDescent="0.2">
      <c r="A75" s="25"/>
      <c r="B75" s="25"/>
      <c r="C75" s="25" t="s">
        <v>103</v>
      </c>
      <c r="D75" s="41">
        <v>71.183215376457539</v>
      </c>
      <c r="E75" s="130"/>
      <c r="F75" s="224" t="s">
        <v>99</v>
      </c>
      <c r="G75" s="39">
        <v>0.08</v>
      </c>
      <c r="H75" s="213"/>
      <c r="I75" s="35">
        <v>5.6946572301166034</v>
      </c>
      <c r="J75" s="200">
        <f t="shared" si="19"/>
        <v>0</v>
      </c>
      <c r="K75" s="223">
        <v>0</v>
      </c>
      <c r="L75" s="212"/>
      <c r="M75" s="35">
        <v>0</v>
      </c>
      <c r="N75" s="200">
        <f>J75*L75</f>
        <v>0</v>
      </c>
      <c r="O75" s="35">
        <v>5.6946572301166034</v>
      </c>
      <c r="P75" s="200">
        <f t="shared" si="20"/>
        <v>0</v>
      </c>
      <c r="Q75" s="35">
        <v>3644.5806272746263</v>
      </c>
      <c r="R75" s="200">
        <f t="shared" si="21"/>
        <v>0</v>
      </c>
    </row>
    <row r="76" spans="1:18" x14ac:dyDescent="0.2">
      <c r="A76" s="25"/>
      <c r="B76" s="25"/>
      <c r="C76" s="25" t="s">
        <v>5</v>
      </c>
      <c r="D76" s="41">
        <v>53.448601274999554</v>
      </c>
      <c r="E76" s="130"/>
      <c r="F76" s="224" t="s">
        <v>99</v>
      </c>
      <c r="G76" s="39">
        <v>0.08</v>
      </c>
      <c r="H76" s="213"/>
      <c r="I76" s="35">
        <v>4.2758881019999642</v>
      </c>
      <c r="J76" s="200">
        <f t="shared" si="19"/>
        <v>0</v>
      </c>
      <c r="K76" s="223">
        <v>0</v>
      </c>
      <c r="L76" s="212"/>
      <c r="M76" s="35">
        <v>0</v>
      </c>
      <c r="N76" s="200">
        <f>J76*L76</f>
        <v>0</v>
      </c>
      <c r="O76" s="35">
        <v>4.2758881019999642</v>
      </c>
      <c r="P76" s="200">
        <f t="shared" si="20"/>
        <v>0</v>
      </c>
      <c r="Q76" s="35">
        <v>2736.5683852799771</v>
      </c>
      <c r="R76" s="200">
        <f t="shared" si="21"/>
        <v>0</v>
      </c>
    </row>
    <row r="77" spans="1:18" x14ac:dyDescent="0.2">
      <c r="A77" s="25"/>
      <c r="B77" s="25" t="s">
        <v>156</v>
      </c>
      <c r="C77" s="25"/>
      <c r="D77" s="25">
        <v>1</v>
      </c>
      <c r="E77" s="130"/>
      <c r="F77" s="224" t="s">
        <v>42</v>
      </c>
      <c r="G77" s="41">
        <v>0</v>
      </c>
      <c r="H77" s="131"/>
      <c r="I77" s="35">
        <v>0</v>
      </c>
      <c r="J77" s="200">
        <f t="shared" si="19"/>
        <v>0</v>
      </c>
      <c r="K77" s="223">
        <v>0</v>
      </c>
      <c r="L77" s="212"/>
      <c r="M77" s="35">
        <v>0</v>
      </c>
      <c r="N77" s="200">
        <f t="shared" ref="N77:N84" si="22">J77*L77</f>
        <v>0</v>
      </c>
      <c r="O77" s="35">
        <v>0</v>
      </c>
      <c r="P77" s="200">
        <f t="shared" ref="P77:P84" si="23">+J77-N77</f>
        <v>0</v>
      </c>
      <c r="Q77" s="35">
        <v>0</v>
      </c>
      <c r="R77" s="200">
        <f t="shared" ref="R77:R84" si="24">+J77*E$7</f>
        <v>0</v>
      </c>
    </row>
    <row r="78" spans="1:18" x14ac:dyDescent="0.2">
      <c r="A78" s="25"/>
      <c r="B78" s="25" t="s">
        <v>152</v>
      </c>
      <c r="C78" s="25"/>
      <c r="D78" s="25">
        <v>1</v>
      </c>
      <c r="E78" s="130"/>
      <c r="F78" s="224" t="s">
        <v>42</v>
      </c>
      <c r="G78" s="41">
        <v>0</v>
      </c>
      <c r="H78" s="131"/>
      <c r="I78" s="35">
        <v>0</v>
      </c>
      <c r="J78" s="200">
        <f t="shared" si="19"/>
        <v>0</v>
      </c>
      <c r="K78" s="223">
        <v>0</v>
      </c>
      <c r="L78" s="212"/>
      <c r="M78" s="35">
        <v>0</v>
      </c>
      <c r="N78" s="200">
        <f t="shared" si="22"/>
        <v>0</v>
      </c>
      <c r="O78" s="35">
        <v>0</v>
      </c>
      <c r="P78" s="200">
        <f t="shared" si="23"/>
        <v>0</v>
      </c>
      <c r="Q78" s="35">
        <v>0</v>
      </c>
      <c r="R78" s="200">
        <f t="shared" si="24"/>
        <v>0</v>
      </c>
    </row>
    <row r="79" spans="1:18" x14ac:dyDescent="0.2">
      <c r="A79" s="25"/>
      <c r="B79" s="25" t="s">
        <v>137</v>
      </c>
      <c r="C79" s="25"/>
      <c r="D79" s="25">
        <v>1</v>
      </c>
      <c r="E79" s="130"/>
      <c r="F79" s="224" t="s">
        <v>42</v>
      </c>
      <c r="G79" s="41">
        <v>0</v>
      </c>
      <c r="H79" s="131"/>
      <c r="I79" s="35">
        <v>0</v>
      </c>
      <c r="J79" s="200">
        <f t="shared" si="19"/>
        <v>0</v>
      </c>
      <c r="K79" s="223">
        <v>0</v>
      </c>
      <c r="L79" s="212"/>
      <c r="M79" s="35">
        <v>0</v>
      </c>
      <c r="N79" s="200">
        <f t="shared" si="22"/>
        <v>0</v>
      </c>
      <c r="O79" s="35">
        <v>0</v>
      </c>
      <c r="P79" s="200">
        <f t="shared" si="23"/>
        <v>0</v>
      </c>
      <c r="Q79" s="35">
        <v>0</v>
      </c>
      <c r="R79" s="200">
        <f t="shared" si="24"/>
        <v>0</v>
      </c>
    </row>
    <row r="80" spans="1:18" x14ac:dyDescent="0.2">
      <c r="A80" s="25"/>
      <c r="B80" s="25" t="s">
        <v>419</v>
      </c>
      <c r="C80" s="25"/>
      <c r="D80" s="25">
        <v>1</v>
      </c>
      <c r="E80" s="130"/>
      <c r="F80" s="224" t="s">
        <v>42</v>
      </c>
      <c r="G80" s="41">
        <v>30</v>
      </c>
      <c r="H80" s="131"/>
      <c r="I80" s="35">
        <v>30</v>
      </c>
      <c r="J80" s="200">
        <f t="shared" si="19"/>
        <v>0</v>
      </c>
      <c r="K80" s="223">
        <v>0</v>
      </c>
      <c r="L80" s="212"/>
      <c r="M80" s="35">
        <v>0</v>
      </c>
      <c r="N80" s="200">
        <f t="shared" si="22"/>
        <v>0</v>
      </c>
      <c r="O80" s="35">
        <v>30</v>
      </c>
      <c r="P80" s="200">
        <f t="shared" si="23"/>
        <v>0</v>
      </c>
      <c r="Q80" s="35">
        <v>19200</v>
      </c>
      <c r="R80" s="200">
        <f t="shared" si="24"/>
        <v>0</v>
      </c>
    </row>
    <row r="81" spans="1:18" x14ac:dyDescent="0.2">
      <c r="A81" s="25"/>
      <c r="B81" s="25" t="s">
        <v>159</v>
      </c>
      <c r="C81" s="25"/>
      <c r="D81" s="25">
        <v>1</v>
      </c>
      <c r="E81" s="130"/>
      <c r="F81" s="224" t="s">
        <v>42</v>
      </c>
      <c r="G81" s="41">
        <v>0</v>
      </c>
      <c r="H81" s="131"/>
      <c r="I81" s="35">
        <v>0</v>
      </c>
      <c r="J81" s="200">
        <f t="shared" si="19"/>
        <v>0</v>
      </c>
      <c r="K81" s="223">
        <v>0</v>
      </c>
      <c r="L81" s="212"/>
      <c r="M81" s="35">
        <v>0</v>
      </c>
      <c r="N81" s="200">
        <f t="shared" si="22"/>
        <v>0</v>
      </c>
      <c r="O81" s="35">
        <v>0</v>
      </c>
      <c r="P81" s="200">
        <f t="shared" si="23"/>
        <v>0</v>
      </c>
      <c r="Q81" s="35">
        <v>0</v>
      </c>
      <c r="R81" s="200">
        <f t="shared" si="24"/>
        <v>0</v>
      </c>
    </row>
    <row r="82" spans="1:18" x14ac:dyDescent="0.2">
      <c r="A82" s="25"/>
      <c r="B82" s="25" t="s">
        <v>160</v>
      </c>
      <c r="C82" s="25"/>
      <c r="D82" s="25">
        <v>1</v>
      </c>
      <c r="E82" s="130"/>
      <c r="F82" s="224" t="s">
        <v>42</v>
      </c>
      <c r="G82" s="41">
        <v>0</v>
      </c>
      <c r="H82" s="131"/>
      <c r="I82" s="35">
        <v>0</v>
      </c>
      <c r="J82" s="200">
        <f t="shared" si="19"/>
        <v>0</v>
      </c>
      <c r="K82" s="223">
        <v>0</v>
      </c>
      <c r="L82" s="212"/>
      <c r="M82" s="35">
        <v>0</v>
      </c>
      <c r="N82" s="200">
        <f t="shared" si="22"/>
        <v>0</v>
      </c>
      <c r="O82" s="35">
        <v>0</v>
      </c>
      <c r="P82" s="200">
        <f t="shared" si="23"/>
        <v>0</v>
      </c>
      <c r="Q82" s="35">
        <v>0</v>
      </c>
      <c r="R82" s="200">
        <f t="shared" si="24"/>
        <v>0</v>
      </c>
    </row>
    <row r="83" spans="1:18" x14ac:dyDescent="0.2">
      <c r="A83" s="25"/>
      <c r="B83" s="131"/>
      <c r="C83" s="131"/>
      <c r="D83" s="25">
        <v>1</v>
      </c>
      <c r="E83" s="130"/>
      <c r="F83" s="224"/>
      <c r="G83" s="41">
        <v>0</v>
      </c>
      <c r="H83" s="131"/>
      <c r="I83" s="35">
        <v>0</v>
      </c>
      <c r="J83" s="200">
        <f t="shared" si="19"/>
        <v>0</v>
      </c>
      <c r="K83" s="223">
        <v>0</v>
      </c>
      <c r="L83" s="212"/>
      <c r="M83" s="35">
        <v>0</v>
      </c>
      <c r="N83" s="200">
        <f t="shared" si="22"/>
        <v>0</v>
      </c>
      <c r="O83" s="35">
        <v>0</v>
      </c>
      <c r="P83" s="200">
        <f t="shared" si="23"/>
        <v>0</v>
      </c>
      <c r="Q83" s="35">
        <v>0</v>
      </c>
      <c r="R83" s="200">
        <f t="shared" si="24"/>
        <v>0</v>
      </c>
    </row>
    <row r="84" spans="1:18" ht="13.5" thickBot="1" x14ac:dyDescent="0.25">
      <c r="A84" s="25"/>
      <c r="B84" s="131"/>
      <c r="C84" s="131"/>
      <c r="D84" s="25">
        <v>1</v>
      </c>
      <c r="E84" s="130"/>
      <c r="F84" s="224"/>
      <c r="G84" s="41">
        <v>0</v>
      </c>
      <c r="H84" s="131"/>
      <c r="I84" s="35">
        <v>0</v>
      </c>
      <c r="J84" s="200">
        <f>E84*H84</f>
        <v>0</v>
      </c>
      <c r="K84" s="223">
        <v>0</v>
      </c>
      <c r="L84" s="212"/>
      <c r="M84" s="35">
        <v>0</v>
      </c>
      <c r="N84" s="200">
        <f t="shared" si="22"/>
        <v>0</v>
      </c>
      <c r="O84" s="35">
        <v>0</v>
      </c>
      <c r="P84" s="200">
        <f t="shared" si="23"/>
        <v>0</v>
      </c>
      <c r="Q84" s="35">
        <v>0</v>
      </c>
      <c r="R84" s="200">
        <f t="shared" si="24"/>
        <v>0</v>
      </c>
    </row>
    <row r="85" spans="1:18" ht="13.5" thickBot="1" x14ac:dyDescent="0.25">
      <c r="A85" s="25" t="s">
        <v>37</v>
      </c>
      <c r="B85" s="25"/>
      <c r="C85" s="25"/>
      <c r="D85" s="25"/>
      <c r="E85" s="195"/>
      <c r="F85" s="25"/>
      <c r="G85" s="25"/>
      <c r="H85" s="195"/>
      <c r="I85" s="118">
        <v>144.5089188676543</v>
      </c>
      <c r="J85" s="202">
        <f>+SUM(J68:J84)</f>
        <v>0</v>
      </c>
      <c r="K85" s="35"/>
      <c r="L85" s="193"/>
      <c r="M85" s="118">
        <v>0</v>
      </c>
      <c r="N85" s="202">
        <f>+SUM(N68:N84)</f>
        <v>0</v>
      </c>
      <c r="O85" s="118">
        <v>144.5089188676543</v>
      </c>
      <c r="P85" s="202">
        <f>+SUM(P68:P84)</f>
        <v>0</v>
      </c>
      <c r="Q85" s="118">
        <v>92485.708075298739</v>
      </c>
      <c r="R85" s="202">
        <f>+SUM(R68:R84)</f>
        <v>0</v>
      </c>
    </row>
    <row r="86" spans="1:18" ht="14.25" thickTop="1" thickBot="1" x14ac:dyDescent="0.25">
      <c r="A86" s="25" t="s">
        <v>52</v>
      </c>
      <c r="B86" s="25"/>
      <c r="C86" s="25"/>
      <c r="D86" s="25"/>
      <c r="E86" s="195"/>
      <c r="F86" s="25"/>
      <c r="G86" s="25"/>
      <c r="H86" s="195"/>
      <c r="I86" s="87">
        <v>453.87397561119957</v>
      </c>
      <c r="J86" s="203">
        <f>+J62+J85</f>
        <v>0</v>
      </c>
      <c r="K86" s="35"/>
      <c r="L86" s="193"/>
      <c r="M86" s="87">
        <v>0</v>
      </c>
      <c r="N86" s="203">
        <f>+N62+N85</f>
        <v>0</v>
      </c>
      <c r="O86" s="87">
        <v>453.87397561119957</v>
      </c>
      <c r="P86" s="203">
        <f>+P62+P85</f>
        <v>0</v>
      </c>
      <c r="Q86" s="87">
        <v>290479.34439116775</v>
      </c>
      <c r="R86" s="203">
        <f>+R62+R85</f>
        <v>0</v>
      </c>
    </row>
    <row r="87" spans="1:18" ht="13.5" thickTop="1" x14ac:dyDescent="0.2">
      <c r="A87" s="25"/>
      <c r="B87" s="25"/>
      <c r="C87" s="25"/>
      <c r="D87" s="25"/>
      <c r="E87" s="195"/>
      <c r="F87" s="25"/>
      <c r="G87" s="25"/>
      <c r="H87" s="195"/>
      <c r="I87" s="35"/>
      <c r="J87" s="182"/>
      <c r="K87" s="35"/>
      <c r="L87" s="193"/>
      <c r="M87" s="35"/>
      <c r="N87" s="182"/>
      <c r="O87" s="35"/>
      <c r="P87" s="182"/>
      <c r="Q87" s="35"/>
      <c r="R87" s="182"/>
    </row>
    <row r="88" spans="1:18" x14ac:dyDescent="0.2">
      <c r="A88" s="25" t="s">
        <v>153</v>
      </c>
      <c r="B88" s="25"/>
      <c r="C88" s="25"/>
      <c r="D88" s="25"/>
      <c r="E88" s="195"/>
      <c r="F88" s="25"/>
      <c r="G88" s="25"/>
      <c r="H88" s="195"/>
      <c r="I88" s="35">
        <v>-75.623975611199569</v>
      </c>
      <c r="J88" s="200">
        <f>+J14-J86</f>
        <v>0</v>
      </c>
      <c r="K88" s="35"/>
      <c r="L88" s="193"/>
      <c r="M88" s="35">
        <v>0</v>
      </c>
      <c r="N88" s="200">
        <f>+N14-N86</f>
        <v>0</v>
      </c>
      <c r="O88" s="35">
        <v>-75.623975611199569</v>
      </c>
      <c r="P88" s="200">
        <f>+P14-P86</f>
        <v>0</v>
      </c>
      <c r="Q88" s="35">
        <v>-48399.344391167746</v>
      </c>
      <c r="R88" s="200">
        <f>+R14-R86</f>
        <v>0</v>
      </c>
    </row>
    <row r="89" spans="1:18" x14ac:dyDescent="0.2">
      <c r="A89" s="25"/>
      <c r="B89" s="25"/>
      <c r="C89" s="25"/>
      <c r="D89" s="25"/>
      <c r="E89" s="195"/>
      <c r="F89" s="25"/>
      <c r="G89" s="25"/>
      <c r="H89" s="195"/>
      <c r="I89" s="35"/>
      <c r="J89" s="204"/>
      <c r="K89" s="35"/>
      <c r="L89" s="193"/>
      <c r="M89" s="35"/>
      <c r="N89" s="193"/>
      <c r="O89" s="35"/>
      <c r="P89" s="193"/>
      <c r="Q89" s="35"/>
      <c r="R89" s="204"/>
    </row>
    <row r="90" spans="1:18" ht="13.5" thickBot="1" x14ac:dyDescent="0.25">
      <c r="A90" s="44" t="s">
        <v>38</v>
      </c>
      <c r="B90" s="44"/>
      <c r="C90" s="44"/>
      <c r="D90" s="44"/>
      <c r="E90" s="199"/>
      <c r="F90" s="44"/>
      <c r="G90" s="45">
        <v>6.3603995935199924</v>
      </c>
      <c r="H90" s="210" t="str">
        <f>IF(E10=0,"n/a",(YTotExp-(YTotExp+YTotRet-J10))/E10)</f>
        <v>n/a</v>
      </c>
      <c r="I90" s="44" t="s">
        <v>83</v>
      </c>
      <c r="J90" s="205"/>
      <c r="K90" s="44"/>
      <c r="L90" s="199"/>
      <c r="M90" s="44"/>
      <c r="N90" s="199"/>
      <c r="O90" s="44"/>
      <c r="P90" s="199"/>
      <c r="Q90" s="44"/>
      <c r="R90" s="205"/>
    </row>
    <row r="91" spans="1:18" ht="13.5" thickTop="1" x14ac:dyDescent="0.2"/>
    <row r="92" spans="1:18" s="17" customFormat="1" ht="15.75" x14ac:dyDescent="0.25">
      <c r="A92"/>
      <c r="B92" s="88"/>
      <c r="C92" s="89"/>
      <c r="D92" s="234" t="s">
        <v>113</v>
      </c>
      <c r="E92" s="235"/>
      <c r="F92" s="235"/>
      <c r="G92" s="235"/>
      <c r="H92" s="235"/>
      <c r="I92" s="235"/>
      <c r="J92" s="99"/>
      <c r="K92" s="99"/>
      <c r="M92"/>
      <c r="N92"/>
    </row>
    <row r="93" spans="1:18" s="17" customFormat="1" ht="15.75" x14ac:dyDescent="0.25">
      <c r="A93"/>
      <c r="B93" s="19" t="s">
        <v>114</v>
      </c>
      <c r="C93" s="19" t="s">
        <v>114</v>
      </c>
      <c r="D93" s="123" t="s">
        <v>170</v>
      </c>
      <c r="E93" s="18"/>
      <c r="F93" s="18"/>
      <c r="G93" s="123" t="s">
        <v>170</v>
      </c>
      <c r="H93" s="18"/>
      <c r="I93" s="18"/>
      <c r="J93" s="18"/>
      <c r="K93" s="18"/>
      <c r="M93"/>
      <c r="N93"/>
    </row>
    <row r="94" spans="1:18" s="17" customFormat="1" x14ac:dyDescent="0.2">
      <c r="A94"/>
      <c r="B94" s="19" t="s">
        <v>80</v>
      </c>
      <c r="C94" s="19" t="s">
        <v>80</v>
      </c>
      <c r="D94" s="123" t="s">
        <v>157</v>
      </c>
      <c r="E94" s="119"/>
      <c r="F94" s="119"/>
      <c r="G94" s="123" t="s">
        <v>12</v>
      </c>
      <c r="H94" s="119"/>
      <c r="I94" s="119"/>
      <c r="J94" s="119"/>
      <c r="K94" s="119"/>
      <c r="M94"/>
      <c r="N94"/>
    </row>
    <row r="95" spans="1:18" s="17" customFormat="1" x14ac:dyDescent="0.2">
      <c r="A95"/>
      <c r="B95" s="19" t="s">
        <v>30</v>
      </c>
      <c r="C95" s="99" t="s">
        <v>83</v>
      </c>
      <c r="D95" s="123" t="s">
        <v>98</v>
      </c>
      <c r="E95" s="119"/>
      <c r="F95" s="119"/>
      <c r="G95" s="123" t="s">
        <v>98</v>
      </c>
      <c r="H95" s="19"/>
      <c r="I95" s="19"/>
      <c r="J95" s="19"/>
      <c r="K95" s="19"/>
      <c r="M95"/>
      <c r="N95"/>
    </row>
    <row r="96" spans="1:18" s="17" customFormat="1" x14ac:dyDescent="0.2">
      <c r="A96"/>
      <c r="B96" s="90">
        <v>0.75</v>
      </c>
      <c r="C96" s="91">
        <v>45</v>
      </c>
      <c r="D96" s="92">
        <v>5.2692234831898945</v>
      </c>
      <c r="E96" s="93"/>
      <c r="F96" s="94"/>
      <c r="G96" s="92">
        <v>8.4805327913599911</v>
      </c>
      <c r="H96" s="93"/>
      <c r="I96" s="93"/>
      <c r="M96"/>
      <c r="N96"/>
    </row>
    <row r="97" spans="1:18" s="17" customFormat="1" x14ac:dyDescent="0.2">
      <c r="A97"/>
      <c r="B97" s="95">
        <v>0.9</v>
      </c>
      <c r="C97" s="96">
        <v>54</v>
      </c>
      <c r="D97" s="97">
        <v>4.3910195693249126</v>
      </c>
      <c r="E97" s="83"/>
      <c r="F97" s="98"/>
      <c r="G97" s="97">
        <v>7.0671106594666586</v>
      </c>
      <c r="H97" s="83"/>
      <c r="I97" s="83"/>
      <c r="M97"/>
      <c r="N97"/>
    </row>
    <row r="98" spans="1:18" s="17" customFormat="1" x14ac:dyDescent="0.2">
      <c r="A98"/>
      <c r="B98" s="90">
        <v>1</v>
      </c>
      <c r="C98" s="91">
        <v>60</v>
      </c>
      <c r="D98" s="92">
        <v>3.9519176123924211</v>
      </c>
      <c r="E98" s="93"/>
      <c r="F98" s="94"/>
      <c r="G98" s="92">
        <v>6.3603995935199924</v>
      </c>
      <c r="H98" s="93"/>
      <c r="I98" s="93"/>
      <c r="M98"/>
      <c r="N98"/>
    </row>
    <row r="99" spans="1:18" s="17" customFormat="1" x14ac:dyDescent="0.2">
      <c r="A99"/>
      <c r="B99" s="95">
        <v>1.1000000000000001</v>
      </c>
      <c r="C99" s="96">
        <v>66</v>
      </c>
      <c r="D99" s="97">
        <v>3.592652374902201</v>
      </c>
      <c r="E99" s="83"/>
      <c r="F99" s="98"/>
      <c r="G99" s="97">
        <v>5.7821814486545389</v>
      </c>
      <c r="H99" s="83"/>
      <c r="I99" s="83"/>
      <c r="M99"/>
      <c r="N99"/>
    </row>
    <row r="100" spans="1:18" s="17" customFormat="1" x14ac:dyDescent="0.2">
      <c r="A100"/>
      <c r="B100" s="90">
        <v>1.25</v>
      </c>
      <c r="C100" s="91">
        <v>75</v>
      </c>
      <c r="D100" s="92">
        <v>3.1615340899139368</v>
      </c>
      <c r="E100" s="93"/>
      <c r="F100" s="94"/>
      <c r="G100" s="92">
        <v>5.0883196748159945</v>
      </c>
      <c r="H100" s="93"/>
      <c r="I100" s="93"/>
      <c r="M100"/>
      <c r="N100"/>
    </row>
    <row r="101" spans="1:18" s="17" customFormat="1" x14ac:dyDescent="0.2">
      <c r="A101"/>
      <c r="M101"/>
      <c r="N101"/>
    </row>
    <row r="102" spans="1:18" x14ac:dyDescent="0.2">
      <c r="A102" s="25" t="s">
        <v>434</v>
      </c>
      <c r="B102" s="17"/>
      <c r="C102" s="17"/>
      <c r="D102" s="17"/>
      <c r="E102" s="17"/>
      <c r="F102" s="17"/>
      <c r="G102" s="17"/>
      <c r="H102" s="17"/>
      <c r="I102" s="17"/>
      <c r="J102" s="28"/>
      <c r="K102" s="17"/>
      <c r="L102" s="17"/>
      <c r="M102" s="17"/>
      <c r="N102" s="17"/>
      <c r="O102" s="17"/>
      <c r="P102" s="17"/>
      <c r="Q102" s="17"/>
    </row>
    <row r="103" spans="1:18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28"/>
      <c r="K103" s="17"/>
      <c r="L103" s="17"/>
      <c r="M103" s="17"/>
      <c r="N103" s="17"/>
      <c r="O103" s="17"/>
      <c r="P103" s="17"/>
      <c r="Q103" s="17"/>
    </row>
    <row r="104" spans="1:18" ht="26.25" customHeight="1" x14ac:dyDescent="0.2">
      <c r="A104" s="236" t="s">
        <v>140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19"/>
      <c r="N104" s="219"/>
      <c r="O104" s="219"/>
      <c r="P104" s="219"/>
      <c r="Q104" s="219"/>
      <c r="R104" s="219"/>
    </row>
  </sheetData>
  <sheetProtection sheet="1" objects="1" scenarios="1"/>
  <mergeCells count="6">
    <mergeCell ref="D92:I92"/>
    <mergeCell ref="A104:L104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5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E8816-580A-4B2E-B854-82154093F7E7}">
  <sheetPr codeName="Sheet221">
    <tabColor rgb="FF92D050"/>
    <pageSetUpPr fitToPage="1"/>
  </sheetPr>
  <dimension ref="A1:S91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2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466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461</v>
      </c>
      <c r="C10" s="25"/>
      <c r="D10" s="50">
        <v>25.575800178115625</v>
      </c>
      <c r="E10" s="130"/>
      <c r="F10" s="224" t="s">
        <v>83</v>
      </c>
      <c r="G10" s="31">
        <v>13</v>
      </c>
      <c r="H10" s="131"/>
      <c r="I10" s="35">
        <v>332.48540231550311</v>
      </c>
      <c r="J10" s="200">
        <f t="shared" ref="J10:J13" si="0">E10*H10</f>
        <v>0</v>
      </c>
      <c r="K10" s="223">
        <v>0</v>
      </c>
      <c r="L10" s="212"/>
      <c r="M10" s="35">
        <v>0</v>
      </c>
      <c r="N10" s="200">
        <f t="shared" ref="N10:N13" si="1">J10*L10</f>
        <v>0</v>
      </c>
      <c r="O10" s="35">
        <v>332.48540231550311</v>
      </c>
      <c r="P10" s="200">
        <f>+J10-N10</f>
        <v>0</v>
      </c>
      <c r="Q10" s="35">
        <v>212790.65748192198</v>
      </c>
      <c r="R10" s="200">
        <f t="shared" ref="R10:R13" si="2">+J10*E$7</f>
        <v>0</v>
      </c>
      <c r="S10" s="12"/>
    </row>
    <row r="11" spans="1:19" x14ac:dyDescent="0.2">
      <c r="A11" s="25"/>
      <c r="B11" t="s">
        <v>359</v>
      </c>
      <c r="C11" s="25"/>
      <c r="D11" s="50">
        <v>64</v>
      </c>
      <c r="E11" s="130"/>
      <c r="F11" s="224" t="s">
        <v>360</v>
      </c>
      <c r="G11" s="31">
        <v>0.85</v>
      </c>
      <c r="H11" s="131"/>
      <c r="I11" s="35">
        <v>54.4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54.4</v>
      </c>
      <c r="P11" s="200">
        <f t="shared" ref="P11:P13" si="3">+J11-N11</f>
        <v>0</v>
      </c>
      <c r="Q11" s="35">
        <v>34816</v>
      </c>
      <c r="R11" s="200">
        <f t="shared" si="2"/>
        <v>0</v>
      </c>
      <c r="S11" s="12"/>
    </row>
    <row r="12" spans="1:19" x14ac:dyDescent="0.2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35">
        <v>0</v>
      </c>
      <c r="J12" s="200">
        <f t="shared" si="0"/>
        <v>0</v>
      </c>
      <c r="K12" s="223">
        <v>0</v>
      </c>
      <c r="L12" s="212"/>
      <c r="M12" s="35">
        <v>0</v>
      </c>
      <c r="N12" s="200">
        <f t="shared" si="1"/>
        <v>0</v>
      </c>
      <c r="O12" s="35">
        <v>0</v>
      </c>
      <c r="P12" s="200">
        <f t="shared" si="3"/>
        <v>0</v>
      </c>
      <c r="Q12" s="35">
        <v>0</v>
      </c>
      <c r="R12" s="200">
        <f t="shared" si="2"/>
        <v>0</v>
      </c>
    </row>
    <row r="13" spans="1:19" ht="13.5" thickBot="1" x14ac:dyDescent="0.25">
      <c r="A13" s="25"/>
      <c r="B13" s="131"/>
      <c r="C13" s="131"/>
      <c r="D13" s="50">
        <v>0</v>
      </c>
      <c r="E13" s="130"/>
      <c r="F13" s="224"/>
      <c r="G13" s="31">
        <v>0</v>
      </c>
      <c r="H13" s="131"/>
      <c r="I13" s="42">
        <v>0</v>
      </c>
      <c r="J13" s="200">
        <f t="shared" si="0"/>
        <v>0</v>
      </c>
      <c r="K13" s="223">
        <v>0</v>
      </c>
      <c r="L13" s="212"/>
      <c r="M13" s="42">
        <v>0</v>
      </c>
      <c r="N13" s="200">
        <f t="shared" si="1"/>
        <v>0</v>
      </c>
      <c r="O13" s="42">
        <v>0</v>
      </c>
      <c r="P13" s="200">
        <f t="shared" si="3"/>
        <v>0</v>
      </c>
      <c r="Q13" s="42">
        <v>0</v>
      </c>
      <c r="R13" s="182">
        <f t="shared" si="2"/>
        <v>0</v>
      </c>
    </row>
    <row r="14" spans="1:19" x14ac:dyDescent="0.2">
      <c r="A14" s="25" t="s">
        <v>24</v>
      </c>
      <c r="B14" s="25"/>
      <c r="C14" s="25"/>
      <c r="D14" s="25"/>
      <c r="E14" s="198"/>
      <c r="F14" s="25"/>
      <c r="G14" s="25"/>
      <c r="H14" s="195"/>
      <c r="I14" s="36">
        <v>386.88540231550309</v>
      </c>
      <c r="J14" s="201">
        <f>SUM(J10:J13)</f>
        <v>0</v>
      </c>
      <c r="K14" s="35"/>
      <c r="L14" s="193"/>
      <c r="M14" s="36">
        <v>0</v>
      </c>
      <c r="N14" s="201">
        <f>SUM(N10:N13)</f>
        <v>0</v>
      </c>
      <c r="O14" s="36">
        <v>386.88540231550309</v>
      </c>
      <c r="P14" s="201">
        <f>SUM(P10:P13)</f>
        <v>0</v>
      </c>
      <c r="Q14" s="36">
        <v>247606.65748192198</v>
      </c>
      <c r="R14" s="201">
        <f>SUM(R10:R13)</f>
        <v>0</v>
      </c>
    </row>
    <row r="15" spans="1:19" x14ac:dyDescent="0.2">
      <c r="A15" s="25"/>
      <c r="B15" s="25"/>
      <c r="C15" s="25"/>
      <c r="D15" s="25"/>
      <c r="E15" s="176"/>
      <c r="F15" s="25"/>
      <c r="G15" s="25"/>
      <c r="H15" s="209"/>
      <c r="I15" s="35"/>
      <c r="J15" s="182"/>
      <c r="K15" s="35"/>
      <c r="L15" s="193"/>
      <c r="M15" s="35"/>
      <c r="N15" s="182"/>
      <c r="O15" s="35"/>
      <c r="P15" s="182"/>
      <c r="Q15" s="22" t="s">
        <v>19</v>
      </c>
      <c r="R15" s="182" t="s">
        <v>19</v>
      </c>
    </row>
    <row r="16" spans="1:19" x14ac:dyDescent="0.2">
      <c r="A16" s="23" t="s">
        <v>25</v>
      </c>
      <c r="B16" s="23"/>
      <c r="C16" s="23"/>
      <c r="D16" s="24" t="s">
        <v>2</v>
      </c>
      <c r="E16" s="194" t="s">
        <v>2</v>
      </c>
      <c r="F16" s="24" t="s">
        <v>21</v>
      </c>
      <c r="G16" s="24" t="s">
        <v>22</v>
      </c>
      <c r="H16" s="194" t="s">
        <v>22</v>
      </c>
      <c r="I16" s="24" t="s">
        <v>12</v>
      </c>
      <c r="J16" s="194" t="s">
        <v>12</v>
      </c>
      <c r="K16" s="24" t="s">
        <v>11</v>
      </c>
      <c r="L16" s="194" t="s">
        <v>11</v>
      </c>
      <c r="M16" s="24" t="s">
        <v>10</v>
      </c>
      <c r="N16" s="194" t="s">
        <v>10</v>
      </c>
      <c r="O16" s="24" t="s">
        <v>9</v>
      </c>
      <c r="P16" s="194" t="s">
        <v>9</v>
      </c>
      <c r="Q16" s="24" t="s">
        <v>12</v>
      </c>
      <c r="R16" s="206" t="s">
        <v>12</v>
      </c>
    </row>
    <row r="17" spans="1:18" x14ac:dyDescent="0.2">
      <c r="A17" s="25" t="s">
        <v>26</v>
      </c>
      <c r="B17" s="25"/>
      <c r="C17" s="25"/>
      <c r="D17" s="25"/>
      <c r="E17" s="176"/>
      <c r="F17" s="25"/>
      <c r="G17" s="25"/>
      <c r="H17" s="209"/>
      <c r="I17" s="25"/>
      <c r="J17" s="182"/>
      <c r="K17" s="25"/>
      <c r="L17" s="195"/>
      <c r="M17" s="25"/>
      <c r="N17" s="182"/>
      <c r="O17" s="25"/>
      <c r="P17" s="182"/>
      <c r="Q17" s="25"/>
      <c r="R17" s="182"/>
    </row>
    <row r="18" spans="1:18" x14ac:dyDescent="0.2">
      <c r="A18" s="25"/>
      <c r="B18" s="25" t="s">
        <v>1</v>
      </c>
      <c r="C18" s="25"/>
      <c r="D18" s="25"/>
      <c r="E18" s="25"/>
      <c r="F18" s="25"/>
      <c r="G18" s="25"/>
      <c r="H18" s="25"/>
      <c r="I18" s="25"/>
      <c r="J18" s="25"/>
      <c r="K18" s="223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 t="s">
        <v>458</v>
      </c>
      <c r="C19" s="25" t="s">
        <v>407</v>
      </c>
      <c r="D19" s="25">
        <v>70</v>
      </c>
      <c r="E19" s="130"/>
      <c r="F19" s="224" t="s">
        <v>82</v>
      </c>
      <c r="G19" s="41">
        <v>0.23</v>
      </c>
      <c r="H19" s="131"/>
      <c r="I19" s="35">
        <v>16.100000000000001</v>
      </c>
      <c r="J19" s="200">
        <f t="shared" ref="J19:J29" si="4">E19*H19</f>
        <v>0</v>
      </c>
      <c r="K19" s="223">
        <v>0</v>
      </c>
      <c r="L19" s="212"/>
      <c r="M19" s="35">
        <v>0</v>
      </c>
      <c r="N19" s="200">
        <f t="shared" ref="N19:N29" si="5">J19*L19</f>
        <v>0</v>
      </c>
      <c r="O19" s="35">
        <v>16.100000000000001</v>
      </c>
      <c r="P19" s="200">
        <f t="shared" ref="P19:P29" si="6">+J19-N19</f>
        <v>0</v>
      </c>
      <c r="Q19" s="35">
        <v>10304</v>
      </c>
      <c r="R19" s="200">
        <f t="shared" ref="R19:R29" si="7">+J19*E$7</f>
        <v>0</v>
      </c>
    </row>
    <row r="20" spans="1:18" x14ac:dyDescent="0.2">
      <c r="A20" s="25"/>
      <c r="B20" s="25" t="s">
        <v>0</v>
      </c>
      <c r="C20" s="25"/>
      <c r="D20" s="25"/>
      <c r="E20" s="25"/>
      <c r="F20" s="25"/>
      <c r="G20" s="25"/>
      <c r="H20" s="25"/>
      <c r="I20" s="25"/>
      <c r="J20" s="25"/>
      <c r="K20" s="223"/>
      <c r="L20" s="25"/>
      <c r="M20" s="25"/>
      <c r="N20" s="25"/>
      <c r="O20" s="25"/>
      <c r="P20" s="25"/>
      <c r="Q20" s="25"/>
      <c r="R20" s="25"/>
    </row>
    <row r="21" spans="1:18" x14ac:dyDescent="0.2">
      <c r="A21" s="25"/>
      <c r="B21" s="25" t="s">
        <v>458</v>
      </c>
      <c r="C21" s="25" t="s">
        <v>459</v>
      </c>
      <c r="D21" s="25">
        <v>4014</v>
      </c>
      <c r="E21" s="130"/>
      <c r="F21" s="224" t="s">
        <v>460</v>
      </c>
      <c r="G21" s="41">
        <v>2.2421524663677129E-2</v>
      </c>
      <c r="H21" s="131"/>
      <c r="I21" s="35">
        <v>90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90</v>
      </c>
      <c r="P21" s="200">
        <f t="shared" si="6"/>
        <v>0</v>
      </c>
      <c r="Q21" s="35">
        <v>57600</v>
      </c>
      <c r="R21" s="200">
        <f t="shared" si="7"/>
        <v>0</v>
      </c>
    </row>
    <row r="22" spans="1:18" x14ac:dyDescent="0.2">
      <c r="A22" s="25"/>
      <c r="B22" s="25" t="s">
        <v>50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371</v>
      </c>
      <c r="D23" s="25">
        <v>1</v>
      </c>
      <c r="E23" s="130"/>
      <c r="F23" s="224" t="s">
        <v>42</v>
      </c>
      <c r="G23" s="41">
        <v>35</v>
      </c>
      <c r="H23" s="131"/>
      <c r="I23" s="35">
        <v>35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35</v>
      </c>
      <c r="P23" s="200">
        <f t="shared" si="6"/>
        <v>0</v>
      </c>
      <c r="Q23" s="35">
        <v>22400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373</v>
      </c>
      <c r="D24" s="25">
        <v>25.575800178115625</v>
      </c>
      <c r="E24" s="130"/>
      <c r="F24" s="224" t="s">
        <v>83</v>
      </c>
      <c r="G24" s="41">
        <v>0.24</v>
      </c>
      <c r="H24" s="131"/>
      <c r="I24" s="35">
        <v>6.1381920427477494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6.1381920427477494</v>
      </c>
      <c r="P24" s="200">
        <f t="shared" si="6"/>
        <v>0</v>
      </c>
      <c r="Q24" s="35">
        <v>3928.4429073585598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177</v>
      </c>
      <c r="D25" s="25">
        <v>1</v>
      </c>
      <c r="E25" s="130"/>
      <c r="F25" s="224" t="s">
        <v>42</v>
      </c>
      <c r="G25" s="41">
        <v>5.5</v>
      </c>
      <c r="H25" s="131"/>
      <c r="I25" s="35">
        <v>5.5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5.5</v>
      </c>
      <c r="P25" s="200">
        <f t="shared" si="6"/>
        <v>0</v>
      </c>
      <c r="Q25" s="35">
        <v>3520</v>
      </c>
      <c r="R25" s="200">
        <f t="shared" si="7"/>
        <v>0</v>
      </c>
    </row>
    <row r="26" spans="1:18" x14ac:dyDescent="0.2">
      <c r="A26" s="25"/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23"/>
      <c r="L26" s="25"/>
      <c r="M26" s="25"/>
      <c r="N26" s="25"/>
      <c r="O26" s="25"/>
      <c r="P26" s="25"/>
      <c r="Q26" s="25"/>
      <c r="R26" s="25"/>
    </row>
    <row r="27" spans="1:18" x14ac:dyDescent="0.2">
      <c r="A27" s="25"/>
      <c r="B27" s="25" t="s">
        <v>458</v>
      </c>
      <c r="C27" s="25" t="s">
        <v>441</v>
      </c>
      <c r="D27" s="25">
        <v>30</v>
      </c>
      <c r="E27" s="130"/>
      <c r="F27" s="224" t="s">
        <v>410</v>
      </c>
      <c r="G27" s="41">
        <v>0.22</v>
      </c>
      <c r="H27" s="131"/>
      <c r="I27" s="35">
        <v>6.6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6.6</v>
      </c>
      <c r="P27" s="200">
        <f t="shared" si="6"/>
        <v>0</v>
      </c>
      <c r="Q27" s="35">
        <v>4224</v>
      </c>
      <c r="R27" s="200">
        <f t="shared" si="7"/>
        <v>0</v>
      </c>
    </row>
    <row r="28" spans="1:18" x14ac:dyDescent="0.2">
      <c r="A28" s="25"/>
      <c r="B28" s="131"/>
      <c r="C28" s="131"/>
      <c r="D28" s="25">
        <v>0</v>
      </c>
      <c r="E28" s="130"/>
      <c r="F28" s="224"/>
      <c r="G28" s="41">
        <v>0</v>
      </c>
      <c r="H28" s="131"/>
      <c r="I28" s="35">
        <v>0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0</v>
      </c>
      <c r="P28" s="200">
        <f t="shared" si="6"/>
        <v>0</v>
      </c>
      <c r="Q28" s="35">
        <v>0</v>
      </c>
      <c r="R28" s="200">
        <f t="shared" si="7"/>
        <v>0</v>
      </c>
    </row>
    <row r="29" spans="1:18" x14ac:dyDescent="0.2">
      <c r="A29" s="25"/>
      <c r="B29" s="131"/>
      <c r="C29" s="131"/>
      <c r="D29" s="25">
        <v>0</v>
      </c>
      <c r="E29" s="130"/>
      <c r="F29" s="224"/>
      <c r="G29" s="41">
        <v>0</v>
      </c>
      <c r="H29" s="131"/>
      <c r="I29" s="35">
        <v>0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0</v>
      </c>
      <c r="P29" s="200">
        <f t="shared" si="6"/>
        <v>0</v>
      </c>
      <c r="Q29" s="35">
        <v>0</v>
      </c>
      <c r="R29" s="200">
        <f t="shared" si="7"/>
        <v>0</v>
      </c>
    </row>
    <row r="30" spans="1:18" x14ac:dyDescent="0.2">
      <c r="A30" s="25"/>
      <c r="B30" s="131"/>
      <c r="C30" s="131"/>
      <c r="D30" s="25">
        <v>0</v>
      </c>
      <c r="E30" s="130"/>
      <c r="F30" s="224"/>
      <c r="G30" s="41">
        <v>0</v>
      </c>
      <c r="H30" s="131"/>
      <c r="I30" s="35">
        <v>0</v>
      </c>
      <c r="J30" s="200">
        <f>E30*H30</f>
        <v>0</v>
      </c>
      <c r="K30" s="223">
        <v>0</v>
      </c>
      <c r="L30" s="212"/>
      <c r="M30" s="35">
        <v>0</v>
      </c>
      <c r="N30" s="200">
        <f>J30*L30</f>
        <v>0</v>
      </c>
      <c r="O30" s="35">
        <v>0</v>
      </c>
      <c r="P30" s="200">
        <f>+J30-N30</f>
        <v>0</v>
      </c>
      <c r="Q30" s="35">
        <v>0</v>
      </c>
      <c r="R30" s="200">
        <f>+J30*E$7</f>
        <v>0</v>
      </c>
    </row>
    <row r="31" spans="1:18" x14ac:dyDescent="0.2">
      <c r="A31" s="25"/>
      <c r="B31" s="25" t="s">
        <v>106</v>
      </c>
      <c r="C31" s="25"/>
      <c r="D31" s="25"/>
      <c r="E31" s="104"/>
      <c r="H31" s="104"/>
      <c r="I31" s="121"/>
      <c r="J31" s="104"/>
      <c r="K31" s="223"/>
      <c r="L31" s="104"/>
      <c r="N31" s="104"/>
      <c r="P31" s="104"/>
      <c r="R31" s="104"/>
    </row>
    <row r="32" spans="1:18" x14ac:dyDescent="0.2">
      <c r="A32" s="25"/>
      <c r="B32" s="25"/>
      <c r="C32" s="25" t="s">
        <v>103</v>
      </c>
      <c r="D32" s="25">
        <v>0.31</v>
      </c>
      <c r="E32" s="130"/>
      <c r="F32" s="224" t="s">
        <v>44</v>
      </c>
      <c r="G32" s="41">
        <v>15</v>
      </c>
      <c r="H32" s="131"/>
      <c r="I32" s="35">
        <v>4.6500000000000004</v>
      </c>
      <c r="J32" s="200">
        <f>E32*H32</f>
        <v>0</v>
      </c>
      <c r="K32" s="223">
        <v>0</v>
      </c>
      <c r="L32" s="212"/>
      <c r="M32" s="35">
        <v>0</v>
      </c>
      <c r="N32" s="200">
        <f>J32*L32</f>
        <v>0</v>
      </c>
      <c r="O32" s="35">
        <v>4.6500000000000004</v>
      </c>
      <c r="P32" s="200">
        <f>+J32-N32</f>
        <v>0</v>
      </c>
      <c r="Q32" s="35">
        <v>2976</v>
      </c>
      <c r="R32" s="200">
        <f>+J32*E$7</f>
        <v>0</v>
      </c>
    </row>
    <row r="33" spans="1:18" x14ac:dyDescent="0.2">
      <c r="A33" s="25"/>
      <c r="B33" s="25"/>
      <c r="C33" s="25" t="s">
        <v>105</v>
      </c>
      <c r="D33" s="25">
        <v>0.37</v>
      </c>
      <c r="E33" s="130"/>
      <c r="F33" s="224" t="s">
        <v>44</v>
      </c>
      <c r="G33" s="41">
        <v>15</v>
      </c>
      <c r="H33" s="131"/>
      <c r="I33" s="35">
        <v>5.55</v>
      </c>
      <c r="J33" s="200">
        <f>E33*H33</f>
        <v>0</v>
      </c>
      <c r="K33" s="223">
        <v>0</v>
      </c>
      <c r="L33" s="212"/>
      <c r="M33" s="35">
        <v>0</v>
      </c>
      <c r="N33" s="200">
        <f>J33*L33</f>
        <v>0</v>
      </c>
      <c r="O33" s="35">
        <v>5.55</v>
      </c>
      <c r="P33" s="200">
        <f>+J33-N33</f>
        <v>0</v>
      </c>
      <c r="Q33" s="35">
        <v>3552</v>
      </c>
      <c r="R33" s="200">
        <f>+J33*E$7</f>
        <v>0</v>
      </c>
    </row>
    <row r="34" spans="1:18" x14ac:dyDescent="0.2">
      <c r="A34" s="25"/>
      <c r="B34" s="25"/>
      <c r="C34" s="25"/>
      <c r="D34" s="25"/>
      <c r="E34" s="207"/>
      <c r="F34" s="21"/>
      <c r="G34" s="41"/>
      <c r="H34" s="196"/>
      <c r="I34" s="35"/>
      <c r="J34" s="182"/>
      <c r="K34" s="223"/>
      <c r="L34" s="196"/>
      <c r="M34" s="35"/>
      <c r="N34" s="182"/>
      <c r="O34" s="35"/>
      <c r="P34" s="182"/>
      <c r="Q34" s="35"/>
      <c r="R34" s="182"/>
    </row>
    <row r="35" spans="1:18" x14ac:dyDescent="0.2">
      <c r="A35" s="25"/>
      <c r="B35" s="25" t="s">
        <v>51</v>
      </c>
      <c r="C35" s="25"/>
      <c r="D35" s="25"/>
      <c r="E35" s="207"/>
      <c r="F35" s="21"/>
      <c r="G35" s="41"/>
      <c r="H35" s="196"/>
      <c r="I35" s="184"/>
      <c r="J35" s="182"/>
      <c r="K35" s="223"/>
      <c r="L35" s="196"/>
      <c r="M35" s="35"/>
      <c r="N35" s="182"/>
      <c r="O35" s="35"/>
      <c r="P35" s="182"/>
      <c r="Q35" s="35"/>
      <c r="R35" s="182"/>
    </row>
    <row r="36" spans="1:18" x14ac:dyDescent="0.2">
      <c r="A36" s="25"/>
      <c r="B36" s="25"/>
      <c r="C36" s="25" t="s">
        <v>102</v>
      </c>
      <c r="D36" s="25">
        <v>1</v>
      </c>
      <c r="E36" s="130"/>
      <c r="F36" s="224" t="s">
        <v>42</v>
      </c>
      <c r="G36" s="41">
        <v>0</v>
      </c>
      <c r="H36" s="131"/>
      <c r="I36" s="35">
        <v>0</v>
      </c>
      <c r="J36" s="200">
        <f>E36*H36</f>
        <v>0</v>
      </c>
      <c r="K36" s="223">
        <v>0</v>
      </c>
      <c r="L36" s="212"/>
      <c r="M36" s="35">
        <v>0</v>
      </c>
      <c r="N36" s="200">
        <f>J36*L36</f>
        <v>0</v>
      </c>
      <c r="O36" s="35">
        <v>0</v>
      </c>
      <c r="P36" s="200">
        <f>+J36-N36</f>
        <v>0</v>
      </c>
      <c r="Q36" s="35">
        <v>0</v>
      </c>
      <c r="R36" s="200">
        <f>+J36*E$7</f>
        <v>0</v>
      </c>
    </row>
    <row r="37" spans="1:18" x14ac:dyDescent="0.2">
      <c r="A37" s="25"/>
      <c r="B37" s="25"/>
      <c r="C37" s="25" t="s">
        <v>103</v>
      </c>
      <c r="D37" s="25">
        <v>2.0699999999999998</v>
      </c>
      <c r="E37" s="130"/>
      <c r="F37" s="224" t="s">
        <v>79</v>
      </c>
      <c r="G37" s="41">
        <v>3.0190000000000001</v>
      </c>
      <c r="H37" s="131"/>
      <c r="I37" s="35">
        <v>6.2493299999999996</v>
      </c>
      <c r="J37" s="200">
        <f>E37*H37</f>
        <v>0</v>
      </c>
      <c r="K37" s="223">
        <v>0</v>
      </c>
      <c r="L37" s="212"/>
      <c r="M37" s="35">
        <v>0</v>
      </c>
      <c r="N37" s="200">
        <f>J37*L37</f>
        <v>0</v>
      </c>
      <c r="O37" s="35">
        <v>6.2493299999999996</v>
      </c>
      <c r="P37" s="200">
        <f>+J37-N37</f>
        <v>0</v>
      </c>
      <c r="Q37" s="35">
        <v>3999.5711999999999</v>
      </c>
      <c r="R37" s="200">
        <f>+J37*E$7</f>
        <v>0</v>
      </c>
    </row>
    <row r="38" spans="1:18" x14ac:dyDescent="0.2">
      <c r="A38" s="25"/>
      <c r="B38" s="25"/>
      <c r="C38" s="25"/>
      <c r="D38" s="25"/>
      <c r="E38" s="207"/>
      <c r="F38" s="21"/>
      <c r="G38" s="41"/>
      <c r="H38" s="196"/>
      <c r="I38" s="35"/>
      <c r="J38" s="182"/>
      <c r="K38" s="223"/>
      <c r="L38" s="196"/>
      <c r="M38" s="35"/>
      <c r="N38" s="182"/>
      <c r="O38" s="35"/>
      <c r="P38" s="182"/>
      <c r="Q38" s="35"/>
      <c r="R38" s="182"/>
    </row>
    <row r="39" spans="1:18" x14ac:dyDescent="0.2">
      <c r="A39" s="25"/>
      <c r="B39" s="25" t="s">
        <v>29</v>
      </c>
      <c r="C39" s="25"/>
      <c r="D39" s="25"/>
      <c r="E39" s="207"/>
      <c r="F39" s="21"/>
      <c r="G39" s="41"/>
      <c r="H39" s="196"/>
      <c r="I39" s="184"/>
      <c r="J39" s="182"/>
      <c r="K39" s="223"/>
      <c r="L39" s="196"/>
      <c r="M39" s="35"/>
      <c r="N39" s="182"/>
      <c r="O39" s="35"/>
      <c r="P39" s="182"/>
      <c r="Q39" s="35"/>
      <c r="R39" s="182"/>
    </row>
    <row r="40" spans="1:18" x14ac:dyDescent="0.2">
      <c r="A40" s="25"/>
      <c r="B40" s="25"/>
      <c r="C40" s="25" t="s">
        <v>102</v>
      </c>
      <c r="D40" s="25">
        <v>1</v>
      </c>
      <c r="E40" s="130"/>
      <c r="F40" s="224" t="s">
        <v>42</v>
      </c>
      <c r="G40" s="41">
        <v>2.109375</v>
      </c>
      <c r="H40" s="131"/>
      <c r="I40" s="35">
        <v>2.109375</v>
      </c>
      <c r="J40" s="200">
        <f>E40*H40</f>
        <v>0</v>
      </c>
      <c r="K40" s="223">
        <v>0</v>
      </c>
      <c r="L40" s="212"/>
      <c r="M40" s="35">
        <v>0</v>
      </c>
      <c r="N40" s="200">
        <f>J40*L40</f>
        <v>0</v>
      </c>
      <c r="O40" s="35">
        <v>2.109375</v>
      </c>
      <c r="P40" s="200">
        <f>+J40-N40</f>
        <v>0</v>
      </c>
      <c r="Q40" s="35">
        <v>1350</v>
      </c>
      <c r="R40" s="200">
        <f>+J40*E$7</f>
        <v>0</v>
      </c>
    </row>
    <row r="41" spans="1:18" x14ac:dyDescent="0.2">
      <c r="A41" s="25"/>
      <c r="B41" s="25"/>
      <c r="C41" s="25" t="s">
        <v>103</v>
      </c>
      <c r="D41" s="25">
        <v>0</v>
      </c>
      <c r="E41" s="130"/>
      <c r="F41" s="224" t="s">
        <v>79</v>
      </c>
      <c r="G41" s="41">
        <v>3.09</v>
      </c>
      <c r="H41" s="131"/>
      <c r="I41" s="35">
        <v>0</v>
      </c>
      <c r="J41" s="200">
        <f>E41*H41</f>
        <v>0</v>
      </c>
      <c r="K41" s="223">
        <v>0</v>
      </c>
      <c r="L41" s="212"/>
      <c r="M41" s="35">
        <v>0</v>
      </c>
      <c r="N41" s="200">
        <f>J41*L41</f>
        <v>0</v>
      </c>
      <c r="O41" s="35">
        <v>0</v>
      </c>
      <c r="P41" s="200">
        <f>+J41-N41</f>
        <v>0</v>
      </c>
      <c r="Q41" s="35">
        <v>0</v>
      </c>
      <c r="R41" s="200">
        <f>+J41*E$7</f>
        <v>0</v>
      </c>
    </row>
    <row r="42" spans="1:18" x14ac:dyDescent="0.2">
      <c r="A42" s="25"/>
      <c r="B42" s="25"/>
      <c r="C42" s="25"/>
      <c r="D42" s="25"/>
      <c r="E42" s="207"/>
      <c r="F42" s="21"/>
      <c r="G42" s="41"/>
      <c r="H42" s="196"/>
      <c r="I42" s="35"/>
      <c r="J42" s="182"/>
      <c r="K42" s="223"/>
      <c r="L42" s="196"/>
      <c r="M42" s="35"/>
      <c r="N42" s="182"/>
      <c r="O42" s="35"/>
      <c r="P42" s="182"/>
      <c r="Q42" s="35"/>
      <c r="R42" s="182"/>
    </row>
    <row r="43" spans="1:18" x14ac:dyDescent="0.2">
      <c r="A43" s="25"/>
      <c r="B43" s="25" t="s">
        <v>47</v>
      </c>
      <c r="C43" s="25"/>
      <c r="D43" s="25"/>
      <c r="E43" s="207"/>
      <c r="F43" s="21"/>
      <c r="G43" s="41"/>
      <c r="H43" s="197"/>
      <c r="I43" s="184"/>
      <c r="J43" s="182"/>
      <c r="K43" s="223"/>
      <c r="L43" s="197"/>
      <c r="M43" s="35"/>
      <c r="N43" s="182"/>
      <c r="O43" s="35"/>
      <c r="P43" s="182"/>
      <c r="Q43" s="35"/>
      <c r="R43" s="182"/>
    </row>
    <row r="44" spans="1:18" x14ac:dyDescent="0.2">
      <c r="A44" s="25"/>
      <c r="B44" s="25"/>
      <c r="C44" s="25" t="s">
        <v>102</v>
      </c>
      <c r="D44" s="25">
        <v>1</v>
      </c>
      <c r="E44" s="130"/>
      <c r="F44" s="224" t="s">
        <v>42</v>
      </c>
      <c r="G44" s="41">
        <v>0.703125</v>
      </c>
      <c r="H44" s="131"/>
      <c r="I44" s="35">
        <v>0.703125</v>
      </c>
      <c r="J44" s="200">
        <f t="shared" ref="J44:J49" si="8">E44*H44</f>
        <v>0</v>
      </c>
      <c r="K44" s="223">
        <v>0</v>
      </c>
      <c r="L44" s="212"/>
      <c r="M44" s="35">
        <v>0</v>
      </c>
      <c r="N44" s="200">
        <f t="shared" ref="N44:N49" si="9">J44*L44</f>
        <v>0</v>
      </c>
      <c r="O44" s="35">
        <v>0.703125</v>
      </c>
      <c r="P44" s="200">
        <f t="shared" ref="P44:P49" si="10">+J44-N44</f>
        <v>0</v>
      </c>
      <c r="Q44" s="35">
        <v>450</v>
      </c>
      <c r="R44" s="200">
        <f t="shared" ref="R44:R49" si="11">+J44*E$7</f>
        <v>0</v>
      </c>
    </row>
    <row r="45" spans="1:18" x14ac:dyDescent="0.2">
      <c r="A45" s="25"/>
      <c r="B45" s="25"/>
      <c r="C45" s="25" t="s">
        <v>46</v>
      </c>
      <c r="D45" s="25">
        <v>1</v>
      </c>
      <c r="E45" s="130"/>
      <c r="F45" s="224" t="s">
        <v>42</v>
      </c>
      <c r="G45" s="41">
        <v>0</v>
      </c>
      <c r="H45" s="131"/>
      <c r="I45" s="35">
        <v>0</v>
      </c>
      <c r="J45" s="200">
        <f t="shared" si="8"/>
        <v>0</v>
      </c>
      <c r="K45" s="223">
        <v>0</v>
      </c>
      <c r="L45" s="212"/>
      <c r="M45" s="35">
        <v>0</v>
      </c>
      <c r="N45" s="200">
        <f t="shared" si="9"/>
        <v>0</v>
      </c>
      <c r="O45" s="35">
        <v>0</v>
      </c>
      <c r="P45" s="200">
        <f t="shared" si="10"/>
        <v>0</v>
      </c>
      <c r="Q45" s="35">
        <v>0</v>
      </c>
      <c r="R45" s="200">
        <f t="shared" si="11"/>
        <v>0</v>
      </c>
    </row>
    <row r="46" spans="1:18" x14ac:dyDescent="0.2">
      <c r="A46" s="25"/>
      <c r="B46" s="25"/>
      <c r="C46" s="25" t="s">
        <v>103</v>
      </c>
      <c r="D46" s="25">
        <v>1</v>
      </c>
      <c r="E46" s="130"/>
      <c r="F46" s="224" t="s">
        <v>42</v>
      </c>
      <c r="G46" s="41">
        <v>4.2665021938241434</v>
      </c>
      <c r="H46" s="131"/>
      <c r="I46" s="35">
        <v>4.2665021938241434</v>
      </c>
      <c r="J46" s="200">
        <f t="shared" si="8"/>
        <v>0</v>
      </c>
      <c r="K46" s="223">
        <v>0</v>
      </c>
      <c r="L46" s="212"/>
      <c r="M46" s="35">
        <v>0</v>
      </c>
      <c r="N46" s="200">
        <f t="shared" si="9"/>
        <v>0</v>
      </c>
      <c r="O46" s="35">
        <v>4.2665021938241434</v>
      </c>
      <c r="P46" s="200">
        <f t="shared" si="10"/>
        <v>0</v>
      </c>
      <c r="Q46" s="35">
        <v>2730.561404047452</v>
      </c>
      <c r="R46" s="200">
        <f t="shared" si="11"/>
        <v>0</v>
      </c>
    </row>
    <row r="47" spans="1:18" x14ac:dyDescent="0.2">
      <c r="A47" s="25"/>
      <c r="B47" s="25"/>
      <c r="C47" s="25" t="s">
        <v>5</v>
      </c>
      <c r="D47" s="25">
        <v>1</v>
      </c>
      <c r="E47" s="130"/>
      <c r="F47" s="224" t="s">
        <v>42</v>
      </c>
      <c r="G47" s="41">
        <v>6.3835774175984978</v>
      </c>
      <c r="H47" s="131"/>
      <c r="I47" s="35">
        <v>6.3835774175984978</v>
      </c>
      <c r="J47" s="200">
        <f t="shared" si="8"/>
        <v>0</v>
      </c>
      <c r="K47" s="223">
        <v>0</v>
      </c>
      <c r="L47" s="212"/>
      <c r="M47" s="35">
        <v>0</v>
      </c>
      <c r="N47" s="200">
        <f t="shared" si="9"/>
        <v>0</v>
      </c>
      <c r="O47" s="35">
        <v>6.3835774175984978</v>
      </c>
      <c r="P47" s="200">
        <f t="shared" si="10"/>
        <v>0</v>
      </c>
      <c r="Q47" s="35">
        <v>4085.4895472630387</v>
      </c>
      <c r="R47" s="200">
        <f t="shared" si="11"/>
        <v>0</v>
      </c>
    </row>
    <row r="48" spans="1:18" x14ac:dyDescent="0.2">
      <c r="A48" s="25"/>
      <c r="B48" s="131"/>
      <c r="C48" s="131"/>
      <c r="D48" s="25"/>
      <c r="E48" s="130"/>
      <c r="F48" s="224"/>
      <c r="G48" s="41"/>
      <c r="H48" s="131"/>
      <c r="I48" s="35">
        <v>0</v>
      </c>
      <c r="J48" s="200">
        <f t="shared" si="8"/>
        <v>0</v>
      </c>
      <c r="K48" s="223">
        <v>0</v>
      </c>
      <c r="L48" s="212"/>
      <c r="M48" s="35">
        <v>0</v>
      </c>
      <c r="N48" s="200">
        <f t="shared" si="9"/>
        <v>0</v>
      </c>
      <c r="O48" s="35">
        <v>0</v>
      </c>
      <c r="P48" s="200">
        <f t="shared" si="10"/>
        <v>0</v>
      </c>
      <c r="Q48" s="35">
        <v>0</v>
      </c>
      <c r="R48" s="200">
        <f t="shared" si="11"/>
        <v>0</v>
      </c>
    </row>
    <row r="49" spans="1:18" x14ac:dyDescent="0.2">
      <c r="A49" s="25"/>
      <c r="B49" s="131"/>
      <c r="C49" s="131"/>
      <c r="D49" s="25"/>
      <c r="E49" s="130"/>
      <c r="F49" s="224"/>
      <c r="G49" s="41"/>
      <c r="H49" s="131"/>
      <c r="I49" s="35">
        <v>0</v>
      </c>
      <c r="J49" s="200">
        <f t="shared" si="8"/>
        <v>0</v>
      </c>
      <c r="K49" s="223">
        <v>0</v>
      </c>
      <c r="L49" s="212"/>
      <c r="M49" s="35">
        <v>0</v>
      </c>
      <c r="N49" s="200">
        <f t="shared" si="9"/>
        <v>0</v>
      </c>
      <c r="O49" s="35">
        <v>0</v>
      </c>
      <c r="P49" s="200">
        <f t="shared" si="10"/>
        <v>0</v>
      </c>
      <c r="Q49" s="35">
        <v>0</v>
      </c>
      <c r="R49" s="200">
        <f t="shared" si="11"/>
        <v>0</v>
      </c>
    </row>
    <row r="50" spans="1:18" ht="13.5" thickBot="1" x14ac:dyDescent="0.25">
      <c r="A50" s="25"/>
      <c r="B50" s="25" t="s">
        <v>32</v>
      </c>
      <c r="C50" s="25"/>
      <c r="D50" s="25"/>
      <c r="E50" s="195"/>
      <c r="F50" s="21"/>
      <c r="G50" s="39">
        <v>0.09</v>
      </c>
      <c r="H50" s="213"/>
      <c r="I50" s="42">
        <v>8.8714026745939041</v>
      </c>
      <c r="J50" s="200">
        <f>+SUM(J18:J49)/2*H50</f>
        <v>0</v>
      </c>
      <c r="K50" s="86"/>
      <c r="L50" s="135"/>
      <c r="M50" s="42">
        <v>0</v>
      </c>
      <c r="N50" s="200">
        <f>+SUM(N18:N49)/2*L50</f>
        <v>0</v>
      </c>
      <c r="O50" s="42">
        <v>8.8714026745939041</v>
      </c>
      <c r="P50" s="200">
        <f>+SUM(P18:P49)/2*L50</f>
        <v>0</v>
      </c>
      <c r="Q50" s="42">
        <v>5677.6977117400984</v>
      </c>
      <c r="R50" s="182">
        <f>+J50*E$7</f>
        <v>0</v>
      </c>
    </row>
    <row r="51" spans="1:18" ht="13.5" thickBot="1" x14ac:dyDescent="0.25">
      <c r="A51" s="25" t="s">
        <v>33</v>
      </c>
      <c r="B51" s="25"/>
      <c r="C51" s="25"/>
      <c r="D51" s="25"/>
      <c r="E51" s="198"/>
      <c r="F51" s="25"/>
      <c r="G51" s="25"/>
      <c r="H51" s="195"/>
      <c r="I51" s="87">
        <v>198.1215043287643</v>
      </c>
      <c r="J51" s="202">
        <f>SUM(J19:J50)</f>
        <v>0</v>
      </c>
      <c r="K51" s="35"/>
      <c r="L51" s="193"/>
      <c r="M51" s="87">
        <v>0</v>
      </c>
      <c r="N51" s="202">
        <f>SUM(N19:N50)</f>
        <v>0</v>
      </c>
      <c r="O51" s="87">
        <v>198.1215043287643</v>
      </c>
      <c r="P51" s="202">
        <f>SUM(P19:P50)</f>
        <v>0</v>
      </c>
      <c r="Q51" s="87">
        <v>126797.76277040916</v>
      </c>
      <c r="R51" s="202">
        <f>SUM(R19:R50)</f>
        <v>0</v>
      </c>
    </row>
    <row r="52" spans="1:18" ht="13.5" thickTop="1" x14ac:dyDescent="0.2">
      <c r="A52" s="25" t="s">
        <v>34</v>
      </c>
      <c r="B52" s="25"/>
      <c r="C52" s="25"/>
      <c r="D52" s="25"/>
      <c r="E52" s="198"/>
      <c r="F52" s="25"/>
      <c r="G52" s="25"/>
      <c r="H52" s="195"/>
      <c r="I52" s="35">
        <v>188.76389798673878</v>
      </c>
      <c r="J52" s="200">
        <f>+J14-J51</f>
        <v>0</v>
      </c>
      <c r="K52" s="35"/>
      <c r="L52" s="193"/>
      <c r="M52" s="35">
        <v>0</v>
      </c>
      <c r="N52" s="200">
        <f>+N14-N51</f>
        <v>0</v>
      </c>
      <c r="O52" s="35">
        <v>188.76389798673878</v>
      </c>
      <c r="P52" s="200">
        <f>+P14-P51</f>
        <v>0</v>
      </c>
      <c r="Q52" s="35">
        <v>120808.89471151282</v>
      </c>
      <c r="R52" s="200">
        <f>+R14-R51</f>
        <v>0</v>
      </c>
    </row>
    <row r="53" spans="1:18" x14ac:dyDescent="0.2">
      <c r="A53" s="25"/>
      <c r="B53" s="25" t="s">
        <v>35</v>
      </c>
      <c r="C53" s="25"/>
      <c r="D53" s="25"/>
      <c r="E53" s="208"/>
      <c r="F53" s="17"/>
      <c r="G53" s="40">
        <v>5.6194333443276623</v>
      </c>
      <c r="H53" s="208" t="str">
        <f>IF(E10=0,"n/a",(YVarExp-(YTotExp+YTotRet-J10))/E10)</f>
        <v>n/a</v>
      </c>
      <c r="I53" s="25" t="s">
        <v>83</v>
      </c>
      <c r="J53" s="182"/>
      <c r="K53" s="25"/>
      <c r="L53" s="195"/>
      <c r="M53" s="25"/>
      <c r="N53" s="182"/>
      <c r="O53" s="25"/>
      <c r="P53" s="182"/>
      <c r="Q53" s="25"/>
      <c r="R53" s="182"/>
    </row>
    <row r="54" spans="1:18" x14ac:dyDescent="0.2">
      <c r="A54" s="25"/>
      <c r="B54" s="25"/>
      <c r="C54" s="25"/>
      <c r="D54" s="25"/>
      <c r="E54" s="176"/>
      <c r="F54" s="25"/>
      <c r="G54" s="25"/>
      <c r="H54" s="209"/>
      <c r="I54" s="25"/>
      <c r="J54" s="182"/>
      <c r="K54" s="25"/>
      <c r="L54" s="195"/>
      <c r="M54" s="25"/>
      <c r="N54" s="182"/>
      <c r="O54" s="25"/>
      <c r="P54" s="182"/>
      <c r="Q54" s="22" t="s">
        <v>19</v>
      </c>
      <c r="R54" s="182" t="s">
        <v>19</v>
      </c>
    </row>
    <row r="55" spans="1:18" x14ac:dyDescent="0.2">
      <c r="A55" s="23" t="s">
        <v>36</v>
      </c>
      <c r="B55" s="23"/>
      <c r="C55" s="23"/>
      <c r="D55" s="24" t="s">
        <v>2</v>
      </c>
      <c r="E55" s="194" t="s">
        <v>2</v>
      </c>
      <c r="F55" s="24" t="s">
        <v>21</v>
      </c>
      <c r="G55" s="24" t="s">
        <v>22</v>
      </c>
      <c r="H55" s="194" t="s">
        <v>22</v>
      </c>
      <c r="I55" s="24" t="s">
        <v>12</v>
      </c>
      <c r="J55" s="194" t="s">
        <v>12</v>
      </c>
      <c r="K55" s="24" t="s">
        <v>11</v>
      </c>
      <c r="L55" s="194" t="s">
        <v>11</v>
      </c>
      <c r="M55" s="24" t="s">
        <v>10</v>
      </c>
      <c r="N55" s="194" t="s">
        <v>10</v>
      </c>
      <c r="O55" s="24" t="s">
        <v>9</v>
      </c>
      <c r="P55" s="194" t="s">
        <v>9</v>
      </c>
      <c r="Q55" s="24" t="s">
        <v>12</v>
      </c>
      <c r="R55" s="206" t="s">
        <v>12</v>
      </c>
    </row>
    <row r="56" spans="1:18" x14ac:dyDescent="0.2">
      <c r="A56" s="25"/>
      <c r="B56" s="25" t="s">
        <v>104</v>
      </c>
      <c r="C56" s="25"/>
      <c r="D56" s="25"/>
      <c r="E56" s="176"/>
      <c r="F56" s="25"/>
      <c r="G56" s="25"/>
      <c r="H56" s="209"/>
      <c r="I56" s="184"/>
      <c r="J56" s="182"/>
      <c r="K56" s="223"/>
      <c r="L56" s="195"/>
      <c r="M56" s="25"/>
      <c r="N56" s="182"/>
      <c r="O56" s="25"/>
      <c r="P56" s="182"/>
      <c r="Q56" s="25"/>
      <c r="R56" s="182"/>
    </row>
    <row r="57" spans="1:18" x14ac:dyDescent="0.2">
      <c r="A57" s="25"/>
      <c r="B57" s="25"/>
      <c r="C57" s="25" t="s">
        <v>102</v>
      </c>
      <c r="D57" s="25">
        <v>1</v>
      </c>
      <c r="E57" s="130"/>
      <c r="F57" s="224" t="s">
        <v>42</v>
      </c>
      <c r="G57" s="41">
        <v>0.97617187500000002</v>
      </c>
      <c r="H57" s="131"/>
      <c r="I57" s="35">
        <v>0.97617187500000002</v>
      </c>
      <c r="J57" s="200">
        <f t="shared" ref="J57:J59" si="12">E57*H57</f>
        <v>0</v>
      </c>
      <c r="K57" s="223">
        <v>0</v>
      </c>
      <c r="L57" s="212"/>
      <c r="M57" s="35">
        <v>0</v>
      </c>
      <c r="N57" s="200">
        <f>J57*L57</f>
        <v>0</v>
      </c>
      <c r="O57" s="35">
        <v>0.97617187500000002</v>
      </c>
      <c r="P57" s="200">
        <f t="shared" ref="P57:P59" si="13">+J57-N57</f>
        <v>0</v>
      </c>
      <c r="Q57" s="35">
        <v>624.75</v>
      </c>
      <c r="R57" s="200">
        <f t="shared" ref="R57:R59" si="14">+J57*E$7</f>
        <v>0</v>
      </c>
    </row>
    <row r="58" spans="1:18" x14ac:dyDescent="0.2">
      <c r="A58" s="25"/>
      <c r="B58" s="25"/>
      <c r="C58" s="25" t="s">
        <v>103</v>
      </c>
      <c r="D58" s="25">
        <v>1</v>
      </c>
      <c r="E58" s="130"/>
      <c r="F58" s="224" t="s">
        <v>42</v>
      </c>
      <c r="G58" s="41">
        <v>4.4087189336182817</v>
      </c>
      <c r="H58" s="131"/>
      <c r="I58" s="35">
        <v>4.4087189336182817</v>
      </c>
      <c r="J58" s="200">
        <f t="shared" si="12"/>
        <v>0</v>
      </c>
      <c r="K58" s="223">
        <v>0</v>
      </c>
      <c r="L58" s="212"/>
      <c r="M58" s="35">
        <v>0</v>
      </c>
      <c r="N58" s="200">
        <f>J58*L58</f>
        <v>0</v>
      </c>
      <c r="O58" s="35">
        <v>4.4087189336182817</v>
      </c>
      <c r="P58" s="200">
        <f t="shared" si="13"/>
        <v>0</v>
      </c>
      <c r="Q58" s="35">
        <v>2821.5801175157003</v>
      </c>
      <c r="R58" s="200">
        <f t="shared" si="14"/>
        <v>0</v>
      </c>
    </row>
    <row r="59" spans="1:18" x14ac:dyDescent="0.2">
      <c r="A59" s="25"/>
      <c r="B59" s="25"/>
      <c r="C59" s="25" t="s">
        <v>5</v>
      </c>
      <c r="D59" s="25">
        <v>1</v>
      </c>
      <c r="E59" s="130"/>
      <c r="F59" s="224" t="s">
        <v>42</v>
      </c>
      <c r="G59" s="41">
        <v>7.887706662224419</v>
      </c>
      <c r="H59" s="131"/>
      <c r="I59" s="35">
        <v>7.887706662224419</v>
      </c>
      <c r="J59" s="200">
        <f t="shared" si="12"/>
        <v>0</v>
      </c>
      <c r="K59" s="223">
        <v>0</v>
      </c>
      <c r="L59" s="212"/>
      <c r="M59" s="35">
        <v>0</v>
      </c>
      <c r="N59" s="200">
        <f>J59*L59</f>
        <v>0</v>
      </c>
      <c r="O59" s="35">
        <v>7.887706662224419</v>
      </c>
      <c r="P59" s="200">
        <f t="shared" si="13"/>
        <v>0</v>
      </c>
      <c r="Q59" s="35">
        <v>5048.1322638236279</v>
      </c>
      <c r="R59" s="200">
        <f t="shared" si="14"/>
        <v>0</v>
      </c>
    </row>
    <row r="60" spans="1:18" x14ac:dyDescent="0.2">
      <c r="A60" s="25"/>
      <c r="B60" s="25" t="s">
        <v>88</v>
      </c>
      <c r="C60" s="25"/>
      <c r="D60" s="25"/>
      <c r="E60" s="195"/>
      <c r="F60" s="21"/>
      <c r="G60" s="41"/>
      <c r="H60" s="195"/>
      <c r="I60" s="184"/>
      <c r="J60" s="182"/>
      <c r="K60" s="223"/>
      <c r="L60" s="195"/>
      <c r="M60" s="35"/>
      <c r="N60" s="182"/>
      <c r="O60" s="35"/>
      <c r="P60" s="182"/>
      <c r="Q60" s="35"/>
      <c r="R60" s="182"/>
    </row>
    <row r="61" spans="1:18" x14ac:dyDescent="0.2">
      <c r="A61" s="25"/>
      <c r="B61" s="25"/>
      <c r="C61" s="25" t="s">
        <v>102</v>
      </c>
      <c r="D61" s="41">
        <v>6.837890625</v>
      </c>
      <c r="E61" s="130"/>
      <c r="F61" s="224" t="s">
        <v>99</v>
      </c>
      <c r="G61" s="39">
        <v>0.08</v>
      </c>
      <c r="H61" s="213"/>
      <c r="I61" s="35">
        <v>0.54703124999999997</v>
      </c>
      <c r="J61" s="200">
        <f t="shared" ref="J61:J70" si="15">E61*H61</f>
        <v>0</v>
      </c>
      <c r="K61" s="223">
        <v>0</v>
      </c>
      <c r="L61" s="212"/>
      <c r="M61" s="35">
        <v>0</v>
      </c>
      <c r="N61" s="200">
        <f>J61*L61</f>
        <v>0</v>
      </c>
      <c r="O61" s="35">
        <v>0.54703124999999997</v>
      </c>
      <c r="P61" s="200">
        <f t="shared" ref="P61:P63" si="16">+J61-N61</f>
        <v>0</v>
      </c>
      <c r="Q61" s="35">
        <v>350.09999999999997</v>
      </c>
      <c r="R61" s="200">
        <f t="shared" ref="R61:R63" si="17">+J61*E$7</f>
        <v>0</v>
      </c>
    </row>
    <row r="62" spans="1:18" x14ac:dyDescent="0.2">
      <c r="A62" s="25"/>
      <c r="B62" s="25"/>
      <c r="C62" s="25" t="s">
        <v>103</v>
      </c>
      <c r="D62" s="41">
        <v>34.345342660284345</v>
      </c>
      <c r="E62" s="130"/>
      <c r="F62" s="224" t="s">
        <v>99</v>
      </c>
      <c r="G62" s="39">
        <v>0.08</v>
      </c>
      <c r="H62" s="213"/>
      <c r="I62" s="35">
        <v>2.7476274128227476</v>
      </c>
      <c r="J62" s="200">
        <f t="shared" si="15"/>
        <v>0</v>
      </c>
      <c r="K62" s="223">
        <v>0</v>
      </c>
      <c r="L62" s="212"/>
      <c r="M62" s="35">
        <v>0</v>
      </c>
      <c r="N62" s="200">
        <f>J62*L62</f>
        <v>0</v>
      </c>
      <c r="O62" s="35">
        <v>2.7476274128227476</v>
      </c>
      <c r="P62" s="200">
        <f t="shared" si="16"/>
        <v>0</v>
      </c>
      <c r="Q62" s="35">
        <v>1758.4815442065585</v>
      </c>
      <c r="R62" s="200">
        <f t="shared" si="17"/>
        <v>0</v>
      </c>
    </row>
    <row r="63" spans="1:18" x14ac:dyDescent="0.2">
      <c r="A63" s="25"/>
      <c r="B63" s="25"/>
      <c r="C63" s="25" t="s">
        <v>5</v>
      </c>
      <c r="D63" s="41">
        <v>33.741856277293351</v>
      </c>
      <c r="E63" s="130"/>
      <c r="F63" s="224" t="s">
        <v>99</v>
      </c>
      <c r="G63" s="39">
        <v>0.08</v>
      </c>
      <c r="H63" s="213"/>
      <c r="I63" s="35">
        <v>2.6993485021834682</v>
      </c>
      <c r="J63" s="200">
        <f t="shared" si="15"/>
        <v>0</v>
      </c>
      <c r="K63" s="223">
        <v>0</v>
      </c>
      <c r="L63" s="212"/>
      <c r="M63" s="35">
        <v>0</v>
      </c>
      <c r="N63" s="200">
        <f>J63*L63</f>
        <v>0</v>
      </c>
      <c r="O63" s="35">
        <v>2.6993485021834682</v>
      </c>
      <c r="P63" s="200">
        <f t="shared" si="16"/>
        <v>0</v>
      </c>
      <c r="Q63" s="35">
        <v>1727.5830413974197</v>
      </c>
      <c r="R63" s="200">
        <f t="shared" si="17"/>
        <v>0</v>
      </c>
    </row>
    <row r="64" spans="1:18" x14ac:dyDescent="0.2">
      <c r="A64" s="25"/>
      <c r="B64" s="25" t="s">
        <v>156</v>
      </c>
      <c r="C64" s="25"/>
      <c r="D64" s="25">
        <v>1</v>
      </c>
      <c r="E64" s="130"/>
      <c r="F64" s="224" t="s">
        <v>42</v>
      </c>
      <c r="G64" s="41">
        <v>0</v>
      </c>
      <c r="H64" s="131"/>
      <c r="I64" s="35">
        <v>0</v>
      </c>
      <c r="J64" s="200">
        <f t="shared" si="15"/>
        <v>0</v>
      </c>
      <c r="K64" s="223">
        <v>0</v>
      </c>
      <c r="L64" s="212"/>
      <c r="M64" s="35">
        <v>0</v>
      </c>
      <c r="N64" s="200">
        <f t="shared" ref="N64:N71" si="18">J64*L64</f>
        <v>0</v>
      </c>
      <c r="O64" s="35">
        <v>0</v>
      </c>
      <c r="P64" s="200">
        <f t="shared" ref="P64:P71" si="19">+J64-N64</f>
        <v>0</v>
      </c>
      <c r="Q64" s="35">
        <v>0</v>
      </c>
      <c r="R64" s="200">
        <f t="shared" ref="R64:R71" si="20">+J64*E$7</f>
        <v>0</v>
      </c>
    </row>
    <row r="65" spans="1:18" x14ac:dyDescent="0.2">
      <c r="A65" s="25"/>
      <c r="B65" s="25" t="s">
        <v>152</v>
      </c>
      <c r="C65" s="25"/>
      <c r="D65" s="25">
        <v>1</v>
      </c>
      <c r="E65" s="130"/>
      <c r="F65" s="224" t="s">
        <v>42</v>
      </c>
      <c r="G65" s="41">
        <v>0</v>
      </c>
      <c r="H65" s="131"/>
      <c r="I65" s="35">
        <v>0</v>
      </c>
      <c r="J65" s="200">
        <f t="shared" si="15"/>
        <v>0</v>
      </c>
      <c r="K65" s="223">
        <v>0</v>
      </c>
      <c r="L65" s="212"/>
      <c r="M65" s="35">
        <v>0</v>
      </c>
      <c r="N65" s="200">
        <f t="shared" si="18"/>
        <v>0</v>
      </c>
      <c r="O65" s="35">
        <v>0</v>
      </c>
      <c r="P65" s="200">
        <f t="shared" si="19"/>
        <v>0</v>
      </c>
      <c r="Q65" s="35">
        <v>0</v>
      </c>
      <c r="R65" s="200">
        <f t="shared" si="20"/>
        <v>0</v>
      </c>
    </row>
    <row r="66" spans="1:18" x14ac:dyDescent="0.2">
      <c r="A66" s="25"/>
      <c r="B66" s="25" t="s">
        <v>137</v>
      </c>
      <c r="C66" s="25"/>
      <c r="D66" s="25">
        <v>1</v>
      </c>
      <c r="E66" s="130"/>
      <c r="F66" s="224" t="s">
        <v>42</v>
      </c>
      <c r="G66" s="41">
        <v>0</v>
      </c>
      <c r="H66" s="131"/>
      <c r="I66" s="35">
        <v>0</v>
      </c>
      <c r="J66" s="200">
        <f t="shared" si="15"/>
        <v>0</v>
      </c>
      <c r="K66" s="223">
        <v>0</v>
      </c>
      <c r="L66" s="212"/>
      <c r="M66" s="35">
        <v>0</v>
      </c>
      <c r="N66" s="200">
        <f t="shared" si="18"/>
        <v>0</v>
      </c>
      <c r="O66" s="35">
        <v>0</v>
      </c>
      <c r="P66" s="200">
        <f t="shared" si="19"/>
        <v>0</v>
      </c>
      <c r="Q66" s="35">
        <v>0</v>
      </c>
      <c r="R66" s="200">
        <f t="shared" si="20"/>
        <v>0</v>
      </c>
    </row>
    <row r="67" spans="1:18" x14ac:dyDescent="0.2">
      <c r="A67" s="25"/>
      <c r="B67" s="25" t="s">
        <v>419</v>
      </c>
      <c r="C67" s="25"/>
      <c r="D67" s="25">
        <v>1</v>
      </c>
      <c r="E67" s="130"/>
      <c r="F67" s="224" t="s">
        <v>42</v>
      </c>
      <c r="G67" s="41">
        <v>30</v>
      </c>
      <c r="H67" s="131"/>
      <c r="I67" s="35">
        <v>30</v>
      </c>
      <c r="J67" s="200">
        <f t="shared" si="15"/>
        <v>0</v>
      </c>
      <c r="K67" s="223">
        <v>0</v>
      </c>
      <c r="L67" s="212"/>
      <c r="M67" s="35">
        <v>0</v>
      </c>
      <c r="N67" s="200">
        <f t="shared" si="18"/>
        <v>0</v>
      </c>
      <c r="O67" s="35">
        <v>30</v>
      </c>
      <c r="P67" s="200">
        <f t="shared" si="19"/>
        <v>0</v>
      </c>
      <c r="Q67" s="35">
        <v>19200</v>
      </c>
      <c r="R67" s="200">
        <f t="shared" si="20"/>
        <v>0</v>
      </c>
    </row>
    <row r="68" spans="1:18" x14ac:dyDescent="0.2">
      <c r="A68" s="25"/>
      <c r="B68" s="25" t="s">
        <v>159</v>
      </c>
      <c r="C68" s="25"/>
      <c r="D68" s="25">
        <v>1</v>
      </c>
      <c r="E68" s="130"/>
      <c r="F68" s="224" t="s">
        <v>42</v>
      </c>
      <c r="G68" s="41">
        <v>0</v>
      </c>
      <c r="H68" s="131"/>
      <c r="I68" s="35">
        <v>0</v>
      </c>
      <c r="J68" s="200">
        <f t="shared" si="15"/>
        <v>0</v>
      </c>
      <c r="K68" s="223">
        <v>0</v>
      </c>
      <c r="L68" s="212"/>
      <c r="M68" s="35">
        <v>0</v>
      </c>
      <c r="N68" s="200">
        <f t="shared" si="18"/>
        <v>0</v>
      </c>
      <c r="O68" s="35">
        <v>0</v>
      </c>
      <c r="P68" s="200">
        <f t="shared" si="19"/>
        <v>0</v>
      </c>
      <c r="Q68" s="35">
        <v>0</v>
      </c>
      <c r="R68" s="200">
        <f t="shared" si="20"/>
        <v>0</v>
      </c>
    </row>
    <row r="69" spans="1:18" x14ac:dyDescent="0.2">
      <c r="A69" s="25"/>
      <c r="B69" s="25" t="s">
        <v>160</v>
      </c>
      <c r="C69" s="25"/>
      <c r="D69" s="25">
        <v>1</v>
      </c>
      <c r="E69" s="130"/>
      <c r="F69" s="224" t="s">
        <v>42</v>
      </c>
      <c r="G69" s="41">
        <v>0</v>
      </c>
      <c r="H69" s="131"/>
      <c r="I69" s="35">
        <v>0</v>
      </c>
      <c r="J69" s="200">
        <f t="shared" si="15"/>
        <v>0</v>
      </c>
      <c r="K69" s="223">
        <v>0</v>
      </c>
      <c r="L69" s="212"/>
      <c r="M69" s="35">
        <v>0</v>
      </c>
      <c r="N69" s="200">
        <f t="shared" si="18"/>
        <v>0</v>
      </c>
      <c r="O69" s="35">
        <v>0</v>
      </c>
      <c r="P69" s="200">
        <f t="shared" si="19"/>
        <v>0</v>
      </c>
      <c r="Q69" s="35">
        <v>0</v>
      </c>
      <c r="R69" s="200">
        <f t="shared" si="20"/>
        <v>0</v>
      </c>
    </row>
    <row r="70" spans="1:18" x14ac:dyDescent="0.2">
      <c r="A70" s="25"/>
      <c r="B70" s="131"/>
      <c r="C70" s="131"/>
      <c r="D70" s="25">
        <v>1</v>
      </c>
      <c r="E70" s="130"/>
      <c r="F70" s="224"/>
      <c r="G70" s="41">
        <v>0</v>
      </c>
      <c r="H70" s="131"/>
      <c r="I70" s="35">
        <v>0</v>
      </c>
      <c r="J70" s="200">
        <f t="shared" si="15"/>
        <v>0</v>
      </c>
      <c r="K70" s="223">
        <v>0</v>
      </c>
      <c r="L70" s="212"/>
      <c r="M70" s="35">
        <v>0</v>
      </c>
      <c r="N70" s="200">
        <f t="shared" si="18"/>
        <v>0</v>
      </c>
      <c r="O70" s="35">
        <v>0</v>
      </c>
      <c r="P70" s="200">
        <f t="shared" si="19"/>
        <v>0</v>
      </c>
      <c r="Q70" s="35">
        <v>0</v>
      </c>
      <c r="R70" s="200">
        <f t="shared" si="20"/>
        <v>0</v>
      </c>
    </row>
    <row r="71" spans="1:18" ht="13.5" thickBot="1" x14ac:dyDescent="0.25">
      <c r="A71" s="25"/>
      <c r="B71" s="131"/>
      <c r="C71" s="131"/>
      <c r="D71" s="25">
        <v>1</v>
      </c>
      <c r="E71" s="130"/>
      <c r="F71" s="224"/>
      <c r="G71" s="41">
        <v>0</v>
      </c>
      <c r="H71" s="131"/>
      <c r="I71" s="35">
        <v>0</v>
      </c>
      <c r="J71" s="200">
        <f>E71*H71</f>
        <v>0</v>
      </c>
      <c r="K71" s="223">
        <v>0</v>
      </c>
      <c r="L71" s="212"/>
      <c r="M71" s="35">
        <v>0</v>
      </c>
      <c r="N71" s="200">
        <f t="shared" si="18"/>
        <v>0</v>
      </c>
      <c r="O71" s="35">
        <v>0</v>
      </c>
      <c r="P71" s="200">
        <f t="shared" si="19"/>
        <v>0</v>
      </c>
      <c r="Q71" s="35">
        <v>0</v>
      </c>
      <c r="R71" s="200">
        <f t="shared" si="20"/>
        <v>0</v>
      </c>
    </row>
    <row r="72" spans="1:18" ht="13.5" thickBot="1" x14ac:dyDescent="0.25">
      <c r="A72" s="25" t="s">
        <v>37</v>
      </c>
      <c r="B72" s="25"/>
      <c r="C72" s="25"/>
      <c r="D72" s="25"/>
      <c r="E72" s="195"/>
      <c r="F72" s="25"/>
      <c r="G72" s="25"/>
      <c r="H72" s="195"/>
      <c r="I72" s="118">
        <v>49.266604635848921</v>
      </c>
      <c r="J72" s="202">
        <f>+SUM(J57:J71)</f>
        <v>0</v>
      </c>
      <c r="K72" s="35"/>
      <c r="L72" s="193"/>
      <c r="M72" s="118">
        <v>0</v>
      </c>
      <c r="N72" s="202">
        <f>+SUM(N57:N71)</f>
        <v>0</v>
      </c>
      <c r="O72" s="118">
        <v>49.266604635848921</v>
      </c>
      <c r="P72" s="202">
        <f>+SUM(P57:P71)</f>
        <v>0</v>
      </c>
      <c r="Q72" s="118">
        <v>31530.62696694331</v>
      </c>
      <c r="R72" s="202">
        <f>+SUM(R57:R71)</f>
        <v>0</v>
      </c>
    </row>
    <row r="73" spans="1:18" ht="14.25" thickTop="1" thickBot="1" x14ac:dyDescent="0.25">
      <c r="A73" s="25" t="s">
        <v>52</v>
      </c>
      <c r="B73" s="25"/>
      <c r="C73" s="25"/>
      <c r="D73" s="25"/>
      <c r="E73" s="195"/>
      <c r="F73" s="25"/>
      <c r="G73" s="25"/>
      <c r="H73" s="195"/>
      <c r="I73" s="87">
        <v>247.38810896461322</v>
      </c>
      <c r="J73" s="203">
        <f>+J51+J72</f>
        <v>0</v>
      </c>
      <c r="K73" s="35"/>
      <c r="L73" s="193"/>
      <c r="M73" s="87">
        <v>0</v>
      </c>
      <c r="N73" s="203">
        <f>+N51+N72</f>
        <v>0</v>
      </c>
      <c r="O73" s="87">
        <v>247.38810896461322</v>
      </c>
      <c r="P73" s="203">
        <f>+P51+P72</f>
        <v>0</v>
      </c>
      <c r="Q73" s="87">
        <v>158328.38973735247</v>
      </c>
      <c r="R73" s="203">
        <f>+R51+R72</f>
        <v>0</v>
      </c>
    </row>
    <row r="74" spans="1:18" ht="13.5" thickTop="1" x14ac:dyDescent="0.2">
      <c r="A74" s="25"/>
      <c r="B74" s="25"/>
      <c r="C74" s="25"/>
      <c r="D74" s="25"/>
      <c r="E74" s="195"/>
      <c r="F74" s="25"/>
      <c r="G74" s="25"/>
      <c r="H74" s="195"/>
      <c r="I74" s="35"/>
      <c r="J74" s="182"/>
      <c r="K74" s="35"/>
      <c r="L74" s="193"/>
      <c r="M74" s="35"/>
      <c r="N74" s="182"/>
      <c r="O74" s="35"/>
      <c r="P74" s="182"/>
      <c r="Q74" s="35"/>
      <c r="R74" s="182"/>
    </row>
    <row r="75" spans="1:18" x14ac:dyDescent="0.2">
      <c r="A75" s="25" t="s">
        <v>153</v>
      </c>
      <c r="B75" s="25"/>
      <c r="C75" s="25"/>
      <c r="D75" s="25"/>
      <c r="E75" s="195"/>
      <c r="F75" s="25"/>
      <c r="G75" s="25"/>
      <c r="H75" s="195"/>
      <c r="I75" s="35">
        <v>139.49729335088986</v>
      </c>
      <c r="J75" s="200">
        <f>+J14-J73</f>
        <v>0</v>
      </c>
      <c r="K75" s="35"/>
      <c r="L75" s="193"/>
      <c r="M75" s="35">
        <v>0</v>
      </c>
      <c r="N75" s="200">
        <f>+N14-N73</f>
        <v>0</v>
      </c>
      <c r="O75" s="35">
        <v>139.49729335088986</v>
      </c>
      <c r="P75" s="200">
        <f>+P14-P73</f>
        <v>0</v>
      </c>
      <c r="Q75" s="35">
        <v>89278.267744569515</v>
      </c>
      <c r="R75" s="200">
        <f>+R14-R73</f>
        <v>0</v>
      </c>
    </row>
    <row r="76" spans="1:18" x14ac:dyDescent="0.2">
      <c r="A76" s="25"/>
      <c r="B76" s="25"/>
      <c r="C76" s="25"/>
      <c r="D76" s="25"/>
      <c r="E76" s="195"/>
      <c r="F76" s="25"/>
      <c r="G76" s="25"/>
      <c r="H76" s="195"/>
      <c r="I76" s="35"/>
      <c r="J76" s="204"/>
      <c r="K76" s="35"/>
      <c r="L76" s="193"/>
      <c r="M76" s="35"/>
      <c r="N76" s="193"/>
      <c r="O76" s="35"/>
      <c r="P76" s="193"/>
      <c r="Q76" s="35"/>
      <c r="R76" s="204"/>
    </row>
    <row r="77" spans="1:18" ht="13.5" thickBot="1" x14ac:dyDescent="0.25">
      <c r="A77" s="44" t="s">
        <v>38</v>
      </c>
      <c r="B77" s="44"/>
      <c r="C77" s="44"/>
      <c r="D77" s="44"/>
      <c r="E77" s="199"/>
      <c r="F77" s="44"/>
      <c r="G77" s="45">
        <v>7.5457310277919216</v>
      </c>
      <c r="H77" s="210" t="str">
        <f>IF(E10=0,"n/a",(YTotExp-(YTotExp+YTotRet-J10))/E10)</f>
        <v>n/a</v>
      </c>
      <c r="I77" s="44" t="s">
        <v>83</v>
      </c>
      <c r="J77" s="205"/>
      <c r="K77" s="44"/>
      <c r="L77" s="199"/>
      <c r="M77" s="44"/>
      <c r="N77" s="199"/>
      <c r="O77" s="44"/>
      <c r="P77" s="199"/>
      <c r="Q77" s="44"/>
      <c r="R77" s="205"/>
    </row>
    <row r="78" spans="1:18" ht="13.5" thickTop="1" x14ac:dyDescent="0.2"/>
    <row r="79" spans="1:18" s="17" customFormat="1" ht="15.75" x14ac:dyDescent="0.25">
      <c r="A79"/>
      <c r="B79" s="88"/>
      <c r="C79" s="89"/>
      <c r="D79" s="234" t="s">
        <v>113</v>
      </c>
      <c r="E79" s="235"/>
      <c r="F79" s="235"/>
      <c r="G79" s="235"/>
      <c r="H79" s="235"/>
      <c r="I79" s="235"/>
      <c r="J79" s="99"/>
      <c r="K79" s="99"/>
      <c r="M79"/>
      <c r="N79"/>
    </row>
    <row r="80" spans="1:18" s="17" customFormat="1" ht="15.75" x14ac:dyDescent="0.25">
      <c r="A80"/>
      <c r="B80" s="19" t="s">
        <v>114</v>
      </c>
      <c r="C80" s="19" t="s">
        <v>114</v>
      </c>
      <c r="D80" s="123" t="s">
        <v>170</v>
      </c>
      <c r="E80" s="18"/>
      <c r="F80" s="18"/>
      <c r="G80" s="123" t="s">
        <v>170</v>
      </c>
      <c r="H80" s="18"/>
      <c r="I80" s="18"/>
      <c r="J80" s="18"/>
      <c r="K80" s="18"/>
      <c r="M80"/>
      <c r="N80"/>
    </row>
    <row r="81" spans="1:18" s="17" customFormat="1" x14ac:dyDescent="0.2">
      <c r="A81"/>
      <c r="B81" s="19" t="s">
        <v>80</v>
      </c>
      <c r="C81" s="19" t="s">
        <v>80</v>
      </c>
      <c r="D81" s="123" t="s">
        <v>157</v>
      </c>
      <c r="E81" s="119"/>
      <c r="F81" s="119"/>
      <c r="G81" s="123" t="s">
        <v>12</v>
      </c>
      <c r="H81" s="119"/>
      <c r="I81" s="119"/>
      <c r="J81" s="119"/>
      <c r="K81" s="119"/>
      <c r="M81"/>
      <c r="N81"/>
    </row>
    <row r="82" spans="1:18" s="17" customFormat="1" x14ac:dyDescent="0.2">
      <c r="A82"/>
      <c r="B82" s="19" t="s">
        <v>30</v>
      </c>
      <c r="C82" s="99" t="s">
        <v>83</v>
      </c>
      <c r="D82" s="123" t="s">
        <v>98</v>
      </c>
      <c r="E82" s="119"/>
      <c r="F82" s="119"/>
      <c r="G82" s="123" t="s">
        <v>98</v>
      </c>
      <c r="H82" s="19"/>
      <c r="I82" s="19"/>
      <c r="J82" s="19"/>
      <c r="K82" s="19"/>
      <c r="M82"/>
      <c r="N82"/>
    </row>
    <row r="83" spans="1:18" s="17" customFormat="1" x14ac:dyDescent="0.2">
      <c r="A83"/>
      <c r="B83" s="90">
        <v>0.75</v>
      </c>
      <c r="C83" s="91">
        <v>19.181850133586718</v>
      </c>
      <c r="D83" s="92">
        <v>7.492577792436883</v>
      </c>
      <c r="E83" s="93"/>
      <c r="F83" s="94"/>
      <c r="G83" s="92">
        <v>10.060974703722563</v>
      </c>
      <c r="H83" s="93"/>
      <c r="I83" s="93"/>
      <c r="M83"/>
      <c r="N83"/>
    </row>
    <row r="84" spans="1:18" s="17" customFormat="1" x14ac:dyDescent="0.2">
      <c r="A84"/>
      <c r="B84" s="95">
        <v>0.9</v>
      </c>
      <c r="C84" s="96">
        <v>23.018220160304061</v>
      </c>
      <c r="D84" s="97">
        <v>6.2438148270307359</v>
      </c>
      <c r="E84" s="83"/>
      <c r="F84" s="98"/>
      <c r="G84" s="97">
        <v>8.3841455864354693</v>
      </c>
      <c r="H84" s="83"/>
      <c r="I84" s="83"/>
      <c r="M84"/>
      <c r="N84"/>
    </row>
    <row r="85" spans="1:18" s="17" customFormat="1" x14ac:dyDescent="0.2">
      <c r="A85"/>
      <c r="B85" s="90">
        <v>1</v>
      </c>
      <c r="C85" s="91">
        <v>25.575800178115625</v>
      </c>
      <c r="D85" s="92">
        <v>5.6194333443276623</v>
      </c>
      <c r="E85" s="93"/>
      <c r="F85" s="94"/>
      <c r="G85" s="92">
        <v>7.5457310277919216</v>
      </c>
      <c r="H85" s="93"/>
      <c r="I85" s="93"/>
      <c r="M85"/>
      <c r="N85"/>
    </row>
    <row r="86" spans="1:18" s="17" customFormat="1" x14ac:dyDescent="0.2">
      <c r="A86"/>
      <c r="B86" s="95">
        <v>1.1000000000000001</v>
      </c>
      <c r="C86" s="96">
        <v>28.133380195927188</v>
      </c>
      <c r="D86" s="97">
        <v>5.1085757675706018</v>
      </c>
      <c r="E86" s="83"/>
      <c r="F86" s="98"/>
      <c r="G86" s="97">
        <v>6.8597554798108371</v>
      </c>
      <c r="H86" s="83"/>
      <c r="I86" s="83"/>
      <c r="M86"/>
      <c r="N86"/>
    </row>
    <row r="87" spans="1:18" s="17" customFormat="1" x14ac:dyDescent="0.2">
      <c r="A87"/>
      <c r="B87" s="90">
        <v>1.25</v>
      </c>
      <c r="C87" s="91">
        <v>31.969750222644532</v>
      </c>
      <c r="D87" s="92">
        <v>4.4955466754621298</v>
      </c>
      <c r="E87" s="93"/>
      <c r="F87" s="94"/>
      <c r="G87" s="92">
        <v>6.0365848222335368</v>
      </c>
      <c r="H87" s="93"/>
      <c r="I87" s="93"/>
      <c r="M87"/>
      <c r="N87"/>
    </row>
    <row r="88" spans="1:18" s="17" customFormat="1" x14ac:dyDescent="0.2">
      <c r="A88"/>
      <c r="M88"/>
      <c r="N88"/>
    </row>
    <row r="89" spans="1:18" x14ac:dyDescent="0.2">
      <c r="A89" s="25" t="s">
        <v>434</v>
      </c>
      <c r="B89" s="17"/>
      <c r="C89" s="17"/>
      <c r="D89" s="17"/>
      <c r="E89" s="17"/>
      <c r="F89" s="17"/>
      <c r="G89" s="17"/>
      <c r="H89" s="17"/>
      <c r="I89" s="17"/>
      <c r="J89" s="28"/>
      <c r="K89" s="17"/>
      <c r="L89" s="17"/>
      <c r="M89" s="17"/>
      <c r="N89" s="17"/>
      <c r="O89" s="17"/>
      <c r="P89" s="17"/>
      <c r="Q89" s="17"/>
    </row>
    <row r="90" spans="1:18" x14ac:dyDescent="0.2">
      <c r="A90" s="17"/>
      <c r="B90" s="17"/>
      <c r="C90" s="17"/>
      <c r="D90" s="17"/>
      <c r="E90" s="17"/>
      <c r="F90" s="17"/>
      <c r="G90" s="17"/>
      <c r="H90" s="17"/>
      <c r="I90" s="17"/>
      <c r="J90" s="28"/>
      <c r="K90" s="17"/>
      <c r="L90" s="17"/>
      <c r="M90" s="17"/>
      <c r="N90" s="17"/>
      <c r="O90" s="17"/>
      <c r="P90" s="17"/>
      <c r="Q90" s="17"/>
    </row>
    <row r="91" spans="1:18" ht="26.25" customHeight="1" x14ac:dyDescent="0.2">
      <c r="A91" s="236" t="s">
        <v>140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19"/>
      <c r="N91" s="219"/>
      <c r="O91" s="219"/>
      <c r="P91" s="219"/>
      <c r="Q91" s="219"/>
      <c r="R91" s="219"/>
    </row>
  </sheetData>
  <sheetProtection sheet="1" objects="1" scenarios="1"/>
  <mergeCells count="6">
    <mergeCell ref="D79:I79"/>
    <mergeCell ref="A91:L91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5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8C81-5A8F-467A-9FAA-4EFA012F96D9}">
  <sheetPr codeName="Sheet223">
    <tabColor rgb="FF92D050"/>
    <pageSetUpPr fitToPage="1"/>
  </sheetPr>
  <dimension ref="A1:S90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2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465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461</v>
      </c>
      <c r="C10" s="25"/>
      <c r="D10" s="50">
        <v>25.575800178115625</v>
      </c>
      <c r="E10" s="130"/>
      <c r="F10" s="224" t="s">
        <v>83</v>
      </c>
      <c r="G10" s="31">
        <v>13</v>
      </c>
      <c r="H10" s="131"/>
      <c r="I10" s="35">
        <v>332.48540231550311</v>
      </c>
      <c r="J10" s="200">
        <f t="shared" ref="J10:J13" si="0">E10*H10</f>
        <v>0</v>
      </c>
      <c r="K10" s="223">
        <v>0</v>
      </c>
      <c r="L10" s="212"/>
      <c r="M10" s="35">
        <v>0</v>
      </c>
      <c r="N10" s="200">
        <f t="shared" ref="N10:N13" si="1">J10*L10</f>
        <v>0</v>
      </c>
      <c r="O10" s="35">
        <v>332.48540231550311</v>
      </c>
      <c r="P10" s="200">
        <f>+J10-N10</f>
        <v>0</v>
      </c>
      <c r="Q10" s="35">
        <v>212790.65748192198</v>
      </c>
      <c r="R10" s="200">
        <f t="shared" ref="R10:R13" si="2">+J10*E$7</f>
        <v>0</v>
      </c>
      <c r="S10" s="12"/>
    </row>
    <row r="11" spans="1:19" x14ac:dyDescent="0.2">
      <c r="A11" s="25"/>
      <c r="B11" t="s">
        <v>359</v>
      </c>
      <c r="C11" s="25"/>
      <c r="D11" s="50">
        <v>64</v>
      </c>
      <c r="E11" s="130"/>
      <c r="F11" s="224" t="s">
        <v>360</v>
      </c>
      <c r="G11" s="31">
        <v>0.85</v>
      </c>
      <c r="H11" s="131"/>
      <c r="I11" s="35">
        <v>54.4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54.4</v>
      </c>
      <c r="P11" s="200">
        <f t="shared" ref="P11:P13" si="3">+J11-N11</f>
        <v>0</v>
      </c>
      <c r="Q11" s="35">
        <v>34816</v>
      </c>
      <c r="R11" s="200">
        <f t="shared" si="2"/>
        <v>0</v>
      </c>
      <c r="S11" s="12"/>
    </row>
    <row r="12" spans="1:19" x14ac:dyDescent="0.2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35">
        <v>0</v>
      </c>
      <c r="J12" s="200">
        <f t="shared" si="0"/>
        <v>0</v>
      </c>
      <c r="K12" s="223">
        <v>0</v>
      </c>
      <c r="L12" s="212"/>
      <c r="M12" s="35">
        <v>0</v>
      </c>
      <c r="N12" s="200">
        <f t="shared" si="1"/>
        <v>0</v>
      </c>
      <c r="O12" s="35">
        <v>0</v>
      </c>
      <c r="P12" s="200">
        <f t="shared" si="3"/>
        <v>0</v>
      </c>
      <c r="Q12" s="35">
        <v>0</v>
      </c>
      <c r="R12" s="200">
        <f t="shared" si="2"/>
        <v>0</v>
      </c>
    </row>
    <row r="13" spans="1:19" ht="13.5" thickBot="1" x14ac:dyDescent="0.25">
      <c r="A13" s="25"/>
      <c r="B13" s="131"/>
      <c r="C13" s="131"/>
      <c r="D13" s="50">
        <v>0</v>
      </c>
      <c r="E13" s="130"/>
      <c r="F13" s="224"/>
      <c r="G13" s="31">
        <v>0</v>
      </c>
      <c r="H13" s="131"/>
      <c r="I13" s="42">
        <v>0</v>
      </c>
      <c r="J13" s="200">
        <f t="shared" si="0"/>
        <v>0</v>
      </c>
      <c r="K13" s="223">
        <v>0</v>
      </c>
      <c r="L13" s="212"/>
      <c r="M13" s="42">
        <v>0</v>
      </c>
      <c r="N13" s="200">
        <f t="shared" si="1"/>
        <v>0</v>
      </c>
      <c r="O13" s="42">
        <v>0</v>
      </c>
      <c r="P13" s="200">
        <f t="shared" si="3"/>
        <v>0</v>
      </c>
      <c r="Q13" s="42">
        <v>0</v>
      </c>
      <c r="R13" s="182">
        <f t="shared" si="2"/>
        <v>0</v>
      </c>
    </row>
    <row r="14" spans="1:19" x14ac:dyDescent="0.2">
      <c r="A14" s="25" t="s">
        <v>24</v>
      </c>
      <c r="B14" s="25"/>
      <c r="C14" s="25"/>
      <c r="D14" s="25"/>
      <c r="E14" s="198"/>
      <c r="F14" s="25"/>
      <c r="G14" s="25"/>
      <c r="H14" s="195"/>
      <c r="I14" s="36">
        <v>386.88540231550309</v>
      </c>
      <c r="J14" s="201">
        <f>SUM(J10:J13)</f>
        <v>0</v>
      </c>
      <c r="K14" s="35"/>
      <c r="L14" s="193"/>
      <c r="M14" s="36">
        <v>0</v>
      </c>
      <c r="N14" s="201">
        <f>SUM(N10:N13)</f>
        <v>0</v>
      </c>
      <c r="O14" s="36">
        <v>386.88540231550309</v>
      </c>
      <c r="P14" s="201">
        <f>SUM(P10:P13)</f>
        <v>0</v>
      </c>
      <c r="Q14" s="36">
        <v>247606.65748192198</v>
      </c>
      <c r="R14" s="201">
        <f>SUM(R10:R13)</f>
        <v>0</v>
      </c>
    </row>
    <row r="15" spans="1:19" x14ac:dyDescent="0.2">
      <c r="A15" s="25"/>
      <c r="B15" s="25"/>
      <c r="C15" s="25"/>
      <c r="D15" s="25"/>
      <c r="E15" s="176"/>
      <c r="F15" s="25"/>
      <c r="G15" s="25"/>
      <c r="H15" s="209"/>
      <c r="I15" s="35"/>
      <c r="J15" s="182"/>
      <c r="K15" s="35"/>
      <c r="L15" s="193"/>
      <c r="M15" s="35"/>
      <c r="N15" s="182"/>
      <c r="O15" s="35"/>
      <c r="P15" s="182"/>
      <c r="Q15" s="22" t="s">
        <v>19</v>
      </c>
      <c r="R15" s="182" t="s">
        <v>19</v>
      </c>
    </row>
    <row r="16" spans="1:19" x14ac:dyDescent="0.2">
      <c r="A16" s="23" t="s">
        <v>25</v>
      </c>
      <c r="B16" s="23"/>
      <c r="C16" s="23"/>
      <c r="D16" s="24" t="s">
        <v>2</v>
      </c>
      <c r="E16" s="194" t="s">
        <v>2</v>
      </c>
      <c r="F16" s="24" t="s">
        <v>21</v>
      </c>
      <c r="G16" s="24" t="s">
        <v>22</v>
      </c>
      <c r="H16" s="194" t="s">
        <v>22</v>
      </c>
      <c r="I16" s="24" t="s">
        <v>12</v>
      </c>
      <c r="J16" s="194" t="s">
        <v>12</v>
      </c>
      <c r="K16" s="24" t="s">
        <v>11</v>
      </c>
      <c r="L16" s="194" t="s">
        <v>11</v>
      </c>
      <c r="M16" s="24" t="s">
        <v>10</v>
      </c>
      <c r="N16" s="194" t="s">
        <v>10</v>
      </c>
      <c r="O16" s="24" t="s">
        <v>9</v>
      </c>
      <c r="P16" s="194" t="s">
        <v>9</v>
      </c>
      <c r="Q16" s="24" t="s">
        <v>12</v>
      </c>
      <c r="R16" s="206" t="s">
        <v>12</v>
      </c>
    </row>
    <row r="17" spans="1:18" x14ac:dyDescent="0.2">
      <c r="A17" s="25" t="s">
        <v>26</v>
      </c>
      <c r="B17" s="25"/>
      <c r="C17" s="25"/>
      <c r="D17" s="25"/>
      <c r="E17" s="176"/>
      <c r="F17" s="25"/>
      <c r="G17" s="25"/>
      <c r="H17" s="209"/>
      <c r="I17" s="25"/>
      <c r="J17" s="182"/>
      <c r="K17" s="25"/>
      <c r="L17" s="195"/>
      <c r="M17" s="25"/>
      <c r="N17" s="182"/>
      <c r="O17" s="25"/>
      <c r="P17" s="182"/>
      <c r="Q17" s="25"/>
      <c r="R17" s="182"/>
    </row>
    <row r="18" spans="1:18" x14ac:dyDescent="0.2">
      <c r="A18" s="25"/>
      <c r="B18" s="25" t="s">
        <v>1</v>
      </c>
      <c r="C18" s="25"/>
      <c r="D18" s="25"/>
      <c r="E18" s="25"/>
      <c r="F18" s="25"/>
      <c r="G18" s="25"/>
      <c r="H18" s="25"/>
      <c r="I18" s="25"/>
      <c r="J18" s="25"/>
      <c r="K18" s="223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 t="s">
        <v>458</v>
      </c>
      <c r="C19" s="25" t="s">
        <v>407</v>
      </c>
      <c r="D19" s="25">
        <v>70</v>
      </c>
      <c r="E19" s="130"/>
      <c r="F19" s="224" t="s">
        <v>82</v>
      </c>
      <c r="G19" s="41">
        <v>0.23</v>
      </c>
      <c r="H19" s="131"/>
      <c r="I19" s="35">
        <v>16.100000000000001</v>
      </c>
      <c r="J19" s="200">
        <f t="shared" ref="J19:J28" si="4">E19*H19</f>
        <v>0</v>
      </c>
      <c r="K19" s="223">
        <v>0</v>
      </c>
      <c r="L19" s="212"/>
      <c r="M19" s="35">
        <v>0</v>
      </c>
      <c r="N19" s="200">
        <f t="shared" ref="N19:N28" si="5">J19*L19</f>
        <v>0</v>
      </c>
      <c r="O19" s="35">
        <v>16.100000000000001</v>
      </c>
      <c r="P19" s="200">
        <f t="shared" ref="P19:P28" si="6">+J19-N19</f>
        <v>0</v>
      </c>
      <c r="Q19" s="35">
        <v>10304</v>
      </c>
      <c r="R19" s="200">
        <f t="shared" ref="R19:R28" si="7">+J19*E$7</f>
        <v>0</v>
      </c>
    </row>
    <row r="20" spans="1:18" x14ac:dyDescent="0.2">
      <c r="A20" s="25"/>
      <c r="B20" s="25" t="s">
        <v>458</v>
      </c>
      <c r="C20" s="25" t="s">
        <v>462</v>
      </c>
      <c r="D20" s="25">
        <v>18</v>
      </c>
      <c r="E20" s="130"/>
      <c r="F20" s="224" t="s">
        <v>82</v>
      </c>
      <c r="G20" s="41">
        <v>0.35</v>
      </c>
      <c r="H20" s="131"/>
      <c r="I20" s="35">
        <v>6.3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6.3</v>
      </c>
      <c r="P20" s="200">
        <f t="shared" si="6"/>
        <v>0</v>
      </c>
      <c r="Q20" s="35">
        <v>4032</v>
      </c>
      <c r="R20" s="200">
        <f t="shared" si="7"/>
        <v>0</v>
      </c>
    </row>
    <row r="21" spans="1:18" x14ac:dyDescent="0.2">
      <c r="A21" s="25"/>
      <c r="B21" s="25" t="s">
        <v>0</v>
      </c>
      <c r="C21" s="25"/>
      <c r="D21" s="25"/>
      <c r="E21" s="25"/>
      <c r="F21" s="25"/>
      <c r="G21" s="25"/>
      <c r="H21" s="25"/>
      <c r="I21" s="25"/>
      <c r="J21" s="25"/>
      <c r="K21" s="223"/>
      <c r="L21" s="25"/>
      <c r="M21" s="25"/>
      <c r="N21" s="25"/>
      <c r="O21" s="25"/>
      <c r="P21" s="25"/>
      <c r="Q21" s="25"/>
      <c r="R21" s="25"/>
    </row>
    <row r="22" spans="1:18" x14ac:dyDescent="0.2">
      <c r="A22" s="25"/>
      <c r="B22" s="25" t="s">
        <v>458</v>
      </c>
      <c r="C22" s="25" t="s">
        <v>459</v>
      </c>
      <c r="D22" s="25">
        <v>4014</v>
      </c>
      <c r="E22" s="130"/>
      <c r="F22" s="224" t="s">
        <v>460</v>
      </c>
      <c r="G22" s="41">
        <v>2.2421524663677129E-2</v>
      </c>
      <c r="H22" s="131"/>
      <c r="I22" s="35">
        <v>90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90</v>
      </c>
      <c r="P22" s="200">
        <f t="shared" si="6"/>
        <v>0</v>
      </c>
      <c r="Q22" s="35">
        <v>57600</v>
      </c>
      <c r="R22" s="200">
        <f t="shared" si="7"/>
        <v>0</v>
      </c>
    </row>
    <row r="23" spans="1:18" x14ac:dyDescent="0.2">
      <c r="A23" s="25"/>
      <c r="B23" s="25" t="s">
        <v>50</v>
      </c>
      <c r="C23" s="25"/>
      <c r="D23" s="25"/>
      <c r="E23" s="25"/>
      <c r="F23" s="25"/>
      <c r="G23" s="25"/>
      <c r="H23" s="25"/>
      <c r="I23" s="25"/>
      <c r="J23" s="25"/>
      <c r="K23" s="223"/>
      <c r="L23" s="25"/>
      <c r="M23" s="25"/>
      <c r="N23" s="25"/>
      <c r="O23" s="25"/>
      <c r="P23" s="25"/>
      <c r="Q23" s="25"/>
      <c r="R23" s="25"/>
    </row>
    <row r="24" spans="1:18" x14ac:dyDescent="0.2">
      <c r="A24" s="25"/>
      <c r="B24" s="25" t="s">
        <v>458</v>
      </c>
      <c r="C24" s="25" t="s">
        <v>371</v>
      </c>
      <c r="D24" s="25">
        <v>1</v>
      </c>
      <c r="E24" s="130"/>
      <c r="F24" s="224" t="s">
        <v>42</v>
      </c>
      <c r="G24" s="41">
        <v>35</v>
      </c>
      <c r="H24" s="131"/>
      <c r="I24" s="35">
        <v>35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35</v>
      </c>
      <c r="P24" s="200">
        <f t="shared" si="6"/>
        <v>0</v>
      </c>
      <c r="Q24" s="35">
        <v>22400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373</v>
      </c>
      <c r="D25" s="25">
        <v>25.575800178115625</v>
      </c>
      <c r="E25" s="130"/>
      <c r="F25" s="224" t="s">
        <v>83</v>
      </c>
      <c r="G25" s="41">
        <v>0.24</v>
      </c>
      <c r="H25" s="131"/>
      <c r="I25" s="35">
        <v>6.1381920427477494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6.1381920427477494</v>
      </c>
      <c r="P25" s="200">
        <f t="shared" si="6"/>
        <v>0</v>
      </c>
      <c r="Q25" s="35">
        <v>3928.4429073585598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177</v>
      </c>
      <c r="D26" s="25">
        <v>1</v>
      </c>
      <c r="E26" s="130"/>
      <c r="F26" s="224" t="s">
        <v>42</v>
      </c>
      <c r="G26" s="41">
        <v>5.5</v>
      </c>
      <c r="H26" s="131"/>
      <c r="I26" s="35">
        <v>5.5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5.5</v>
      </c>
      <c r="P26" s="200">
        <f t="shared" si="6"/>
        <v>0</v>
      </c>
      <c r="Q26" s="35">
        <v>3520</v>
      </c>
      <c r="R26" s="200">
        <f t="shared" si="7"/>
        <v>0</v>
      </c>
    </row>
    <row r="27" spans="1:18" x14ac:dyDescent="0.2">
      <c r="A27" s="25"/>
      <c r="B27" s="131"/>
      <c r="C27" s="131"/>
      <c r="D27" s="25">
        <v>0</v>
      </c>
      <c r="E27" s="130"/>
      <c r="F27" s="224"/>
      <c r="G27" s="41">
        <v>0</v>
      </c>
      <c r="H27" s="131"/>
      <c r="I27" s="35">
        <v>0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0</v>
      </c>
      <c r="P27" s="200">
        <f t="shared" si="6"/>
        <v>0</v>
      </c>
      <c r="Q27" s="35">
        <v>0</v>
      </c>
      <c r="R27" s="200">
        <f t="shared" si="7"/>
        <v>0</v>
      </c>
    </row>
    <row r="28" spans="1:18" x14ac:dyDescent="0.2">
      <c r="A28" s="25"/>
      <c r="B28" s="131"/>
      <c r="C28" s="131"/>
      <c r="D28" s="25">
        <v>0</v>
      </c>
      <c r="E28" s="130"/>
      <c r="F28" s="224"/>
      <c r="G28" s="41">
        <v>0</v>
      </c>
      <c r="H28" s="131"/>
      <c r="I28" s="35">
        <v>0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0</v>
      </c>
      <c r="P28" s="200">
        <f t="shared" si="6"/>
        <v>0</v>
      </c>
      <c r="Q28" s="35">
        <v>0</v>
      </c>
      <c r="R28" s="200">
        <f t="shared" si="7"/>
        <v>0</v>
      </c>
    </row>
    <row r="29" spans="1:18" x14ac:dyDescent="0.2">
      <c r="A29" s="25"/>
      <c r="B29" s="131"/>
      <c r="C29" s="131"/>
      <c r="D29" s="25">
        <v>0</v>
      </c>
      <c r="E29" s="130"/>
      <c r="F29" s="224"/>
      <c r="G29" s="41">
        <v>0</v>
      </c>
      <c r="H29" s="131"/>
      <c r="I29" s="35">
        <v>0</v>
      </c>
      <c r="J29" s="200">
        <f>E29*H29</f>
        <v>0</v>
      </c>
      <c r="K29" s="223">
        <v>0</v>
      </c>
      <c r="L29" s="212"/>
      <c r="M29" s="35">
        <v>0</v>
      </c>
      <c r="N29" s="200">
        <f>J29*L29</f>
        <v>0</v>
      </c>
      <c r="O29" s="35">
        <v>0</v>
      </c>
      <c r="P29" s="200">
        <f>+J29-N29</f>
        <v>0</v>
      </c>
      <c r="Q29" s="35">
        <v>0</v>
      </c>
      <c r="R29" s="200">
        <f>+J29*E$7</f>
        <v>0</v>
      </c>
    </row>
    <row r="30" spans="1:18" x14ac:dyDescent="0.2">
      <c r="A30" s="25"/>
      <c r="B30" s="25" t="s">
        <v>106</v>
      </c>
      <c r="C30" s="25"/>
      <c r="D30" s="25"/>
      <c r="E30" s="104"/>
      <c r="H30" s="104"/>
      <c r="I30" s="121"/>
      <c r="J30" s="104"/>
      <c r="K30" s="223"/>
      <c r="L30" s="104"/>
      <c r="N30" s="104"/>
      <c r="P30" s="104"/>
      <c r="R30" s="104"/>
    </row>
    <row r="31" spans="1:18" x14ac:dyDescent="0.2">
      <c r="A31" s="25"/>
      <c r="B31" s="25"/>
      <c r="C31" s="25" t="s">
        <v>103</v>
      </c>
      <c r="D31" s="25">
        <v>0.52</v>
      </c>
      <c r="E31" s="130"/>
      <c r="F31" s="224" t="s">
        <v>44</v>
      </c>
      <c r="G31" s="41">
        <v>15</v>
      </c>
      <c r="H31" s="131"/>
      <c r="I31" s="35">
        <v>7.8000000000000007</v>
      </c>
      <c r="J31" s="200">
        <f>E31*H31</f>
        <v>0</v>
      </c>
      <c r="K31" s="223">
        <v>0</v>
      </c>
      <c r="L31" s="212"/>
      <c r="M31" s="35">
        <v>0</v>
      </c>
      <c r="N31" s="200">
        <f>J31*L31</f>
        <v>0</v>
      </c>
      <c r="O31" s="35">
        <v>7.8000000000000007</v>
      </c>
      <c r="P31" s="200">
        <f>+J31-N31</f>
        <v>0</v>
      </c>
      <c r="Q31" s="35">
        <v>4992</v>
      </c>
      <c r="R31" s="200">
        <f>+J31*E$7</f>
        <v>0</v>
      </c>
    </row>
    <row r="32" spans="1:18" x14ac:dyDescent="0.2">
      <c r="A32" s="25"/>
      <c r="B32" s="25"/>
      <c r="C32" s="25" t="s">
        <v>105</v>
      </c>
      <c r="D32" s="25">
        <v>0.63</v>
      </c>
      <c r="E32" s="130"/>
      <c r="F32" s="224" t="s">
        <v>44</v>
      </c>
      <c r="G32" s="41">
        <v>15</v>
      </c>
      <c r="H32" s="131"/>
      <c r="I32" s="35">
        <v>9.4499999999999993</v>
      </c>
      <c r="J32" s="200">
        <f>E32*H32</f>
        <v>0</v>
      </c>
      <c r="K32" s="223">
        <v>0</v>
      </c>
      <c r="L32" s="212"/>
      <c r="M32" s="35">
        <v>0</v>
      </c>
      <c r="N32" s="200">
        <f>J32*L32</f>
        <v>0</v>
      </c>
      <c r="O32" s="35">
        <v>9.4499999999999993</v>
      </c>
      <c r="P32" s="200">
        <f>+J32-N32</f>
        <v>0</v>
      </c>
      <c r="Q32" s="35">
        <v>6048</v>
      </c>
      <c r="R32" s="200">
        <f>+J32*E$7</f>
        <v>0</v>
      </c>
    </row>
    <row r="33" spans="1:18" x14ac:dyDescent="0.2">
      <c r="A33" s="25"/>
      <c r="B33" s="25"/>
      <c r="C33" s="25"/>
      <c r="D33" s="25"/>
      <c r="E33" s="207"/>
      <c r="F33" s="21"/>
      <c r="G33" s="41"/>
      <c r="H33" s="196"/>
      <c r="I33" s="35"/>
      <c r="J33" s="182"/>
      <c r="K33" s="223"/>
      <c r="L33" s="196"/>
      <c r="M33" s="35"/>
      <c r="N33" s="182"/>
      <c r="O33" s="35"/>
      <c r="P33" s="182"/>
      <c r="Q33" s="35"/>
      <c r="R33" s="182"/>
    </row>
    <row r="34" spans="1:18" x14ac:dyDescent="0.2">
      <c r="A34" s="25"/>
      <c r="B34" s="25" t="s">
        <v>51</v>
      </c>
      <c r="C34" s="25"/>
      <c r="D34" s="25"/>
      <c r="E34" s="207"/>
      <c r="F34" s="21"/>
      <c r="G34" s="41"/>
      <c r="H34" s="196"/>
      <c r="I34" s="184"/>
      <c r="J34" s="182"/>
      <c r="K34" s="223"/>
      <c r="L34" s="196"/>
      <c r="M34" s="35"/>
      <c r="N34" s="182"/>
      <c r="O34" s="35"/>
      <c r="P34" s="182"/>
      <c r="Q34" s="35"/>
      <c r="R34" s="182"/>
    </row>
    <row r="35" spans="1:18" x14ac:dyDescent="0.2">
      <c r="A35" s="25"/>
      <c r="B35" s="25"/>
      <c r="C35" s="25" t="s">
        <v>102</v>
      </c>
      <c r="D35" s="25">
        <v>1</v>
      </c>
      <c r="E35" s="130"/>
      <c r="F35" s="224" t="s">
        <v>42</v>
      </c>
      <c r="G35" s="41">
        <v>0</v>
      </c>
      <c r="H35" s="131"/>
      <c r="I35" s="35">
        <v>0</v>
      </c>
      <c r="J35" s="200">
        <f>E35*H35</f>
        <v>0</v>
      </c>
      <c r="K35" s="223">
        <v>0</v>
      </c>
      <c r="L35" s="212"/>
      <c r="M35" s="35">
        <v>0</v>
      </c>
      <c r="N35" s="200">
        <f>J35*L35</f>
        <v>0</v>
      </c>
      <c r="O35" s="35">
        <v>0</v>
      </c>
      <c r="P35" s="200">
        <f>+J35-N35</f>
        <v>0</v>
      </c>
      <c r="Q35" s="35">
        <v>0</v>
      </c>
      <c r="R35" s="200">
        <f>+J35*E$7</f>
        <v>0</v>
      </c>
    </row>
    <row r="36" spans="1:18" x14ac:dyDescent="0.2">
      <c r="A36" s="25"/>
      <c r="B36" s="25"/>
      <c r="C36" s="25" t="s">
        <v>103</v>
      </c>
      <c r="D36" s="25">
        <v>3.51</v>
      </c>
      <c r="E36" s="130"/>
      <c r="F36" s="224" t="s">
        <v>79</v>
      </c>
      <c r="G36" s="41">
        <v>3.0190000000000001</v>
      </c>
      <c r="H36" s="131"/>
      <c r="I36" s="35">
        <v>10.596690000000001</v>
      </c>
      <c r="J36" s="200">
        <f>E36*H36</f>
        <v>0</v>
      </c>
      <c r="K36" s="223">
        <v>0</v>
      </c>
      <c r="L36" s="212"/>
      <c r="M36" s="35">
        <v>0</v>
      </c>
      <c r="N36" s="200">
        <f>J36*L36</f>
        <v>0</v>
      </c>
      <c r="O36" s="35">
        <v>10.596690000000001</v>
      </c>
      <c r="P36" s="200">
        <f>+J36-N36</f>
        <v>0</v>
      </c>
      <c r="Q36" s="35">
        <v>6781.8816000000006</v>
      </c>
      <c r="R36" s="200">
        <f>+J36*E$7</f>
        <v>0</v>
      </c>
    </row>
    <row r="37" spans="1:18" x14ac:dyDescent="0.2">
      <c r="A37" s="25"/>
      <c r="B37" s="25"/>
      <c r="C37" s="25"/>
      <c r="D37" s="25"/>
      <c r="E37" s="207"/>
      <c r="F37" s="21"/>
      <c r="G37" s="41"/>
      <c r="H37" s="196"/>
      <c r="I37" s="35"/>
      <c r="J37" s="182"/>
      <c r="K37" s="223"/>
      <c r="L37" s="196"/>
      <c r="M37" s="35"/>
      <c r="N37" s="182"/>
      <c r="O37" s="35"/>
      <c r="P37" s="182"/>
      <c r="Q37" s="35"/>
      <c r="R37" s="182"/>
    </row>
    <row r="38" spans="1:18" x14ac:dyDescent="0.2">
      <c r="A38" s="25"/>
      <c r="B38" s="25" t="s">
        <v>29</v>
      </c>
      <c r="C38" s="25"/>
      <c r="D38" s="25"/>
      <c r="E38" s="207"/>
      <c r="F38" s="21"/>
      <c r="G38" s="41"/>
      <c r="H38" s="196"/>
      <c r="I38" s="184"/>
      <c r="J38" s="182"/>
      <c r="K38" s="223"/>
      <c r="L38" s="196"/>
      <c r="M38" s="35"/>
      <c r="N38" s="182"/>
      <c r="O38" s="35"/>
      <c r="P38" s="182"/>
      <c r="Q38" s="35"/>
      <c r="R38" s="182"/>
    </row>
    <row r="39" spans="1:18" x14ac:dyDescent="0.2">
      <c r="A39" s="25"/>
      <c r="B39" s="25"/>
      <c r="C39" s="25" t="s">
        <v>102</v>
      </c>
      <c r="D39" s="25">
        <v>1</v>
      </c>
      <c r="E39" s="130"/>
      <c r="F39" s="224" t="s">
        <v>42</v>
      </c>
      <c r="G39" s="41">
        <v>2.109375</v>
      </c>
      <c r="H39" s="131"/>
      <c r="I39" s="35">
        <v>2.109375</v>
      </c>
      <c r="J39" s="200">
        <f>E39*H39</f>
        <v>0</v>
      </c>
      <c r="K39" s="223">
        <v>0</v>
      </c>
      <c r="L39" s="212"/>
      <c r="M39" s="35">
        <v>0</v>
      </c>
      <c r="N39" s="200">
        <f>J39*L39</f>
        <v>0</v>
      </c>
      <c r="O39" s="35">
        <v>2.109375</v>
      </c>
      <c r="P39" s="200">
        <f>+J39-N39</f>
        <v>0</v>
      </c>
      <c r="Q39" s="35">
        <v>1350</v>
      </c>
      <c r="R39" s="200">
        <f>+J39*E$7</f>
        <v>0</v>
      </c>
    </row>
    <row r="40" spans="1:18" x14ac:dyDescent="0.2">
      <c r="A40" s="25"/>
      <c r="B40" s="25"/>
      <c r="C40" s="25" t="s">
        <v>103</v>
      </c>
      <c r="D40" s="25">
        <v>0</v>
      </c>
      <c r="E40" s="130"/>
      <c r="F40" s="224" t="s">
        <v>79</v>
      </c>
      <c r="G40" s="41">
        <v>3.09</v>
      </c>
      <c r="H40" s="131"/>
      <c r="I40" s="35">
        <v>0</v>
      </c>
      <c r="J40" s="200">
        <f>E40*H40</f>
        <v>0</v>
      </c>
      <c r="K40" s="223">
        <v>0</v>
      </c>
      <c r="L40" s="212"/>
      <c r="M40" s="35">
        <v>0</v>
      </c>
      <c r="N40" s="200">
        <f>J40*L40</f>
        <v>0</v>
      </c>
      <c r="O40" s="35">
        <v>0</v>
      </c>
      <c r="P40" s="200">
        <f>+J40-N40</f>
        <v>0</v>
      </c>
      <c r="Q40" s="35">
        <v>0</v>
      </c>
      <c r="R40" s="200">
        <f>+J40*E$7</f>
        <v>0</v>
      </c>
    </row>
    <row r="41" spans="1:18" x14ac:dyDescent="0.2">
      <c r="A41" s="25"/>
      <c r="B41" s="25"/>
      <c r="C41" s="25"/>
      <c r="D41" s="25"/>
      <c r="E41" s="207"/>
      <c r="F41" s="21"/>
      <c r="G41" s="41"/>
      <c r="H41" s="196"/>
      <c r="I41" s="35"/>
      <c r="J41" s="182"/>
      <c r="K41" s="223"/>
      <c r="L41" s="196"/>
      <c r="M41" s="35"/>
      <c r="N41" s="182"/>
      <c r="O41" s="35"/>
      <c r="P41" s="182"/>
      <c r="Q41" s="35"/>
      <c r="R41" s="182"/>
    </row>
    <row r="42" spans="1:18" x14ac:dyDescent="0.2">
      <c r="A42" s="25"/>
      <c r="B42" s="25" t="s">
        <v>47</v>
      </c>
      <c r="C42" s="25"/>
      <c r="D42" s="25"/>
      <c r="E42" s="207"/>
      <c r="F42" s="21"/>
      <c r="G42" s="41"/>
      <c r="H42" s="197"/>
      <c r="I42" s="184"/>
      <c r="J42" s="182"/>
      <c r="K42" s="223"/>
      <c r="L42" s="197"/>
      <c r="M42" s="35"/>
      <c r="N42" s="182"/>
      <c r="O42" s="35"/>
      <c r="P42" s="182"/>
      <c r="Q42" s="35"/>
      <c r="R42" s="182"/>
    </row>
    <row r="43" spans="1:18" x14ac:dyDescent="0.2">
      <c r="A43" s="25"/>
      <c r="B43" s="25"/>
      <c r="C43" s="25" t="s">
        <v>102</v>
      </c>
      <c r="D43" s="25">
        <v>1</v>
      </c>
      <c r="E43" s="130"/>
      <c r="F43" s="224" t="s">
        <v>42</v>
      </c>
      <c r="G43" s="41">
        <v>0.703125</v>
      </c>
      <c r="H43" s="131"/>
      <c r="I43" s="35">
        <v>0.703125</v>
      </c>
      <c r="J43" s="200">
        <f t="shared" ref="J43:J48" si="8">E43*H43</f>
        <v>0</v>
      </c>
      <c r="K43" s="223">
        <v>0</v>
      </c>
      <c r="L43" s="212"/>
      <c r="M43" s="35">
        <v>0</v>
      </c>
      <c r="N43" s="200">
        <f t="shared" ref="N43:N48" si="9">J43*L43</f>
        <v>0</v>
      </c>
      <c r="O43" s="35">
        <v>0.703125</v>
      </c>
      <c r="P43" s="200">
        <f t="shared" ref="P43:P48" si="10">+J43-N43</f>
        <v>0</v>
      </c>
      <c r="Q43" s="35">
        <v>450</v>
      </c>
      <c r="R43" s="200">
        <f t="shared" ref="R43:R48" si="11">+J43*E$7</f>
        <v>0</v>
      </c>
    </row>
    <row r="44" spans="1:18" x14ac:dyDescent="0.2">
      <c r="A44" s="25"/>
      <c r="B44" s="25"/>
      <c r="C44" s="25" t="s">
        <v>46</v>
      </c>
      <c r="D44" s="25">
        <v>1</v>
      </c>
      <c r="E44" s="130"/>
      <c r="F44" s="224" t="s">
        <v>42</v>
      </c>
      <c r="G44" s="41">
        <v>0</v>
      </c>
      <c r="H44" s="131"/>
      <c r="I44" s="35">
        <v>0</v>
      </c>
      <c r="J44" s="200">
        <f t="shared" si="8"/>
        <v>0</v>
      </c>
      <c r="K44" s="223">
        <v>0</v>
      </c>
      <c r="L44" s="212"/>
      <c r="M44" s="35">
        <v>0</v>
      </c>
      <c r="N44" s="200">
        <f t="shared" si="9"/>
        <v>0</v>
      </c>
      <c r="O44" s="35">
        <v>0</v>
      </c>
      <c r="P44" s="200">
        <f t="shared" si="10"/>
        <v>0</v>
      </c>
      <c r="Q44" s="35">
        <v>0</v>
      </c>
      <c r="R44" s="200">
        <f t="shared" si="11"/>
        <v>0</v>
      </c>
    </row>
    <row r="45" spans="1:18" x14ac:dyDescent="0.2">
      <c r="A45" s="25"/>
      <c r="B45" s="25"/>
      <c r="C45" s="25" t="s">
        <v>103</v>
      </c>
      <c r="D45" s="25">
        <v>1</v>
      </c>
      <c r="E45" s="130"/>
      <c r="F45" s="224" t="s">
        <v>42</v>
      </c>
      <c r="G45" s="41">
        <v>7.2131048358181644</v>
      </c>
      <c r="H45" s="131"/>
      <c r="I45" s="35">
        <v>7.2131048358181644</v>
      </c>
      <c r="J45" s="200">
        <f t="shared" si="8"/>
        <v>0</v>
      </c>
      <c r="K45" s="223">
        <v>0</v>
      </c>
      <c r="L45" s="212"/>
      <c r="M45" s="35">
        <v>0</v>
      </c>
      <c r="N45" s="200">
        <f t="shared" si="9"/>
        <v>0</v>
      </c>
      <c r="O45" s="35">
        <v>7.2131048358181644</v>
      </c>
      <c r="P45" s="200">
        <f t="shared" si="10"/>
        <v>0</v>
      </c>
      <c r="Q45" s="35">
        <v>4616.3870949236252</v>
      </c>
      <c r="R45" s="200">
        <f t="shared" si="11"/>
        <v>0</v>
      </c>
    </row>
    <row r="46" spans="1:18" x14ac:dyDescent="0.2">
      <c r="A46" s="25"/>
      <c r="B46" s="25"/>
      <c r="C46" s="25" t="s">
        <v>5</v>
      </c>
      <c r="D46" s="25">
        <v>1</v>
      </c>
      <c r="E46" s="130"/>
      <c r="F46" s="224" t="s">
        <v>42</v>
      </c>
      <c r="G46" s="41">
        <v>7.0996680135573245</v>
      </c>
      <c r="H46" s="131"/>
      <c r="I46" s="35">
        <v>7.0996680135573245</v>
      </c>
      <c r="J46" s="200">
        <f t="shared" si="8"/>
        <v>0</v>
      </c>
      <c r="K46" s="223">
        <v>0</v>
      </c>
      <c r="L46" s="212"/>
      <c r="M46" s="35">
        <v>0</v>
      </c>
      <c r="N46" s="200">
        <f t="shared" si="9"/>
        <v>0</v>
      </c>
      <c r="O46" s="35">
        <v>7.0996680135573245</v>
      </c>
      <c r="P46" s="200">
        <f t="shared" si="10"/>
        <v>0</v>
      </c>
      <c r="Q46" s="35">
        <v>4543.7875286766875</v>
      </c>
      <c r="R46" s="200">
        <f t="shared" si="11"/>
        <v>0</v>
      </c>
    </row>
    <row r="47" spans="1:18" x14ac:dyDescent="0.2">
      <c r="A47" s="25"/>
      <c r="B47" s="131"/>
      <c r="C47" s="131"/>
      <c r="D47" s="25"/>
      <c r="E47" s="130"/>
      <c r="F47" s="224"/>
      <c r="G47" s="41"/>
      <c r="H47" s="131"/>
      <c r="I47" s="35">
        <v>0</v>
      </c>
      <c r="J47" s="200">
        <f t="shared" si="8"/>
        <v>0</v>
      </c>
      <c r="K47" s="223">
        <v>0</v>
      </c>
      <c r="L47" s="212"/>
      <c r="M47" s="35">
        <v>0</v>
      </c>
      <c r="N47" s="200">
        <f t="shared" si="9"/>
        <v>0</v>
      </c>
      <c r="O47" s="35">
        <v>0</v>
      </c>
      <c r="P47" s="200">
        <f t="shared" si="10"/>
        <v>0</v>
      </c>
      <c r="Q47" s="35">
        <v>0</v>
      </c>
      <c r="R47" s="200">
        <f t="shared" si="11"/>
        <v>0</v>
      </c>
    </row>
    <row r="48" spans="1:18" x14ac:dyDescent="0.2">
      <c r="A48" s="25"/>
      <c r="B48" s="131"/>
      <c r="C48" s="131"/>
      <c r="D48" s="25"/>
      <c r="E48" s="130"/>
      <c r="F48" s="224"/>
      <c r="G48" s="41"/>
      <c r="H48" s="131"/>
      <c r="I48" s="35">
        <v>0</v>
      </c>
      <c r="J48" s="200">
        <f t="shared" si="8"/>
        <v>0</v>
      </c>
      <c r="K48" s="223">
        <v>0</v>
      </c>
      <c r="L48" s="212"/>
      <c r="M48" s="35">
        <v>0</v>
      </c>
      <c r="N48" s="200">
        <f t="shared" si="9"/>
        <v>0</v>
      </c>
      <c r="O48" s="35">
        <v>0</v>
      </c>
      <c r="P48" s="200">
        <f t="shared" si="10"/>
        <v>0</v>
      </c>
      <c r="Q48" s="35">
        <v>0</v>
      </c>
      <c r="R48" s="200">
        <f t="shared" si="11"/>
        <v>0</v>
      </c>
    </row>
    <row r="49" spans="1:18" ht="13.5" thickBot="1" x14ac:dyDescent="0.25">
      <c r="A49" s="25"/>
      <c r="B49" s="25" t="s">
        <v>32</v>
      </c>
      <c r="C49" s="25"/>
      <c r="D49" s="25"/>
      <c r="E49" s="195"/>
      <c r="F49" s="21"/>
      <c r="G49" s="39">
        <v>0.09</v>
      </c>
      <c r="H49" s="213"/>
      <c r="I49" s="42">
        <v>9.8297381855950494</v>
      </c>
      <c r="J49" s="200">
        <f>+SUM(J18:J48)/2*H49</f>
        <v>0</v>
      </c>
      <c r="K49" s="86"/>
      <c r="L49" s="135"/>
      <c r="M49" s="42">
        <v>0</v>
      </c>
      <c r="N49" s="200">
        <f>+SUM(N18:N48)/2*L49</f>
        <v>0</v>
      </c>
      <c r="O49" s="42">
        <v>9.8297381855950494</v>
      </c>
      <c r="P49" s="200">
        <f>+SUM(P18:P48)/2*L49</f>
        <v>0</v>
      </c>
      <c r="Q49" s="42">
        <v>6291.0324387808314</v>
      </c>
      <c r="R49" s="182">
        <f>+J49*E$7</f>
        <v>0</v>
      </c>
    </row>
    <row r="50" spans="1:18" ht="13.5" thickBot="1" x14ac:dyDescent="0.25">
      <c r="A50" s="25" t="s">
        <v>33</v>
      </c>
      <c r="B50" s="25"/>
      <c r="C50" s="25"/>
      <c r="D50" s="25"/>
      <c r="E50" s="198"/>
      <c r="F50" s="25"/>
      <c r="G50" s="25"/>
      <c r="H50" s="195"/>
      <c r="I50" s="87">
        <v>213.83989307771833</v>
      </c>
      <c r="J50" s="202">
        <f>SUM(J19:J49)</f>
        <v>0</v>
      </c>
      <c r="K50" s="35"/>
      <c r="L50" s="193"/>
      <c r="M50" s="87">
        <v>0</v>
      </c>
      <c r="N50" s="202">
        <f>SUM(N19:N49)</f>
        <v>0</v>
      </c>
      <c r="O50" s="87">
        <v>213.83989307771833</v>
      </c>
      <c r="P50" s="202">
        <f>SUM(P19:P49)</f>
        <v>0</v>
      </c>
      <c r="Q50" s="87">
        <v>136857.53156973972</v>
      </c>
      <c r="R50" s="202">
        <f>SUM(R19:R49)</f>
        <v>0</v>
      </c>
    </row>
    <row r="51" spans="1:18" ht="13.5" thickTop="1" x14ac:dyDescent="0.2">
      <c r="A51" s="25" t="s">
        <v>34</v>
      </c>
      <c r="B51" s="25"/>
      <c r="C51" s="25"/>
      <c r="D51" s="25"/>
      <c r="E51" s="198"/>
      <c r="F51" s="25"/>
      <c r="G51" s="25"/>
      <c r="H51" s="195"/>
      <c r="I51" s="35">
        <v>173.04550923778476</v>
      </c>
      <c r="J51" s="200">
        <f>+J14-J50</f>
        <v>0</v>
      </c>
      <c r="K51" s="35"/>
      <c r="L51" s="193"/>
      <c r="M51" s="35">
        <v>0</v>
      </c>
      <c r="N51" s="200">
        <f>+N14-N50</f>
        <v>0</v>
      </c>
      <c r="O51" s="35">
        <v>173.04550923778476</v>
      </c>
      <c r="P51" s="200">
        <f>+P14-P50</f>
        <v>0</v>
      </c>
      <c r="Q51" s="35">
        <v>110749.12591218227</v>
      </c>
      <c r="R51" s="200">
        <f>+R14-R50</f>
        <v>0</v>
      </c>
    </row>
    <row r="52" spans="1:18" x14ac:dyDescent="0.2">
      <c r="A52" s="25"/>
      <c r="B52" s="25" t="s">
        <v>35</v>
      </c>
      <c r="C52" s="25"/>
      <c r="D52" s="25"/>
      <c r="E52" s="208"/>
      <c r="F52" s="17"/>
      <c r="G52" s="40">
        <v>6.2340138712119684</v>
      </c>
      <c r="H52" s="208" t="str">
        <f>IF(E10=0,"n/a",(YVarExp-(YTotExp+YTotRet-J10))/E10)</f>
        <v>n/a</v>
      </c>
      <c r="I52" s="25" t="s">
        <v>83</v>
      </c>
      <c r="J52" s="182"/>
      <c r="K52" s="25"/>
      <c r="L52" s="195"/>
      <c r="M52" s="25"/>
      <c r="N52" s="182"/>
      <c r="O52" s="25"/>
      <c r="P52" s="182"/>
      <c r="Q52" s="25"/>
      <c r="R52" s="182"/>
    </row>
    <row r="53" spans="1:18" x14ac:dyDescent="0.2">
      <c r="A53" s="25"/>
      <c r="B53" s="25"/>
      <c r="C53" s="25"/>
      <c r="D53" s="25"/>
      <c r="E53" s="176"/>
      <c r="F53" s="25"/>
      <c r="G53" s="25"/>
      <c r="H53" s="209"/>
      <c r="I53" s="25"/>
      <c r="J53" s="182"/>
      <c r="K53" s="25"/>
      <c r="L53" s="195"/>
      <c r="M53" s="25"/>
      <c r="N53" s="182"/>
      <c r="O53" s="25"/>
      <c r="P53" s="182"/>
      <c r="Q53" s="22" t="s">
        <v>19</v>
      </c>
      <c r="R53" s="182" t="s">
        <v>19</v>
      </c>
    </row>
    <row r="54" spans="1:18" x14ac:dyDescent="0.2">
      <c r="A54" s="23" t="s">
        <v>36</v>
      </c>
      <c r="B54" s="23"/>
      <c r="C54" s="23"/>
      <c r="D54" s="24" t="s">
        <v>2</v>
      </c>
      <c r="E54" s="194" t="s">
        <v>2</v>
      </c>
      <c r="F54" s="24" t="s">
        <v>21</v>
      </c>
      <c r="G54" s="24" t="s">
        <v>22</v>
      </c>
      <c r="H54" s="194" t="s">
        <v>22</v>
      </c>
      <c r="I54" s="24" t="s">
        <v>12</v>
      </c>
      <c r="J54" s="194" t="s">
        <v>12</v>
      </c>
      <c r="K54" s="24" t="s">
        <v>11</v>
      </c>
      <c r="L54" s="194" t="s">
        <v>11</v>
      </c>
      <c r="M54" s="24" t="s">
        <v>10</v>
      </c>
      <c r="N54" s="194" t="s">
        <v>10</v>
      </c>
      <c r="O54" s="24" t="s">
        <v>9</v>
      </c>
      <c r="P54" s="194" t="s">
        <v>9</v>
      </c>
      <c r="Q54" s="24" t="s">
        <v>12</v>
      </c>
      <c r="R54" s="206" t="s">
        <v>12</v>
      </c>
    </row>
    <row r="55" spans="1:18" x14ac:dyDescent="0.2">
      <c r="A55" s="25"/>
      <c r="B55" s="25" t="s">
        <v>104</v>
      </c>
      <c r="C55" s="25"/>
      <c r="D55" s="25"/>
      <c r="E55" s="176"/>
      <c r="F55" s="25"/>
      <c r="G55" s="25"/>
      <c r="H55" s="209"/>
      <c r="I55" s="184"/>
      <c r="J55" s="182"/>
      <c r="K55" s="223"/>
      <c r="L55" s="195"/>
      <c r="M55" s="25"/>
      <c r="N55" s="182"/>
      <c r="O55" s="25"/>
      <c r="P55" s="182"/>
      <c r="Q55" s="25"/>
      <c r="R55" s="182"/>
    </row>
    <row r="56" spans="1:18" x14ac:dyDescent="0.2">
      <c r="A56" s="25"/>
      <c r="B56" s="25"/>
      <c r="C56" s="25" t="s">
        <v>102</v>
      </c>
      <c r="D56" s="25">
        <v>1</v>
      </c>
      <c r="E56" s="130"/>
      <c r="F56" s="224" t="s">
        <v>42</v>
      </c>
      <c r="G56" s="41">
        <v>0.97617187500000002</v>
      </c>
      <c r="H56" s="131"/>
      <c r="I56" s="35">
        <v>0.97617187500000002</v>
      </c>
      <c r="J56" s="200">
        <f t="shared" ref="J56:J58" si="12">E56*H56</f>
        <v>0</v>
      </c>
      <c r="K56" s="223">
        <v>0</v>
      </c>
      <c r="L56" s="212"/>
      <c r="M56" s="35">
        <v>0</v>
      </c>
      <c r="N56" s="200">
        <f>J56*L56</f>
        <v>0</v>
      </c>
      <c r="O56" s="35">
        <v>0.97617187500000002</v>
      </c>
      <c r="P56" s="200">
        <f t="shared" ref="P56:P58" si="13">+J56-N56</f>
        <v>0</v>
      </c>
      <c r="Q56" s="35">
        <v>624.75</v>
      </c>
      <c r="R56" s="200">
        <f t="shared" ref="R56:R58" si="14">+J56*E$7</f>
        <v>0</v>
      </c>
    </row>
    <row r="57" spans="1:18" x14ac:dyDescent="0.2">
      <c r="A57" s="25"/>
      <c r="B57" s="25"/>
      <c r="C57" s="25" t="s">
        <v>103</v>
      </c>
      <c r="D57" s="25">
        <v>1</v>
      </c>
      <c r="E57" s="130"/>
      <c r="F57" s="224" t="s">
        <v>42</v>
      </c>
      <c r="G57" s="41">
        <v>7.4535416636787701</v>
      </c>
      <c r="H57" s="131"/>
      <c r="I57" s="35">
        <v>7.4535416636787701</v>
      </c>
      <c r="J57" s="200">
        <f t="shared" si="12"/>
        <v>0</v>
      </c>
      <c r="K57" s="223">
        <v>0</v>
      </c>
      <c r="L57" s="212"/>
      <c r="M57" s="35">
        <v>0</v>
      </c>
      <c r="N57" s="200">
        <f>J57*L57</f>
        <v>0</v>
      </c>
      <c r="O57" s="35">
        <v>7.4535416636787701</v>
      </c>
      <c r="P57" s="200">
        <f t="shared" si="13"/>
        <v>0</v>
      </c>
      <c r="Q57" s="35">
        <v>4770.2666647544129</v>
      </c>
      <c r="R57" s="200">
        <f t="shared" si="14"/>
        <v>0</v>
      </c>
    </row>
    <row r="58" spans="1:18" x14ac:dyDescent="0.2">
      <c r="A58" s="25"/>
      <c r="B58" s="25"/>
      <c r="C58" s="25" t="s">
        <v>5</v>
      </c>
      <c r="D58" s="25">
        <v>1</v>
      </c>
      <c r="E58" s="130"/>
      <c r="F58" s="224" t="s">
        <v>42</v>
      </c>
      <c r="G58" s="41">
        <v>9.822497679518758</v>
      </c>
      <c r="H58" s="131"/>
      <c r="I58" s="35">
        <v>9.822497679518758</v>
      </c>
      <c r="J58" s="200">
        <f t="shared" si="12"/>
        <v>0</v>
      </c>
      <c r="K58" s="223">
        <v>0</v>
      </c>
      <c r="L58" s="212"/>
      <c r="M58" s="35">
        <v>0</v>
      </c>
      <c r="N58" s="200">
        <f>J58*L58</f>
        <v>0</v>
      </c>
      <c r="O58" s="35">
        <v>9.822497679518758</v>
      </c>
      <c r="P58" s="200">
        <f t="shared" si="13"/>
        <v>0</v>
      </c>
      <c r="Q58" s="35">
        <v>6286.3985148920056</v>
      </c>
      <c r="R58" s="200">
        <f t="shared" si="14"/>
        <v>0</v>
      </c>
    </row>
    <row r="59" spans="1:18" x14ac:dyDescent="0.2">
      <c r="A59" s="25"/>
      <c r="B59" s="25" t="s">
        <v>88</v>
      </c>
      <c r="C59" s="25"/>
      <c r="D59" s="25"/>
      <c r="E59" s="195"/>
      <c r="F59" s="21"/>
      <c r="G59" s="41"/>
      <c r="H59" s="195"/>
      <c r="I59" s="184"/>
      <c r="J59" s="182"/>
      <c r="K59" s="223"/>
      <c r="L59" s="195"/>
      <c r="M59" s="35"/>
      <c r="N59" s="182"/>
      <c r="O59" s="35"/>
      <c r="P59" s="182"/>
      <c r="Q59" s="35"/>
      <c r="R59" s="182"/>
    </row>
    <row r="60" spans="1:18" x14ac:dyDescent="0.2">
      <c r="A60" s="25"/>
      <c r="B60" s="25"/>
      <c r="C60" s="25" t="s">
        <v>102</v>
      </c>
      <c r="D60" s="41">
        <v>6.837890625</v>
      </c>
      <c r="E60" s="130"/>
      <c r="F60" s="224" t="s">
        <v>99</v>
      </c>
      <c r="G60" s="39">
        <v>0.08</v>
      </c>
      <c r="H60" s="213"/>
      <c r="I60" s="35">
        <v>0.54703124999999997</v>
      </c>
      <c r="J60" s="200">
        <f t="shared" ref="J60:J69" si="15">E60*H60</f>
        <v>0</v>
      </c>
      <c r="K60" s="223">
        <v>0</v>
      </c>
      <c r="L60" s="212"/>
      <c r="M60" s="35">
        <v>0</v>
      </c>
      <c r="N60" s="200">
        <f>J60*L60</f>
        <v>0</v>
      </c>
      <c r="O60" s="35">
        <v>0.54703124999999997</v>
      </c>
      <c r="P60" s="200">
        <f t="shared" ref="P60:P62" si="16">+J60-N60</f>
        <v>0</v>
      </c>
      <c r="Q60" s="35">
        <v>350.09999999999997</v>
      </c>
      <c r="R60" s="200">
        <f t="shared" ref="R60:R62" si="17">+J60*E$7</f>
        <v>0</v>
      </c>
    </row>
    <row r="61" spans="1:18" x14ac:dyDescent="0.2">
      <c r="A61" s="25"/>
      <c r="B61" s="25"/>
      <c r="C61" s="25" t="s">
        <v>103</v>
      </c>
      <c r="D61" s="41">
        <v>58.065493928336217</v>
      </c>
      <c r="E61" s="130"/>
      <c r="F61" s="224" t="s">
        <v>99</v>
      </c>
      <c r="G61" s="39">
        <v>0.08</v>
      </c>
      <c r="H61" s="213"/>
      <c r="I61" s="35">
        <v>4.6452395142668976</v>
      </c>
      <c r="J61" s="200">
        <f t="shared" si="15"/>
        <v>0</v>
      </c>
      <c r="K61" s="223">
        <v>0</v>
      </c>
      <c r="L61" s="212"/>
      <c r="M61" s="35">
        <v>0</v>
      </c>
      <c r="N61" s="200">
        <f>J61*L61</f>
        <v>0</v>
      </c>
      <c r="O61" s="35">
        <v>4.6452395142668976</v>
      </c>
      <c r="P61" s="200">
        <f t="shared" si="16"/>
        <v>0</v>
      </c>
      <c r="Q61" s="35">
        <v>2972.9532891308145</v>
      </c>
      <c r="R61" s="200">
        <f t="shared" si="17"/>
        <v>0</v>
      </c>
    </row>
    <row r="62" spans="1:18" x14ac:dyDescent="0.2">
      <c r="A62" s="25"/>
      <c r="B62" s="25"/>
      <c r="C62" s="25" t="s">
        <v>5</v>
      </c>
      <c r="D62" s="41">
        <v>42.018462295719132</v>
      </c>
      <c r="E62" s="130"/>
      <c r="F62" s="224" t="s">
        <v>99</v>
      </c>
      <c r="G62" s="39">
        <v>0.08</v>
      </c>
      <c r="H62" s="213"/>
      <c r="I62" s="35">
        <v>3.3614769836575307</v>
      </c>
      <c r="J62" s="200">
        <f t="shared" si="15"/>
        <v>0</v>
      </c>
      <c r="K62" s="223">
        <v>0</v>
      </c>
      <c r="L62" s="212"/>
      <c r="M62" s="35">
        <v>0</v>
      </c>
      <c r="N62" s="200">
        <f>J62*L62</f>
        <v>0</v>
      </c>
      <c r="O62" s="35">
        <v>3.3614769836575307</v>
      </c>
      <c r="P62" s="200">
        <f t="shared" si="16"/>
        <v>0</v>
      </c>
      <c r="Q62" s="35">
        <v>2151.3452695408196</v>
      </c>
      <c r="R62" s="200">
        <f t="shared" si="17"/>
        <v>0</v>
      </c>
    </row>
    <row r="63" spans="1:18" x14ac:dyDescent="0.2">
      <c r="A63" s="25"/>
      <c r="B63" s="25" t="s">
        <v>156</v>
      </c>
      <c r="C63" s="25"/>
      <c r="D63" s="25">
        <v>1</v>
      </c>
      <c r="E63" s="130"/>
      <c r="F63" s="224" t="s">
        <v>42</v>
      </c>
      <c r="G63" s="41">
        <v>0</v>
      </c>
      <c r="H63" s="131"/>
      <c r="I63" s="35">
        <v>0</v>
      </c>
      <c r="J63" s="200">
        <f t="shared" si="15"/>
        <v>0</v>
      </c>
      <c r="K63" s="223">
        <v>0</v>
      </c>
      <c r="L63" s="212"/>
      <c r="M63" s="35">
        <v>0</v>
      </c>
      <c r="N63" s="200">
        <f t="shared" ref="N63:N70" si="18">J63*L63</f>
        <v>0</v>
      </c>
      <c r="O63" s="35">
        <v>0</v>
      </c>
      <c r="P63" s="200">
        <f t="shared" ref="P63:P70" si="19">+J63-N63</f>
        <v>0</v>
      </c>
      <c r="Q63" s="35">
        <v>0</v>
      </c>
      <c r="R63" s="200">
        <f t="shared" ref="R63:R70" si="20">+J63*E$7</f>
        <v>0</v>
      </c>
    </row>
    <row r="64" spans="1:18" x14ac:dyDescent="0.2">
      <c r="A64" s="25"/>
      <c r="B64" s="25" t="s">
        <v>152</v>
      </c>
      <c r="C64" s="25"/>
      <c r="D64" s="25">
        <v>1</v>
      </c>
      <c r="E64" s="130"/>
      <c r="F64" s="224" t="s">
        <v>42</v>
      </c>
      <c r="G64" s="41">
        <v>0</v>
      </c>
      <c r="H64" s="131"/>
      <c r="I64" s="35">
        <v>0</v>
      </c>
      <c r="J64" s="200">
        <f t="shared" si="15"/>
        <v>0</v>
      </c>
      <c r="K64" s="223">
        <v>0</v>
      </c>
      <c r="L64" s="212"/>
      <c r="M64" s="35">
        <v>0</v>
      </c>
      <c r="N64" s="200">
        <f t="shared" si="18"/>
        <v>0</v>
      </c>
      <c r="O64" s="35">
        <v>0</v>
      </c>
      <c r="P64" s="200">
        <f t="shared" si="19"/>
        <v>0</v>
      </c>
      <c r="Q64" s="35">
        <v>0</v>
      </c>
      <c r="R64" s="200">
        <f t="shared" si="20"/>
        <v>0</v>
      </c>
    </row>
    <row r="65" spans="1:18" x14ac:dyDescent="0.2">
      <c r="A65" s="25"/>
      <c r="B65" s="25" t="s">
        <v>137</v>
      </c>
      <c r="C65" s="25"/>
      <c r="D65" s="25">
        <v>1</v>
      </c>
      <c r="E65" s="130"/>
      <c r="F65" s="224" t="s">
        <v>42</v>
      </c>
      <c r="G65" s="41">
        <v>0</v>
      </c>
      <c r="H65" s="131"/>
      <c r="I65" s="35">
        <v>0</v>
      </c>
      <c r="J65" s="200">
        <f t="shared" si="15"/>
        <v>0</v>
      </c>
      <c r="K65" s="223">
        <v>0</v>
      </c>
      <c r="L65" s="212"/>
      <c r="M65" s="35">
        <v>0</v>
      </c>
      <c r="N65" s="200">
        <f t="shared" si="18"/>
        <v>0</v>
      </c>
      <c r="O65" s="35">
        <v>0</v>
      </c>
      <c r="P65" s="200">
        <f t="shared" si="19"/>
        <v>0</v>
      </c>
      <c r="Q65" s="35">
        <v>0</v>
      </c>
      <c r="R65" s="200">
        <f t="shared" si="20"/>
        <v>0</v>
      </c>
    </row>
    <row r="66" spans="1:18" x14ac:dyDescent="0.2">
      <c r="A66" s="25"/>
      <c r="B66" s="25" t="s">
        <v>419</v>
      </c>
      <c r="C66" s="25"/>
      <c r="D66" s="25">
        <v>1</v>
      </c>
      <c r="E66" s="130"/>
      <c r="F66" s="224" t="s">
        <v>42</v>
      </c>
      <c r="G66" s="41">
        <v>30</v>
      </c>
      <c r="H66" s="131"/>
      <c r="I66" s="35">
        <v>30</v>
      </c>
      <c r="J66" s="200">
        <f t="shared" si="15"/>
        <v>0</v>
      </c>
      <c r="K66" s="223">
        <v>0</v>
      </c>
      <c r="L66" s="212"/>
      <c r="M66" s="35">
        <v>0</v>
      </c>
      <c r="N66" s="200">
        <f t="shared" si="18"/>
        <v>0</v>
      </c>
      <c r="O66" s="35">
        <v>30</v>
      </c>
      <c r="P66" s="200">
        <f t="shared" si="19"/>
        <v>0</v>
      </c>
      <c r="Q66" s="35">
        <v>19200</v>
      </c>
      <c r="R66" s="200">
        <f t="shared" si="20"/>
        <v>0</v>
      </c>
    </row>
    <row r="67" spans="1:18" x14ac:dyDescent="0.2">
      <c r="A67" s="25"/>
      <c r="B67" s="25" t="s">
        <v>159</v>
      </c>
      <c r="C67" s="25"/>
      <c r="D67" s="25">
        <v>1</v>
      </c>
      <c r="E67" s="130"/>
      <c r="F67" s="224" t="s">
        <v>42</v>
      </c>
      <c r="G67" s="41">
        <v>0</v>
      </c>
      <c r="H67" s="131"/>
      <c r="I67" s="35">
        <v>0</v>
      </c>
      <c r="J67" s="200">
        <f t="shared" si="15"/>
        <v>0</v>
      </c>
      <c r="K67" s="223">
        <v>0</v>
      </c>
      <c r="L67" s="212"/>
      <c r="M67" s="35">
        <v>0</v>
      </c>
      <c r="N67" s="200">
        <f t="shared" si="18"/>
        <v>0</v>
      </c>
      <c r="O67" s="35">
        <v>0</v>
      </c>
      <c r="P67" s="200">
        <f t="shared" si="19"/>
        <v>0</v>
      </c>
      <c r="Q67" s="35">
        <v>0</v>
      </c>
      <c r="R67" s="200">
        <f t="shared" si="20"/>
        <v>0</v>
      </c>
    </row>
    <row r="68" spans="1:18" x14ac:dyDescent="0.2">
      <c r="A68" s="25"/>
      <c r="B68" s="25" t="s">
        <v>160</v>
      </c>
      <c r="C68" s="25"/>
      <c r="D68" s="25">
        <v>1</v>
      </c>
      <c r="E68" s="130"/>
      <c r="F68" s="224" t="s">
        <v>42</v>
      </c>
      <c r="G68" s="41">
        <v>0</v>
      </c>
      <c r="H68" s="131"/>
      <c r="I68" s="35">
        <v>0</v>
      </c>
      <c r="J68" s="200">
        <f t="shared" si="15"/>
        <v>0</v>
      </c>
      <c r="K68" s="223">
        <v>0</v>
      </c>
      <c r="L68" s="212"/>
      <c r="M68" s="35">
        <v>0</v>
      </c>
      <c r="N68" s="200">
        <f t="shared" si="18"/>
        <v>0</v>
      </c>
      <c r="O68" s="35">
        <v>0</v>
      </c>
      <c r="P68" s="200">
        <f t="shared" si="19"/>
        <v>0</v>
      </c>
      <c r="Q68" s="35">
        <v>0</v>
      </c>
      <c r="R68" s="200">
        <f t="shared" si="20"/>
        <v>0</v>
      </c>
    </row>
    <row r="69" spans="1:18" x14ac:dyDescent="0.2">
      <c r="A69" s="25"/>
      <c r="B69" s="131"/>
      <c r="C69" s="131"/>
      <c r="D69" s="25">
        <v>1</v>
      </c>
      <c r="E69" s="130"/>
      <c r="F69" s="224"/>
      <c r="G69" s="41">
        <v>0</v>
      </c>
      <c r="H69" s="131"/>
      <c r="I69" s="35">
        <v>0</v>
      </c>
      <c r="J69" s="200">
        <f t="shared" si="15"/>
        <v>0</v>
      </c>
      <c r="K69" s="223">
        <v>0</v>
      </c>
      <c r="L69" s="212"/>
      <c r="M69" s="35">
        <v>0</v>
      </c>
      <c r="N69" s="200">
        <f t="shared" si="18"/>
        <v>0</v>
      </c>
      <c r="O69" s="35">
        <v>0</v>
      </c>
      <c r="P69" s="200">
        <f t="shared" si="19"/>
        <v>0</v>
      </c>
      <c r="Q69" s="35">
        <v>0</v>
      </c>
      <c r="R69" s="200">
        <f t="shared" si="20"/>
        <v>0</v>
      </c>
    </row>
    <row r="70" spans="1:18" ht="13.5" thickBot="1" x14ac:dyDescent="0.25">
      <c r="A70" s="25"/>
      <c r="B70" s="131"/>
      <c r="C70" s="131"/>
      <c r="D70" s="25">
        <v>1</v>
      </c>
      <c r="E70" s="130"/>
      <c r="F70" s="224"/>
      <c r="G70" s="41">
        <v>0</v>
      </c>
      <c r="H70" s="131"/>
      <c r="I70" s="35">
        <v>0</v>
      </c>
      <c r="J70" s="200">
        <f>E70*H70</f>
        <v>0</v>
      </c>
      <c r="K70" s="223">
        <v>0</v>
      </c>
      <c r="L70" s="212"/>
      <c r="M70" s="35">
        <v>0</v>
      </c>
      <c r="N70" s="200">
        <f t="shared" si="18"/>
        <v>0</v>
      </c>
      <c r="O70" s="35">
        <v>0</v>
      </c>
      <c r="P70" s="200">
        <f t="shared" si="19"/>
        <v>0</v>
      </c>
      <c r="Q70" s="35">
        <v>0</v>
      </c>
      <c r="R70" s="200">
        <f t="shared" si="20"/>
        <v>0</v>
      </c>
    </row>
    <row r="71" spans="1:18" ht="13.5" thickBot="1" x14ac:dyDescent="0.25">
      <c r="A71" s="25" t="s">
        <v>37</v>
      </c>
      <c r="B71" s="25"/>
      <c r="C71" s="25"/>
      <c r="D71" s="25"/>
      <c r="E71" s="195"/>
      <c r="F71" s="25"/>
      <c r="G71" s="25"/>
      <c r="H71" s="195"/>
      <c r="I71" s="118">
        <v>56.805958966121963</v>
      </c>
      <c r="J71" s="202">
        <f>+SUM(J56:J70)</f>
        <v>0</v>
      </c>
      <c r="K71" s="35"/>
      <c r="L71" s="193"/>
      <c r="M71" s="118">
        <v>0</v>
      </c>
      <c r="N71" s="202">
        <f>+SUM(N56:N70)</f>
        <v>0</v>
      </c>
      <c r="O71" s="118">
        <v>56.805958966121963</v>
      </c>
      <c r="P71" s="202">
        <f>+SUM(P56:P70)</f>
        <v>0</v>
      </c>
      <c r="Q71" s="118">
        <v>36355.813738318051</v>
      </c>
      <c r="R71" s="202">
        <f>+SUM(R56:R70)</f>
        <v>0</v>
      </c>
    </row>
    <row r="72" spans="1:18" ht="14.25" thickTop="1" thickBot="1" x14ac:dyDescent="0.25">
      <c r="A72" s="25" t="s">
        <v>52</v>
      </c>
      <c r="B72" s="25"/>
      <c r="C72" s="25"/>
      <c r="D72" s="25"/>
      <c r="E72" s="195"/>
      <c r="F72" s="25"/>
      <c r="G72" s="25"/>
      <c r="H72" s="195"/>
      <c r="I72" s="87">
        <v>270.64585204384031</v>
      </c>
      <c r="J72" s="203">
        <f>+J50+J71</f>
        <v>0</v>
      </c>
      <c r="K72" s="35"/>
      <c r="L72" s="193"/>
      <c r="M72" s="87">
        <v>0</v>
      </c>
      <c r="N72" s="203">
        <f>+N50+N71</f>
        <v>0</v>
      </c>
      <c r="O72" s="87">
        <v>270.64585204384031</v>
      </c>
      <c r="P72" s="203">
        <f>+P50+P71</f>
        <v>0</v>
      </c>
      <c r="Q72" s="87">
        <v>173213.34530805776</v>
      </c>
      <c r="R72" s="203">
        <f>+R50+R71</f>
        <v>0</v>
      </c>
    </row>
    <row r="73" spans="1:18" ht="13.5" thickTop="1" x14ac:dyDescent="0.2">
      <c r="A73" s="25"/>
      <c r="B73" s="25"/>
      <c r="C73" s="25"/>
      <c r="D73" s="25"/>
      <c r="E73" s="195"/>
      <c r="F73" s="25"/>
      <c r="G73" s="25"/>
      <c r="H73" s="195"/>
      <c r="I73" s="35"/>
      <c r="J73" s="182"/>
      <c r="K73" s="35"/>
      <c r="L73" s="193"/>
      <c r="M73" s="35"/>
      <c r="N73" s="182"/>
      <c r="O73" s="35"/>
      <c r="P73" s="182"/>
      <c r="Q73" s="35"/>
      <c r="R73" s="182"/>
    </row>
    <row r="74" spans="1:18" x14ac:dyDescent="0.2">
      <c r="A74" s="25" t="s">
        <v>153</v>
      </c>
      <c r="B74" s="25"/>
      <c r="C74" s="25"/>
      <c r="D74" s="25"/>
      <c r="E74" s="195"/>
      <c r="F74" s="25"/>
      <c r="G74" s="25"/>
      <c r="H74" s="195"/>
      <c r="I74" s="35">
        <v>116.23955027166278</v>
      </c>
      <c r="J74" s="200">
        <f>+J14-J72</f>
        <v>0</v>
      </c>
      <c r="K74" s="35"/>
      <c r="L74" s="193"/>
      <c r="M74" s="35">
        <v>0</v>
      </c>
      <c r="N74" s="200">
        <f>+N14-N72</f>
        <v>0</v>
      </c>
      <c r="O74" s="35">
        <v>116.23955027166278</v>
      </c>
      <c r="P74" s="200">
        <f>+P14-P72</f>
        <v>0</v>
      </c>
      <c r="Q74" s="35">
        <v>74393.312173864222</v>
      </c>
      <c r="R74" s="200">
        <f>+R14-R72</f>
        <v>0</v>
      </c>
    </row>
    <row r="75" spans="1:18" x14ac:dyDescent="0.2">
      <c r="A75" s="25"/>
      <c r="B75" s="25"/>
      <c r="C75" s="25"/>
      <c r="D75" s="25"/>
      <c r="E75" s="195"/>
      <c r="F75" s="25"/>
      <c r="G75" s="25"/>
      <c r="H75" s="195"/>
      <c r="I75" s="35"/>
      <c r="J75" s="204"/>
      <c r="K75" s="35"/>
      <c r="L75" s="193"/>
      <c r="M75" s="35"/>
      <c r="N75" s="193"/>
      <c r="O75" s="35"/>
      <c r="P75" s="193"/>
      <c r="Q75" s="35"/>
      <c r="R75" s="204"/>
    </row>
    <row r="76" spans="1:18" ht="13.5" thickBot="1" x14ac:dyDescent="0.25">
      <c r="A76" s="44" t="s">
        <v>38</v>
      </c>
      <c r="B76" s="44"/>
      <c r="C76" s="44"/>
      <c r="D76" s="44"/>
      <c r="E76" s="199"/>
      <c r="F76" s="44"/>
      <c r="G76" s="45">
        <v>8.4550962448038991</v>
      </c>
      <c r="H76" s="210" t="str">
        <f>IF(E10=0,"n/a",(YTotExp-(YTotExp+YTotRet-J10))/E10)</f>
        <v>n/a</v>
      </c>
      <c r="I76" s="44" t="s">
        <v>83</v>
      </c>
      <c r="J76" s="205"/>
      <c r="K76" s="44"/>
      <c r="L76" s="199"/>
      <c r="M76" s="44"/>
      <c r="N76" s="199"/>
      <c r="O76" s="44"/>
      <c r="P76" s="199"/>
      <c r="Q76" s="44"/>
      <c r="R76" s="205"/>
    </row>
    <row r="77" spans="1:18" ht="13.5" thickTop="1" x14ac:dyDescent="0.2"/>
    <row r="78" spans="1:18" s="17" customFormat="1" ht="15.75" x14ac:dyDescent="0.25">
      <c r="A78"/>
      <c r="B78" s="88"/>
      <c r="C78" s="89"/>
      <c r="D78" s="234" t="s">
        <v>113</v>
      </c>
      <c r="E78" s="235"/>
      <c r="F78" s="235"/>
      <c r="G78" s="235"/>
      <c r="H78" s="235"/>
      <c r="I78" s="235"/>
      <c r="J78" s="99"/>
      <c r="K78" s="99"/>
      <c r="M78"/>
      <c r="N78"/>
    </row>
    <row r="79" spans="1:18" s="17" customFormat="1" ht="15.75" x14ac:dyDescent="0.25">
      <c r="A79"/>
      <c r="B79" s="19" t="s">
        <v>114</v>
      </c>
      <c r="C79" s="19" t="s">
        <v>114</v>
      </c>
      <c r="D79" s="123" t="s">
        <v>170</v>
      </c>
      <c r="E79" s="18"/>
      <c r="F79" s="18"/>
      <c r="G79" s="123" t="s">
        <v>170</v>
      </c>
      <c r="H79" s="18"/>
      <c r="I79" s="18"/>
      <c r="J79" s="18"/>
      <c r="K79" s="18"/>
      <c r="M79"/>
      <c r="N79"/>
    </row>
    <row r="80" spans="1:18" s="17" customFormat="1" x14ac:dyDescent="0.2">
      <c r="A80"/>
      <c r="B80" s="19" t="s">
        <v>80</v>
      </c>
      <c r="C80" s="19" t="s">
        <v>80</v>
      </c>
      <c r="D80" s="123" t="s">
        <v>157</v>
      </c>
      <c r="E80" s="119"/>
      <c r="F80" s="119"/>
      <c r="G80" s="123" t="s">
        <v>12</v>
      </c>
      <c r="H80" s="119"/>
      <c r="I80" s="119"/>
      <c r="J80" s="119"/>
      <c r="K80" s="119"/>
      <c r="M80"/>
      <c r="N80"/>
    </row>
    <row r="81" spans="1:18" s="17" customFormat="1" x14ac:dyDescent="0.2">
      <c r="A81"/>
      <c r="B81" s="19" t="s">
        <v>30</v>
      </c>
      <c r="C81" s="99" t="s">
        <v>83</v>
      </c>
      <c r="D81" s="123" t="s">
        <v>98</v>
      </c>
      <c r="E81" s="119"/>
      <c r="F81" s="119"/>
      <c r="G81" s="123" t="s">
        <v>98</v>
      </c>
      <c r="H81" s="19"/>
      <c r="I81" s="19"/>
      <c r="J81" s="19"/>
      <c r="K81" s="19"/>
      <c r="M81"/>
      <c r="N81"/>
    </row>
    <row r="82" spans="1:18" s="17" customFormat="1" x14ac:dyDescent="0.2">
      <c r="A82"/>
      <c r="B82" s="90">
        <v>0.75</v>
      </c>
      <c r="C82" s="91">
        <v>19.181850133586718</v>
      </c>
      <c r="D82" s="92">
        <v>8.3120184949492906</v>
      </c>
      <c r="E82" s="93"/>
      <c r="F82" s="94"/>
      <c r="G82" s="92">
        <v>11.273461659738532</v>
      </c>
      <c r="H82" s="93"/>
      <c r="I82" s="93"/>
      <c r="M82"/>
      <c r="N82"/>
    </row>
    <row r="83" spans="1:18" s="17" customFormat="1" x14ac:dyDescent="0.2">
      <c r="A83"/>
      <c r="B83" s="95">
        <v>0.9</v>
      </c>
      <c r="C83" s="96">
        <v>23.018220160304061</v>
      </c>
      <c r="D83" s="97">
        <v>6.9266820791244088</v>
      </c>
      <c r="E83" s="83"/>
      <c r="F83" s="98"/>
      <c r="G83" s="97">
        <v>9.3945513831154432</v>
      </c>
      <c r="H83" s="83"/>
      <c r="I83" s="83"/>
      <c r="M83"/>
      <c r="N83"/>
    </row>
    <row r="84" spans="1:18" s="17" customFormat="1" x14ac:dyDescent="0.2">
      <c r="A84"/>
      <c r="B84" s="90">
        <v>1</v>
      </c>
      <c r="C84" s="91">
        <v>25.575800178115625</v>
      </c>
      <c r="D84" s="92">
        <v>6.2340138712119684</v>
      </c>
      <c r="E84" s="93"/>
      <c r="F84" s="94"/>
      <c r="G84" s="92">
        <v>8.4550962448038991</v>
      </c>
      <c r="H84" s="93"/>
      <c r="I84" s="93"/>
      <c r="M84"/>
      <c r="N84"/>
    </row>
    <row r="85" spans="1:18" s="17" customFormat="1" x14ac:dyDescent="0.2">
      <c r="A85"/>
      <c r="B85" s="95">
        <v>1.1000000000000001</v>
      </c>
      <c r="C85" s="96">
        <v>28.133380195927188</v>
      </c>
      <c r="D85" s="97">
        <v>5.6672853374654251</v>
      </c>
      <c r="E85" s="83"/>
      <c r="F85" s="98"/>
      <c r="G85" s="97">
        <v>7.6864511316399078</v>
      </c>
      <c r="H85" s="83"/>
      <c r="I85" s="83"/>
      <c r="M85"/>
      <c r="N85"/>
    </row>
    <row r="86" spans="1:18" s="17" customFormat="1" x14ac:dyDescent="0.2">
      <c r="A86"/>
      <c r="B86" s="90">
        <v>1.25</v>
      </c>
      <c r="C86" s="91">
        <v>31.969750222644532</v>
      </c>
      <c r="D86" s="92">
        <v>4.987211096969574</v>
      </c>
      <c r="E86" s="93"/>
      <c r="F86" s="94"/>
      <c r="G86" s="92">
        <v>6.7640769958431184</v>
      </c>
      <c r="H86" s="93"/>
      <c r="I86" s="93"/>
      <c r="M86"/>
      <c r="N86"/>
    </row>
    <row r="87" spans="1:18" s="17" customFormat="1" x14ac:dyDescent="0.2">
      <c r="A87"/>
      <c r="M87"/>
      <c r="N87"/>
    </row>
    <row r="88" spans="1:18" x14ac:dyDescent="0.2">
      <c r="A88" s="25" t="s">
        <v>434</v>
      </c>
      <c r="B88" s="17"/>
      <c r="C88" s="17"/>
      <c r="D88" s="17"/>
      <c r="E88" s="17"/>
      <c r="F88" s="17"/>
      <c r="G88" s="17"/>
      <c r="H88" s="17"/>
      <c r="I88" s="17"/>
      <c r="J88" s="28"/>
      <c r="K88" s="17"/>
      <c r="L88" s="17"/>
      <c r="M88" s="17"/>
      <c r="N88" s="17"/>
      <c r="O88" s="17"/>
      <c r="P88" s="17"/>
      <c r="Q88" s="17"/>
    </row>
    <row r="89" spans="1:18" x14ac:dyDescent="0.2">
      <c r="A89" s="17"/>
      <c r="B89" s="17"/>
      <c r="C89" s="17"/>
      <c r="D89" s="17"/>
      <c r="E89" s="17"/>
      <c r="F89" s="17"/>
      <c r="G89" s="17"/>
      <c r="H89" s="17"/>
      <c r="I89" s="17"/>
      <c r="J89" s="28"/>
      <c r="K89" s="17"/>
      <c r="L89" s="17"/>
      <c r="M89" s="17"/>
      <c r="N89" s="17"/>
      <c r="O89" s="17"/>
      <c r="P89" s="17"/>
      <c r="Q89" s="17"/>
    </row>
    <row r="90" spans="1:18" ht="26.25" customHeight="1" x14ac:dyDescent="0.2">
      <c r="A90" s="236" t="s">
        <v>140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19"/>
      <c r="N90" s="219"/>
      <c r="O90" s="219"/>
      <c r="P90" s="219"/>
      <c r="Q90" s="219"/>
      <c r="R90" s="219"/>
    </row>
  </sheetData>
  <sheetProtection sheet="1" objects="1" scenarios="1"/>
  <mergeCells count="6">
    <mergeCell ref="D78:I78"/>
    <mergeCell ref="A90:L90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5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C6C3A-B81B-4E44-B17B-0401270FAD35}">
  <sheetPr codeName="Sheet225">
    <tabColor rgb="FF92D050"/>
    <pageSetUpPr fitToPage="1"/>
  </sheetPr>
  <dimension ref="A1:S87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2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467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468</v>
      </c>
      <c r="C10" s="25"/>
      <c r="D10" s="50">
        <v>1.34</v>
      </c>
      <c r="E10" s="130"/>
      <c r="F10" s="224" t="s">
        <v>135</v>
      </c>
      <c r="G10" s="31">
        <v>90</v>
      </c>
      <c r="H10" s="131"/>
      <c r="I10" s="35">
        <v>120.60000000000001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120.60000000000001</v>
      </c>
      <c r="P10" s="200">
        <f>+J10-N10</f>
        <v>0</v>
      </c>
      <c r="Q10" s="35">
        <v>77184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120.60000000000001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120.60000000000001</v>
      </c>
      <c r="P13" s="201">
        <f>SUM(P10:P12)</f>
        <v>0</v>
      </c>
      <c r="Q13" s="36">
        <v>77184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1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407</v>
      </c>
      <c r="D18" s="25">
        <v>19</v>
      </c>
      <c r="E18" s="130"/>
      <c r="F18" s="224" t="s">
        <v>82</v>
      </c>
      <c r="G18" s="41">
        <v>0.23</v>
      </c>
      <c r="H18" s="131"/>
      <c r="I18" s="35">
        <v>4.37</v>
      </c>
      <c r="J18" s="200">
        <f t="shared" ref="J18:J25" si="4">E18*H18</f>
        <v>0</v>
      </c>
      <c r="K18" s="223">
        <v>0</v>
      </c>
      <c r="L18" s="212"/>
      <c r="M18" s="35">
        <v>0</v>
      </c>
      <c r="N18" s="200">
        <f t="shared" ref="N18:N25" si="5">J18*L18</f>
        <v>0</v>
      </c>
      <c r="O18" s="35">
        <v>4.37</v>
      </c>
      <c r="P18" s="200">
        <f t="shared" ref="P18:P25" si="6">+J18-N18</f>
        <v>0</v>
      </c>
      <c r="Q18" s="35">
        <v>2796.8</v>
      </c>
      <c r="R18" s="200">
        <f t="shared" ref="R18:R25" si="7">+J18*E$7</f>
        <v>0</v>
      </c>
    </row>
    <row r="19" spans="1:18" x14ac:dyDescent="0.2">
      <c r="A19" s="25"/>
      <c r="B19" s="25" t="s">
        <v>458</v>
      </c>
      <c r="C19" s="25" t="s">
        <v>463</v>
      </c>
      <c r="D19" s="25">
        <v>40</v>
      </c>
      <c r="E19" s="130"/>
      <c r="F19" s="224" t="s">
        <v>82</v>
      </c>
      <c r="G19" s="41">
        <v>0.65</v>
      </c>
      <c r="H19" s="131"/>
      <c r="I19" s="35">
        <v>26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26</v>
      </c>
      <c r="P19" s="200">
        <f t="shared" si="6"/>
        <v>0</v>
      </c>
      <c r="Q19" s="35">
        <v>16640</v>
      </c>
      <c r="R19" s="200">
        <f t="shared" si="7"/>
        <v>0</v>
      </c>
    </row>
    <row r="20" spans="1:18" x14ac:dyDescent="0.2">
      <c r="A20" s="25"/>
      <c r="B20" s="25" t="s">
        <v>458</v>
      </c>
      <c r="C20" s="25" t="s">
        <v>464</v>
      </c>
      <c r="D20" s="25">
        <v>6</v>
      </c>
      <c r="E20" s="130"/>
      <c r="F20" s="224" t="s">
        <v>82</v>
      </c>
      <c r="G20" s="41">
        <v>1</v>
      </c>
      <c r="H20" s="131"/>
      <c r="I20" s="35">
        <v>6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6</v>
      </c>
      <c r="P20" s="200">
        <f t="shared" si="6"/>
        <v>0</v>
      </c>
      <c r="Q20" s="35">
        <v>3840</v>
      </c>
      <c r="R20" s="200">
        <f t="shared" si="7"/>
        <v>0</v>
      </c>
    </row>
    <row r="21" spans="1:18" x14ac:dyDescent="0.2">
      <c r="A21" s="25"/>
      <c r="B21" s="25" t="s">
        <v>50</v>
      </c>
      <c r="C21" s="25"/>
      <c r="D21" s="25"/>
      <c r="E21" s="25"/>
      <c r="F21" s="25"/>
      <c r="G21" s="25"/>
      <c r="H21" s="25"/>
      <c r="I21" s="25"/>
      <c r="J21" s="25"/>
      <c r="K21" s="223"/>
      <c r="L21" s="25"/>
      <c r="M21" s="25"/>
      <c r="N21" s="25"/>
      <c r="O21" s="25"/>
      <c r="P21" s="25"/>
      <c r="Q21" s="25"/>
      <c r="R21" s="25"/>
    </row>
    <row r="22" spans="1:18" x14ac:dyDescent="0.2">
      <c r="A22" s="25"/>
      <c r="B22" s="25" t="s">
        <v>458</v>
      </c>
      <c r="C22" s="25" t="s">
        <v>177</v>
      </c>
      <c r="D22" s="25">
        <v>1</v>
      </c>
      <c r="E22" s="130"/>
      <c r="F22" s="224" t="s">
        <v>42</v>
      </c>
      <c r="G22" s="41">
        <v>5.5</v>
      </c>
      <c r="H22" s="131"/>
      <c r="I22" s="35">
        <v>5.5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5.5</v>
      </c>
      <c r="P22" s="200">
        <f t="shared" si="6"/>
        <v>0</v>
      </c>
      <c r="Q22" s="35">
        <v>3520</v>
      </c>
      <c r="R22" s="200">
        <f t="shared" si="7"/>
        <v>0</v>
      </c>
    </row>
    <row r="23" spans="1:18" x14ac:dyDescent="0.2">
      <c r="A23" s="25"/>
      <c r="B23" s="25" t="s">
        <v>458</v>
      </c>
      <c r="C23" s="25" t="s">
        <v>369</v>
      </c>
      <c r="D23" s="25">
        <v>1.34</v>
      </c>
      <c r="E23" s="130"/>
      <c r="F23" s="224" t="s">
        <v>135</v>
      </c>
      <c r="G23" s="41">
        <v>35</v>
      </c>
      <c r="H23" s="131"/>
      <c r="I23" s="35">
        <v>46.900000000000006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46.900000000000006</v>
      </c>
      <c r="P23" s="200">
        <f t="shared" si="6"/>
        <v>0</v>
      </c>
      <c r="Q23" s="35">
        <v>30016.000000000004</v>
      </c>
      <c r="R23" s="200">
        <f t="shared" si="7"/>
        <v>0</v>
      </c>
    </row>
    <row r="24" spans="1:18" x14ac:dyDescent="0.2">
      <c r="A24" s="25"/>
      <c r="B24" s="131"/>
      <c r="C24" s="131"/>
      <c r="D24" s="25">
        <v>0</v>
      </c>
      <c r="E24" s="130"/>
      <c r="F24" s="224"/>
      <c r="G24" s="41">
        <v>0</v>
      </c>
      <c r="H24" s="131"/>
      <c r="I24" s="35">
        <v>0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0</v>
      </c>
      <c r="P24" s="200">
        <f t="shared" si="6"/>
        <v>0</v>
      </c>
      <c r="Q24" s="35">
        <v>0</v>
      </c>
      <c r="R24" s="200">
        <f t="shared" si="7"/>
        <v>0</v>
      </c>
    </row>
    <row r="25" spans="1:18" x14ac:dyDescent="0.2">
      <c r="A25" s="25"/>
      <c r="B25" s="131"/>
      <c r="C25" s="131"/>
      <c r="D25" s="25">
        <v>0</v>
      </c>
      <c r="E25" s="130"/>
      <c r="F25" s="224"/>
      <c r="G25" s="41">
        <v>0</v>
      </c>
      <c r="H25" s="131"/>
      <c r="I25" s="35">
        <v>0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0</v>
      </c>
      <c r="P25" s="200">
        <f t="shared" si="6"/>
        <v>0</v>
      </c>
      <c r="Q25" s="35">
        <v>0</v>
      </c>
      <c r="R25" s="200">
        <f t="shared" si="7"/>
        <v>0</v>
      </c>
    </row>
    <row r="26" spans="1:18" x14ac:dyDescent="0.2">
      <c r="A26" s="25"/>
      <c r="B26" s="131"/>
      <c r="C26" s="131"/>
      <c r="D26" s="25">
        <v>0</v>
      </c>
      <c r="E26" s="130"/>
      <c r="F26" s="224"/>
      <c r="G26" s="41">
        <v>0</v>
      </c>
      <c r="H26" s="131"/>
      <c r="I26" s="35">
        <v>0</v>
      </c>
      <c r="J26" s="200">
        <f>E26*H26</f>
        <v>0</v>
      </c>
      <c r="K26" s="223">
        <v>0</v>
      </c>
      <c r="L26" s="212"/>
      <c r="M26" s="35">
        <v>0</v>
      </c>
      <c r="N26" s="200">
        <f>J26*L26</f>
        <v>0</v>
      </c>
      <c r="O26" s="35">
        <v>0</v>
      </c>
      <c r="P26" s="200">
        <f>+J26-N26</f>
        <v>0</v>
      </c>
      <c r="Q26" s="35">
        <v>0</v>
      </c>
      <c r="R26" s="200">
        <f>+J26*E$7</f>
        <v>0</v>
      </c>
    </row>
    <row r="27" spans="1:18" x14ac:dyDescent="0.2">
      <c r="A27" s="25"/>
      <c r="B27" s="25" t="s">
        <v>106</v>
      </c>
      <c r="C27" s="25"/>
      <c r="D27" s="25"/>
      <c r="E27" s="104"/>
      <c r="H27" s="104"/>
      <c r="I27" s="121"/>
      <c r="J27" s="104"/>
      <c r="K27" s="223"/>
      <c r="L27" s="104"/>
      <c r="N27" s="104"/>
      <c r="P27" s="104"/>
      <c r="R27" s="104"/>
    </row>
    <row r="28" spans="1:18" x14ac:dyDescent="0.2">
      <c r="A28" s="25"/>
      <c r="B28" s="25"/>
      <c r="C28" s="25" t="s">
        <v>103</v>
      </c>
      <c r="D28" s="25">
        <v>0.28000000000000003</v>
      </c>
      <c r="E28" s="130"/>
      <c r="F28" s="224" t="s">
        <v>44</v>
      </c>
      <c r="G28" s="41">
        <v>15</v>
      </c>
      <c r="H28" s="131"/>
      <c r="I28" s="35">
        <v>4.2</v>
      </c>
      <c r="J28" s="200">
        <f>E28*H28</f>
        <v>0</v>
      </c>
      <c r="K28" s="223">
        <v>0</v>
      </c>
      <c r="L28" s="212"/>
      <c r="M28" s="35">
        <v>0</v>
      </c>
      <c r="N28" s="200">
        <f>J28*L28</f>
        <v>0</v>
      </c>
      <c r="O28" s="35">
        <v>4.2</v>
      </c>
      <c r="P28" s="200">
        <f>+J28-N28</f>
        <v>0</v>
      </c>
      <c r="Q28" s="35">
        <v>2688</v>
      </c>
      <c r="R28" s="200">
        <f>+J28*E$7</f>
        <v>0</v>
      </c>
    </row>
    <row r="29" spans="1:18" x14ac:dyDescent="0.2">
      <c r="A29" s="25"/>
      <c r="B29" s="25"/>
      <c r="C29" s="25" t="s">
        <v>105</v>
      </c>
      <c r="D29" s="25">
        <v>0.33</v>
      </c>
      <c r="E29" s="130"/>
      <c r="F29" s="224" t="s">
        <v>44</v>
      </c>
      <c r="G29" s="41">
        <v>15</v>
      </c>
      <c r="H29" s="131"/>
      <c r="I29" s="35">
        <v>4.95</v>
      </c>
      <c r="J29" s="200">
        <f>E29*H29</f>
        <v>0</v>
      </c>
      <c r="K29" s="223">
        <v>0</v>
      </c>
      <c r="L29" s="212"/>
      <c r="M29" s="35">
        <v>0</v>
      </c>
      <c r="N29" s="200">
        <f>J29*L29</f>
        <v>0</v>
      </c>
      <c r="O29" s="35">
        <v>4.95</v>
      </c>
      <c r="P29" s="200">
        <f>+J29-N29</f>
        <v>0</v>
      </c>
      <c r="Q29" s="35">
        <v>3168</v>
      </c>
      <c r="R29" s="200">
        <f>+J29*E$7</f>
        <v>0</v>
      </c>
    </row>
    <row r="30" spans="1:18" x14ac:dyDescent="0.2">
      <c r="A30" s="25"/>
      <c r="B30" s="25"/>
      <c r="C30" s="25"/>
      <c r="D30" s="25"/>
      <c r="E30" s="207"/>
      <c r="F30" s="21"/>
      <c r="G30" s="41"/>
      <c r="H30" s="196"/>
      <c r="I30" s="35"/>
      <c r="J30" s="182"/>
      <c r="K30" s="223"/>
      <c r="L30" s="196"/>
      <c r="M30" s="35"/>
      <c r="N30" s="182"/>
      <c r="O30" s="35"/>
      <c r="P30" s="182"/>
      <c r="Q30" s="35"/>
      <c r="R30" s="182"/>
    </row>
    <row r="31" spans="1:18" x14ac:dyDescent="0.2">
      <c r="A31" s="25"/>
      <c r="B31" s="25" t="s">
        <v>51</v>
      </c>
      <c r="C31" s="25"/>
      <c r="D31" s="25"/>
      <c r="E31" s="207"/>
      <c r="F31" s="21"/>
      <c r="G31" s="41"/>
      <c r="H31" s="196"/>
      <c r="I31" s="184"/>
      <c r="J31" s="182"/>
      <c r="K31" s="223"/>
      <c r="L31" s="196"/>
      <c r="M31" s="35"/>
      <c r="N31" s="182"/>
      <c r="O31" s="35"/>
      <c r="P31" s="182"/>
      <c r="Q31" s="35"/>
      <c r="R31" s="182"/>
    </row>
    <row r="32" spans="1:18" x14ac:dyDescent="0.2">
      <c r="A32" s="25"/>
      <c r="B32" s="25"/>
      <c r="C32" s="25" t="s">
        <v>102</v>
      </c>
      <c r="D32" s="25">
        <v>1</v>
      </c>
      <c r="E32" s="130"/>
      <c r="F32" s="224" t="s">
        <v>42</v>
      </c>
      <c r="G32" s="41">
        <v>0</v>
      </c>
      <c r="H32" s="131"/>
      <c r="I32" s="35">
        <v>0</v>
      </c>
      <c r="J32" s="200">
        <f>E32*H32</f>
        <v>0</v>
      </c>
      <c r="K32" s="223">
        <v>0</v>
      </c>
      <c r="L32" s="212"/>
      <c r="M32" s="35">
        <v>0</v>
      </c>
      <c r="N32" s="200">
        <f>J32*L32</f>
        <v>0</v>
      </c>
      <c r="O32" s="35">
        <v>0</v>
      </c>
      <c r="P32" s="200">
        <f>+J32-N32</f>
        <v>0</v>
      </c>
      <c r="Q32" s="35">
        <v>0</v>
      </c>
      <c r="R32" s="200">
        <f>+J32*E$7</f>
        <v>0</v>
      </c>
    </row>
    <row r="33" spans="1:18" x14ac:dyDescent="0.2">
      <c r="A33" s="25"/>
      <c r="B33" s="25"/>
      <c r="C33" s="25" t="s">
        <v>103</v>
      </c>
      <c r="D33" s="25">
        <v>1.86</v>
      </c>
      <c r="E33" s="130"/>
      <c r="F33" s="224" t="s">
        <v>79</v>
      </c>
      <c r="G33" s="41">
        <v>3.0190000000000001</v>
      </c>
      <c r="H33" s="131"/>
      <c r="I33" s="35">
        <v>5.6153400000000007</v>
      </c>
      <c r="J33" s="200">
        <f>E33*H33</f>
        <v>0</v>
      </c>
      <c r="K33" s="223">
        <v>0</v>
      </c>
      <c r="L33" s="212"/>
      <c r="M33" s="35">
        <v>0</v>
      </c>
      <c r="N33" s="200">
        <f>J33*L33</f>
        <v>0</v>
      </c>
      <c r="O33" s="35">
        <v>5.6153400000000007</v>
      </c>
      <c r="P33" s="200">
        <f>+J33-N33</f>
        <v>0</v>
      </c>
      <c r="Q33" s="35">
        <v>3593.8176000000003</v>
      </c>
      <c r="R33" s="200">
        <f>+J33*E$7</f>
        <v>0</v>
      </c>
    </row>
    <row r="34" spans="1:18" x14ac:dyDescent="0.2">
      <c r="A34" s="25"/>
      <c r="B34" s="25"/>
      <c r="C34" s="25"/>
      <c r="D34" s="25"/>
      <c r="E34" s="207"/>
      <c r="F34" s="21"/>
      <c r="G34" s="41"/>
      <c r="H34" s="196"/>
      <c r="I34" s="35"/>
      <c r="J34" s="182"/>
      <c r="K34" s="223"/>
      <c r="L34" s="196"/>
      <c r="M34" s="35"/>
      <c r="N34" s="182"/>
      <c r="O34" s="35"/>
      <c r="P34" s="182"/>
      <c r="Q34" s="35"/>
      <c r="R34" s="182"/>
    </row>
    <row r="35" spans="1:18" x14ac:dyDescent="0.2">
      <c r="A35" s="25"/>
      <c r="B35" s="25" t="s">
        <v>29</v>
      </c>
      <c r="C35" s="25"/>
      <c r="D35" s="25"/>
      <c r="E35" s="207"/>
      <c r="F35" s="21"/>
      <c r="G35" s="41"/>
      <c r="H35" s="196"/>
      <c r="I35" s="184"/>
      <c r="J35" s="182"/>
      <c r="K35" s="223"/>
      <c r="L35" s="196"/>
      <c r="M35" s="35"/>
      <c r="N35" s="182"/>
      <c r="O35" s="35"/>
      <c r="P35" s="182"/>
      <c r="Q35" s="35"/>
      <c r="R35" s="182"/>
    </row>
    <row r="36" spans="1:18" x14ac:dyDescent="0.2">
      <c r="A36" s="25"/>
      <c r="B36" s="25"/>
      <c r="C36" s="25" t="s">
        <v>102</v>
      </c>
      <c r="D36" s="25">
        <v>1</v>
      </c>
      <c r="E36" s="130"/>
      <c r="F36" s="224" t="s">
        <v>42</v>
      </c>
      <c r="G36" s="41">
        <v>2.109375</v>
      </c>
      <c r="H36" s="131"/>
      <c r="I36" s="35">
        <v>2.109375</v>
      </c>
      <c r="J36" s="200">
        <f>E36*H36</f>
        <v>0</v>
      </c>
      <c r="K36" s="223">
        <v>0</v>
      </c>
      <c r="L36" s="212"/>
      <c r="M36" s="35">
        <v>0</v>
      </c>
      <c r="N36" s="200">
        <f>J36*L36</f>
        <v>0</v>
      </c>
      <c r="O36" s="35">
        <v>2.109375</v>
      </c>
      <c r="P36" s="200">
        <f>+J36-N36</f>
        <v>0</v>
      </c>
      <c r="Q36" s="35">
        <v>1350</v>
      </c>
      <c r="R36" s="200">
        <f>+J36*E$7</f>
        <v>0</v>
      </c>
    </row>
    <row r="37" spans="1:18" x14ac:dyDescent="0.2">
      <c r="A37" s="25"/>
      <c r="B37" s="25"/>
      <c r="C37" s="25" t="s">
        <v>103</v>
      </c>
      <c r="D37" s="25">
        <v>0</v>
      </c>
      <c r="E37" s="130"/>
      <c r="F37" s="224" t="s">
        <v>79</v>
      </c>
      <c r="G37" s="41">
        <v>3.09</v>
      </c>
      <c r="H37" s="131"/>
      <c r="I37" s="35">
        <v>0</v>
      </c>
      <c r="J37" s="200">
        <f>E37*H37</f>
        <v>0</v>
      </c>
      <c r="K37" s="223">
        <v>0</v>
      </c>
      <c r="L37" s="212"/>
      <c r="M37" s="35">
        <v>0</v>
      </c>
      <c r="N37" s="200">
        <f>J37*L37</f>
        <v>0</v>
      </c>
      <c r="O37" s="35">
        <v>0</v>
      </c>
      <c r="P37" s="200">
        <f>+J37-N37</f>
        <v>0</v>
      </c>
      <c r="Q37" s="35">
        <v>0</v>
      </c>
      <c r="R37" s="200">
        <f>+J37*E$7</f>
        <v>0</v>
      </c>
    </row>
    <row r="38" spans="1:18" x14ac:dyDescent="0.2">
      <c r="A38" s="25"/>
      <c r="B38" s="25"/>
      <c r="C38" s="25"/>
      <c r="D38" s="25"/>
      <c r="E38" s="207"/>
      <c r="F38" s="21"/>
      <c r="G38" s="41"/>
      <c r="H38" s="196"/>
      <c r="I38" s="35"/>
      <c r="J38" s="182"/>
      <c r="K38" s="223"/>
      <c r="L38" s="196"/>
      <c r="M38" s="35"/>
      <c r="N38" s="182"/>
      <c r="O38" s="35"/>
      <c r="P38" s="182"/>
      <c r="Q38" s="35"/>
      <c r="R38" s="182"/>
    </row>
    <row r="39" spans="1:18" x14ac:dyDescent="0.2">
      <c r="A39" s="25"/>
      <c r="B39" s="25" t="s">
        <v>47</v>
      </c>
      <c r="C39" s="25"/>
      <c r="D39" s="25"/>
      <c r="E39" s="207"/>
      <c r="F39" s="21"/>
      <c r="G39" s="41"/>
      <c r="H39" s="197"/>
      <c r="I39" s="184"/>
      <c r="J39" s="182"/>
      <c r="K39" s="223"/>
      <c r="L39" s="197"/>
      <c r="M39" s="35"/>
      <c r="N39" s="182"/>
      <c r="O39" s="35"/>
      <c r="P39" s="182"/>
      <c r="Q39" s="35"/>
      <c r="R39" s="182"/>
    </row>
    <row r="40" spans="1:18" x14ac:dyDescent="0.2">
      <c r="A40" s="25"/>
      <c r="B40" s="25"/>
      <c r="C40" s="25" t="s">
        <v>102</v>
      </c>
      <c r="D40" s="25">
        <v>1</v>
      </c>
      <c r="E40" s="130"/>
      <c r="F40" s="224" t="s">
        <v>42</v>
      </c>
      <c r="G40" s="41">
        <v>0.703125</v>
      </c>
      <c r="H40" s="131"/>
      <c r="I40" s="35">
        <v>0.703125</v>
      </c>
      <c r="J40" s="200">
        <f t="shared" ref="J40:J45" si="8">E40*H40</f>
        <v>0</v>
      </c>
      <c r="K40" s="223">
        <v>0</v>
      </c>
      <c r="L40" s="212"/>
      <c r="M40" s="35">
        <v>0</v>
      </c>
      <c r="N40" s="200">
        <f t="shared" ref="N40:N45" si="9">J40*L40</f>
        <v>0</v>
      </c>
      <c r="O40" s="35">
        <v>0.703125</v>
      </c>
      <c r="P40" s="200">
        <f t="shared" ref="P40:P45" si="10">+J40-N40</f>
        <v>0</v>
      </c>
      <c r="Q40" s="35">
        <v>450</v>
      </c>
      <c r="R40" s="200">
        <f t="shared" ref="R40:R45" si="11">+J40*E$7</f>
        <v>0</v>
      </c>
    </row>
    <row r="41" spans="1:18" x14ac:dyDescent="0.2">
      <c r="A41" s="25"/>
      <c r="B41" s="25"/>
      <c r="C41" s="25" t="s">
        <v>46</v>
      </c>
      <c r="D41" s="25">
        <v>1</v>
      </c>
      <c r="E41" s="130"/>
      <c r="F41" s="224" t="s">
        <v>42</v>
      </c>
      <c r="G41" s="41">
        <v>0</v>
      </c>
      <c r="H41" s="131"/>
      <c r="I41" s="35">
        <v>0</v>
      </c>
      <c r="J41" s="200">
        <f t="shared" si="8"/>
        <v>0</v>
      </c>
      <c r="K41" s="223">
        <v>0</v>
      </c>
      <c r="L41" s="212"/>
      <c r="M41" s="35">
        <v>0</v>
      </c>
      <c r="N41" s="200">
        <f t="shared" si="9"/>
        <v>0</v>
      </c>
      <c r="O41" s="35">
        <v>0</v>
      </c>
      <c r="P41" s="200">
        <f t="shared" si="10"/>
        <v>0</v>
      </c>
      <c r="Q41" s="35">
        <v>0</v>
      </c>
      <c r="R41" s="200">
        <f t="shared" si="11"/>
        <v>0</v>
      </c>
    </row>
    <row r="42" spans="1:18" x14ac:dyDescent="0.2">
      <c r="A42" s="25"/>
      <c r="B42" s="25"/>
      <c r="C42" s="25" t="s">
        <v>103</v>
      </c>
      <c r="D42" s="25">
        <v>1</v>
      </c>
      <c r="E42" s="130"/>
      <c r="F42" s="224" t="s">
        <v>42</v>
      </c>
      <c r="G42" s="41">
        <v>3.8173249618128593</v>
      </c>
      <c r="H42" s="131"/>
      <c r="I42" s="35">
        <v>3.8173249618128593</v>
      </c>
      <c r="J42" s="200">
        <f t="shared" si="8"/>
        <v>0</v>
      </c>
      <c r="K42" s="223">
        <v>0</v>
      </c>
      <c r="L42" s="212"/>
      <c r="M42" s="35">
        <v>0</v>
      </c>
      <c r="N42" s="200">
        <f t="shared" si="9"/>
        <v>0</v>
      </c>
      <c r="O42" s="35">
        <v>3.8173249618128593</v>
      </c>
      <c r="P42" s="200">
        <f t="shared" si="10"/>
        <v>0</v>
      </c>
      <c r="Q42" s="35">
        <v>2443.08797556023</v>
      </c>
      <c r="R42" s="200">
        <f t="shared" si="11"/>
        <v>0</v>
      </c>
    </row>
    <row r="43" spans="1:18" x14ac:dyDescent="0.2">
      <c r="A43" s="25"/>
      <c r="B43" s="25"/>
      <c r="C43" s="25" t="s">
        <v>5</v>
      </c>
      <c r="D43" s="25">
        <v>1</v>
      </c>
      <c r="E43" s="130"/>
      <c r="F43" s="224" t="s">
        <v>42</v>
      </c>
      <c r="G43" s="41">
        <v>4.394021752873563</v>
      </c>
      <c r="H43" s="131"/>
      <c r="I43" s="35">
        <v>4.394021752873563</v>
      </c>
      <c r="J43" s="200">
        <f t="shared" si="8"/>
        <v>0</v>
      </c>
      <c r="K43" s="223">
        <v>0</v>
      </c>
      <c r="L43" s="212"/>
      <c r="M43" s="35">
        <v>0</v>
      </c>
      <c r="N43" s="200">
        <f t="shared" si="9"/>
        <v>0</v>
      </c>
      <c r="O43" s="35">
        <v>4.394021752873563</v>
      </c>
      <c r="P43" s="200">
        <f t="shared" si="10"/>
        <v>0</v>
      </c>
      <c r="Q43" s="35">
        <v>2812.1739218390803</v>
      </c>
      <c r="R43" s="200">
        <f t="shared" si="11"/>
        <v>0</v>
      </c>
    </row>
    <row r="44" spans="1:18" x14ac:dyDescent="0.2">
      <c r="A44" s="25"/>
      <c r="B44" s="131"/>
      <c r="C44" s="131"/>
      <c r="D44" s="25"/>
      <c r="E44" s="130"/>
      <c r="F44" s="224"/>
      <c r="G44" s="41"/>
      <c r="H44" s="131"/>
      <c r="I44" s="35">
        <v>0</v>
      </c>
      <c r="J44" s="200">
        <f t="shared" si="8"/>
        <v>0</v>
      </c>
      <c r="K44" s="223">
        <v>0</v>
      </c>
      <c r="L44" s="212"/>
      <c r="M44" s="35">
        <v>0</v>
      </c>
      <c r="N44" s="200">
        <f t="shared" si="9"/>
        <v>0</v>
      </c>
      <c r="O44" s="35">
        <v>0</v>
      </c>
      <c r="P44" s="200">
        <f t="shared" si="10"/>
        <v>0</v>
      </c>
      <c r="Q44" s="35">
        <v>0</v>
      </c>
      <c r="R44" s="200">
        <f t="shared" si="11"/>
        <v>0</v>
      </c>
    </row>
    <row r="45" spans="1:18" x14ac:dyDescent="0.2">
      <c r="A45" s="25"/>
      <c r="B45" s="131"/>
      <c r="C45" s="131"/>
      <c r="D45" s="25"/>
      <c r="E45" s="130"/>
      <c r="F45" s="224"/>
      <c r="G45" s="41"/>
      <c r="H45" s="131"/>
      <c r="I45" s="35">
        <v>0</v>
      </c>
      <c r="J45" s="200">
        <f t="shared" si="8"/>
        <v>0</v>
      </c>
      <c r="K45" s="223">
        <v>0</v>
      </c>
      <c r="L45" s="212"/>
      <c r="M45" s="35">
        <v>0</v>
      </c>
      <c r="N45" s="200">
        <f t="shared" si="9"/>
        <v>0</v>
      </c>
      <c r="O45" s="35">
        <v>0</v>
      </c>
      <c r="P45" s="200">
        <f t="shared" si="10"/>
        <v>0</v>
      </c>
      <c r="Q45" s="35">
        <v>0</v>
      </c>
      <c r="R45" s="200">
        <f t="shared" si="11"/>
        <v>0</v>
      </c>
    </row>
    <row r="46" spans="1:18" ht="13.5" thickBot="1" x14ac:dyDescent="0.25">
      <c r="A46" s="25"/>
      <c r="B46" s="25" t="s">
        <v>32</v>
      </c>
      <c r="C46" s="25"/>
      <c r="D46" s="25"/>
      <c r="E46" s="195"/>
      <c r="F46" s="21"/>
      <c r="G46" s="39">
        <v>0.09</v>
      </c>
      <c r="H46" s="213"/>
      <c r="I46" s="42">
        <v>3.5705271553191325</v>
      </c>
      <c r="J46" s="200">
        <f>+SUM(J17:J45)/2*H46</f>
        <v>0</v>
      </c>
      <c r="K46" s="86"/>
      <c r="L46" s="135"/>
      <c r="M46" s="42">
        <v>0</v>
      </c>
      <c r="N46" s="200">
        <f>+SUM(N17:N45)/2*L46</f>
        <v>0</v>
      </c>
      <c r="O46" s="42">
        <v>3.5705271553191325</v>
      </c>
      <c r="P46" s="200">
        <f>+SUM(P17:P45)/2*L46</f>
        <v>0</v>
      </c>
      <c r="Q46" s="42">
        <v>2285.1373794042447</v>
      </c>
      <c r="R46" s="182">
        <f>+J46*E$7</f>
        <v>0</v>
      </c>
    </row>
    <row r="47" spans="1:18" ht="13.5" thickBot="1" x14ac:dyDescent="0.25">
      <c r="A47" s="25" t="s">
        <v>33</v>
      </c>
      <c r="B47" s="25"/>
      <c r="C47" s="25"/>
      <c r="D47" s="25"/>
      <c r="E47" s="198"/>
      <c r="F47" s="25"/>
      <c r="G47" s="25"/>
      <c r="H47" s="195"/>
      <c r="I47" s="87">
        <v>118.12971387000556</v>
      </c>
      <c r="J47" s="202">
        <f>SUM(J18:J46)</f>
        <v>0</v>
      </c>
      <c r="K47" s="35"/>
      <c r="L47" s="193"/>
      <c r="M47" s="87">
        <v>0</v>
      </c>
      <c r="N47" s="202">
        <f>SUM(N18:N46)</f>
        <v>0</v>
      </c>
      <c r="O47" s="87">
        <v>118.12971387000556</v>
      </c>
      <c r="P47" s="202">
        <f>SUM(P18:P46)</f>
        <v>0</v>
      </c>
      <c r="Q47" s="87">
        <v>75603.016876803566</v>
      </c>
      <c r="R47" s="202">
        <f>SUM(R18:R46)</f>
        <v>0</v>
      </c>
    </row>
    <row r="48" spans="1:18" ht="13.5" thickTop="1" x14ac:dyDescent="0.2">
      <c r="A48" s="25" t="s">
        <v>34</v>
      </c>
      <c r="B48" s="25"/>
      <c r="C48" s="25"/>
      <c r="D48" s="25"/>
      <c r="E48" s="198"/>
      <c r="F48" s="25"/>
      <c r="G48" s="25"/>
      <c r="H48" s="195"/>
      <c r="I48" s="35">
        <v>2.4702861299944487</v>
      </c>
      <c r="J48" s="200">
        <f>+J13-J47</f>
        <v>0</v>
      </c>
      <c r="K48" s="35"/>
      <c r="L48" s="193"/>
      <c r="M48" s="35">
        <v>0</v>
      </c>
      <c r="N48" s="200">
        <f>+N13-N47</f>
        <v>0</v>
      </c>
      <c r="O48" s="35">
        <v>2.4702861299944487</v>
      </c>
      <c r="P48" s="200">
        <f>+P13-P47</f>
        <v>0</v>
      </c>
      <c r="Q48" s="35">
        <v>1580.9831231964345</v>
      </c>
      <c r="R48" s="200">
        <f>+R13-R47</f>
        <v>0</v>
      </c>
    </row>
    <row r="49" spans="1:18" x14ac:dyDescent="0.2">
      <c r="A49" s="25"/>
      <c r="B49" s="25" t="s">
        <v>35</v>
      </c>
      <c r="C49" s="25"/>
      <c r="D49" s="25"/>
      <c r="E49" s="208"/>
      <c r="F49" s="17"/>
      <c r="G49" s="40">
        <v>88.156502888063841</v>
      </c>
      <c r="H49" s="208" t="str">
        <f>IF(E10=0,"n/a",(YVarExp-(YTotExp+YTotRet-J10))/E10)</f>
        <v>n/a</v>
      </c>
      <c r="I49" s="25" t="s">
        <v>135</v>
      </c>
      <c r="J49" s="182"/>
      <c r="K49" s="25"/>
      <c r="L49" s="195"/>
      <c r="M49" s="25"/>
      <c r="N49" s="182"/>
      <c r="O49" s="25"/>
      <c r="P49" s="182"/>
      <c r="Q49" s="25"/>
      <c r="R49" s="182"/>
    </row>
    <row r="50" spans="1:18" x14ac:dyDescent="0.2">
      <c r="A50" s="25"/>
      <c r="B50" s="25"/>
      <c r="C50" s="25"/>
      <c r="D50" s="25"/>
      <c r="E50" s="176"/>
      <c r="F50" s="25"/>
      <c r="G50" s="25"/>
      <c r="H50" s="209"/>
      <c r="I50" s="25"/>
      <c r="J50" s="182"/>
      <c r="K50" s="25"/>
      <c r="L50" s="195"/>
      <c r="M50" s="25"/>
      <c r="N50" s="182"/>
      <c r="O50" s="25"/>
      <c r="P50" s="182"/>
      <c r="Q50" s="22" t="s">
        <v>19</v>
      </c>
      <c r="R50" s="182" t="s">
        <v>19</v>
      </c>
    </row>
    <row r="51" spans="1:18" x14ac:dyDescent="0.2">
      <c r="A51" s="23" t="s">
        <v>36</v>
      </c>
      <c r="B51" s="23"/>
      <c r="C51" s="23"/>
      <c r="D51" s="24" t="s">
        <v>2</v>
      </c>
      <c r="E51" s="194" t="s">
        <v>2</v>
      </c>
      <c r="F51" s="24" t="s">
        <v>21</v>
      </c>
      <c r="G51" s="24" t="s">
        <v>22</v>
      </c>
      <c r="H51" s="194" t="s">
        <v>22</v>
      </c>
      <c r="I51" s="24" t="s">
        <v>12</v>
      </c>
      <c r="J51" s="194" t="s">
        <v>12</v>
      </c>
      <c r="K51" s="24" t="s">
        <v>11</v>
      </c>
      <c r="L51" s="194" t="s">
        <v>11</v>
      </c>
      <c r="M51" s="24" t="s">
        <v>10</v>
      </c>
      <c r="N51" s="194" t="s">
        <v>10</v>
      </c>
      <c r="O51" s="24" t="s">
        <v>9</v>
      </c>
      <c r="P51" s="194" t="s">
        <v>9</v>
      </c>
      <c r="Q51" s="24" t="s">
        <v>12</v>
      </c>
      <c r="R51" s="206" t="s">
        <v>12</v>
      </c>
    </row>
    <row r="52" spans="1:18" x14ac:dyDescent="0.2">
      <c r="A52" s="25"/>
      <c r="B52" s="25" t="s">
        <v>104</v>
      </c>
      <c r="C52" s="25"/>
      <c r="D52" s="25"/>
      <c r="E52" s="176"/>
      <c r="F52" s="25"/>
      <c r="G52" s="25"/>
      <c r="H52" s="209"/>
      <c r="I52" s="184"/>
      <c r="J52" s="182"/>
      <c r="K52" s="223"/>
      <c r="L52" s="195"/>
      <c r="M52" s="25"/>
      <c r="N52" s="182"/>
      <c r="O52" s="25"/>
      <c r="P52" s="182"/>
      <c r="Q52" s="25"/>
      <c r="R52" s="182"/>
    </row>
    <row r="53" spans="1:18" x14ac:dyDescent="0.2">
      <c r="A53" s="25"/>
      <c r="B53" s="25"/>
      <c r="C53" s="25" t="s">
        <v>102</v>
      </c>
      <c r="D53" s="25">
        <v>1</v>
      </c>
      <c r="E53" s="130"/>
      <c r="F53" s="224" t="s">
        <v>42</v>
      </c>
      <c r="G53" s="41">
        <v>0.97617187500000002</v>
      </c>
      <c r="H53" s="131"/>
      <c r="I53" s="35">
        <v>0.97617187500000002</v>
      </c>
      <c r="J53" s="200">
        <f t="shared" ref="J53:J55" si="12">E53*H53</f>
        <v>0</v>
      </c>
      <c r="K53" s="223">
        <v>0</v>
      </c>
      <c r="L53" s="212"/>
      <c r="M53" s="35">
        <v>0</v>
      </c>
      <c r="N53" s="200">
        <f>J53*L53</f>
        <v>0</v>
      </c>
      <c r="O53" s="35">
        <v>0.97617187500000002</v>
      </c>
      <c r="P53" s="200">
        <f t="shared" ref="P53:P55" si="13">+J53-N53</f>
        <v>0</v>
      </c>
      <c r="Q53" s="35">
        <v>624.75</v>
      </c>
      <c r="R53" s="200">
        <f t="shared" ref="R53:R55" si="14">+J53*E$7</f>
        <v>0</v>
      </c>
    </row>
    <row r="54" spans="1:18" x14ac:dyDescent="0.2">
      <c r="A54" s="25"/>
      <c r="B54" s="25"/>
      <c r="C54" s="25" t="s">
        <v>103</v>
      </c>
      <c r="D54" s="25">
        <v>1</v>
      </c>
      <c r="E54" s="130"/>
      <c r="F54" s="224" t="s">
        <v>42</v>
      </c>
      <c r="G54" s="41">
        <v>3.9445691272066212</v>
      </c>
      <c r="H54" s="131"/>
      <c r="I54" s="35">
        <v>3.9445691272066212</v>
      </c>
      <c r="J54" s="200">
        <f t="shared" si="12"/>
        <v>0</v>
      </c>
      <c r="K54" s="223">
        <v>0</v>
      </c>
      <c r="L54" s="212"/>
      <c r="M54" s="35">
        <v>0</v>
      </c>
      <c r="N54" s="200">
        <f>J54*L54</f>
        <v>0</v>
      </c>
      <c r="O54" s="35">
        <v>3.9445691272066212</v>
      </c>
      <c r="P54" s="200">
        <f t="shared" si="13"/>
        <v>0</v>
      </c>
      <c r="Q54" s="35">
        <v>2524.5242414122376</v>
      </c>
      <c r="R54" s="200">
        <f t="shared" si="14"/>
        <v>0</v>
      </c>
    </row>
    <row r="55" spans="1:18" x14ac:dyDescent="0.2">
      <c r="A55" s="25"/>
      <c r="B55" s="25"/>
      <c r="C55" s="25" t="s">
        <v>5</v>
      </c>
      <c r="D55" s="25">
        <v>1</v>
      </c>
      <c r="E55" s="130"/>
      <c r="F55" s="224" t="s">
        <v>42</v>
      </c>
      <c r="G55" s="41">
        <v>5.6494565394088667</v>
      </c>
      <c r="H55" s="131"/>
      <c r="I55" s="35">
        <v>5.6494565394088667</v>
      </c>
      <c r="J55" s="200">
        <f t="shared" si="12"/>
        <v>0</v>
      </c>
      <c r="K55" s="223">
        <v>0</v>
      </c>
      <c r="L55" s="212"/>
      <c r="M55" s="35">
        <v>0</v>
      </c>
      <c r="N55" s="200">
        <f>J55*L55</f>
        <v>0</v>
      </c>
      <c r="O55" s="35">
        <v>5.6494565394088667</v>
      </c>
      <c r="P55" s="200">
        <f t="shared" si="13"/>
        <v>0</v>
      </c>
      <c r="Q55" s="35">
        <v>3615.6521852216747</v>
      </c>
      <c r="R55" s="200">
        <f t="shared" si="14"/>
        <v>0</v>
      </c>
    </row>
    <row r="56" spans="1:18" x14ac:dyDescent="0.2">
      <c r="A56" s="25"/>
      <c r="B56" s="25" t="s">
        <v>88</v>
      </c>
      <c r="C56" s="25"/>
      <c r="D56" s="25"/>
      <c r="E56" s="195"/>
      <c r="F56" s="21"/>
      <c r="G56" s="41"/>
      <c r="H56" s="195"/>
      <c r="I56" s="184"/>
      <c r="J56" s="182"/>
      <c r="K56" s="223"/>
      <c r="L56" s="195"/>
      <c r="M56" s="35"/>
      <c r="N56" s="182"/>
      <c r="O56" s="35"/>
      <c r="P56" s="182"/>
      <c r="Q56" s="35"/>
      <c r="R56" s="182"/>
    </row>
    <row r="57" spans="1:18" x14ac:dyDescent="0.2">
      <c r="A57" s="25"/>
      <c r="B57" s="25"/>
      <c r="C57" s="25" t="s">
        <v>102</v>
      </c>
      <c r="D57" s="41">
        <v>6.837890625</v>
      </c>
      <c r="E57" s="130"/>
      <c r="F57" s="224" t="s">
        <v>99</v>
      </c>
      <c r="G57" s="39">
        <v>0.08</v>
      </c>
      <c r="H57" s="213"/>
      <c r="I57" s="35">
        <v>0.54703124999999997</v>
      </c>
      <c r="J57" s="200">
        <f t="shared" ref="J57:J66" si="15">E57*H57</f>
        <v>0</v>
      </c>
      <c r="K57" s="223">
        <v>0</v>
      </c>
      <c r="L57" s="212"/>
      <c r="M57" s="35">
        <v>0</v>
      </c>
      <c r="N57" s="200">
        <f>J57*L57</f>
        <v>0</v>
      </c>
      <c r="O57" s="35">
        <v>0.54703124999999997</v>
      </c>
      <c r="P57" s="200">
        <f t="shared" ref="P57:P59" si="16">+J57-N57</f>
        <v>0</v>
      </c>
      <c r="Q57" s="35">
        <v>350.09999999999997</v>
      </c>
      <c r="R57" s="200">
        <f t="shared" ref="R57:R59" si="17">+J57*E$7</f>
        <v>0</v>
      </c>
    </row>
    <row r="58" spans="1:18" x14ac:dyDescent="0.2">
      <c r="A58" s="25"/>
      <c r="B58" s="25"/>
      <c r="C58" s="25" t="s">
        <v>103</v>
      </c>
      <c r="D58" s="41">
        <v>30.729465942593514</v>
      </c>
      <c r="E58" s="130"/>
      <c r="F58" s="224" t="s">
        <v>99</v>
      </c>
      <c r="G58" s="39">
        <v>0.08</v>
      </c>
      <c r="H58" s="213"/>
      <c r="I58" s="35">
        <v>2.4583572754074812</v>
      </c>
      <c r="J58" s="200">
        <f t="shared" si="15"/>
        <v>0</v>
      </c>
      <c r="K58" s="223">
        <v>0</v>
      </c>
      <c r="L58" s="212"/>
      <c r="M58" s="35">
        <v>0</v>
      </c>
      <c r="N58" s="200">
        <f>J58*L58</f>
        <v>0</v>
      </c>
      <c r="O58" s="35">
        <v>2.4583572754074812</v>
      </c>
      <c r="P58" s="200">
        <f t="shared" si="16"/>
        <v>0</v>
      </c>
      <c r="Q58" s="35">
        <v>1573.3486562607879</v>
      </c>
      <c r="R58" s="200">
        <f t="shared" si="17"/>
        <v>0</v>
      </c>
    </row>
    <row r="59" spans="1:18" x14ac:dyDescent="0.2">
      <c r="A59" s="25"/>
      <c r="B59" s="25"/>
      <c r="C59" s="25" t="s">
        <v>5</v>
      </c>
      <c r="D59" s="41">
        <v>24.1671196408046</v>
      </c>
      <c r="E59" s="130"/>
      <c r="F59" s="224" t="s">
        <v>99</v>
      </c>
      <c r="G59" s="39">
        <v>0.08</v>
      </c>
      <c r="H59" s="213"/>
      <c r="I59" s="35">
        <v>1.9333695712643681</v>
      </c>
      <c r="J59" s="200">
        <f t="shared" si="15"/>
        <v>0</v>
      </c>
      <c r="K59" s="223">
        <v>0</v>
      </c>
      <c r="L59" s="212"/>
      <c r="M59" s="35">
        <v>0</v>
      </c>
      <c r="N59" s="200">
        <f>J59*L59</f>
        <v>0</v>
      </c>
      <c r="O59" s="35">
        <v>1.9333695712643681</v>
      </c>
      <c r="P59" s="200">
        <f t="shared" si="16"/>
        <v>0</v>
      </c>
      <c r="Q59" s="35">
        <v>1237.3565256091956</v>
      </c>
      <c r="R59" s="200">
        <f t="shared" si="17"/>
        <v>0</v>
      </c>
    </row>
    <row r="60" spans="1:18" x14ac:dyDescent="0.2">
      <c r="A60" s="25"/>
      <c r="B60" s="25" t="s">
        <v>156</v>
      </c>
      <c r="C60" s="25"/>
      <c r="D60" s="25">
        <v>1</v>
      </c>
      <c r="E60" s="130"/>
      <c r="F60" s="224" t="s">
        <v>42</v>
      </c>
      <c r="G60" s="41">
        <v>0</v>
      </c>
      <c r="H60" s="131"/>
      <c r="I60" s="35">
        <v>0</v>
      </c>
      <c r="J60" s="200">
        <f t="shared" si="15"/>
        <v>0</v>
      </c>
      <c r="K60" s="223">
        <v>0</v>
      </c>
      <c r="L60" s="212"/>
      <c r="M60" s="35">
        <v>0</v>
      </c>
      <c r="N60" s="200">
        <f t="shared" ref="N60:N67" si="18">J60*L60</f>
        <v>0</v>
      </c>
      <c r="O60" s="35">
        <v>0</v>
      </c>
      <c r="P60" s="200">
        <f t="shared" ref="P60:P67" si="19">+J60-N60</f>
        <v>0</v>
      </c>
      <c r="Q60" s="35">
        <v>0</v>
      </c>
      <c r="R60" s="200">
        <f t="shared" ref="R60:R67" si="20">+J60*E$7</f>
        <v>0</v>
      </c>
    </row>
    <row r="61" spans="1:18" x14ac:dyDescent="0.2">
      <c r="A61" s="25"/>
      <c r="B61" s="25" t="s">
        <v>152</v>
      </c>
      <c r="C61" s="25"/>
      <c r="D61" s="25">
        <v>1</v>
      </c>
      <c r="E61" s="130"/>
      <c r="F61" s="224" t="s">
        <v>42</v>
      </c>
      <c r="G61" s="41">
        <v>0</v>
      </c>
      <c r="H61" s="131"/>
      <c r="I61" s="35">
        <v>0</v>
      </c>
      <c r="J61" s="200">
        <f t="shared" si="15"/>
        <v>0</v>
      </c>
      <c r="K61" s="223">
        <v>0</v>
      </c>
      <c r="L61" s="212"/>
      <c r="M61" s="35">
        <v>0</v>
      </c>
      <c r="N61" s="200">
        <f t="shared" si="18"/>
        <v>0</v>
      </c>
      <c r="O61" s="35">
        <v>0</v>
      </c>
      <c r="P61" s="200">
        <f t="shared" si="19"/>
        <v>0</v>
      </c>
      <c r="Q61" s="35">
        <v>0</v>
      </c>
      <c r="R61" s="200">
        <f t="shared" si="20"/>
        <v>0</v>
      </c>
    </row>
    <row r="62" spans="1:18" x14ac:dyDescent="0.2">
      <c r="A62" s="25"/>
      <c r="B62" s="25" t="s">
        <v>137</v>
      </c>
      <c r="C62" s="25"/>
      <c r="D62" s="25">
        <v>1</v>
      </c>
      <c r="E62" s="130"/>
      <c r="F62" s="224" t="s">
        <v>42</v>
      </c>
      <c r="G62" s="41">
        <v>0</v>
      </c>
      <c r="H62" s="131"/>
      <c r="I62" s="35">
        <v>0</v>
      </c>
      <c r="J62" s="200">
        <f t="shared" si="15"/>
        <v>0</v>
      </c>
      <c r="K62" s="223">
        <v>0</v>
      </c>
      <c r="L62" s="212"/>
      <c r="M62" s="35">
        <v>0</v>
      </c>
      <c r="N62" s="200">
        <f t="shared" si="18"/>
        <v>0</v>
      </c>
      <c r="O62" s="35">
        <v>0</v>
      </c>
      <c r="P62" s="200">
        <f t="shared" si="19"/>
        <v>0</v>
      </c>
      <c r="Q62" s="35">
        <v>0</v>
      </c>
      <c r="R62" s="200">
        <f t="shared" si="20"/>
        <v>0</v>
      </c>
    </row>
    <row r="63" spans="1:18" x14ac:dyDescent="0.2">
      <c r="A63" s="25"/>
      <c r="B63" s="25" t="s">
        <v>419</v>
      </c>
      <c r="C63" s="25"/>
      <c r="D63" s="25">
        <v>1</v>
      </c>
      <c r="E63" s="130"/>
      <c r="F63" s="224" t="s">
        <v>42</v>
      </c>
      <c r="G63" s="41">
        <v>30</v>
      </c>
      <c r="H63" s="131"/>
      <c r="I63" s="35">
        <v>30</v>
      </c>
      <c r="J63" s="200">
        <f t="shared" si="15"/>
        <v>0</v>
      </c>
      <c r="K63" s="223">
        <v>0</v>
      </c>
      <c r="L63" s="212"/>
      <c r="M63" s="35">
        <v>0</v>
      </c>
      <c r="N63" s="200">
        <f t="shared" si="18"/>
        <v>0</v>
      </c>
      <c r="O63" s="35">
        <v>30</v>
      </c>
      <c r="P63" s="200">
        <f t="shared" si="19"/>
        <v>0</v>
      </c>
      <c r="Q63" s="35">
        <v>19200</v>
      </c>
      <c r="R63" s="200">
        <f t="shared" si="20"/>
        <v>0</v>
      </c>
    </row>
    <row r="64" spans="1:18" x14ac:dyDescent="0.2">
      <c r="A64" s="25"/>
      <c r="B64" s="25" t="s">
        <v>159</v>
      </c>
      <c r="C64" s="25"/>
      <c r="D64" s="25">
        <v>1</v>
      </c>
      <c r="E64" s="130"/>
      <c r="F64" s="224" t="s">
        <v>42</v>
      </c>
      <c r="G64" s="41">
        <v>0</v>
      </c>
      <c r="H64" s="131"/>
      <c r="I64" s="35">
        <v>0</v>
      </c>
      <c r="J64" s="200">
        <f t="shared" si="15"/>
        <v>0</v>
      </c>
      <c r="K64" s="223">
        <v>0</v>
      </c>
      <c r="L64" s="212"/>
      <c r="M64" s="35">
        <v>0</v>
      </c>
      <c r="N64" s="200">
        <f t="shared" si="18"/>
        <v>0</v>
      </c>
      <c r="O64" s="35">
        <v>0</v>
      </c>
      <c r="P64" s="200">
        <f t="shared" si="19"/>
        <v>0</v>
      </c>
      <c r="Q64" s="35">
        <v>0</v>
      </c>
      <c r="R64" s="200">
        <f t="shared" si="20"/>
        <v>0</v>
      </c>
    </row>
    <row r="65" spans="1:18" x14ac:dyDescent="0.2">
      <c r="A65" s="25"/>
      <c r="B65" s="25" t="s">
        <v>160</v>
      </c>
      <c r="C65" s="25"/>
      <c r="D65" s="25">
        <v>1</v>
      </c>
      <c r="E65" s="130"/>
      <c r="F65" s="224" t="s">
        <v>42</v>
      </c>
      <c r="G65" s="41">
        <v>0</v>
      </c>
      <c r="H65" s="131"/>
      <c r="I65" s="35">
        <v>0</v>
      </c>
      <c r="J65" s="200">
        <f t="shared" si="15"/>
        <v>0</v>
      </c>
      <c r="K65" s="223">
        <v>0</v>
      </c>
      <c r="L65" s="212"/>
      <c r="M65" s="35">
        <v>0</v>
      </c>
      <c r="N65" s="200">
        <f t="shared" si="18"/>
        <v>0</v>
      </c>
      <c r="O65" s="35">
        <v>0</v>
      </c>
      <c r="P65" s="200">
        <f t="shared" si="19"/>
        <v>0</v>
      </c>
      <c r="Q65" s="35">
        <v>0</v>
      </c>
      <c r="R65" s="200">
        <f t="shared" si="20"/>
        <v>0</v>
      </c>
    </row>
    <row r="66" spans="1:18" x14ac:dyDescent="0.2">
      <c r="A66" s="25"/>
      <c r="B66" s="131"/>
      <c r="C66" s="131"/>
      <c r="D66" s="25">
        <v>1</v>
      </c>
      <c r="E66" s="130"/>
      <c r="F66" s="224"/>
      <c r="G66" s="41">
        <v>0</v>
      </c>
      <c r="H66" s="131"/>
      <c r="I66" s="35">
        <v>0</v>
      </c>
      <c r="J66" s="200">
        <f t="shared" si="15"/>
        <v>0</v>
      </c>
      <c r="K66" s="223">
        <v>0</v>
      </c>
      <c r="L66" s="212"/>
      <c r="M66" s="35">
        <v>0</v>
      </c>
      <c r="N66" s="200">
        <f t="shared" si="18"/>
        <v>0</v>
      </c>
      <c r="O66" s="35">
        <v>0</v>
      </c>
      <c r="P66" s="200">
        <f t="shared" si="19"/>
        <v>0</v>
      </c>
      <c r="Q66" s="35">
        <v>0</v>
      </c>
      <c r="R66" s="200">
        <f t="shared" si="20"/>
        <v>0</v>
      </c>
    </row>
    <row r="67" spans="1:18" ht="13.5" thickBot="1" x14ac:dyDescent="0.25">
      <c r="A67" s="25"/>
      <c r="B67" s="131"/>
      <c r="C67" s="131"/>
      <c r="D67" s="25">
        <v>1</v>
      </c>
      <c r="E67" s="130"/>
      <c r="F67" s="224"/>
      <c r="G67" s="41">
        <v>0</v>
      </c>
      <c r="H67" s="131"/>
      <c r="I67" s="35">
        <v>0</v>
      </c>
      <c r="J67" s="200">
        <f>E67*H67</f>
        <v>0</v>
      </c>
      <c r="K67" s="223">
        <v>0</v>
      </c>
      <c r="L67" s="212"/>
      <c r="M67" s="35">
        <v>0</v>
      </c>
      <c r="N67" s="200">
        <f t="shared" si="18"/>
        <v>0</v>
      </c>
      <c r="O67" s="35">
        <v>0</v>
      </c>
      <c r="P67" s="200">
        <f t="shared" si="19"/>
        <v>0</v>
      </c>
      <c r="Q67" s="35">
        <v>0</v>
      </c>
      <c r="R67" s="200">
        <f t="shared" si="20"/>
        <v>0</v>
      </c>
    </row>
    <row r="68" spans="1:18" ht="13.5" thickBot="1" x14ac:dyDescent="0.25">
      <c r="A68" s="25" t="s">
        <v>37</v>
      </c>
      <c r="B68" s="25"/>
      <c r="C68" s="25"/>
      <c r="D68" s="25"/>
      <c r="E68" s="195"/>
      <c r="F68" s="25"/>
      <c r="G68" s="25"/>
      <c r="H68" s="195"/>
      <c r="I68" s="118">
        <v>45.50895563828734</v>
      </c>
      <c r="J68" s="202">
        <f>+SUM(J53:J67)</f>
        <v>0</v>
      </c>
      <c r="K68" s="35"/>
      <c r="L68" s="193"/>
      <c r="M68" s="118">
        <v>0</v>
      </c>
      <c r="N68" s="202">
        <f>+SUM(N53:N67)</f>
        <v>0</v>
      </c>
      <c r="O68" s="118">
        <v>45.50895563828734</v>
      </c>
      <c r="P68" s="202">
        <f>+SUM(P53:P67)</f>
        <v>0</v>
      </c>
      <c r="Q68" s="118">
        <v>29125.731608503898</v>
      </c>
      <c r="R68" s="202">
        <f>+SUM(R53:R67)</f>
        <v>0</v>
      </c>
    </row>
    <row r="69" spans="1:18" ht="14.25" thickTop="1" thickBot="1" x14ac:dyDescent="0.25">
      <c r="A69" s="25" t="s">
        <v>52</v>
      </c>
      <c r="B69" s="25"/>
      <c r="C69" s="25"/>
      <c r="D69" s="25"/>
      <c r="E69" s="195"/>
      <c r="F69" s="25"/>
      <c r="G69" s="25"/>
      <c r="H69" s="195"/>
      <c r="I69" s="87">
        <v>163.63866950829291</v>
      </c>
      <c r="J69" s="203">
        <f>+J47+J68</f>
        <v>0</v>
      </c>
      <c r="K69" s="35"/>
      <c r="L69" s="193"/>
      <c r="M69" s="87">
        <v>0</v>
      </c>
      <c r="N69" s="203">
        <f>+N47+N68</f>
        <v>0</v>
      </c>
      <c r="O69" s="87">
        <v>163.63866950829291</v>
      </c>
      <c r="P69" s="203">
        <f>+P47+P68</f>
        <v>0</v>
      </c>
      <c r="Q69" s="87">
        <v>104728.74848530747</v>
      </c>
      <c r="R69" s="203">
        <f>+R47+R68</f>
        <v>0</v>
      </c>
    </row>
    <row r="70" spans="1:18" ht="13.5" thickTop="1" x14ac:dyDescent="0.2">
      <c r="A70" s="25"/>
      <c r="B70" s="25"/>
      <c r="C70" s="25"/>
      <c r="D70" s="25"/>
      <c r="E70" s="195"/>
      <c r="F70" s="25"/>
      <c r="G70" s="25"/>
      <c r="H70" s="195"/>
      <c r="I70" s="35"/>
      <c r="J70" s="182"/>
      <c r="K70" s="35"/>
      <c r="L70" s="193"/>
      <c r="M70" s="35"/>
      <c r="N70" s="182"/>
      <c r="O70" s="35"/>
      <c r="P70" s="182"/>
      <c r="Q70" s="35"/>
      <c r="R70" s="182"/>
    </row>
    <row r="71" spans="1:18" x14ac:dyDescent="0.2">
      <c r="A71" s="25" t="s">
        <v>153</v>
      </c>
      <c r="B71" s="25"/>
      <c r="C71" s="25"/>
      <c r="D71" s="25"/>
      <c r="E71" s="195"/>
      <c r="F71" s="25"/>
      <c r="G71" s="25"/>
      <c r="H71" s="195"/>
      <c r="I71" s="35">
        <v>-43.038669508292898</v>
      </c>
      <c r="J71" s="200">
        <f>+J13-J69</f>
        <v>0</v>
      </c>
      <c r="K71" s="35"/>
      <c r="L71" s="193"/>
      <c r="M71" s="35">
        <v>0</v>
      </c>
      <c r="N71" s="200">
        <f>+N13-N69</f>
        <v>0</v>
      </c>
      <c r="O71" s="35">
        <v>-43.038669508292898</v>
      </c>
      <c r="P71" s="200">
        <f>+P13-P69</f>
        <v>0</v>
      </c>
      <c r="Q71" s="35">
        <v>-27544.748485307471</v>
      </c>
      <c r="R71" s="200">
        <f>+R13-R69</f>
        <v>0</v>
      </c>
    </row>
    <row r="72" spans="1:18" x14ac:dyDescent="0.2">
      <c r="A72" s="25"/>
      <c r="B72" s="25"/>
      <c r="C72" s="25"/>
      <c r="D72" s="25"/>
      <c r="E72" s="195"/>
      <c r="F72" s="25"/>
      <c r="G72" s="25"/>
      <c r="H72" s="195"/>
      <c r="I72" s="35"/>
      <c r="J72" s="204"/>
      <c r="K72" s="35"/>
      <c r="L72" s="193"/>
      <c r="M72" s="35"/>
      <c r="N72" s="193"/>
      <c r="O72" s="35"/>
      <c r="P72" s="193"/>
      <c r="Q72" s="35"/>
      <c r="R72" s="204"/>
    </row>
    <row r="73" spans="1:18" ht="13.5" thickBot="1" x14ac:dyDescent="0.25">
      <c r="A73" s="44" t="s">
        <v>38</v>
      </c>
      <c r="B73" s="44"/>
      <c r="C73" s="44"/>
      <c r="D73" s="44"/>
      <c r="E73" s="199"/>
      <c r="F73" s="44"/>
      <c r="G73" s="45">
        <v>122.11841008081559</v>
      </c>
      <c r="H73" s="210" t="str">
        <f>IF(E10=0,"n/a",(YTotExp-(YTotExp+YTotRet-J10))/E10)</f>
        <v>n/a</v>
      </c>
      <c r="I73" s="44" t="s">
        <v>135</v>
      </c>
      <c r="J73" s="205"/>
      <c r="K73" s="44"/>
      <c r="L73" s="199"/>
      <c r="M73" s="44"/>
      <c r="N73" s="199"/>
      <c r="O73" s="44"/>
      <c r="P73" s="199"/>
      <c r="Q73" s="44"/>
      <c r="R73" s="205"/>
    </row>
    <row r="74" spans="1:18" ht="13.5" thickTop="1" x14ac:dyDescent="0.2"/>
    <row r="75" spans="1:18" s="17" customFormat="1" ht="15.75" x14ac:dyDescent="0.25">
      <c r="A75"/>
      <c r="B75" s="88"/>
      <c r="C75" s="89"/>
      <c r="D75" s="234" t="s">
        <v>113</v>
      </c>
      <c r="E75" s="235"/>
      <c r="F75" s="235"/>
      <c r="G75" s="235"/>
      <c r="H75" s="235"/>
      <c r="I75" s="235"/>
      <c r="J75" s="99"/>
      <c r="K75" s="99"/>
      <c r="M75"/>
      <c r="N75"/>
    </row>
    <row r="76" spans="1:18" s="17" customFormat="1" ht="15.75" x14ac:dyDescent="0.25">
      <c r="A76"/>
      <c r="B76" s="19" t="s">
        <v>114</v>
      </c>
      <c r="C76" s="19" t="s">
        <v>114</v>
      </c>
      <c r="D76" s="123" t="s">
        <v>170</v>
      </c>
      <c r="E76" s="18"/>
      <c r="F76" s="18"/>
      <c r="G76" s="123" t="s">
        <v>170</v>
      </c>
      <c r="H76" s="18"/>
      <c r="I76" s="18"/>
      <c r="J76" s="18"/>
      <c r="K76" s="18"/>
      <c r="M76"/>
      <c r="N76"/>
    </row>
    <row r="77" spans="1:18" s="17" customFormat="1" x14ac:dyDescent="0.2">
      <c r="A77"/>
      <c r="B77" s="19" t="s">
        <v>80</v>
      </c>
      <c r="C77" s="19" t="s">
        <v>80</v>
      </c>
      <c r="D77" s="123" t="s">
        <v>157</v>
      </c>
      <c r="E77" s="119"/>
      <c r="F77" s="119"/>
      <c r="G77" s="123" t="s">
        <v>12</v>
      </c>
      <c r="H77" s="119"/>
      <c r="I77" s="119"/>
      <c r="J77" s="119"/>
      <c r="K77" s="119"/>
      <c r="M77"/>
      <c r="N77"/>
    </row>
    <row r="78" spans="1:18" s="17" customFormat="1" x14ac:dyDescent="0.2">
      <c r="A78"/>
      <c r="B78" s="19" t="s">
        <v>30</v>
      </c>
      <c r="C78" s="99" t="s">
        <v>135</v>
      </c>
      <c r="D78" s="123" t="s">
        <v>98</v>
      </c>
      <c r="E78" s="119"/>
      <c r="F78" s="119"/>
      <c r="G78" s="123" t="s">
        <v>98</v>
      </c>
      <c r="H78" s="19"/>
      <c r="I78" s="19"/>
      <c r="J78" s="19"/>
      <c r="K78" s="19"/>
      <c r="M78"/>
      <c r="N78"/>
    </row>
    <row r="79" spans="1:18" s="17" customFormat="1" x14ac:dyDescent="0.2">
      <c r="A79"/>
      <c r="B79" s="90">
        <v>0.75</v>
      </c>
      <c r="C79" s="91">
        <v>1.0050000000000001</v>
      </c>
      <c r="D79" s="92">
        <v>117.54200385075178</v>
      </c>
      <c r="E79" s="93"/>
      <c r="F79" s="94"/>
      <c r="G79" s="92">
        <v>162.82454677442078</v>
      </c>
      <c r="H79" s="93"/>
      <c r="I79" s="93"/>
      <c r="M79"/>
      <c r="N79"/>
    </row>
    <row r="80" spans="1:18" s="17" customFormat="1" x14ac:dyDescent="0.2">
      <c r="A80"/>
      <c r="B80" s="95">
        <v>0.9</v>
      </c>
      <c r="C80" s="96">
        <v>1.2060000000000002</v>
      </c>
      <c r="D80" s="97">
        <v>97.951669875626479</v>
      </c>
      <c r="E80" s="83"/>
      <c r="F80" s="98"/>
      <c r="G80" s="97">
        <v>135.68712231201732</v>
      </c>
      <c r="H80" s="83"/>
      <c r="I80" s="83"/>
      <c r="M80"/>
      <c r="N80"/>
    </row>
    <row r="81" spans="1:18" s="17" customFormat="1" x14ac:dyDescent="0.2">
      <c r="A81"/>
      <c r="B81" s="90">
        <v>1</v>
      </c>
      <c r="C81" s="91">
        <v>1.34</v>
      </c>
      <c r="D81" s="92">
        <v>88.156502888063841</v>
      </c>
      <c r="E81" s="93"/>
      <c r="F81" s="94"/>
      <c r="G81" s="92">
        <v>122.11841008081559</v>
      </c>
      <c r="H81" s="93"/>
      <c r="I81" s="93"/>
      <c r="M81"/>
      <c r="N81"/>
    </row>
    <row r="82" spans="1:18" s="17" customFormat="1" x14ac:dyDescent="0.2">
      <c r="A82"/>
      <c r="B82" s="95">
        <v>1.1000000000000001</v>
      </c>
      <c r="C82" s="96">
        <v>1.4740000000000002</v>
      </c>
      <c r="D82" s="97">
        <v>80.142275352785305</v>
      </c>
      <c r="E82" s="83"/>
      <c r="F82" s="98"/>
      <c r="G82" s="97">
        <v>111.01673643710508</v>
      </c>
      <c r="H82" s="83"/>
      <c r="I82" s="83"/>
      <c r="M82"/>
      <c r="N82"/>
    </row>
    <row r="83" spans="1:18" s="17" customFormat="1" x14ac:dyDescent="0.2">
      <c r="A83"/>
      <c r="B83" s="90">
        <v>1.25</v>
      </c>
      <c r="C83" s="91">
        <v>1.675</v>
      </c>
      <c r="D83" s="92">
        <v>70.525202310451078</v>
      </c>
      <c r="E83" s="93"/>
      <c r="F83" s="94"/>
      <c r="G83" s="92">
        <v>97.69472806465248</v>
      </c>
      <c r="H83" s="93"/>
      <c r="I83" s="93"/>
      <c r="M83"/>
      <c r="N83"/>
    </row>
    <row r="84" spans="1:18" s="17" customFormat="1" x14ac:dyDescent="0.2">
      <c r="A84"/>
      <c r="M84"/>
      <c r="N84"/>
    </row>
    <row r="85" spans="1:18" x14ac:dyDescent="0.2">
      <c r="A85" s="25" t="s">
        <v>434</v>
      </c>
      <c r="B85" s="17"/>
      <c r="C85" s="17"/>
      <c r="D85" s="17"/>
      <c r="E85" s="17"/>
      <c r="F85" s="17"/>
      <c r="G85" s="17"/>
      <c r="H85" s="17"/>
      <c r="I85" s="17"/>
      <c r="J85" s="28"/>
      <c r="K85" s="17"/>
      <c r="L85" s="17"/>
      <c r="M85" s="17"/>
      <c r="N85" s="17"/>
      <c r="O85" s="17"/>
      <c r="P85" s="17"/>
      <c r="Q85" s="17"/>
    </row>
    <row r="86" spans="1:18" x14ac:dyDescent="0.2">
      <c r="A86" s="17"/>
      <c r="B86" s="17"/>
      <c r="C86" s="17"/>
      <c r="D86" s="17"/>
      <c r="E86" s="17"/>
      <c r="F86" s="17"/>
      <c r="G86" s="17"/>
      <c r="H86" s="17"/>
      <c r="I86" s="17"/>
      <c r="J86" s="28"/>
      <c r="K86" s="17"/>
      <c r="L86" s="17"/>
      <c r="M86" s="17"/>
      <c r="N86" s="17"/>
      <c r="O86" s="17"/>
      <c r="P86" s="17"/>
      <c r="Q86" s="17"/>
    </row>
    <row r="87" spans="1:18" ht="26.25" customHeight="1" x14ac:dyDescent="0.2">
      <c r="A87" s="236" t="s">
        <v>140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19"/>
      <c r="N87" s="219"/>
      <c r="O87" s="219"/>
      <c r="P87" s="219"/>
      <c r="Q87" s="219"/>
      <c r="R87" s="219"/>
    </row>
  </sheetData>
  <sheetProtection sheet="1" objects="1" scenarios="1"/>
  <mergeCells count="6">
    <mergeCell ref="D75:I75"/>
    <mergeCell ref="A87:L87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1">
    <tabColor rgb="FF92D050"/>
    <pageSetUpPr fitToPage="1"/>
  </sheetPr>
  <dimension ref="A1:S90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421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116">
        <v>100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483</v>
      </c>
      <c r="R9" s="189" t="str">
        <f>"(" &amp; E7 &amp; " acres)"</f>
        <v>( acres)</v>
      </c>
      <c r="S9" s="12"/>
    </row>
    <row r="10" spans="1:19" x14ac:dyDescent="0.2">
      <c r="A10" s="25"/>
      <c r="B10" s="102">
        <v>0</v>
      </c>
      <c r="C10" s="25"/>
      <c r="D10" s="50">
        <v>0</v>
      </c>
      <c r="E10" s="130"/>
      <c r="F10" s="224" t="s">
        <v>458</v>
      </c>
      <c r="G10" s="31">
        <v>0</v>
      </c>
      <c r="H10" s="131"/>
      <c r="I10" s="35">
        <v>0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0</v>
      </c>
      <c r="P10" s="200">
        <f t="shared" ref="P10:P12" si="2">+J10-N10</f>
        <v>0</v>
      </c>
      <c r="Q10" s="35">
        <v>0</v>
      </c>
      <c r="R10" s="200">
        <f t="shared" ref="R10:R12" si="3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si="2"/>
        <v>0</v>
      </c>
      <c r="Q11" s="35">
        <v>0</v>
      </c>
      <c r="R11" s="200">
        <f t="shared" si="3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2"/>
        <v>0</v>
      </c>
      <c r="Q12" s="42">
        <v>0</v>
      </c>
      <c r="R12" s="182">
        <f t="shared" si="3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0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0</v>
      </c>
      <c r="P13" s="201">
        <f>SUM(P10:P12)</f>
        <v>0</v>
      </c>
      <c r="Q13" s="36">
        <v>0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342</v>
      </c>
      <c r="D18" s="25">
        <v>40</v>
      </c>
      <c r="E18" s="130"/>
      <c r="F18" s="224" t="s">
        <v>82</v>
      </c>
      <c r="G18" s="41">
        <v>0.53800000000000003</v>
      </c>
      <c r="H18" s="131"/>
      <c r="I18" s="35">
        <v>21.520000000000003</v>
      </c>
      <c r="J18" s="200">
        <f t="shared" ref="J18:J28" si="4">E18*H18</f>
        <v>0</v>
      </c>
      <c r="K18" s="223">
        <v>0</v>
      </c>
      <c r="L18" s="212"/>
      <c r="M18" s="35">
        <v>0</v>
      </c>
      <c r="N18" s="200">
        <f t="shared" ref="N18:N28" si="5">J18*L18</f>
        <v>0</v>
      </c>
      <c r="O18" s="35">
        <v>21.520000000000003</v>
      </c>
      <c r="P18" s="200">
        <f t="shared" ref="P18:P28" si="6">+J18-N18</f>
        <v>0</v>
      </c>
      <c r="Q18" s="35">
        <v>2152.0000000000005</v>
      </c>
      <c r="R18" s="200">
        <f t="shared" ref="R18:R28" si="7">+J18*E$7</f>
        <v>0</v>
      </c>
    </row>
    <row r="19" spans="1:18" x14ac:dyDescent="0.2">
      <c r="A19" s="25"/>
      <c r="B19" s="25" t="s">
        <v>458</v>
      </c>
      <c r="C19" s="25" t="s">
        <v>378</v>
      </c>
      <c r="D19" s="25">
        <v>80</v>
      </c>
      <c r="E19" s="130"/>
      <c r="F19" s="224" t="s">
        <v>82</v>
      </c>
      <c r="G19" s="41">
        <v>0.56999999999999995</v>
      </c>
      <c r="H19" s="131"/>
      <c r="I19" s="35">
        <v>45.599999999999994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45.599999999999994</v>
      </c>
      <c r="P19" s="200">
        <f t="shared" si="6"/>
        <v>0</v>
      </c>
      <c r="Q19" s="35">
        <v>4559.9999999999991</v>
      </c>
      <c r="R19" s="200">
        <f t="shared" si="7"/>
        <v>0</v>
      </c>
    </row>
    <row r="20" spans="1:18" x14ac:dyDescent="0.2">
      <c r="A20" s="25"/>
      <c r="B20" s="25" t="s">
        <v>458</v>
      </c>
      <c r="C20" s="25" t="s">
        <v>400</v>
      </c>
      <c r="D20" s="25">
        <v>40</v>
      </c>
      <c r="E20" s="130"/>
      <c r="F20" s="224" t="s">
        <v>82</v>
      </c>
      <c r="G20" s="41">
        <v>0.44167000000000001</v>
      </c>
      <c r="H20" s="131"/>
      <c r="I20" s="35">
        <v>17.666800000000002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17.666800000000002</v>
      </c>
      <c r="P20" s="200">
        <f t="shared" si="6"/>
        <v>0</v>
      </c>
      <c r="Q20" s="35">
        <v>1766.6800000000003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344</v>
      </c>
      <c r="D21" s="25">
        <v>12</v>
      </c>
      <c r="E21" s="130"/>
      <c r="F21" s="224" t="s">
        <v>82</v>
      </c>
      <c r="G21" s="41">
        <v>0.30499999999999999</v>
      </c>
      <c r="H21" s="131"/>
      <c r="I21" s="35">
        <v>3.66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3.66</v>
      </c>
      <c r="P21" s="200">
        <f t="shared" si="6"/>
        <v>0</v>
      </c>
      <c r="Q21" s="35">
        <v>366</v>
      </c>
      <c r="R21" s="200">
        <f t="shared" si="7"/>
        <v>0</v>
      </c>
    </row>
    <row r="22" spans="1:18" x14ac:dyDescent="0.2">
      <c r="A22" s="25"/>
      <c r="B22" s="25" t="s">
        <v>49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402</v>
      </c>
      <c r="D23" s="25">
        <v>2</v>
      </c>
      <c r="E23" s="130"/>
      <c r="F23" s="224" t="s">
        <v>316</v>
      </c>
      <c r="G23" s="41">
        <v>2.81</v>
      </c>
      <c r="H23" s="131"/>
      <c r="I23" s="35">
        <v>5.62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5.62</v>
      </c>
      <c r="P23" s="200">
        <f t="shared" si="6"/>
        <v>0</v>
      </c>
      <c r="Q23" s="35">
        <v>562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177</v>
      </c>
      <c r="D24" s="25">
        <v>1</v>
      </c>
      <c r="E24" s="130"/>
      <c r="F24" s="224" t="s">
        <v>42</v>
      </c>
      <c r="G24" s="41">
        <v>5.5</v>
      </c>
      <c r="H24" s="131"/>
      <c r="I24" s="35">
        <v>5.5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5.5</v>
      </c>
      <c r="P24" s="200">
        <f t="shared" si="6"/>
        <v>0</v>
      </c>
      <c r="Q24" s="35">
        <v>550</v>
      </c>
      <c r="R24" s="200">
        <f t="shared" si="7"/>
        <v>0</v>
      </c>
    </row>
    <row r="25" spans="1:18" x14ac:dyDescent="0.2">
      <c r="A25" s="25"/>
      <c r="B25" s="25" t="s">
        <v>1</v>
      </c>
      <c r="C25" s="25"/>
      <c r="D25" s="25"/>
      <c r="E25" s="25"/>
      <c r="F25" s="25"/>
      <c r="G25" s="25"/>
      <c r="H25" s="25"/>
      <c r="I25" s="25"/>
      <c r="J25" s="25"/>
      <c r="K25" s="223"/>
      <c r="L25" s="25"/>
      <c r="M25" s="25"/>
      <c r="N25" s="25"/>
      <c r="O25" s="25"/>
      <c r="P25" s="25"/>
      <c r="Q25" s="25"/>
      <c r="R25" s="25"/>
    </row>
    <row r="26" spans="1:18" x14ac:dyDescent="0.2">
      <c r="A26" s="25"/>
      <c r="B26" s="25" t="s">
        <v>458</v>
      </c>
      <c r="C26" s="25" t="s">
        <v>422</v>
      </c>
      <c r="D26" s="25">
        <v>20</v>
      </c>
      <c r="E26" s="130"/>
      <c r="F26" s="224" t="s">
        <v>42</v>
      </c>
      <c r="G26" s="41">
        <v>5.75</v>
      </c>
      <c r="H26" s="131"/>
      <c r="I26" s="35">
        <v>115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115</v>
      </c>
      <c r="P26" s="200">
        <f t="shared" si="6"/>
        <v>0</v>
      </c>
      <c r="Q26" s="35">
        <v>11500</v>
      </c>
      <c r="R26" s="200">
        <f t="shared" si="7"/>
        <v>0</v>
      </c>
    </row>
    <row r="27" spans="1:18" x14ac:dyDescent="0.2">
      <c r="A27" s="25"/>
      <c r="B27" s="131"/>
      <c r="C27" s="131"/>
      <c r="D27" s="25">
        <v>0</v>
      </c>
      <c r="E27" s="130"/>
      <c r="F27" s="224"/>
      <c r="G27" s="41">
        <v>0</v>
      </c>
      <c r="H27" s="131"/>
      <c r="I27" s="35">
        <v>0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0</v>
      </c>
      <c r="P27" s="200">
        <f t="shared" si="6"/>
        <v>0</v>
      </c>
      <c r="Q27" s="35">
        <v>0</v>
      </c>
      <c r="R27" s="200">
        <f t="shared" si="7"/>
        <v>0</v>
      </c>
    </row>
    <row r="28" spans="1:18" x14ac:dyDescent="0.2">
      <c r="A28" s="25"/>
      <c r="B28" s="131"/>
      <c r="C28" s="131"/>
      <c r="D28" s="25">
        <v>0</v>
      </c>
      <c r="E28" s="130"/>
      <c r="F28" s="224"/>
      <c r="G28" s="41">
        <v>0</v>
      </c>
      <c r="H28" s="131"/>
      <c r="I28" s="35">
        <v>0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0</v>
      </c>
      <c r="P28" s="200">
        <f t="shared" si="6"/>
        <v>0</v>
      </c>
      <c r="Q28" s="35">
        <v>0</v>
      </c>
      <c r="R28" s="200">
        <f t="shared" si="7"/>
        <v>0</v>
      </c>
    </row>
    <row r="29" spans="1:18" x14ac:dyDescent="0.2">
      <c r="A29" s="25"/>
      <c r="B29" s="131"/>
      <c r="C29" s="131"/>
      <c r="D29" s="25">
        <v>0</v>
      </c>
      <c r="E29" s="130"/>
      <c r="F29" s="224"/>
      <c r="G29" s="41">
        <v>0</v>
      </c>
      <c r="H29" s="131"/>
      <c r="I29" s="35">
        <v>0</v>
      </c>
      <c r="J29" s="200">
        <f>E29*H29</f>
        <v>0</v>
      </c>
      <c r="K29" s="223">
        <v>0</v>
      </c>
      <c r="L29" s="212"/>
      <c r="M29" s="35">
        <v>0</v>
      </c>
      <c r="N29" s="200">
        <f>J29*L29</f>
        <v>0</v>
      </c>
      <c r="O29" s="35">
        <v>0</v>
      </c>
      <c r="P29" s="200">
        <f>+J29-N29</f>
        <v>0</v>
      </c>
      <c r="Q29" s="35">
        <v>0</v>
      </c>
      <c r="R29" s="200">
        <f>+J29*E$7</f>
        <v>0</v>
      </c>
    </row>
    <row r="30" spans="1:18" x14ac:dyDescent="0.2">
      <c r="A30" s="25"/>
      <c r="B30" s="25" t="s">
        <v>106</v>
      </c>
      <c r="C30" s="25"/>
      <c r="D30" s="25"/>
      <c r="E30" s="104"/>
      <c r="H30" s="104"/>
      <c r="I30" s="121"/>
      <c r="J30" s="104"/>
      <c r="K30" s="223"/>
      <c r="L30" s="104"/>
      <c r="N30" s="104"/>
      <c r="P30" s="104"/>
      <c r="R30" s="104"/>
    </row>
    <row r="31" spans="1:18" x14ac:dyDescent="0.2">
      <c r="A31" s="25"/>
      <c r="B31" s="25"/>
      <c r="C31" s="25" t="s">
        <v>103</v>
      </c>
      <c r="D31" s="25">
        <v>0.32</v>
      </c>
      <c r="E31" s="130"/>
      <c r="F31" s="224" t="s">
        <v>44</v>
      </c>
      <c r="G31" s="41">
        <v>15</v>
      </c>
      <c r="H31" s="131"/>
      <c r="I31" s="35">
        <v>4.8</v>
      </c>
      <c r="J31" s="200">
        <f>E31*H31</f>
        <v>0</v>
      </c>
      <c r="K31" s="223">
        <v>0</v>
      </c>
      <c r="L31" s="212"/>
      <c r="M31" s="35">
        <v>0</v>
      </c>
      <c r="N31" s="200">
        <f>J31*L31</f>
        <v>0</v>
      </c>
      <c r="O31" s="35">
        <v>4.8</v>
      </c>
      <c r="P31" s="200">
        <f>+J31-N31</f>
        <v>0</v>
      </c>
      <c r="Q31" s="35">
        <v>480</v>
      </c>
      <c r="R31" s="200">
        <f>+J31*E$7</f>
        <v>0</v>
      </c>
    </row>
    <row r="32" spans="1:18" x14ac:dyDescent="0.2">
      <c r="A32" s="25"/>
      <c r="B32" s="25"/>
      <c r="C32" s="25" t="s">
        <v>105</v>
      </c>
      <c r="D32" s="25">
        <v>0.35</v>
      </c>
      <c r="E32" s="130"/>
      <c r="F32" s="224" t="s">
        <v>44</v>
      </c>
      <c r="G32" s="41">
        <v>15</v>
      </c>
      <c r="H32" s="131"/>
      <c r="I32" s="35">
        <v>5.25</v>
      </c>
      <c r="J32" s="200">
        <f>E32*H32</f>
        <v>0</v>
      </c>
      <c r="K32" s="223">
        <v>0</v>
      </c>
      <c r="L32" s="212"/>
      <c r="M32" s="35">
        <v>0</v>
      </c>
      <c r="N32" s="200">
        <f>J32*L32</f>
        <v>0</v>
      </c>
      <c r="O32" s="35">
        <v>5.25</v>
      </c>
      <c r="P32" s="200">
        <f>+J32-N32</f>
        <v>0</v>
      </c>
      <c r="Q32" s="35">
        <v>525</v>
      </c>
      <c r="R32" s="200">
        <f>+J32*E$7</f>
        <v>0</v>
      </c>
    </row>
    <row r="33" spans="1:18" x14ac:dyDescent="0.2">
      <c r="A33" s="25"/>
      <c r="B33" s="25"/>
      <c r="C33" s="25"/>
      <c r="D33" s="25"/>
      <c r="E33" s="207"/>
      <c r="F33" s="21"/>
      <c r="G33" s="41"/>
      <c r="H33" s="196"/>
      <c r="I33" s="35"/>
      <c r="J33" s="182"/>
      <c r="K33" s="223"/>
      <c r="L33" s="196"/>
      <c r="M33" s="35"/>
      <c r="N33" s="182"/>
      <c r="O33" s="35"/>
      <c r="P33" s="182"/>
      <c r="Q33" s="35"/>
      <c r="R33" s="182"/>
    </row>
    <row r="34" spans="1:18" x14ac:dyDescent="0.2">
      <c r="A34" s="25"/>
      <c r="B34" s="25" t="s">
        <v>51</v>
      </c>
      <c r="C34" s="25"/>
      <c r="D34" s="25"/>
      <c r="E34" s="207"/>
      <c r="F34" s="21"/>
      <c r="G34" s="41"/>
      <c r="H34" s="196"/>
      <c r="I34" s="184"/>
      <c r="J34" s="182"/>
      <c r="K34" s="223"/>
      <c r="L34" s="196"/>
      <c r="M34" s="35"/>
      <c r="N34" s="182"/>
      <c r="O34" s="35"/>
      <c r="P34" s="182"/>
      <c r="Q34" s="35"/>
      <c r="R34" s="182"/>
    </row>
    <row r="35" spans="1:18" x14ac:dyDescent="0.2">
      <c r="A35" s="25"/>
      <c r="B35" s="25"/>
      <c r="C35" s="25" t="s">
        <v>102</v>
      </c>
      <c r="D35" s="25">
        <v>1</v>
      </c>
      <c r="E35" s="130"/>
      <c r="F35" s="224" t="s">
        <v>42</v>
      </c>
      <c r="G35" s="41">
        <v>0</v>
      </c>
      <c r="H35" s="131"/>
      <c r="I35" s="35">
        <v>0</v>
      </c>
      <c r="J35" s="200">
        <f>E35*H35</f>
        <v>0</v>
      </c>
      <c r="K35" s="223">
        <v>0</v>
      </c>
      <c r="L35" s="212"/>
      <c r="M35" s="35">
        <v>0</v>
      </c>
      <c r="N35" s="200">
        <f>J35*L35</f>
        <v>0</v>
      </c>
      <c r="O35" s="35">
        <v>0</v>
      </c>
      <c r="P35" s="200">
        <f>+J35-N35</f>
        <v>0</v>
      </c>
      <c r="Q35" s="35">
        <v>0</v>
      </c>
      <c r="R35" s="200">
        <f>+J35*E$7</f>
        <v>0</v>
      </c>
    </row>
    <row r="36" spans="1:18" x14ac:dyDescent="0.2">
      <c r="A36" s="25"/>
      <c r="B36" s="25"/>
      <c r="C36" s="25" t="s">
        <v>103</v>
      </c>
      <c r="D36" s="25">
        <v>2.16</v>
      </c>
      <c r="E36" s="130"/>
      <c r="F36" s="224" t="s">
        <v>79</v>
      </c>
      <c r="G36" s="41">
        <v>3.0190000000000001</v>
      </c>
      <c r="H36" s="131"/>
      <c r="I36" s="35">
        <v>6.5210400000000011</v>
      </c>
      <c r="J36" s="200">
        <f>E36*H36</f>
        <v>0</v>
      </c>
      <c r="K36" s="223">
        <v>0</v>
      </c>
      <c r="L36" s="212"/>
      <c r="M36" s="35">
        <v>0</v>
      </c>
      <c r="N36" s="200">
        <f>J36*L36</f>
        <v>0</v>
      </c>
      <c r="O36" s="35">
        <v>6.5210400000000011</v>
      </c>
      <c r="P36" s="200">
        <f>+J36-N36</f>
        <v>0</v>
      </c>
      <c r="Q36" s="35">
        <v>652.10400000000016</v>
      </c>
      <c r="R36" s="200">
        <f>+J36*E$7</f>
        <v>0</v>
      </c>
    </row>
    <row r="37" spans="1:18" x14ac:dyDescent="0.2">
      <c r="A37" s="25"/>
      <c r="B37" s="25"/>
      <c r="C37" s="25"/>
      <c r="D37" s="25"/>
      <c r="E37" s="207"/>
      <c r="F37" s="21"/>
      <c r="G37" s="41"/>
      <c r="H37" s="196"/>
      <c r="I37" s="35"/>
      <c r="J37" s="182"/>
      <c r="K37" s="223"/>
      <c r="L37" s="196"/>
      <c r="M37" s="35"/>
      <c r="N37" s="182"/>
      <c r="O37" s="35"/>
      <c r="P37" s="182"/>
      <c r="Q37" s="35"/>
      <c r="R37" s="182"/>
    </row>
    <row r="38" spans="1:18" x14ac:dyDescent="0.2">
      <c r="A38" s="25"/>
      <c r="B38" s="25" t="s">
        <v>29</v>
      </c>
      <c r="C38" s="25"/>
      <c r="D38" s="25"/>
      <c r="E38" s="207"/>
      <c r="F38" s="21"/>
      <c r="G38" s="41"/>
      <c r="H38" s="196"/>
      <c r="I38" s="184"/>
      <c r="J38" s="182"/>
      <c r="K38" s="223"/>
      <c r="L38" s="196"/>
      <c r="M38" s="35"/>
      <c r="N38" s="182"/>
      <c r="O38" s="35"/>
      <c r="P38" s="182"/>
      <c r="Q38" s="35"/>
      <c r="R38" s="182"/>
    </row>
    <row r="39" spans="1:18" x14ac:dyDescent="0.2">
      <c r="A39" s="25"/>
      <c r="B39" s="25"/>
      <c r="C39" s="25" t="s">
        <v>102</v>
      </c>
      <c r="D39" s="25">
        <v>1</v>
      </c>
      <c r="E39" s="130"/>
      <c r="F39" s="224" t="s">
        <v>42</v>
      </c>
      <c r="G39" s="41">
        <v>9</v>
      </c>
      <c r="H39" s="131"/>
      <c r="I39" s="35">
        <v>9</v>
      </c>
      <c r="J39" s="200">
        <f>E39*H39</f>
        <v>0</v>
      </c>
      <c r="K39" s="223">
        <v>0</v>
      </c>
      <c r="L39" s="212"/>
      <c r="M39" s="35">
        <v>0</v>
      </c>
      <c r="N39" s="200">
        <f>J39*L39</f>
        <v>0</v>
      </c>
      <c r="O39" s="35">
        <v>9</v>
      </c>
      <c r="P39" s="200">
        <f>+J39-N39</f>
        <v>0</v>
      </c>
      <c r="Q39" s="35">
        <v>900</v>
      </c>
      <c r="R39" s="200">
        <f>+J39*E$7</f>
        <v>0</v>
      </c>
    </row>
    <row r="40" spans="1:18" x14ac:dyDescent="0.2">
      <c r="A40" s="25"/>
      <c r="B40" s="25"/>
      <c r="C40" s="25" t="s">
        <v>103</v>
      </c>
      <c r="D40" s="25">
        <v>0</v>
      </c>
      <c r="E40" s="130"/>
      <c r="F40" s="224" t="s">
        <v>79</v>
      </c>
      <c r="G40" s="41">
        <v>3.09</v>
      </c>
      <c r="H40" s="131"/>
      <c r="I40" s="35">
        <v>0</v>
      </c>
      <c r="J40" s="200">
        <f>E40*H40</f>
        <v>0</v>
      </c>
      <c r="K40" s="223">
        <v>0</v>
      </c>
      <c r="L40" s="212"/>
      <c r="M40" s="35">
        <v>0</v>
      </c>
      <c r="N40" s="200">
        <f>J40*L40</f>
        <v>0</v>
      </c>
      <c r="O40" s="35">
        <v>0</v>
      </c>
      <c r="P40" s="200">
        <f>+J40-N40</f>
        <v>0</v>
      </c>
      <c r="Q40" s="35">
        <v>0</v>
      </c>
      <c r="R40" s="200">
        <f>+J40*E$7</f>
        <v>0</v>
      </c>
    </row>
    <row r="41" spans="1:18" x14ac:dyDescent="0.2">
      <c r="A41" s="25"/>
      <c r="B41" s="25"/>
      <c r="C41" s="25"/>
      <c r="D41" s="25"/>
      <c r="E41" s="207"/>
      <c r="F41" s="21"/>
      <c r="G41" s="41"/>
      <c r="H41" s="196"/>
      <c r="I41" s="35"/>
      <c r="J41" s="182"/>
      <c r="K41" s="223"/>
      <c r="L41" s="196"/>
      <c r="M41" s="35"/>
      <c r="N41" s="182"/>
      <c r="O41" s="35"/>
      <c r="P41" s="182"/>
      <c r="Q41" s="35"/>
      <c r="R41" s="182"/>
    </row>
    <row r="42" spans="1:18" x14ac:dyDescent="0.2">
      <c r="A42" s="25"/>
      <c r="B42" s="25" t="s">
        <v>47</v>
      </c>
      <c r="C42" s="25"/>
      <c r="D42" s="25"/>
      <c r="E42" s="207"/>
      <c r="F42" s="21"/>
      <c r="G42" s="41"/>
      <c r="H42" s="197"/>
      <c r="I42" s="184"/>
      <c r="J42" s="182"/>
      <c r="K42" s="223"/>
      <c r="L42" s="197"/>
      <c r="M42" s="35"/>
      <c r="N42" s="182"/>
      <c r="O42" s="35"/>
      <c r="P42" s="182"/>
      <c r="Q42" s="35"/>
      <c r="R42" s="182"/>
    </row>
    <row r="43" spans="1:18" x14ac:dyDescent="0.2">
      <c r="A43" s="25"/>
      <c r="B43" s="25"/>
      <c r="C43" s="25" t="s">
        <v>102</v>
      </c>
      <c r="D43" s="25">
        <v>1</v>
      </c>
      <c r="E43" s="130"/>
      <c r="F43" s="224" t="s">
        <v>42</v>
      </c>
      <c r="G43" s="41">
        <v>3</v>
      </c>
      <c r="H43" s="131"/>
      <c r="I43" s="35">
        <v>3</v>
      </c>
      <c r="J43" s="200">
        <f t="shared" ref="J43:J48" si="8">E43*H43</f>
        <v>0</v>
      </c>
      <c r="K43" s="223">
        <v>0</v>
      </c>
      <c r="L43" s="212"/>
      <c r="M43" s="35">
        <v>0</v>
      </c>
      <c r="N43" s="200">
        <f t="shared" ref="N43:N48" si="9">J43*L43</f>
        <v>0</v>
      </c>
      <c r="O43" s="35">
        <v>3</v>
      </c>
      <c r="P43" s="200">
        <f t="shared" ref="P43:P48" si="10">+J43-N43</f>
        <v>0</v>
      </c>
      <c r="Q43" s="35">
        <v>300</v>
      </c>
      <c r="R43" s="200">
        <f t="shared" ref="R43:R46" si="11">+J43*E$7</f>
        <v>0</v>
      </c>
    </row>
    <row r="44" spans="1:18" x14ac:dyDescent="0.2">
      <c r="A44" s="25"/>
      <c r="B44" s="25"/>
      <c r="C44" s="25" t="s">
        <v>46</v>
      </c>
      <c r="D44" s="25">
        <v>1</v>
      </c>
      <c r="E44" s="130"/>
      <c r="F44" s="224" t="s">
        <v>42</v>
      </c>
      <c r="G44" s="41">
        <v>0</v>
      </c>
      <c r="H44" s="131"/>
      <c r="I44" s="35">
        <v>0</v>
      </c>
      <c r="J44" s="200">
        <f t="shared" si="8"/>
        <v>0</v>
      </c>
      <c r="K44" s="223">
        <v>0</v>
      </c>
      <c r="L44" s="212"/>
      <c r="M44" s="35">
        <v>0</v>
      </c>
      <c r="N44" s="200">
        <f t="shared" si="9"/>
        <v>0</v>
      </c>
      <c r="O44" s="35">
        <v>0</v>
      </c>
      <c r="P44" s="200">
        <f t="shared" si="10"/>
        <v>0</v>
      </c>
      <c r="Q44" s="35">
        <v>0</v>
      </c>
      <c r="R44" s="200">
        <f t="shared" si="11"/>
        <v>0</v>
      </c>
    </row>
    <row r="45" spans="1:18" x14ac:dyDescent="0.2">
      <c r="A45" s="25"/>
      <c r="B45" s="25"/>
      <c r="C45" s="25" t="s">
        <v>103</v>
      </c>
      <c r="D45" s="25">
        <v>1</v>
      </c>
      <c r="E45" s="130"/>
      <c r="F45" s="224" t="s">
        <v>42</v>
      </c>
      <c r="G45" s="41">
        <v>4.435284410969901</v>
      </c>
      <c r="H45" s="131"/>
      <c r="I45" s="35">
        <v>4.435284410969901</v>
      </c>
      <c r="J45" s="200">
        <f t="shared" si="8"/>
        <v>0</v>
      </c>
      <c r="K45" s="223">
        <v>0</v>
      </c>
      <c r="L45" s="212"/>
      <c r="M45" s="35">
        <v>0</v>
      </c>
      <c r="N45" s="200">
        <f t="shared" si="9"/>
        <v>0</v>
      </c>
      <c r="O45" s="35">
        <v>4.435284410969901</v>
      </c>
      <c r="P45" s="200">
        <f t="shared" si="10"/>
        <v>0</v>
      </c>
      <c r="Q45" s="35">
        <v>443.52844109699009</v>
      </c>
      <c r="R45" s="200">
        <f t="shared" si="11"/>
        <v>0</v>
      </c>
    </row>
    <row r="46" spans="1:18" x14ac:dyDescent="0.2">
      <c r="A46" s="25"/>
      <c r="B46" s="25"/>
      <c r="C46" s="25" t="s">
        <v>5</v>
      </c>
      <c r="D46" s="25">
        <v>1</v>
      </c>
      <c r="E46" s="130"/>
      <c r="F46" s="224" t="s">
        <v>42</v>
      </c>
      <c r="G46" s="41">
        <v>4.6024193482456441</v>
      </c>
      <c r="H46" s="131"/>
      <c r="I46" s="35">
        <v>4.6024193482456441</v>
      </c>
      <c r="J46" s="200">
        <f t="shared" si="8"/>
        <v>0</v>
      </c>
      <c r="K46" s="223">
        <v>0</v>
      </c>
      <c r="L46" s="212"/>
      <c r="M46" s="35">
        <v>0</v>
      </c>
      <c r="N46" s="200">
        <f t="shared" si="9"/>
        <v>0</v>
      </c>
      <c r="O46" s="35">
        <v>4.6024193482456441</v>
      </c>
      <c r="P46" s="200">
        <f t="shared" si="10"/>
        <v>0</v>
      </c>
      <c r="Q46" s="35">
        <v>460.2419348245644</v>
      </c>
      <c r="R46" s="200">
        <f t="shared" si="11"/>
        <v>0</v>
      </c>
    </row>
    <row r="47" spans="1:18" x14ac:dyDescent="0.2">
      <c r="A47" s="25"/>
      <c r="B47" s="131"/>
      <c r="C47" s="131"/>
      <c r="D47" s="25"/>
      <c r="E47" s="130"/>
      <c r="F47" s="224"/>
      <c r="G47" s="41"/>
      <c r="H47" s="131"/>
      <c r="I47" s="35">
        <v>0</v>
      </c>
      <c r="J47" s="200">
        <f t="shared" si="8"/>
        <v>0</v>
      </c>
      <c r="K47" s="223">
        <v>0</v>
      </c>
      <c r="L47" s="212"/>
      <c r="M47" s="35">
        <v>0</v>
      </c>
      <c r="N47" s="200">
        <f t="shared" si="9"/>
        <v>0</v>
      </c>
      <c r="O47" s="35">
        <v>0</v>
      </c>
      <c r="P47" s="200">
        <f t="shared" si="10"/>
        <v>0</v>
      </c>
      <c r="Q47" s="35">
        <v>0</v>
      </c>
      <c r="R47" s="200">
        <f t="shared" ref="R47:R48" si="12">+J47*E$7</f>
        <v>0</v>
      </c>
    </row>
    <row r="48" spans="1:18" x14ac:dyDescent="0.2">
      <c r="A48" s="25"/>
      <c r="B48" s="131"/>
      <c r="C48" s="131"/>
      <c r="D48" s="25"/>
      <c r="E48" s="130"/>
      <c r="F48" s="224"/>
      <c r="G48" s="41"/>
      <c r="H48" s="131"/>
      <c r="I48" s="35">
        <v>0</v>
      </c>
      <c r="J48" s="200">
        <f t="shared" si="8"/>
        <v>0</v>
      </c>
      <c r="K48" s="223">
        <v>0</v>
      </c>
      <c r="L48" s="212"/>
      <c r="M48" s="35">
        <v>0</v>
      </c>
      <c r="N48" s="200">
        <f t="shared" si="9"/>
        <v>0</v>
      </c>
      <c r="O48" s="35">
        <v>0</v>
      </c>
      <c r="P48" s="200">
        <f t="shared" si="10"/>
        <v>0</v>
      </c>
      <c r="Q48" s="35">
        <v>0</v>
      </c>
      <c r="R48" s="200">
        <f t="shared" si="12"/>
        <v>0</v>
      </c>
    </row>
    <row r="49" spans="1:18" ht="13.5" thickBot="1" x14ac:dyDescent="0.25">
      <c r="A49" s="25"/>
      <c r="B49" s="25" t="s">
        <v>32</v>
      </c>
      <c r="C49" s="25"/>
      <c r="D49" s="25"/>
      <c r="E49" s="195"/>
      <c r="F49" s="21"/>
      <c r="G49" s="39">
        <v>0.09</v>
      </c>
      <c r="H49" s="213"/>
      <c r="I49" s="42">
        <v>3.1288294179491691</v>
      </c>
      <c r="J49" s="200">
        <f>+SUM(J17:J48)/2*H49</f>
        <v>0</v>
      </c>
      <c r="K49" s="86"/>
      <c r="L49" s="135"/>
      <c r="M49" s="42">
        <v>0</v>
      </c>
      <c r="N49" s="200">
        <f>+SUM(N17:N48)/2*L49</f>
        <v>0</v>
      </c>
      <c r="O49" s="42">
        <v>3.1288294179491691</v>
      </c>
      <c r="P49" s="200">
        <f>+SUM(P17:P48)/2*L49</f>
        <v>0</v>
      </c>
      <c r="Q49" s="42">
        <v>312.88294179491692</v>
      </c>
      <c r="R49" s="182">
        <f>+J49*E$7</f>
        <v>0</v>
      </c>
    </row>
    <row r="50" spans="1:18" ht="13.5" thickBot="1" x14ac:dyDescent="0.25">
      <c r="A50" s="25" t="s">
        <v>33</v>
      </c>
      <c r="B50" s="25"/>
      <c r="C50" s="25"/>
      <c r="D50" s="25"/>
      <c r="E50" s="198"/>
      <c r="F50" s="25"/>
      <c r="G50" s="25"/>
      <c r="H50" s="195"/>
      <c r="I50" s="87">
        <v>255.30437317716471</v>
      </c>
      <c r="J50" s="202">
        <f>SUM(J18:J49)</f>
        <v>0</v>
      </c>
      <c r="K50" s="35"/>
      <c r="L50" s="193"/>
      <c r="M50" s="87">
        <v>0</v>
      </c>
      <c r="N50" s="202">
        <f>SUM(N18:N49)</f>
        <v>0</v>
      </c>
      <c r="O50" s="87">
        <v>255.30437317716471</v>
      </c>
      <c r="P50" s="202">
        <f>SUM(P18:P49)</f>
        <v>0</v>
      </c>
      <c r="Q50" s="87">
        <v>25530.437317716471</v>
      </c>
      <c r="R50" s="202">
        <f>SUM(R18:R49)</f>
        <v>0</v>
      </c>
    </row>
    <row r="51" spans="1:18" ht="13.5" thickTop="1" x14ac:dyDescent="0.2">
      <c r="A51" s="25" t="s">
        <v>34</v>
      </c>
      <c r="B51" s="25"/>
      <c r="C51" s="25"/>
      <c r="D51" s="25"/>
      <c r="E51" s="198"/>
      <c r="F51" s="25"/>
      <c r="G51" s="25"/>
      <c r="H51" s="195"/>
      <c r="I51" s="35">
        <v>-255.30437317716471</v>
      </c>
      <c r="J51" s="200">
        <f>+J13-J50</f>
        <v>0</v>
      </c>
      <c r="K51" s="35"/>
      <c r="L51" s="193"/>
      <c r="M51" s="35">
        <v>0</v>
      </c>
      <c r="N51" s="200">
        <f>+N13-N50</f>
        <v>0</v>
      </c>
      <c r="O51" s="35">
        <v>-255.30437317716471</v>
      </c>
      <c r="P51" s="200">
        <f>+P13-P50</f>
        <v>0</v>
      </c>
      <c r="Q51" s="35">
        <v>-25530.437317716471</v>
      </c>
      <c r="R51" s="200">
        <f>+R13-R50</f>
        <v>0</v>
      </c>
    </row>
    <row r="52" spans="1:18" x14ac:dyDescent="0.2">
      <c r="A52" s="25"/>
      <c r="B52" s="25" t="s">
        <v>35</v>
      </c>
      <c r="C52" s="25"/>
      <c r="D52" s="25"/>
      <c r="E52" s="208"/>
      <c r="F52" s="17"/>
      <c r="G52" s="40" t="s">
        <v>308</v>
      </c>
      <c r="H52" s="208" t="str">
        <f>IF(E10=0,"n/a",(YVarExp-(YTotExp+YTotRet-J10))/E10)</f>
        <v>n/a</v>
      </c>
      <c r="I52" s="25" t="s">
        <v>458</v>
      </c>
      <c r="J52" s="182"/>
      <c r="K52" s="25"/>
      <c r="L52" s="195"/>
      <c r="M52" s="25"/>
      <c r="N52" s="182"/>
      <c r="O52" s="25"/>
      <c r="P52" s="182"/>
      <c r="Q52" s="25"/>
      <c r="R52" s="182"/>
    </row>
    <row r="53" spans="1:18" x14ac:dyDescent="0.2">
      <c r="A53" s="25"/>
      <c r="B53" s="25"/>
      <c r="C53" s="25"/>
      <c r="D53" s="25"/>
      <c r="E53" s="176"/>
      <c r="F53" s="25"/>
      <c r="G53" s="25"/>
      <c r="H53" s="209"/>
      <c r="I53" s="25"/>
      <c r="J53" s="182"/>
      <c r="K53" s="25"/>
      <c r="L53" s="195"/>
      <c r="M53" s="25"/>
      <c r="N53" s="182"/>
      <c r="O53" s="25"/>
      <c r="P53" s="182"/>
      <c r="Q53" s="22" t="s">
        <v>19</v>
      </c>
      <c r="R53" s="182" t="s">
        <v>19</v>
      </c>
    </row>
    <row r="54" spans="1:18" x14ac:dyDescent="0.2">
      <c r="A54" s="23" t="s">
        <v>36</v>
      </c>
      <c r="B54" s="23"/>
      <c r="C54" s="23"/>
      <c r="D54" s="24" t="s">
        <v>2</v>
      </c>
      <c r="E54" s="194" t="s">
        <v>2</v>
      </c>
      <c r="F54" s="24" t="s">
        <v>21</v>
      </c>
      <c r="G54" s="24" t="s">
        <v>22</v>
      </c>
      <c r="H54" s="194" t="s">
        <v>22</v>
      </c>
      <c r="I54" s="24"/>
      <c r="J54" s="194" t="s">
        <v>12</v>
      </c>
      <c r="K54" s="24" t="s">
        <v>11</v>
      </c>
      <c r="L54" s="194" t="s">
        <v>11</v>
      </c>
      <c r="M54" s="24" t="s">
        <v>10</v>
      </c>
      <c r="N54" s="194" t="s">
        <v>10</v>
      </c>
      <c r="O54" s="24" t="s">
        <v>9</v>
      </c>
      <c r="P54" s="194" t="s">
        <v>9</v>
      </c>
      <c r="Q54" s="24" t="s">
        <v>12</v>
      </c>
      <c r="R54" s="206" t="s">
        <v>12</v>
      </c>
    </row>
    <row r="55" spans="1:18" x14ac:dyDescent="0.2">
      <c r="A55" s="25"/>
      <c r="B55" s="25" t="s">
        <v>104</v>
      </c>
      <c r="C55" s="25"/>
      <c r="D55" s="25"/>
      <c r="E55" s="176"/>
      <c r="F55" s="25"/>
      <c r="G55" s="25"/>
      <c r="H55" s="209"/>
      <c r="I55" s="184"/>
      <c r="J55" s="182"/>
      <c r="K55" s="223"/>
      <c r="L55" s="195"/>
      <c r="M55" s="25"/>
      <c r="N55" s="182"/>
      <c r="O55" s="25"/>
      <c r="P55" s="182"/>
      <c r="Q55" s="25"/>
      <c r="R55" s="182"/>
    </row>
    <row r="56" spans="1:18" x14ac:dyDescent="0.2">
      <c r="A56" s="25"/>
      <c r="B56" s="25"/>
      <c r="C56" s="25" t="s">
        <v>102</v>
      </c>
      <c r="D56" s="25">
        <v>1</v>
      </c>
      <c r="E56" s="130"/>
      <c r="F56" s="224" t="s">
        <v>42</v>
      </c>
      <c r="G56" s="41">
        <v>4.165</v>
      </c>
      <c r="H56" s="131"/>
      <c r="I56" s="35">
        <v>4.165</v>
      </c>
      <c r="J56" s="200">
        <f t="shared" ref="J56:J58" si="13">E56*H56</f>
        <v>0</v>
      </c>
      <c r="K56" s="223">
        <v>0</v>
      </c>
      <c r="L56" s="212"/>
      <c r="M56" s="35">
        <v>0</v>
      </c>
      <c r="N56" s="200">
        <f>J56*L56</f>
        <v>0</v>
      </c>
      <c r="O56" s="35">
        <v>4.165</v>
      </c>
      <c r="P56" s="200">
        <f t="shared" ref="P56:P58" si="14">+J56-N56</f>
        <v>0</v>
      </c>
      <c r="Q56" s="35">
        <v>416.5</v>
      </c>
      <c r="R56" s="200">
        <f t="shared" ref="R56:R58" si="15">+J56*E$7</f>
        <v>0</v>
      </c>
    </row>
    <row r="57" spans="1:18" x14ac:dyDescent="0.2">
      <c r="A57" s="25"/>
      <c r="B57" s="25"/>
      <c r="C57" s="25" t="s">
        <v>103</v>
      </c>
      <c r="D57" s="25">
        <v>1</v>
      </c>
      <c r="E57" s="130"/>
      <c r="F57" s="224" t="s">
        <v>42</v>
      </c>
      <c r="G57" s="41">
        <v>4.5831272246688979</v>
      </c>
      <c r="H57" s="131"/>
      <c r="I57" s="35">
        <v>4.5831272246688979</v>
      </c>
      <c r="J57" s="200">
        <f t="shared" si="13"/>
        <v>0</v>
      </c>
      <c r="K57" s="223">
        <v>0</v>
      </c>
      <c r="L57" s="212"/>
      <c r="M57" s="35">
        <v>0</v>
      </c>
      <c r="N57" s="200">
        <f>J57*L57</f>
        <v>0</v>
      </c>
      <c r="O57" s="35">
        <v>4.5831272246688979</v>
      </c>
      <c r="P57" s="200">
        <f t="shared" si="14"/>
        <v>0</v>
      </c>
      <c r="Q57" s="35">
        <v>458.3127224668898</v>
      </c>
      <c r="R57" s="200">
        <f t="shared" si="15"/>
        <v>0</v>
      </c>
    </row>
    <row r="58" spans="1:18" x14ac:dyDescent="0.2">
      <c r="A58" s="25"/>
      <c r="B58" s="25"/>
      <c r="C58" s="25" t="s">
        <v>5</v>
      </c>
      <c r="D58" s="25">
        <v>1</v>
      </c>
      <c r="E58" s="130"/>
      <c r="F58" s="224" t="s">
        <v>42</v>
      </c>
      <c r="G58" s="41">
        <v>5.6903680460251174</v>
      </c>
      <c r="H58" s="131"/>
      <c r="I58" s="35">
        <v>5.6903680460251174</v>
      </c>
      <c r="J58" s="200">
        <f t="shared" si="13"/>
        <v>0</v>
      </c>
      <c r="K58" s="223">
        <v>0</v>
      </c>
      <c r="L58" s="212"/>
      <c r="M58" s="35">
        <v>0</v>
      </c>
      <c r="N58" s="200">
        <f>J58*L58</f>
        <v>0</v>
      </c>
      <c r="O58" s="35">
        <v>5.6903680460251174</v>
      </c>
      <c r="P58" s="200">
        <f t="shared" si="14"/>
        <v>0</v>
      </c>
      <c r="Q58" s="35">
        <v>569.03680460251178</v>
      </c>
      <c r="R58" s="200">
        <f t="shared" si="15"/>
        <v>0</v>
      </c>
    </row>
    <row r="59" spans="1:18" x14ac:dyDescent="0.2">
      <c r="A59" s="25"/>
      <c r="B59" s="25" t="s">
        <v>88</v>
      </c>
      <c r="C59" s="25"/>
      <c r="D59" s="25"/>
      <c r="E59" s="195"/>
      <c r="F59" s="21"/>
      <c r="G59" s="41"/>
      <c r="H59" s="195"/>
      <c r="I59" s="184"/>
      <c r="J59" s="182"/>
      <c r="K59" s="223"/>
      <c r="L59" s="195"/>
      <c r="M59" s="35"/>
      <c r="N59" s="182"/>
      <c r="O59" s="35"/>
      <c r="P59" s="182"/>
      <c r="Q59" s="35"/>
      <c r="R59" s="182"/>
    </row>
    <row r="60" spans="1:18" x14ac:dyDescent="0.2">
      <c r="A60" s="25"/>
      <c r="B60" s="25"/>
      <c r="C60" s="25" t="s">
        <v>102</v>
      </c>
      <c r="D60" s="41">
        <v>29.175000000000001</v>
      </c>
      <c r="E60" s="130"/>
      <c r="F60" s="224" t="s">
        <v>99</v>
      </c>
      <c r="G60" s="39">
        <v>0.08</v>
      </c>
      <c r="H60" s="213"/>
      <c r="I60" s="35">
        <v>2.3340000000000001</v>
      </c>
      <c r="J60" s="200">
        <f t="shared" ref="J60:J66" si="16">E60*H60</f>
        <v>0</v>
      </c>
      <c r="K60" s="223">
        <v>0</v>
      </c>
      <c r="L60" s="212"/>
      <c r="M60" s="35">
        <v>0</v>
      </c>
      <c r="N60" s="200">
        <f>J60*L60</f>
        <v>0</v>
      </c>
      <c r="O60" s="35">
        <v>2.3340000000000001</v>
      </c>
      <c r="P60" s="200">
        <f t="shared" ref="P60:P62" si="17">+J60-N60</f>
        <v>0</v>
      </c>
      <c r="Q60" s="35">
        <v>233.4</v>
      </c>
      <c r="R60" s="200">
        <f t="shared" ref="R60:R62" si="18">+J60*E$7</f>
        <v>0</v>
      </c>
    </row>
    <row r="61" spans="1:18" x14ac:dyDescent="0.2">
      <c r="A61" s="25"/>
      <c r="B61" s="25"/>
      <c r="C61" s="25" t="s">
        <v>103</v>
      </c>
      <c r="D61" s="41">
        <v>35.704039508307702</v>
      </c>
      <c r="E61" s="130"/>
      <c r="F61" s="224" t="s">
        <v>99</v>
      </c>
      <c r="G61" s="39">
        <v>0.08</v>
      </c>
      <c r="H61" s="213"/>
      <c r="I61" s="35">
        <v>2.856323160664616</v>
      </c>
      <c r="J61" s="200">
        <f t="shared" si="16"/>
        <v>0</v>
      </c>
      <c r="K61" s="223">
        <v>0</v>
      </c>
      <c r="L61" s="212"/>
      <c r="M61" s="35">
        <v>0</v>
      </c>
      <c r="N61" s="200">
        <f>J61*L61</f>
        <v>0</v>
      </c>
      <c r="O61" s="35">
        <v>2.856323160664616</v>
      </c>
      <c r="P61" s="200">
        <f t="shared" si="17"/>
        <v>0</v>
      </c>
      <c r="Q61" s="35">
        <v>285.63231606646161</v>
      </c>
      <c r="R61" s="200">
        <f t="shared" si="18"/>
        <v>0</v>
      </c>
    </row>
    <row r="62" spans="1:18" x14ac:dyDescent="0.2">
      <c r="A62" s="25"/>
      <c r="B62" s="25"/>
      <c r="C62" s="25" t="s">
        <v>5</v>
      </c>
      <c r="D62" s="41">
        <v>24.342129974663006</v>
      </c>
      <c r="E62" s="130"/>
      <c r="F62" s="224" t="s">
        <v>99</v>
      </c>
      <c r="G62" s="39">
        <v>0.08</v>
      </c>
      <c r="H62" s="213"/>
      <c r="I62" s="35">
        <v>1.9473703979730406</v>
      </c>
      <c r="J62" s="200">
        <f t="shared" si="16"/>
        <v>0</v>
      </c>
      <c r="K62" s="223">
        <v>0</v>
      </c>
      <c r="L62" s="212"/>
      <c r="M62" s="35">
        <v>0</v>
      </c>
      <c r="N62" s="200">
        <f>J62*L62</f>
        <v>0</v>
      </c>
      <c r="O62" s="35">
        <v>1.9473703979730406</v>
      </c>
      <c r="P62" s="200">
        <f t="shared" si="17"/>
        <v>0</v>
      </c>
      <c r="Q62" s="35">
        <v>194.73703979730405</v>
      </c>
      <c r="R62" s="200">
        <f t="shared" si="18"/>
        <v>0</v>
      </c>
    </row>
    <row r="63" spans="1:18" x14ac:dyDescent="0.2">
      <c r="A63" s="25"/>
      <c r="B63" s="25" t="s">
        <v>156</v>
      </c>
      <c r="C63" s="25"/>
      <c r="D63" s="25">
        <v>1</v>
      </c>
      <c r="E63" s="130"/>
      <c r="F63" s="224" t="s">
        <v>42</v>
      </c>
      <c r="G63" s="41">
        <v>0</v>
      </c>
      <c r="H63" s="131"/>
      <c r="I63" s="35">
        <v>0</v>
      </c>
      <c r="J63" s="200">
        <f t="shared" si="16"/>
        <v>0</v>
      </c>
      <c r="K63" s="223">
        <v>0</v>
      </c>
      <c r="L63" s="212"/>
      <c r="M63" s="35">
        <v>0</v>
      </c>
      <c r="N63" s="200">
        <f t="shared" ref="N63:N70" si="19">J63*L63</f>
        <v>0</v>
      </c>
      <c r="O63" s="35">
        <v>0</v>
      </c>
      <c r="P63" s="200">
        <f t="shared" ref="P63:P70" si="20">+J63-N63</f>
        <v>0</v>
      </c>
      <c r="Q63" s="35">
        <v>0</v>
      </c>
      <c r="R63" s="200">
        <f t="shared" ref="R63:R66" si="21">+J63*E$7</f>
        <v>0</v>
      </c>
    </row>
    <row r="64" spans="1:18" x14ac:dyDescent="0.2">
      <c r="A64" s="25"/>
      <c r="B64" s="25" t="s">
        <v>152</v>
      </c>
      <c r="C64" s="25"/>
      <c r="D64" s="25">
        <v>1</v>
      </c>
      <c r="E64" s="130"/>
      <c r="F64" s="224" t="s">
        <v>42</v>
      </c>
      <c r="G64" s="41">
        <v>0</v>
      </c>
      <c r="H64" s="131"/>
      <c r="I64" s="35">
        <v>0</v>
      </c>
      <c r="J64" s="200">
        <f t="shared" si="16"/>
        <v>0</v>
      </c>
      <c r="K64" s="223">
        <v>0</v>
      </c>
      <c r="L64" s="212"/>
      <c r="M64" s="35">
        <v>0</v>
      </c>
      <c r="N64" s="200">
        <f t="shared" si="19"/>
        <v>0</v>
      </c>
      <c r="O64" s="35">
        <v>0</v>
      </c>
      <c r="P64" s="200">
        <f t="shared" si="20"/>
        <v>0</v>
      </c>
      <c r="Q64" s="35">
        <v>0</v>
      </c>
      <c r="R64" s="200">
        <f t="shared" si="21"/>
        <v>0</v>
      </c>
    </row>
    <row r="65" spans="1:18" x14ac:dyDescent="0.2">
      <c r="A65" s="25"/>
      <c r="B65" s="25" t="s">
        <v>137</v>
      </c>
      <c r="C65" s="25"/>
      <c r="D65" s="25">
        <v>1</v>
      </c>
      <c r="E65" s="130"/>
      <c r="F65" s="224" t="s">
        <v>42</v>
      </c>
      <c r="G65" s="41">
        <v>0</v>
      </c>
      <c r="H65" s="131"/>
      <c r="I65" s="35">
        <v>0</v>
      </c>
      <c r="J65" s="200">
        <f t="shared" si="16"/>
        <v>0</v>
      </c>
      <c r="K65" s="223">
        <v>0</v>
      </c>
      <c r="L65" s="212"/>
      <c r="M65" s="35">
        <v>0</v>
      </c>
      <c r="N65" s="200">
        <f t="shared" si="19"/>
        <v>0</v>
      </c>
      <c r="O65" s="35">
        <v>0</v>
      </c>
      <c r="P65" s="200">
        <f t="shared" si="20"/>
        <v>0</v>
      </c>
      <c r="Q65" s="35">
        <v>0</v>
      </c>
      <c r="R65" s="200">
        <f t="shared" si="21"/>
        <v>0</v>
      </c>
    </row>
    <row r="66" spans="1:18" x14ac:dyDescent="0.2">
      <c r="A66" s="25"/>
      <c r="B66" s="25" t="s">
        <v>413</v>
      </c>
      <c r="C66" s="25"/>
      <c r="D66" s="25">
        <v>1</v>
      </c>
      <c r="E66" s="130"/>
      <c r="F66" s="224" t="s">
        <v>42</v>
      </c>
      <c r="G66" s="41">
        <v>30</v>
      </c>
      <c r="H66" s="131"/>
      <c r="I66" s="35">
        <v>30</v>
      </c>
      <c r="J66" s="200">
        <f t="shared" si="16"/>
        <v>0</v>
      </c>
      <c r="K66" s="223">
        <v>0</v>
      </c>
      <c r="L66" s="212"/>
      <c r="M66" s="35">
        <v>0</v>
      </c>
      <c r="N66" s="200">
        <f t="shared" si="19"/>
        <v>0</v>
      </c>
      <c r="O66" s="35">
        <v>30</v>
      </c>
      <c r="P66" s="200">
        <f t="shared" si="20"/>
        <v>0</v>
      </c>
      <c r="Q66" s="35">
        <v>3000</v>
      </c>
      <c r="R66" s="200">
        <f t="shared" si="21"/>
        <v>0</v>
      </c>
    </row>
    <row r="67" spans="1:18" x14ac:dyDescent="0.2">
      <c r="A67" s="25"/>
      <c r="B67" s="25" t="s">
        <v>159</v>
      </c>
      <c r="C67" s="25"/>
      <c r="D67" s="25">
        <v>1</v>
      </c>
      <c r="E67" s="130"/>
      <c r="F67" s="224" t="s">
        <v>42</v>
      </c>
      <c r="G67" s="41">
        <v>0</v>
      </c>
      <c r="H67" s="131"/>
      <c r="I67" s="35">
        <v>0</v>
      </c>
      <c r="J67" s="200">
        <f t="shared" ref="J67:J70" si="22">E67*H67</f>
        <v>0</v>
      </c>
      <c r="K67" s="223">
        <v>0</v>
      </c>
      <c r="L67" s="212"/>
      <c r="M67" s="35">
        <v>0</v>
      </c>
      <c r="N67" s="200">
        <f t="shared" si="19"/>
        <v>0</v>
      </c>
      <c r="O67" s="35">
        <v>0</v>
      </c>
      <c r="P67" s="200">
        <f t="shared" si="20"/>
        <v>0</v>
      </c>
      <c r="Q67" s="35">
        <v>0</v>
      </c>
      <c r="R67" s="200">
        <f t="shared" ref="R67:R70" si="23">+J67*E$7</f>
        <v>0</v>
      </c>
    </row>
    <row r="68" spans="1:18" x14ac:dyDescent="0.2">
      <c r="A68" s="25"/>
      <c r="B68" s="25" t="s">
        <v>160</v>
      </c>
      <c r="C68" s="25"/>
      <c r="D68" s="25">
        <v>1</v>
      </c>
      <c r="E68" s="130"/>
      <c r="F68" s="224" t="s">
        <v>42</v>
      </c>
      <c r="G68" s="41">
        <v>0</v>
      </c>
      <c r="H68" s="131"/>
      <c r="I68" s="35">
        <v>0</v>
      </c>
      <c r="J68" s="200">
        <f t="shared" si="22"/>
        <v>0</v>
      </c>
      <c r="K68" s="223">
        <v>0</v>
      </c>
      <c r="L68" s="212"/>
      <c r="M68" s="35">
        <v>0</v>
      </c>
      <c r="N68" s="200">
        <f t="shared" si="19"/>
        <v>0</v>
      </c>
      <c r="O68" s="35">
        <v>0</v>
      </c>
      <c r="P68" s="200">
        <f t="shared" si="20"/>
        <v>0</v>
      </c>
      <c r="Q68" s="35">
        <v>0</v>
      </c>
      <c r="R68" s="200">
        <f t="shared" si="23"/>
        <v>0</v>
      </c>
    </row>
    <row r="69" spans="1:18" x14ac:dyDescent="0.2">
      <c r="A69" s="25"/>
      <c r="B69" s="131"/>
      <c r="C69" s="131"/>
      <c r="D69" s="25">
        <v>1</v>
      </c>
      <c r="E69" s="130"/>
      <c r="F69" s="224"/>
      <c r="G69" s="41">
        <v>0</v>
      </c>
      <c r="H69" s="131"/>
      <c r="I69" s="35">
        <v>0</v>
      </c>
      <c r="J69" s="200">
        <f t="shared" si="22"/>
        <v>0</v>
      </c>
      <c r="K69" s="223">
        <v>0</v>
      </c>
      <c r="L69" s="212"/>
      <c r="M69" s="35">
        <v>0</v>
      </c>
      <c r="N69" s="200">
        <f t="shared" si="19"/>
        <v>0</v>
      </c>
      <c r="O69" s="35">
        <v>0</v>
      </c>
      <c r="P69" s="200">
        <f t="shared" si="20"/>
        <v>0</v>
      </c>
      <c r="Q69" s="35">
        <v>0</v>
      </c>
      <c r="R69" s="200">
        <f t="shared" si="23"/>
        <v>0</v>
      </c>
    </row>
    <row r="70" spans="1:18" ht="13.5" thickBot="1" x14ac:dyDescent="0.25">
      <c r="A70" s="25"/>
      <c r="B70" s="131"/>
      <c r="C70" s="131"/>
      <c r="D70" s="25">
        <v>1</v>
      </c>
      <c r="E70" s="130"/>
      <c r="F70" s="224"/>
      <c r="G70" s="41">
        <v>0</v>
      </c>
      <c r="H70" s="131"/>
      <c r="I70" s="35">
        <v>0</v>
      </c>
      <c r="J70" s="200">
        <f t="shared" si="22"/>
        <v>0</v>
      </c>
      <c r="K70" s="223">
        <v>0</v>
      </c>
      <c r="L70" s="212"/>
      <c r="M70" s="35">
        <v>0</v>
      </c>
      <c r="N70" s="200">
        <f t="shared" si="19"/>
        <v>0</v>
      </c>
      <c r="O70" s="35">
        <v>0</v>
      </c>
      <c r="P70" s="200">
        <f t="shared" si="20"/>
        <v>0</v>
      </c>
      <c r="Q70" s="35">
        <v>0</v>
      </c>
      <c r="R70" s="200">
        <f t="shared" si="23"/>
        <v>0</v>
      </c>
    </row>
    <row r="71" spans="1:18" ht="13.5" thickBot="1" x14ac:dyDescent="0.25">
      <c r="A71" s="25" t="s">
        <v>37</v>
      </c>
      <c r="B71" s="25"/>
      <c r="C71" s="25"/>
      <c r="D71" s="25"/>
      <c r="E71" s="195"/>
      <c r="F71" s="25"/>
      <c r="G71" s="25"/>
      <c r="H71" s="195"/>
      <c r="I71" s="118">
        <v>51.57618882933167</v>
      </c>
      <c r="J71" s="202">
        <f>+SUM(J56:J70)</f>
        <v>0</v>
      </c>
      <c r="K71" s="35"/>
      <c r="L71" s="193"/>
      <c r="M71" s="118">
        <v>0</v>
      </c>
      <c r="N71" s="202">
        <f>+SUM(N56:N70)</f>
        <v>0</v>
      </c>
      <c r="O71" s="118">
        <v>51.57618882933167</v>
      </c>
      <c r="P71" s="202">
        <f>+SUM(P56:P70)</f>
        <v>0</v>
      </c>
      <c r="Q71" s="118">
        <v>5157.6188829331677</v>
      </c>
      <c r="R71" s="202">
        <f>+SUM(R56:R70)</f>
        <v>0</v>
      </c>
    </row>
    <row r="72" spans="1:18" ht="14.25" thickTop="1" thickBot="1" x14ac:dyDescent="0.25">
      <c r="A72" s="25" t="s">
        <v>52</v>
      </c>
      <c r="B72" s="25"/>
      <c r="C72" s="25"/>
      <c r="D72" s="25"/>
      <c r="E72" s="195"/>
      <c r="F72" s="25"/>
      <c r="G72" s="25"/>
      <c r="H72" s="195"/>
      <c r="I72" s="87">
        <v>306.88056200649635</v>
      </c>
      <c r="J72" s="203">
        <f>+J50+J71</f>
        <v>0</v>
      </c>
      <c r="K72" s="35"/>
      <c r="L72" s="193"/>
      <c r="M72" s="87">
        <v>0</v>
      </c>
      <c r="N72" s="203">
        <f>+N50+N71</f>
        <v>0</v>
      </c>
      <c r="O72" s="87">
        <v>306.88056200649635</v>
      </c>
      <c r="P72" s="203">
        <f>+P50+P71</f>
        <v>0</v>
      </c>
      <c r="Q72" s="87">
        <v>30688.05620064964</v>
      </c>
      <c r="R72" s="203">
        <f>+R50+R71</f>
        <v>0</v>
      </c>
    </row>
    <row r="73" spans="1:18" ht="13.5" thickTop="1" x14ac:dyDescent="0.2">
      <c r="A73" s="25"/>
      <c r="B73" s="25"/>
      <c r="C73" s="25"/>
      <c r="D73" s="25"/>
      <c r="E73" s="195"/>
      <c r="F73" s="25"/>
      <c r="G73" s="25"/>
      <c r="H73" s="195"/>
      <c r="I73" s="35"/>
      <c r="J73" s="182"/>
      <c r="K73" s="35"/>
      <c r="L73" s="193"/>
      <c r="M73" s="35"/>
      <c r="N73" s="182"/>
      <c r="O73" s="35"/>
      <c r="P73" s="182"/>
      <c r="Q73" s="35"/>
      <c r="R73" s="182"/>
    </row>
    <row r="74" spans="1:18" x14ac:dyDescent="0.2">
      <c r="A74" s="25" t="s">
        <v>153</v>
      </c>
      <c r="B74" s="25"/>
      <c r="C74" s="25"/>
      <c r="D74" s="25"/>
      <c r="E74" s="195"/>
      <c r="F74" s="25"/>
      <c r="G74" s="25"/>
      <c r="H74" s="195"/>
      <c r="I74" s="35">
        <v>-306.88056200649635</v>
      </c>
      <c r="J74" s="200">
        <f>+J13-J72</f>
        <v>0</v>
      </c>
      <c r="K74" s="35"/>
      <c r="L74" s="193"/>
      <c r="M74" s="35">
        <v>0</v>
      </c>
      <c r="N74" s="200">
        <f>+N13-N72</f>
        <v>0</v>
      </c>
      <c r="O74" s="35">
        <v>-306.88056200649635</v>
      </c>
      <c r="P74" s="200">
        <f>+P13-P72</f>
        <v>0</v>
      </c>
      <c r="Q74" s="35">
        <v>-30688.05620064964</v>
      </c>
      <c r="R74" s="200">
        <f>+R13-R72</f>
        <v>0</v>
      </c>
    </row>
    <row r="75" spans="1:18" x14ac:dyDescent="0.2">
      <c r="A75" s="25"/>
      <c r="B75" s="25"/>
      <c r="C75" s="25"/>
      <c r="D75" s="25"/>
      <c r="E75" s="195"/>
      <c r="F75" s="25"/>
      <c r="G75" s="25"/>
      <c r="H75" s="195"/>
      <c r="I75" s="35"/>
      <c r="J75" s="204"/>
      <c r="K75" s="35"/>
      <c r="L75" s="193"/>
      <c r="M75" s="35"/>
      <c r="N75" s="193"/>
      <c r="O75" s="35"/>
      <c r="P75" s="193"/>
      <c r="Q75" s="35"/>
      <c r="R75" s="204"/>
    </row>
    <row r="76" spans="1:18" ht="13.5" thickBot="1" x14ac:dyDescent="0.25">
      <c r="A76" s="44" t="s">
        <v>38</v>
      </c>
      <c r="B76" s="44"/>
      <c r="C76" s="44"/>
      <c r="D76" s="44"/>
      <c r="E76" s="199"/>
      <c r="F76" s="44"/>
      <c r="G76" s="45" t="s">
        <v>308</v>
      </c>
      <c r="H76" s="210" t="str">
        <f>IF(E10=0,"n/a",(YTotExp-(YTotExp+YTotRet-J10))/E10)</f>
        <v>n/a</v>
      </c>
      <c r="I76" s="44" t="s">
        <v>458</v>
      </c>
      <c r="J76" s="205"/>
      <c r="K76" s="44"/>
      <c r="L76" s="199"/>
      <c r="M76" s="44"/>
      <c r="N76" s="199"/>
      <c r="O76" s="44"/>
      <c r="P76" s="199"/>
      <c r="Q76" s="44"/>
      <c r="R76" s="205"/>
    </row>
    <row r="77" spans="1:18" ht="13.5" thickTop="1" x14ac:dyDescent="0.2"/>
    <row r="78" spans="1:18" s="17" customFormat="1" ht="15.75" x14ac:dyDescent="0.25">
      <c r="A78"/>
      <c r="B78" s="88"/>
      <c r="C78" s="89"/>
      <c r="D78" s="234" t="s">
        <v>113</v>
      </c>
      <c r="E78" s="235"/>
      <c r="F78" s="235"/>
      <c r="G78" s="235"/>
      <c r="H78" s="235"/>
      <c r="I78" s="235"/>
      <c r="J78" s="99"/>
      <c r="K78" s="99"/>
      <c r="M78"/>
      <c r="N78"/>
    </row>
    <row r="79" spans="1:18" s="17" customFormat="1" ht="15.75" x14ac:dyDescent="0.25">
      <c r="A79"/>
      <c r="B79" s="19" t="s">
        <v>114</v>
      </c>
      <c r="C79" s="19" t="s">
        <v>114</v>
      </c>
      <c r="D79" s="123" t="s">
        <v>170</v>
      </c>
      <c r="E79" s="18"/>
      <c r="F79" s="18"/>
      <c r="G79" s="123" t="s">
        <v>170</v>
      </c>
      <c r="H79" s="18"/>
      <c r="I79" s="18"/>
      <c r="J79" s="18"/>
      <c r="K79" s="18"/>
      <c r="M79"/>
      <c r="N79"/>
    </row>
    <row r="80" spans="1:18" s="17" customFormat="1" x14ac:dyDescent="0.2">
      <c r="A80"/>
      <c r="B80" s="19" t="s">
        <v>80</v>
      </c>
      <c r="C80" s="19" t="s">
        <v>80</v>
      </c>
      <c r="D80" s="123" t="s">
        <v>157</v>
      </c>
      <c r="E80" s="119"/>
      <c r="F80" s="119"/>
      <c r="G80" s="123" t="s">
        <v>12</v>
      </c>
      <c r="H80" s="119"/>
      <c r="I80" s="119"/>
      <c r="J80" s="119"/>
      <c r="K80" s="119"/>
      <c r="M80"/>
      <c r="N80"/>
    </row>
    <row r="81" spans="1:18" s="17" customFormat="1" x14ac:dyDescent="0.2">
      <c r="A81"/>
      <c r="B81" s="19" t="s">
        <v>30</v>
      </c>
      <c r="C81" s="99" t="s">
        <v>458</v>
      </c>
      <c r="D81" s="123" t="s">
        <v>98</v>
      </c>
      <c r="E81" s="119"/>
      <c r="F81" s="119"/>
      <c r="G81" s="123" t="s">
        <v>98</v>
      </c>
      <c r="H81" s="19"/>
      <c r="I81" s="19"/>
      <c r="J81" s="19"/>
      <c r="K81" s="19"/>
      <c r="M81"/>
      <c r="N81"/>
    </row>
    <row r="82" spans="1:18" s="17" customFormat="1" x14ac:dyDescent="0.2">
      <c r="A82"/>
      <c r="B82" s="90">
        <v>0.75</v>
      </c>
      <c r="C82" s="91">
        <v>0</v>
      </c>
      <c r="D82" s="92">
        <v>0</v>
      </c>
      <c r="E82" s="93"/>
      <c r="F82" s="94"/>
      <c r="G82" s="92">
        <v>0</v>
      </c>
      <c r="H82" s="93"/>
      <c r="I82" s="93"/>
      <c r="M82"/>
      <c r="N82"/>
    </row>
    <row r="83" spans="1:18" s="17" customFormat="1" x14ac:dyDescent="0.2">
      <c r="A83"/>
      <c r="B83" s="95">
        <v>0.9</v>
      </c>
      <c r="C83" s="96">
        <v>0</v>
      </c>
      <c r="D83" s="97">
        <v>0</v>
      </c>
      <c r="E83" s="83"/>
      <c r="F83" s="98"/>
      <c r="G83" s="97">
        <v>0</v>
      </c>
      <c r="H83" s="83"/>
      <c r="I83" s="83"/>
      <c r="M83"/>
      <c r="N83"/>
    </row>
    <row r="84" spans="1:18" s="17" customFormat="1" x14ac:dyDescent="0.2">
      <c r="A84"/>
      <c r="B84" s="90">
        <v>1</v>
      </c>
      <c r="C84" s="91">
        <v>0</v>
      </c>
      <c r="D84" s="92">
        <v>0</v>
      </c>
      <c r="E84" s="93"/>
      <c r="F84" s="94"/>
      <c r="G84" s="92">
        <v>0</v>
      </c>
      <c r="H84" s="93"/>
      <c r="I84" s="93"/>
      <c r="M84"/>
      <c r="N84"/>
    </row>
    <row r="85" spans="1:18" s="17" customFormat="1" x14ac:dyDescent="0.2">
      <c r="A85"/>
      <c r="B85" s="95">
        <v>1.1000000000000001</v>
      </c>
      <c r="C85" s="96">
        <v>0</v>
      </c>
      <c r="D85" s="97">
        <v>0</v>
      </c>
      <c r="E85" s="83"/>
      <c r="F85" s="98"/>
      <c r="G85" s="97">
        <v>0</v>
      </c>
      <c r="H85" s="83"/>
      <c r="I85" s="83"/>
      <c r="M85"/>
      <c r="N85"/>
    </row>
    <row r="86" spans="1:18" s="17" customFormat="1" x14ac:dyDescent="0.2">
      <c r="A86"/>
      <c r="B86" s="90">
        <v>1.25</v>
      </c>
      <c r="C86" s="91">
        <v>0</v>
      </c>
      <c r="D86" s="92">
        <v>0</v>
      </c>
      <c r="E86" s="93"/>
      <c r="F86" s="94"/>
      <c r="G86" s="92">
        <v>0</v>
      </c>
      <c r="H86" s="93"/>
      <c r="I86" s="93"/>
      <c r="M86"/>
      <c r="N86"/>
    </row>
    <row r="87" spans="1:18" s="17" customFormat="1" x14ac:dyDescent="0.2">
      <c r="A87"/>
      <c r="M87"/>
      <c r="N87"/>
    </row>
    <row r="88" spans="1:18" x14ac:dyDescent="0.2">
      <c r="A88" s="25" t="s">
        <v>434</v>
      </c>
      <c r="B88" s="17"/>
      <c r="C88" s="17"/>
      <c r="D88" s="17"/>
      <c r="E88" s="17"/>
      <c r="F88" s="17"/>
      <c r="G88" s="17"/>
      <c r="H88" s="17"/>
      <c r="I88" s="17"/>
      <c r="J88" s="28"/>
      <c r="K88" s="17"/>
      <c r="L88" s="17"/>
      <c r="M88" s="17"/>
      <c r="N88" s="17"/>
      <c r="O88" s="17"/>
      <c r="P88" s="17"/>
      <c r="Q88" s="17"/>
    </row>
    <row r="89" spans="1:18" x14ac:dyDescent="0.2">
      <c r="A89" s="17"/>
      <c r="B89" s="17"/>
      <c r="C89" s="17"/>
      <c r="D89" s="17"/>
      <c r="E89" s="17"/>
      <c r="F89" s="17"/>
      <c r="G89" s="17"/>
      <c r="H89" s="17"/>
      <c r="I89" s="17"/>
      <c r="J89" s="28"/>
      <c r="K89" s="17"/>
      <c r="L89" s="17"/>
      <c r="M89" s="17"/>
      <c r="N89" s="17"/>
      <c r="O89" s="17"/>
      <c r="P89" s="17"/>
      <c r="Q89" s="17"/>
    </row>
    <row r="90" spans="1:18" ht="26.25" customHeight="1" x14ac:dyDescent="0.2">
      <c r="A90" s="236" t="s">
        <v>140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19"/>
      <c r="N90" s="219"/>
      <c r="O90" s="219"/>
      <c r="P90" s="219"/>
      <c r="Q90" s="219"/>
      <c r="R90" s="219"/>
    </row>
  </sheetData>
  <sheetProtection sheet="1" objects="1" scenarios="1"/>
  <mergeCells count="6">
    <mergeCell ref="D78:I78"/>
    <mergeCell ref="A90:L90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191">
    <tabColor rgb="FF92D050"/>
    <pageSetUpPr fitToPage="1"/>
  </sheetPr>
  <dimension ref="A1:T85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430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>
        <v>0</v>
      </c>
      <c r="C10" s="25"/>
      <c r="D10" s="50">
        <v>0</v>
      </c>
      <c r="E10" s="130"/>
      <c r="F10" s="224" t="s">
        <v>458</v>
      </c>
      <c r="G10" s="31">
        <v>0</v>
      </c>
      <c r="H10" s="131"/>
      <c r="I10" s="35">
        <v>0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0</v>
      </c>
      <c r="P10" s="200">
        <f>+J10-N10</f>
        <v>0</v>
      </c>
      <c r="Q10" s="35">
        <v>0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0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0</v>
      </c>
      <c r="P13" s="201">
        <f>SUM(P10:P12)</f>
        <v>0</v>
      </c>
      <c r="Q13" s="36">
        <v>0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20" x14ac:dyDescent="0.2">
      <c r="A17" s="25"/>
      <c r="B17" s="25" t="s">
        <v>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20" x14ac:dyDescent="0.2">
      <c r="A18" s="25"/>
      <c r="B18" s="25" t="s">
        <v>458</v>
      </c>
      <c r="C18" s="25" t="s">
        <v>377</v>
      </c>
      <c r="D18" s="25">
        <v>50</v>
      </c>
      <c r="E18" s="130"/>
      <c r="F18" s="224" t="s">
        <v>82</v>
      </c>
      <c r="G18" s="41">
        <v>0.53800000000000003</v>
      </c>
      <c r="H18" s="131"/>
      <c r="I18" s="35">
        <v>26.900000000000002</v>
      </c>
      <c r="J18" s="200">
        <f t="shared" ref="J18:J25" si="4">E18*H18</f>
        <v>0</v>
      </c>
      <c r="K18" s="223">
        <v>0</v>
      </c>
      <c r="L18" s="212"/>
      <c r="M18" s="35">
        <v>0</v>
      </c>
      <c r="N18" s="200">
        <f t="shared" ref="N18:N25" si="5">J18*L18</f>
        <v>0</v>
      </c>
      <c r="O18" s="35">
        <v>26.900000000000002</v>
      </c>
      <c r="P18" s="200">
        <f t="shared" ref="P18:P25" si="6">+J18-N18</f>
        <v>0</v>
      </c>
      <c r="Q18" s="35">
        <v>17216</v>
      </c>
      <c r="R18" s="200">
        <f t="shared" ref="R18:R25" si="7">+J18*E$7</f>
        <v>0</v>
      </c>
    </row>
    <row r="19" spans="1:20" x14ac:dyDescent="0.2">
      <c r="A19" s="25"/>
      <c r="B19" s="25" t="s">
        <v>1</v>
      </c>
      <c r="C19" s="25"/>
      <c r="D19" s="25"/>
      <c r="E19" s="25"/>
      <c r="F19" s="25"/>
      <c r="G19" s="25"/>
      <c r="H19" s="25"/>
      <c r="I19" s="25"/>
      <c r="J19" s="25"/>
      <c r="K19" s="223"/>
      <c r="L19" s="25"/>
      <c r="M19" s="25"/>
      <c r="N19" s="25"/>
      <c r="O19" s="25"/>
      <c r="P19" s="25"/>
      <c r="Q19" s="25"/>
      <c r="R19" s="25"/>
    </row>
    <row r="20" spans="1:20" x14ac:dyDescent="0.2">
      <c r="A20" s="25"/>
      <c r="B20" s="25" t="s">
        <v>458</v>
      </c>
      <c r="C20" s="25" t="s">
        <v>451</v>
      </c>
      <c r="D20" s="25">
        <v>80</v>
      </c>
      <c r="E20" s="130"/>
      <c r="F20" s="224" t="s">
        <v>82</v>
      </c>
      <c r="G20" s="41">
        <v>0.63</v>
      </c>
      <c r="H20" s="131"/>
      <c r="I20" s="35">
        <v>50.4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50.4</v>
      </c>
      <c r="P20" s="200">
        <f t="shared" si="6"/>
        <v>0</v>
      </c>
      <c r="Q20" s="35">
        <v>32256</v>
      </c>
      <c r="R20" s="200">
        <f t="shared" si="7"/>
        <v>0</v>
      </c>
      <c r="T20" s="122"/>
    </row>
    <row r="21" spans="1:20" x14ac:dyDescent="0.2">
      <c r="A21" s="25"/>
      <c r="B21" s="25" t="s">
        <v>49</v>
      </c>
      <c r="C21" s="25"/>
      <c r="D21" s="25"/>
      <c r="E21" s="25"/>
      <c r="F21" s="25"/>
      <c r="G21" s="25"/>
      <c r="H21" s="25"/>
      <c r="I21" s="25"/>
      <c r="J21" s="25"/>
      <c r="K21" s="223"/>
      <c r="L21" s="25"/>
      <c r="M21" s="25"/>
      <c r="N21" s="25"/>
      <c r="O21" s="25"/>
      <c r="P21" s="25"/>
      <c r="Q21" s="25"/>
      <c r="R21" s="25"/>
    </row>
    <row r="22" spans="1:20" x14ac:dyDescent="0.2">
      <c r="A22" s="25"/>
      <c r="B22" s="25" t="s">
        <v>458</v>
      </c>
      <c r="C22" s="25" t="s">
        <v>402</v>
      </c>
      <c r="D22" s="25">
        <v>2</v>
      </c>
      <c r="E22" s="130"/>
      <c r="F22" s="224" t="s">
        <v>316</v>
      </c>
      <c r="G22" s="41">
        <v>2.81</v>
      </c>
      <c r="H22" s="131"/>
      <c r="I22" s="35">
        <v>5.62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5.62</v>
      </c>
      <c r="P22" s="200">
        <f t="shared" si="6"/>
        <v>0</v>
      </c>
      <c r="Q22" s="35">
        <v>3596.8</v>
      </c>
      <c r="R22" s="200">
        <f t="shared" si="7"/>
        <v>0</v>
      </c>
    </row>
    <row r="23" spans="1:20" x14ac:dyDescent="0.2">
      <c r="A23" s="25"/>
      <c r="B23" s="25" t="s">
        <v>458</v>
      </c>
      <c r="C23" s="25" t="s">
        <v>438</v>
      </c>
      <c r="D23" s="25">
        <v>1.4</v>
      </c>
      <c r="E23" s="130"/>
      <c r="F23" s="224" t="s">
        <v>316</v>
      </c>
      <c r="G23" s="41">
        <v>2.84</v>
      </c>
      <c r="H23" s="131"/>
      <c r="I23" s="35">
        <v>3.9759999999999995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3.9759999999999995</v>
      </c>
      <c r="P23" s="200">
        <f t="shared" si="6"/>
        <v>0</v>
      </c>
      <c r="Q23" s="35">
        <v>2544.64</v>
      </c>
      <c r="R23" s="200">
        <f t="shared" si="7"/>
        <v>0</v>
      </c>
    </row>
    <row r="24" spans="1:20" x14ac:dyDescent="0.2">
      <c r="A24" s="25"/>
      <c r="B24" s="131"/>
      <c r="C24" s="131"/>
      <c r="D24" s="25">
        <v>0</v>
      </c>
      <c r="E24" s="130"/>
      <c r="F24" s="224"/>
      <c r="G24" s="41">
        <v>0</v>
      </c>
      <c r="H24" s="131"/>
      <c r="I24" s="35">
        <v>0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0</v>
      </c>
      <c r="P24" s="200">
        <f t="shared" si="6"/>
        <v>0</v>
      </c>
      <c r="Q24" s="35">
        <v>0</v>
      </c>
      <c r="R24" s="200">
        <f t="shared" si="7"/>
        <v>0</v>
      </c>
    </row>
    <row r="25" spans="1:20" x14ac:dyDescent="0.2">
      <c r="A25" s="25"/>
      <c r="B25" s="131"/>
      <c r="C25" s="131"/>
      <c r="D25" s="25">
        <v>0</v>
      </c>
      <c r="E25" s="130"/>
      <c r="F25" s="224"/>
      <c r="G25" s="41">
        <v>0</v>
      </c>
      <c r="H25" s="131"/>
      <c r="I25" s="35">
        <v>0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0</v>
      </c>
      <c r="P25" s="200">
        <f t="shared" si="6"/>
        <v>0</v>
      </c>
      <c r="Q25" s="35">
        <v>0</v>
      </c>
      <c r="R25" s="200">
        <f t="shared" si="7"/>
        <v>0</v>
      </c>
    </row>
    <row r="26" spans="1:20" x14ac:dyDescent="0.2">
      <c r="A26" s="25"/>
      <c r="B26" s="131"/>
      <c r="C26" s="131"/>
      <c r="D26" s="25">
        <v>0</v>
      </c>
      <c r="E26" s="130"/>
      <c r="F26" s="224"/>
      <c r="G26" s="41">
        <v>0</v>
      </c>
      <c r="H26" s="131"/>
      <c r="I26" s="35">
        <v>0</v>
      </c>
      <c r="J26" s="200">
        <f>E26*H26</f>
        <v>0</v>
      </c>
      <c r="K26" s="223">
        <v>0</v>
      </c>
      <c r="L26" s="212"/>
      <c r="M26" s="35">
        <v>0</v>
      </c>
      <c r="N26" s="200">
        <f>J26*L26</f>
        <v>0</v>
      </c>
      <c r="O26" s="35">
        <v>0</v>
      </c>
      <c r="P26" s="200">
        <f>+J26-N26</f>
        <v>0</v>
      </c>
      <c r="Q26" s="35">
        <v>0</v>
      </c>
      <c r="R26" s="200">
        <f>+J26*E$7</f>
        <v>0</v>
      </c>
    </row>
    <row r="27" spans="1:20" x14ac:dyDescent="0.2">
      <c r="A27" s="25"/>
      <c r="B27" s="25" t="s">
        <v>106</v>
      </c>
      <c r="C27" s="25"/>
      <c r="D27" s="25"/>
      <c r="E27" s="104"/>
      <c r="H27" s="104"/>
      <c r="I27" s="184"/>
      <c r="J27" s="104"/>
      <c r="K27" s="223"/>
      <c r="L27" s="104"/>
      <c r="N27" s="104"/>
      <c r="P27" s="104"/>
      <c r="R27" s="104"/>
    </row>
    <row r="28" spans="1:20" x14ac:dyDescent="0.2">
      <c r="A28" s="25"/>
      <c r="B28" s="25"/>
      <c r="C28" s="25" t="s">
        <v>103</v>
      </c>
      <c r="D28" s="25">
        <v>0.28000000000000003</v>
      </c>
      <c r="E28" s="130"/>
      <c r="F28" s="224" t="s">
        <v>44</v>
      </c>
      <c r="G28" s="41">
        <v>15</v>
      </c>
      <c r="H28" s="131"/>
      <c r="I28" s="35">
        <v>4.2</v>
      </c>
      <c r="J28" s="200">
        <f>E28*H28</f>
        <v>0</v>
      </c>
      <c r="K28" s="223">
        <v>0</v>
      </c>
      <c r="L28" s="212"/>
      <c r="M28" s="35">
        <v>0</v>
      </c>
      <c r="N28" s="200">
        <f>J28*L28</f>
        <v>0</v>
      </c>
      <c r="O28" s="35">
        <v>4.2</v>
      </c>
      <c r="P28" s="200">
        <f>+J28-N28</f>
        <v>0</v>
      </c>
      <c r="Q28" s="35">
        <v>2688</v>
      </c>
      <c r="R28" s="200">
        <f>+J28*E$7</f>
        <v>0</v>
      </c>
    </row>
    <row r="29" spans="1:20" x14ac:dyDescent="0.2">
      <c r="A29" s="25"/>
      <c r="B29" s="25"/>
      <c r="C29" s="25" t="s">
        <v>105</v>
      </c>
      <c r="D29" s="25">
        <v>0.34</v>
      </c>
      <c r="E29" s="130"/>
      <c r="F29" s="224" t="s">
        <v>44</v>
      </c>
      <c r="G29" s="41">
        <v>15</v>
      </c>
      <c r="H29" s="131"/>
      <c r="I29" s="35">
        <v>5.1000000000000005</v>
      </c>
      <c r="J29" s="200">
        <f>E29*H29</f>
        <v>0</v>
      </c>
      <c r="K29" s="223">
        <v>0</v>
      </c>
      <c r="L29" s="212"/>
      <c r="M29" s="35">
        <v>0</v>
      </c>
      <c r="N29" s="200">
        <f>J29*L29</f>
        <v>0</v>
      </c>
      <c r="O29" s="35">
        <v>5.1000000000000005</v>
      </c>
      <c r="P29" s="200">
        <f>+J29-N29</f>
        <v>0</v>
      </c>
      <c r="Q29" s="35">
        <v>3264.0000000000005</v>
      </c>
      <c r="R29" s="200">
        <f>+J29*E$7</f>
        <v>0</v>
      </c>
    </row>
    <row r="30" spans="1:20" x14ac:dyDescent="0.2">
      <c r="A30" s="25"/>
      <c r="B30" s="25"/>
      <c r="C30" s="25"/>
      <c r="D30" s="25"/>
      <c r="E30" s="207"/>
      <c r="F30" s="21"/>
      <c r="G30" s="41"/>
      <c r="H30" s="196"/>
      <c r="I30" s="35"/>
      <c r="J30" s="182"/>
      <c r="K30" s="223"/>
      <c r="L30" s="196"/>
      <c r="M30" s="35"/>
      <c r="N30" s="182"/>
      <c r="O30" s="35"/>
      <c r="P30" s="182"/>
      <c r="Q30" s="35"/>
      <c r="R30" s="182"/>
    </row>
    <row r="31" spans="1:20" x14ac:dyDescent="0.2">
      <c r="A31" s="25"/>
      <c r="B31" s="25" t="s">
        <v>51</v>
      </c>
      <c r="C31" s="25"/>
      <c r="D31" s="25"/>
      <c r="E31" s="207"/>
      <c r="F31" s="21"/>
      <c r="G31" s="41"/>
      <c r="H31" s="196"/>
      <c r="I31" s="184"/>
      <c r="J31" s="182"/>
      <c r="K31" s="223"/>
      <c r="L31" s="196"/>
      <c r="M31" s="35"/>
      <c r="N31" s="182"/>
      <c r="O31" s="35"/>
      <c r="P31" s="182"/>
      <c r="Q31" s="35"/>
      <c r="R31" s="182"/>
    </row>
    <row r="32" spans="1:20" x14ac:dyDescent="0.2">
      <c r="A32" s="25"/>
      <c r="B32" s="25"/>
      <c r="C32" s="25" t="s">
        <v>102</v>
      </c>
      <c r="D32" s="25">
        <v>1</v>
      </c>
      <c r="E32" s="130"/>
      <c r="F32" s="224" t="s">
        <v>42</v>
      </c>
      <c r="G32" s="41">
        <v>0</v>
      </c>
      <c r="H32" s="131"/>
      <c r="I32" s="35">
        <v>0</v>
      </c>
      <c r="J32" s="200">
        <f>E32*H32</f>
        <v>0</v>
      </c>
      <c r="K32" s="223">
        <v>0</v>
      </c>
      <c r="L32" s="212"/>
      <c r="M32" s="35">
        <v>0</v>
      </c>
      <c r="N32" s="200">
        <f>J32*L32</f>
        <v>0</v>
      </c>
      <c r="O32" s="35">
        <v>0</v>
      </c>
      <c r="P32" s="200">
        <f>+J32-N32</f>
        <v>0</v>
      </c>
      <c r="Q32" s="35">
        <v>0</v>
      </c>
      <c r="R32" s="200">
        <f>+J32*E$7</f>
        <v>0</v>
      </c>
    </row>
    <row r="33" spans="1:18" x14ac:dyDescent="0.2">
      <c r="A33" s="25"/>
      <c r="B33" s="25"/>
      <c r="C33" s="25" t="s">
        <v>103</v>
      </c>
      <c r="D33" s="25">
        <v>1.96</v>
      </c>
      <c r="E33" s="130"/>
      <c r="F33" s="224" t="s">
        <v>79</v>
      </c>
      <c r="G33" s="41">
        <v>3.0190000000000001</v>
      </c>
      <c r="H33" s="131"/>
      <c r="I33" s="35">
        <v>5.9172400000000005</v>
      </c>
      <c r="J33" s="200">
        <f>E33*H33</f>
        <v>0</v>
      </c>
      <c r="K33" s="223">
        <v>0</v>
      </c>
      <c r="L33" s="212"/>
      <c r="M33" s="35">
        <v>0</v>
      </c>
      <c r="N33" s="200">
        <f>J33*L33</f>
        <v>0</v>
      </c>
      <c r="O33" s="35">
        <v>5.9172400000000005</v>
      </c>
      <c r="P33" s="200">
        <f>+J33-N33</f>
        <v>0</v>
      </c>
      <c r="Q33" s="35">
        <v>3787.0336000000002</v>
      </c>
      <c r="R33" s="200">
        <f>+J33*E$7</f>
        <v>0</v>
      </c>
    </row>
    <row r="34" spans="1:18" x14ac:dyDescent="0.2">
      <c r="A34" s="25"/>
      <c r="B34" s="25"/>
      <c r="C34" s="25"/>
      <c r="D34" s="25"/>
      <c r="E34" s="207"/>
      <c r="F34" s="21"/>
      <c r="G34" s="41"/>
      <c r="H34" s="196"/>
      <c r="I34" s="35"/>
      <c r="J34" s="182"/>
      <c r="K34" s="223"/>
      <c r="L34" s="196"/>
      <c r="M34" s="35"/>
      <c r="N34" s="182"/>
      <c r="O34" s="35"/>
      <c r="P34" s="182"/>
      <c r="Q34" s="35"/>
      <c r="R34" s="182"/>
    </row>
    <row r="35" spans="1:18" x14ac:dyDescent="0.2">
      <c r="A35" s="25"/>
      <c r="B35" s="25" t="s">
        <v>29</v>
      </c>
      <c r="C35" s="25"/>
      <c r="D35" s="25"/>
      <c r="E35" s="207"/>
      <c r="F35" s="21"/>
      <c r="G35" s="41"/>
      <c r="H35" s="196"/>
      <c r="I35" s="184"/>
      <c r="J35" s="182"/>
      <c r="K35" s="223"/>
      <c r="L35" s="196"/>
      <c r="M35" s="35"/>
      <c r="N35" s="182"/>
      <c r="O35" s="35"/>
      <c r="P35" s="182"/>
      <c r="Q35" s="35"/>
      <c r="R35" s="182"/>
    </row>
    <row r="36" spans="1:18" x14ac:dyDescent="0.2">
      <c r="A36" s="25"/>
      <c r="B36" s="25"/>
      <c r="C36" s="25" t="s">
        <v>102</v>
      </c>
      <c r="D36" s="25">
        <v>1</v>
      </c>
      <c r="E36" s="130"/>
      <c r="F36" s="224" t="s">
        <v>42</v>
      </c>
      <c r="G36" s="41">
        <v>0</v>
      </c>
      <c r="H36" s="131"/>
      <c r="I36" s="35">
        <v>0</v>
      </c>
      <c r="J36" s="200">
        <f>E36*H36</f>
        <v>0</v>
      </c>
      <c r="K36" s="223">
        <v>0</v>
      </c>
      <c r="L36" s="212"/>
      <c r="M36" s="35">
        <v>0</v>
      </c>
      <c r="N36" s="200">
        <f>J36*L36</f>
        <v>0</v>
      </c>
      <c r="O36" s="35">
        <v>0</v>
      </c>
      <c r="P36" s="200">
        <f>+J36-N36</f>
        <v>0</v>
      </c>
      <c r="Q36" s="35">
        <v>0</v>
      </c>
      <c r="R36" s="200">
        <f>+J36*E$7</f>
        <v>0</v>
      </c>
    </row>
    <row r="37" spans="1:18" x14ac:dyDescent="0.2">
      <c r="A37" s="25"/>
      <c r="B37" s="25"/>
      <c r="C37" s="25" t="s">
        <v>103</v>
      </c>
      <c r="D37" s="25">
        <v>0</v>
      </c>
      <c r="E37" s="130"/>
      <c r="F37" s="224" t="s">
        <v>79</v>
      </c>
      <c r="G37" s="41">
        <v>3.09</v>
      </c>
      <c r="H37" s="131"/>
      <c r="I37" s="35">
        <v>0</v>
      </c>
      <c r="J37" s="200">
        <f>E37*H37</f>
        <v>0</v>
      </c>
      <c r="K37" s="223">
        <v>0</v>
      </c>
      <c r="L37" s="212"/>
      <c r="M37" s="35">
        <v>0</v>
      </c>
      <c r="N37" s="200">
        <f>J37*L37</f>
        <v>0</v>
      </c>
      <c r="O37" s="35">
        <v>0</v>
      </c>
      <c r="P37" s="200">
        <f>+J37-N37</f>
        <v>0</v>
      </c>
      <c r="Q37" s="35">
        <v>0</v>
      </c>
      <c r="R37" s="200">
        <f>+J37*E$7</f>
        <v>0</v>
      </c>
    </row>
    <row r="38" spans="1:18" x14ac:dyDescent="0.2">
      <c r="A38" s="25"/>
      <c r="B38" s="25"/>
      <c r="C38" s="25"/>
      <c r="D38" s="25"/>
      <c r="E38" s="207"/>
      <c r="F38" s="21"/>
      <c r="G38" s="41"/>
      <c r="H38" s="196"/>
      <c r="I38" s="35"/>
      <c r="J38" s="182"/>
      <c r="K38" s="223"/>
      <c r="L38" s="196"/>
      <c r="M38" s="35"/>
      <c r="N38" s="182"/>
      <c r="O38" s="35"/>
      <c r="P38" s="182"/>
      <c r="Q38" s="35"/>
      <c r="R38" s="182"/>
    </row>
    <row r="39" spans="1:18" x14ac:dyDescent="0.2">
      <c r="A39" s="25"/>
      <c r="B39" s="25" t="s">
        <v>47</v>
      </c>
      <c r="C39" s="25"/>
      <c r="D39" s="25"/>
      <c r="E39" s="207"/>
      <c r="F39" s="21"/>
      <c r="G39" s="41"/>
      <c r="H39" s="197"/>
      <c r="I39" s="184"/>
      <c r="J39" s="182"/>
      <c r="K39" s="223"/>
      <c r="L39" s="197"/>
      <c r="M39" s="35"/>
      <c r="N39" s="182"/>
      <c r="O39" s="35"/>
      <c r="P39" s="182"/>
      <c r="Q39" s="35"/>
      <c r="R39" s="182"/>
    </row>
    <row r="40" spans="1:18" x14ac:dyDescent="0.2">
      <c r="A40" s="25"/>
      <c r="B40" s="25"/>
      <c r="C40" s="25" t="s">
        <v>102</v>
      </c>
      <c r="D40" s="25">
        <v>1</v>
      </c>
      <c r="E40" s="130"/>
      <c r="F40" s="224" t="s">
        <v>42</v>
      </c>
      <c r="G40" s="41">
        <v>0</v>
      </c>
      <c r="H40" s="131"/>
      <c r="I40" s="35">
        <v>0</v>
      </c>
      <c r="J40" s="200">
        <f t="shared" ref="J40:J45" si="8">E40*H40</f>
        <v>0</v>
      </c>
      <c r="K40" s="223">
        <v>0</v>
      </c>
      <c r="L40" s="212"/>
      <c r="M40" s="35">
        <v>0</v>
      </c>
      <c r="N40" s="200">
        <f t="shared" ref="N40:N45" si="9">J40*L40</f>
        <v>0</v>
      </c>
      <c r="O40" s="35">
        <v>0</v>
      </c>
      <c r="P40" s="200">
        <f t="shared" ref="P40:P45" si="10">+J40-N40</f>
        <v>0</v>
      </c>
      <c r="Q40" s="35">
        <v>0</v>
      </c>
      <c r="R40" s="200">
        <f t="shared" ref="R40:R45" si="11">+J40*E$7</f>
        <v>0</v>
      </c>
    </row>
    <row r="41" spans="1:18" x14ac:dyDescent="0.2">
      <c r="A41" s="25"/>
      <c r="B41" s="25"/>
      <c r="C41" s="25" t="s">
        <v>46</v>
      </c>
      <c r="D41" s="25">
        <v>1</v>
      </c>
      <c r="E41" s="130"/>
      <c r="F41" s="224" t="s">
        <v>42</v>
      </c>
      <c r="G41" s="41">
        <v>0</v>
      </c>
      <c r="H41" s="131"/>
      <c r="I41" s="35">
        <v>0</v>
      </c>
      <c r="J41" s="200">
        <f t="shared" si="8"/>
        <v>0</v>
      </c>
      <c r="K41" s="223">
        <v>0</v>
      </c>
      <c r="L41" s="212"/>
      <c r="M41" s="35">
        <v>0</v>
      </c>
      <c r="N41" s="200">
        <f t="shared" si="9"/>
        <v>0</v>
      </c>
      <c r="O41" s="35">
        <v>0</v>
      </c>
      <c r="P41" s="200">
        <f t="shared" si="10"/>
        <v>0</v>
      </c>
      <c r="Q41" s="35">
        <v>0</v>
      </c>
      <c r="R41" s="200">
        <f t="shared" si="11"/>
        <v>0</v>
      </c>
    </row>
    <row r="42" spans="1:18" x14ac:dyDescent="0.2">
      <c r="A42" s="25"/>
      <c r="B42" s="25"/>
      <c r="C42" s="25" t="s">
        <v>103</v>
      </c>
      <c r="D42" s="25">
        <v>1</v>
      </c>
      <c r="E42" s="130"/>
      <c r="F42" s="224" t="s">
        <v>42</v>
      </c>
      <c r="G42" s="41">
        <v>3.9834103990472913</v>
      </c>
      <c r="H42" s="131"/>
      <c r="I42" s="35">
        <v>3.9834103990472913</v>
      </c>
      <c r="J42" s="200">
        <f t="shared" si="8"/>
        <v>0</v>
      </c>
      <c r="K42" s="223">
        <v>0</v>
      </c>
      <c r="L42" s="212"/>
      <c r="M42" s="35">
        <v>0</v>
      </c>
      <c r="N42" s="200">
        <f t="shared" si="9"/>
        <v>0</v>
      </c>
      <c r="O42" s="35">
        <v>3.9834103990472913</v>
      </c>
      <c r="P42" s="200">
        <f t="shared" si="10"/>
        <v>0</v>
      </c>
      <c r="Q42" s="35">
        <v>2549.3826553902663</v>
      </c>
      <c r="R42" s="200">
        <f t="shared" si="11"/>
        <v>0</v>
      </c>
    </row>
    <row r="43" spans="1:18" x14ac:dyDescent="0.2">
      <c r="A43" s="25"/>
      <c r="B43" s="25"/>
      <c r="C43" s="25" t="s">
        <v>5</v>
      </c>
      <c r="D43" s="25">
        <v>1</v>
      </c>
      <c r="E43" s="130"/>
      <c r="F43" s="224" t="s">
        <v>42</v>
      </c>
      <c r="G43" s="41">
        <v>3.8961092095634355</v>
      </c>
      <c r="H43" s="131"/>
      <c r="I43" s="35">
        <v>3.8961092095634355</v>
      </c>
      <c r="J43" s="200">
        <f t="shared" si="8"/>
        <v>0</v>
      </c>
      <c r="K43" s="223">
        <v>0</v>
      </c>
      <c r="L43" s="212"/>
      <c r="M43" s="35">
        <v>0</v>
      </c>
      <c r="N43" s="200">
        <f t="shared" si="9"/>
        <v>0</v>
      </c>
      <c r="O43" s="35">
        <v>3.8961092095634355</v>
      </c>
      <c r="P43" s="200">
        <f t="shared" si="10"/>
        <v>0</v>
      </c>
      <c r="Q43" s="35">
        <v>2493.5098941205988</v>
      </c>
      <c r="R43" s="200">
        <f t="shared" si="11"/>
        <v>0</v>
      </c>
    </row>
    <row r="44" spans="1:18" x14ac:dyDescent="0.2">
      <c r="A44" s="25"/>
      <c r="B44" s="131"/>
      <c r="C44" s="131"/>
      <c r="D44" s="25"/>
      <c r="E44" s="130"/>
      <c r="F44" s="224"/>
      <c r="G44" s="41"/>
      <c r="H44" s="131"/>
      <c r="I44" s="35">
        <v>0</v>
      </c>
      <c r="J44" s="200">
        <f t="shared" si="8"/>
        <v>0</v>
      </c>
      <c r="K44" s="223">
        <v>0</v>
      </c>
      <c r="L44" s="212"/>
      <c r="M44" s="35">
        <v>0</v>
      </c>
      <c r="N44" s="200">
        <f t="shared" si="9"/>
        <v>0</v>
      </c>
      <c r="O44" s="35">
        <v>0</v>
      </c>
      <c r="P44" s="200">
        <f t="shared" si="10"/>
        <v>0</v>
      </c>
      <c r="Q44" s="35">
        <v>0</v>
      </c>
      <c r="R44" s="200">
        <f t="shared" si="11"/>
        <v>0</v>
      </c>
    </row>
    <row r="45" spans="1:18" x14ac:dyDescent="0.2">
      <c r="A45" s="25"/>
      <c r="B45" s="131"/>
      <c r="C45" s="131"/>
      <c r="D45" s="25"/>
      <c r="E45" s="130"/>
      <c r="F45" s="224"/>
      <c r="G45" s="41"/>
      <c r="H45" s="131"/>
      <c r="I45" s="35">
        <v>0</v>
      </c>
      <c r="J45" s="200">
        <f t="shared" si="8"/>
        <v>0</v>
      </c>
      <c r="K45" s="223">
        <v>0</v>
      </c>
      <c r="L45" s="212"/>
      <c r="M45" s="35">
        <v>0</v>
      </c>
      <c r="N45" s="200">
        <f t="shared" si="9"/>
        <v>0</v>
      </c>
      <c r="O45" s="35">
        <v>0</v>
      </c>
      <c r="P45" s="200">
        <f t="shared" si="10"/>
        <v>0</v>
      </c>
      <c r="Q45" s="35">
        <v>0</v>
      </c>
      <c r="R45" s="200">
        <f t="shared" si="11"/>
        <v>0</v>
      </c>
    </row>
    <row r="46" spans="1:18" ht="13.5" thickBot="1" x14ac:dyDescent="0.25">
      <c r="A46" s="25"/>
      <c r="B46" s="25" t="s">
        <v>32</v>
      </c>
      <c r="C46" s="25"/>
      <c r="D46" s="25"/>
      <c r="E46" s="195"/>
      <c r="F46" s="21"/>
      <c r="G46" s="39">
        <v>0.09</v>
      </c>
      <c r="H46" s="213"/>
      <c r="I46" s="42">
        <v>0.710821305244139</v>
      </c>
      <c r="J46" s="200">
        <f>+SUM(J17:J45)/2*H46</f>
        <v>0</v>
      </c>
      <c r="K46" s="86"/>
      <c r="L46" s="135"/>
      <c r="M46" s="42">
        <v>0</v>
      </c>
      <c r="N46" s="200">
        <f>+SUM(N17:N45)/2*L46</f>
        <v>0</v>
      </c>
      <c r="O46" s="42">
        <v>0.710821305244139</v>
      </c>
      <c r="P46" s="200">
        <f>+SUM(P17:P45)/2*L46</f>
        <v>0</v>
      </c>
      <c r="Q46" s="42">
        <v>454.92563535624896</v>
      </c>
      <c r="R46" s="182">
        <f>+J46*E$7</f>
        <v>0</v>
      </c>
    </row>
    <row r="47" spans="1:18" ht="13.5" thickBot="1" x14ac:dyDescent="0.25">
      <c r="A47" s="25" t="s">
        <v>33</v>
      </c>
      <c r="B47" s="25"/>
      <c r="C47" s="25"/>
      <c r="D47" s="25"/>
      <c r="E47" s="198"/>
      <c r="F47" s="25"/>
      <c r="G47" s="25"/>
      <c r="H47" s="195"/>
      <c r="I47" s="87">
        <v>110.70358091385486</v>
      </c>
      <c r="J47" s="202">
        <f>SUM(J18:J46)</f>
        <v>0</v>
      </c>
      <c r="K47" s="35"/>
      <c r="L47" s="193"/>
      <c r="M47" s="87">
        <v>0</v>
      </c>
      <c r="N47" s="202">
        <f>SUM(N18:N46)</f>
        <v>0</v>
      </c>
      <c r="O47" s="87">
        <v>110.70358091385486</v>
      </c>
      <c r="P47" s="202">
        <f>SUM(P18:P46)</f>
        <v>0</v>
      </c>
      <c r="Q47" s="87">
        <v>70850.29178486712</v>
      </c>
      <c r="R47" s="202">
        <f>SUM(R18:R46)</f>
        <v>0</v>
      </c>
    </row>
    <row r="48" spans="1:18" ht="13.5" thickTop="1" x14ac:dyDescent="0.2">
      <c r="A48" s="25" t="s">
        <v>34</v>
      </c>
      <c r="B48" s="25"/>
      <c r="C48" s="25"/>
      <c r="D48" s="25"/>
      <c r="E48" s="198"/>
      <c r="F48" s="25"/>
      <c r="G48" s="25"/>
      <c r="H48" s="195"/>
      <c r="I48" s="35">
        <v>-110.70358091385486</v>
      </c>
      <c r="J48" s="200">
        <f>+J13-J47</f>
        <v>0</v>
      </c>
      <c r="K48" s="35"/>
      <c r="L48" s="193"/>
      <c r="M48" s="35">
        <v>0</v>
      </c>
      <c r="N48" s="200">
        <f>+N13-N47</f>
        <v>0</v>
      </c>
      <c r="O48" s="35">
        <v>-110.70358091385486</v>
      </c>
      <c r="P48" s="200">
        <f>+P13-P47</f>
        <v>0</v>
      </c>
      <c r="Q48" s="35">
        <v>-70850.29178486712</v>
      </c>
      <c r="R48" s="200">
        <f>+R13-R47</f>
        <v>0</v>
      </c>
    </row>
    <row r="49" spans="1:18" x14ac:dyDescent="0.2">
      <c r="A49" s="25"/>
      <c r="B49" s="25" t="s">
        <v>35</v>
      </c>
      <c r="C49" s="25"/>
      <c r="D49" s="25"/>
      <c r="E49" s="208"/>
      <c r="F49" s="17"/>
      <c r="G49" s="40" t="s">
        <v>308</v>
      </c>
      <c r="H49" s="208" t="str">
        <f>IF(E10=0,"n/a",(YVarExp-(YTotExp+YTotRet-J10))/E10)</f>
        <v>n/a</v>
      </c>
      <c r="I49" s="25" t="s">
        <v>458</v>
      </c>
      <c r="J49" s="182"/>
      <c r="K49" s="25"/>
      <c r="L49" s="195"/>
      <c r="M49" s="25"/>
      <c r="N49" s="182"/>
      <c r="O49" s="25"/>
      <c r="P49" s="182"/>
      <c r="Q49" s="25"/>
      <c r="R49" s="182"/>
    </row>
    <row r="50" spans="1:18" x14ac:dyDescent="0.2">
      <c r="A50" s="25"/>
      <c r="B50" s="25"/>
      <c r="C50" s="25"/>
      <c r="D50" s="25"/>
      <c r="E50" s="176"/>
      <c r="F50" s="25"/>
      <c r="G50" s="25"/>
      <c r="H50" s="209"/>
      <c r="I50" s="25"/>
      <c r="J50" s="182"/>
      <c r="K50" s="25"/>
      <c r="L50" s="195"/>
      <c r="M50" s="25"/>
      <c r="N50" s="182"/>
      <c r="O50" s="25"/>
      <c r="P50" s="182"/>
      <c r="Q50" s="22" t="s">
        <v>19</v>
      </c>
      <c r="R50" s="182" t="s">
        <v>19</v>
      </c>
    </row>
    <row r="51" spans="1:18" x14ac:dyDescent="0.2">
      <c r="A51" s="23" t="s">
        <v>36</v>
      </c>
      <c r="B51" s="23"/>
      <c r="C51" s="23"/>
      <c r="D51" s="24" t="s">
        <v>2</v>
      </c>
      <c r="E51" s="194" t="s">
        <v>2</v>
      </c>
      <c r="F51" s="24" t="s">
        <v>21</v>
      </c>
      <c r="G51" s="24" t="s">
        <v>22</v>
      </c>
      <c r="H51" s="194" t="s">
        <v>22</v>
      </c>
      <c r="I51" s="24" t="s">
        <v>12</v>
      </c>
      <c r="J51" s="194" t="s">
        <v>12</v>
      </c>
      <c r="K51" s="24" t="s">
        <v>11</v>
      </c>
      <c r="L51" s="194" t="s">
        <v>11</v>
      </c>
      <c r="M51" s="24" t="s">
        <v>10</v>
      </c>
      <c r="N51" s="194" t="s">
        <v>10</v>
      </c>
      <c r="O51" s="24" t="s">
        <v>9</v>
      </c>
      <c r="P51" s="194" t="s">
        <v>9</v>
      </c>
      <c r="Q51" s="24" t="s">
        <v>12</v>
      </c>
      <c r="R51" s="206" t="s">
        <v>12</v>
      </c>
    </row>
    <row r="52" spans="1:18" x14ac:dyDescent="0.2">
      <c r="A52" s="25"/>
      <c r="B52" s="25" t="s">
        <v>104</v>
      </c>
      <c r="C52" s="25"/>
      <c r="D52" s="25"/>
      <c r="E52" s="176"/>
      <c r="F52" s="25"/>
      <c r="G52" s="25"/>
      <c r="H52" s="209"/>
      <c r="I52" s="184"/>
      <c r="J52" s="182"/>
      <c r="K52" s="223"/>
      <c r="L52" s="195"/>
      <c r="M52" s="25"/>
      <c r="N52" s="182"/>
      <c r="O52" s="25"/>
      <c r="P52" s="182"/>
      <c r="Q52" s="25"/>
      <c r="R52" s="182"/>
    </row>
    <row r="53" spans="1:18" x14ac:dyDescent="0.2">
      <c r="A53" s="25"/>
      <c r="B53" s="25"/>
      <c r="C53" s="25" t="s">
        <v>103</v>
      </c>
      <c r="D53" s="25">
        <v>1</v>
      </c>
      <c r="E53" s="130"/>
      <c r="F53" s="224" t="s">
        <v>42</v>
      </c>
      <c r="G53" s="41">
        <v>4.861197352296676</v>
      </c>
      <c r="H53" s="131"/>
      <c r="I53" s="35">
        <v>4.861197352296676</v>
      </c>
      <c r="J53" s="200">
        <f t="shared" ref="J53:J54" si="12">E53*H53</f>
        <v>0</v>
      </c>
      <c r="K53" s="223">
        <v>0</v>
      </c>
      <c r="L53" s="212"/>
      <c r="M53" s="35">
        <v>0</v>
      </c>
      <c r="N53" s="200">
        <f>J53*L53</f>
        <v>0</v>
      </c>
      <c r="O53" s="35">
        <v>4.861197352296676</v>
      </c>
      <c r="P53" s="200">
        <f t="shared" ref="P53:P54" si="13">+J53-N53</f>
        <v>0</v>
      </c>
      <c r="Q53" s="35">
        <v>3111.1663054698729</v>
      </c>
      <c r="R53" s="200">
        <f t="shared" ref="R53:R54" si="14">+J53*E$7</f>
        <v>0</v>
      </c>
    </row>
    <row r="54" spans="1:18" x14ac:dyDescent="0.2">
      <c r="A54" s="25"/>
      <c r="B54" s="25"/>
      <c r="C54" s="25" t="s">
        <v>5</v>
      </c>
      <c r="D54" s="25">
        <v>1</v>
      </c>
      <c r="E54" s="130"/>
      <c r="F54" s="224" t="s">
        <v>42</v>
      </c>
      <c r="G54" s="41">
        <v>4.8957691400076326</v>
      </c>
      <c r="H54" s="131"/>
      <c r="I54" s="35">
        <v>4.8957691400076326</v>
      </c>
      <c r="J54" s="200">
        <f t="shared" si="12"/>
        <v>0</v>
      </c>
      <c r="K54" s="223">
        <v>0</v>
      </c>
      <c r="L54" s="212"/>
      <c r="M54" s="35">
        <v>0</v>
      </c>
      <c r="N54" s="200">
        <f>J54*L54</f>
        <v>0</v>
      </c>
      <c r="O54" s="35">
        <v>4.8957691400076326</v>
      </c>
      <c r="P54" s="200">
        <f t="shared" si="13"/>
        <v>0</v>
      </c>
      <c r="Q54" s="35">
        <v>3133.292249604885</v>
      </c>
      <c r="R54" s="200">
        <f t="shared" si="14"/>
        <v>0</v>
      </c>
    </row>
    <row r="55" spans="1:18" x14ac:dyDescent="0.2">
      <c r="A55" s="25"/>
      <c r="B55" s="25" t="s">
        <v>88</v>
      </c>
      <c r="C55" s="25"/>
      <c r="D55" s="25"/>
      <c r="E55" s="195"/>
      <c r="F55" s="21"/>
      <c r="G55" s="41"/>
      <c r="H55" s="195"/>
      <c r="I55" s="184"/>
      <c r="J55" s="182"/>
      <c r="K55" s="223"/>
      <c r="L55" s="195"/>
      <c r="M55" s="35"/>
      <c r="N55" s="182"/>
      <c r="O55" s="35"/>
      <c r="P55" s="182"/>
      <c r="Q55" s="35"/>
      <c r="R55" s="182"/>
    </row>
    <row r="56" spans="1:18" x14ac:dyDescent="0.2">
      <c r="A56" s="25"/>
      <c r="B56" s="25"/>
      <c r="C56" s="25" t="s">
        <v>103</v>
      </c>
      <c r="D56" s="41">
        <v>37.524139725006464</v>
      </c>
      <c r="E56" s="130"/>
      <c r="F56" s="224" t="s">
        <v>99</v>
      </c>
      <c r="G56" s="39">
        <v>0.08</v>
      </c>
      <c r="H56" s="213"/>
      <c r="I56" s="35">
        <v>3.0019311780005173</v>
      </c>
      <c r="J56" s="200">
        <f t="shared" ref="J56:J64" si="15">E56*H56</f>
        <v>0</v>
      </c>
      <c r="K56" s="223">
        <v>0</v>
      </c>
      <c r="L56" s="212"/>
      <c r="M56" s="35">
        <v>0</v>
      </c>
      <c r="N56" s="200">
        <f>J56*L56</f>
        <v>0</v>
      </c>
      <c r="O56" s="35">
        <v>3.0019311780005173</v>
      </c>
      <c r="P56" s="200">
        <f t="shared" ref="P56:P57" si="16">+J56-N56</f>
        <v>0</v>
      </c>
      <c r="Q56" s="35">
        <v>1921.2359539203312</v>
      </c>
      <c r="R56" s="200">
        <f t="shared" ref="R56:R57" si="17">+J56*E$7</f>
        <v>0</v>
      </c>
    </row>
    <row r="57" spans="1:18" x14ac:dyDescent="0.2">
      <c r="A57" s="25"/>
      <c r="B57" s="25"/>
      <c r="C57" s="25" t="s">
        <v>5</v>
      </c>
      <c r="D57" s="41">
        <v>20.943012432254875</v>
      </c>
      <c r="E57" s="130"/>
      <c r="F57" s="224" t="s">
        <v>99</v>
      </c>
      <c r="G57" s="39">
        <v>0.08</v>
      </c>
      <c r="H57" s="213"/>
      <c r="I57" s="35">
        <v>1.6754409945803901</v>
      </c>
      <c r="J57" s="200">
        <f t="shared" si="15"/>
        <v>0</v>
      </c>
      <c r="K57" s="223">
        <v>0</v>
      </c>
      <c r="L57" s="212"/>
      <c r="M57" s="35">
        <v>0</v>
      </c>
      <c r="N57" s="200">
        <f>J57*L57</f>
        <v>0</v>
      </c>
      <c r="O57" s="35">
        <v>1.6754409945803901</v>
      </c>
      <c r="P57" s="200">
        <f t="shared" si="16"/>
        <v>0</v>
      </c>
      <c r="Q57" s="35">
        <v>1072.2822365314496</v>
      </c>
      <c r="R57" s="200">
        <f t="shared" si="17"/>
        <v>0</v>
      </c>
    </row>
    <row r="58" spans="1:18" x14ac:dyDescent="0.2">
      <c r="A58" s="25"/>
      <c r="B58" s="25" t="s">
        <v>156</v>
      </c>
      <c r="C58" s="25"/>
      <c r="D58" s="25">
        <v>1</v>
      </c>
      <c r="E58" s="130"/>
      <c r="F58" s="224" t="s">
        <v>42</v>
      </c>
      <c r="G58" s="41">
        <v>0</v>
      </c>
      <c r="H58" s="131"/>
      <c r="I58" s="35">
        <v>0</v>
      </c>
      <c r="J58" s="200">
        <f t="shared" si="15"/>
        <v>0</v>
      </c>
      <c r="K58" s="223">
        <v>0</v>
      </c>
      <c r="L58" s="212"/>
      <c r="M58" s="35">
        <v>0</v>
      </c>
      <c r="N58" s="200">
        <f t="shared" ref="N58:N65" si="18">J58*L58</f>
        <v>0</v>
      </c>
      <c r="O58" s="35">
        <v>0</v>
      </c>
      <c r="P58" s="200">
        <f t="shared" ref="P58:P65" si="19">+J58-N58</f>
        <v>0</v>
      </c>
      <c r="Q58" s="35">
        <v>0</v>
      </c>
      <c r="R58" s="200">
        <f t="shared" ref="R58:R65" si="20">+J58*E$7</f>
        <v>0</v>
      </c>
    </row>
    <row r="59" spans="1:18" x14ac:dyDescent="0.2">
      <c r="A59" s="25"/>
      <c r="B59" s="25" t="s">
        <v>152</v>
      </c>
      <c r="C59" s="25"/>
      <c r="D59" s="25">
        <v>1</v>
      </c>
      <c r="E59" s="130"/>
      <c r="F59" s="224" t="s">
        <v>42</v>
      </c>
      <c r="G59" s="41">
        <v>0</v>
      </c>
      <c r="H59" s="131"/>
      <c r="I59" s="35">
        <v>0</v>
      </c>
      <c r="J59" s="200">
        <f t="shared" si="15"/>
        <v>0</v>
      </c>
      <c r="K59" s="223">
        <v>0</v>
      </c>
      <c r="L59" s="212"/>
      <c r="M59" s="35">
        <v>0</v>
      </c>
      <c r="N59" s="200">
        <f t="shared" si="18"/>
        <v>0</v>
      </c>
      <c r="O59" s="35">
        <v>0</v>
      </c>
      <c r="P59" s="200">
        <f t="shared" si="19"/>
        <v>0</v>
      </c>
      <c r="Q59" s="35">
        <v>0</v>
      </c>
      <c r="R59" s="200">
        <f t="shared" si="20"/>
        <v>0</v>
      </c>
    </row>
    <row r="60" spans="1:18" x14ac:dyDescent="0.2">
      <c r="A60" s="25"/>
      <c r="B60" s="25" t="s">
        <v>137</v>
      </c>
      <c r="C60" s="25"/>
      <c r="D60" s="25">
        <v>1</v>
      </c>
      <c r="E60" s="130"/>
      <c r="F60" s="224" t="s">
        <v>42</v>
      </c>
      <c r="G60" s="41">
        <v>0</v>
      </c>
      <c r="H60" s="131"/>
      <c r="I60" s="35">
        <v>0</v>
      </c>
      <c r="J60" s="200">
        <f t="shared" si="15"/>
        <v>0</v>
      </c>
      <c r="K60" s="223">
        <v>0</v>
      </c>
      <c r="L60" s="212"/>
      <c r="M60" s="35">
        <v>0</v>
      </c>
      <c r="N60" s="200">
        <f t="shared" si="18"/>
        <v>0</v>
      </c>
      <c r="O60" s="35">
        <v>0</v>
      </c>
      <c r="P60" s="200">
        <f t="shared" si="19"/>
        <v>0</v>
      </c>
      <c r="Q60" s="35">
        <v>0</v>
      </c>
      <c r="R60" s="200">
        <f t="shared" si="20"/>
        <v>0</v>
      </c>
    </row>
    <row r="61" spans="1:18" x14ac:dyDescent="0.2">
      <c r="A61" s="25"/>
      <c r="B61" s="25" t="s">
        <v>418</v>
      </c>
      <c r="C61" s="25"/>
      <c r="D61" s="25">
        <v>1</v>
      </c>
      <c r="E61" s="130"/>
      <c r="F61" s="224" t="s">
        <v>42</v>
      </c>
      <c r="G61" s="41">
        <v>30</v>
      </c>
      <c r="H61" s="131"/>
      <c r="I61" s="35">
        <v>30</v>
      </c>
      <c r="J61" s="200">
        <f t="shared" si="15"/>
        <v>0</v>
      </c>
      <c r="K61" s="223">
        <v>0</v>
      </c>
      <c r="L61" s="212"/>
      <c r="M61" s="35">
        <v>0</v>
      </c>
      <c r="N61" s="200">
        <f t="shared" si="18"/>
        <v>0</v>
      </c>
      <c r="O61" s="35">
        <v>30</v>
      </c>
      <c r="P61" s="200">
        <f t="shared" si="19"/>
        <v>0</v>
      </c>
      <c r="Q61" s="35">
        <v>19200</v>
      </c>
      <c r="R61" s="200">
        <f t="shared" si="20"/>
        <v>0</v>
      </c>
    </row>
    <row r="62" spans="1:18" x14ac:dyDescent="0.2">
      <c r="A62" s="25"/>
      <c r="B62" s="25" t="s">
        <v>159</v>
      </c>
      <c r="C62" s="25"/>
      <c r="D62" s="25">
        <v>1</v>
      </c>
      <c r="E62" s="130"/>
      <c r="F62" s="224" t="s">
        <v>42</v>
      </c>
      <c r="G62" s="41">
        <v>0</v>
      </c>
      <c r="H62" s="131"/>
      <c r="I62" s="35">
        <v>0</v>
      </c>
      <c r="J62" s="200">
        <f t="shared" si="15"/>
        <v>0</v>
      </c>
      <c r="K62" s="223">
        <v>0</v>
      </c>
      <c r="L62" s="212"/>
      <c r="M62" s="35">
        <v>0</v>
      </c>
      <c r="N62" s="200">
        <f t="shared" si="18"/>
        <v>0</v>
      </c>
      <c r="O62" s="35">
        <v>0</v>
      </c>
      <c r="P62" s="200">
        <f t="shared" si="19"/>
        <v>0</v>
      </c>
      <c r="Q62" s="35">
        <v>0</v>
      </c>
      <c r="R62" s="200">
        <f t="shared" si="20"/>
        <v>0</v>
      </c>
    </row>
    <row r="63" spans="1:18" x14ac:dyDescent="0.2">
      <c r="A63" s="25"/>
      <c r="B63" s="25" t="s">
        <v>160</v>
      </c>
      <c r="C63" s="25"/>
      <c r="D63" s="25">
        <v>1</v>
      </c>
      <c r="E63" s="130"/>
      <c r="F63" s="224" t="s">
        <v>42</v>
      </c>
      <c r="G63" s="41">
        <v>0</v>
      </c>
      <c r="H63" s="131"/>
      <c r="I63" s="35">
        <v>0</v>
      </c>
      <c r="J63" s="200">
        <f t="shared" si="15"/>
        <v>0</v>
      </c>
      <c r="K63" s="223">
        <v>0</v>
      </c>
      <c r="L63" s="212"/>
      <c r="M63" s="35">
        <v>0</v>
      </c>
      <c r="N63" s="200">
        <f t="shared" si="18"/>
        <v>0</v>
      </c>
      <c r="O63" s="35">
        <v>0</v>
      </c>
      <c r="P63" s="200">
        <f t="shared" si="19"/>
        <v>0</v>
      </c>
      <c r="Q63" s="35">
        <v>0</v>
      </c>
      <c r="R63" s="200">
        <f t="shared" si="20"/>
        <v>0</v>
      </c>
    </row>
    <row r="64" spans="1:18" x14ac:dyDescent="0.2">
      <c r="A64" s="25"/>
      <c r="B64" s="131"/>
      <c r="C64" s="131"/>
      <c r="D64" s="25">
        <v>1</v>
      </c>
      <c r="E64" s="130"/>
      <c r="F64" s="224"/>
      <c r="G64" s="41">
        <v>0</v>
      </c>
      <c r="H64" s="131"/>
      <c r="I64" s="35">
        <v>0</v>
      </c>
      <c r="J64" s="200">
        <f t="shared" si="15"/>
        <v>0</v>
      </c>
      <c r="K64" s="223">
        <v>0</v>
      </c>
      <c r="L64" s="212"/>
      <c r="M64" s="35">
        <v>0</v>
      </c>
      <c r="N64" s="200">
        <f t="shared" si="18"/>
        <v>0</v>
      </c>
      <c r="O64" s="35">
        <v>0</v>
      </c>
      <c r="P64" s="200">
        <f t="shared" si="19"/>
        <v>0</v>
      </c>
      <c r="Q64" s="35">
        <v>0</v>
      </c>
      <c r="R64" s="200">
        <f t="shared" si="20"/>
        <v>0</v>
      </c>
    </row>
    <row r="65" spans="1:18" ht="13.5" thickBot="1" x14ac:dyDescent="0.25">
      <c r="A65" s="25"/>
      <c r="B65" s="131"/>
      <c r="C65" s="131"/>
      <c r="D65" s="25">
        <v>1</v>
      </c>
      <c r="E65" s="130"/>
      <c r="F65" s="224"/>
      <c r="G65" s="41">
        <v>0</v>
      </c>
      <c r="H65" s="131"/>
      <c r="I65" s="35">
        <v>0</v>
      </c>
      <c r="J65" s="200">
        <f>E65*H65</f>
        <v>0</v>
      </c>
      <c r="K65" s="223">
        <v>0</v>
      </c>
      <c r="L65" s="212"/>
      <c r="M65" s="35">
        <v>0</v>
      </c>
      <c r="N65" s="200">
        <f t="shared" si="18"/>
        <v>0</v>
      </c>
      <c r="O65" s="35">
        <v>0</v>
      </c>
      <c r="P65" s="200">
        <f t="shared" si="19"/>
        <v>0</v>
      </c>
      <c r="Q65" s="35">
        <v>0</v>
      </c>
      <c r="R65" s="200">
        <f t="shared" si="20"/>
        <v>0</v>
      </c>
    </row>
    <row r="66" spans="1:18" ht="13.5" thickBot="1" x14ac:dyDescent="0.25">
      <c r="A66" s="25" t="s">
        <v>37</v>
      </c>
      <c r="B66" s="25"/>
      <c r="C66" s="25"/>
      <c r="D66" s="25"/>
      <c r="E66" s="195"/>
      <c r="F66" s="25"/>
      <c r="G66" s="25"/>
      <c r="H66" s="195"/>
      <c r="I66" s="118">
        <v>44.434338664885217</v>
      </c>
      <c r="J66" s="202">
        <f>+SUM(J53:J65)</f>
        <v>0</v>
      </c>
      <c r="K66" s="35"/>
      <c r="L66" s="193"/>
      <c r="M66" s="118">
        <v>0</v>
      </c>
      <c r="N66" s="202">
        <f>+SUM(N53:N65)</f>
        <v>0</v>
      </c>
      <c r="O66" s="118">
        <v>44.434338664885217</v>
      </c>
      <c r="P66" s="202">
        <f>+SUM(P53:P65)</f>
        <v>0</v>
      </c>
      <c r="Q66" s="118">
        <v>28437.976745526539</v>
      </c>
      <c r="R66" s="202">
        <f>+SUM(R53:R65)</f>
        <v>0</v>
      </c>
    </row>
    <row r="67" spans="1:18" ht="14.25" thickTop="1" thickBot="1" x14ac:dyDescent="0.25">
      <c r="A67" s="25" t="s">
        <v>52</v>
      </c>
      <c r="B67" s="25"/>
      <c r="C67" s="25"/>
      <c r="D67" s="25"/>
      <c r="E67" s="195"/>
      <c r="F67" s="25"/>
      <c r="G67" s="25"/>
      <c r="H67" s="195"/>
      <c r="I67" s="87">
        <v>155.13791957874008</v>
      </c>
      <c r="J67" s="203">
        <f>+J47+J66</f>
        <v>0</v>
      </c>
      <c r="K67" s="35"/>
      <c r="L67" s="193"/>
      <c r="M67" s="87">
        <v>0</v>
      </c>
      <c r="N67" s="203">
        <f>+N47+N66</f>
        <v>0</v>
      </c>
      <c r="O67" s="87">
        <v>155.13791957874008</v>
      </c>
      <c r="P67" s="203">
        <f>+P47+P66</f>
        <v>0</v>
      </c>
      <c r="Q67" s="87">
        <v>99288.26853039366</v>
      </c>
      <c r="R67" s="203">
        <f>+R47+R66</f>
        <v>0</v>
      </c>
    </row>
    <row r="68" spans="1:18" ht="13.5" thickTop="1" x14ac:dyDescent="0.2">
      <c r="A68" s="25"/>
      <c r="B68" s="25"/>
      <c r="C68" s="25"/>
      <c r="D68" s="25"/>
      <c r="E68" s="195"/>
      <c r="F68" s="25"/>
      <c r="G68" s="25"/>
      <c r="H68" s="195"/>
      <c r="I68" s="35"/>
      <c r="J68" s="182"/>
      <c r="K68" s="35"/>
      <c r="L68" s="193"/>
      <c r="M68" s="35"/>
      <c r="N68" s="182"/>
      <c r="O68" s="35"/>
      <c r="P68" s="182"/>
      <c r="Q68" s="35"/>
      <c r="R68" s="182"/>
    </row>
    <row r="69" spans="1:18" x14ac:dyDescent="0.2">
      <c r="A69" s="25" t="s">
        <v>153</v>
      </c>
      <c r="B69" s="25"/>
      <c r="C69" s="25"/>
      <c r="D69" s="25"/>
      <c r="E69" s="195"/>
      <c r="F69" s="25"/>
      <c r="G69" s="25"/>
      <c r="H69" s="195"/>
      <c r="I69" s="35">
        <v>-155.13791957874008</v>
      </c>
      <c r="J69" s="200">
        <f>+J13-J67</f>
        <v>0</v>
      </c>
      <c r="K69" s="35"/>
      <c r="L69" s="193"/>
      <c r="M69" s="35">
        <v>0</v>
      </c>
      <c r="N69" s="200">
        <f>+N13-N67</f>
        <v>0</v>
      </c>
      <c r="O69" s="35">
        <v>-155.13791957874008</v>
      </c>
      <c r="P69" s="200">
        <f>+P13-P67</f>
        <v>0</v>
      </c>
      <c r="Q69" s="35">
        <v>-99288.26853039366</v>
      </c>
      <c r="R69" s="200">
        <f>+R13-R67</f>
        <v>0</v>
      </c>
    </row>
    <row r="70" spans="1:18" x14ac:dyDescent="0.2">
      <c r="A70" s="25"/>
      <c r="B70" s="25"/>
      <c r="C70" s="25"/>
      <c r="D70" s="25"/>
      <c r="E70" s="195"/>
      <c r="F70" s="25"/>
      <c r="G70" s="25"/>
      <c r="H70" s="195"/>
      <c r="I70" s="35"/>
      <c r="J70" s="204"/>
      <c r="K70" s="35"/>
      <c r="L70" s="193"/>
      <c r="M70" s="35"/>
      <c r="N70" s="193"/>
      <c r="O70" s="35"/>
      <c r="P70" s="193"/>
      <c r="Q70" s="35"/>
      <c r="R70" s="204"/>
    </row>
    <row r="71" spans="1:18" ht="13.5" thickBot="1" x14ac:dyDescent="0.25">
      <c r="A71" s="44" t="s">
        <v>38</v>
      </c>
      <c r="B71" s="44"/>
      <c r="C71" s="44"/>
      <c r="D71" s="44"/>
      <c r="E71" s="199"/>
      <c r="F71" s="44"/>
      <c r="G71" s="45" t="s">
        <v>308</v>
      </c>
      <c r="H71" s="210" t="str">
        <f>IF(E10=0,"n/a",(YTotExp-(YTotExp+YTotRet-J10))/E10)</f>
        <v>n/a</v>
      </c>
      <c r="I71" s="44" t="s">
        <v>458</v>
      </c>
      <c r="J71" s="205"/>
      <c r="K71" s="44"/>
      <c r="L71" s="199"/>
      <c r="M71" s="44"/>
      <c r="N71" s="199"/>
      <c r="O71" s="44"/>
      <c r="P71" s="199"/>
      <c r="Q71" s="44"/>
      <c r="R71" s="205"/>
    </row>
    <row r="72" spans="1:18" ht="13.5" thickTop="1" x14ac:dyDescent="0.2"/>
    <row r="73" spans="1:18" s="17" customFormat="1" ht="15.75" x14ac:dyDescent="0.25">
      <c r="A73"/>
      <c r="B73" s="88"/>
      <c r="C73" s="89"/>
      <c r="D73" s="234" t="s">
        <v>113</v>
      </c>
      <c r="E73" s="235"/>
      <c r="F73" s="235"/>
      <c r="G73" s="235"/>
      <c r="H73" s="235"/>
      <c r="I73" s="235"/>
      <c r="J73" s="99"/>
      <c r="K73" s="99"/>
      <c r="M73"/>
      <c r="N73"/>
    </row>
    <row r="74" spans="1:18" s="17" customFormat="1" ht="15.75" x14ac:dyDescent="0.25">
      <c r="A74"/>
      <c r="B74" s="19" t="s">
        <v>114</v>
      </c>
      <c r="C74" s="19" t="s">
        <v>114</v>
      </c>
      <c r="D74" s="123" t="s">
        <v>170</v>
      </c>
      <c r="E74" s="18"/>
      <c r="F74" s="18"/>
      <c r="G74" s="123" t="s">
        <v>170</v>
      </c>
      <c r="H74" s="18"/>
      <c r="I74" s="18"/>
      <c r="J74" s="18"/>
      <c r="K74" s="18"/>
      <c r="M74"/>
      <c r="N74"/>
    </row>
    <row r="75" spans="1:18" s="17" customFormat="1" x14ac:dyDescent="0.2">
      <c r="A75"/>
      <c r="B75" s="19" t="s">
        <v>80</v>
      </c>
      <c r="C75" s="19" t="s">
        <v>80</v>
      </c>
      <c r="D75" s="123" t="s">
        <v>157</v>
      </c>
      <c r="E75" s="119"/>
      <c r="F75" s="119"/>
      <c r="G75" s="123" t="s">
        <v>12</v>
      </c>
      <c r="H75" s="119"/>
      <c r="I75" s="119"/>
      <c r="J75" s="119"/>
      <c r="K75" s="119"/>
      <c r="M75"/>
      <c r="N75"/>
    </row>
    <row r="76" spans="1:18" s="17" customFormat="1" x14ac:dyDescent="0.2">
      <c r="A76"/>
      <c r="B76" s="19" t="s">
        <v>30</v>
      </c>
      <c r="C76" s="99" t="s">
        <v>458</v>
      </c>
      <c r="D76" s="123" t="s">
        <v>98</v>
      </c>
      <c r="E76" s="119"/>
      <c r="F76" s="119"/>
      <c r="G76" s="123" t="s">
        <v>98</v>
      </c>
      <c r="H76" s="19"/>
      <c r="I76" s="19"/>
      <c r="J76" s="19"/>
      <c r="K76" s="19"/>
      <c r="M76"/>
      <c r="N76"/>
    </row>
    <row r="77" spans="1:18" s="17" customFormat="1" x14ac:dyDescent="0.2">
      <c r="A77"/>
      <c r="B77" s="90">
        <v>0.75</v>
      </c>
      <c r="C77" s="91">
        <v>0</v>
      </c>
      <c r="D77" s="92">
        <v>0</v>
      </c>
      <c r="E77" s="93"/>
      <c r="F77" s="94"/>
      <c r="G77" s="92">
        <v>0</v>
      </c>
      <c r="H77" s="93"/>
      <c r="I77" s="93"/>
      <c r="M77"/>
      <c r="N77"/>
    </row>
    <row r="78" spans="1:18" s="17" customFormat="1" x14ac:dyDescent="0.2">
      <c r="A78"/>
      <c r="B78" s="95">
        <v>0.9</v>
      </c>
      <c r="C78" s="96">
        <v>0</v>
      </c>
      <c r="D78" s="97">
        <v>0</v>
      </c>
      <c r="E78" s="83"/>
      <c r="F78" s="98"/>
      <c r="G78" s="97">
        <v>0</v>
      </c>
      <c r="H78" s="83"/>
      <c r="I78" s="83"/>
      <c r="M78"/>
      <c r="N78"/>
    </row>
    <row r="79" spans="1:18" s="17" customFormat="1" x14ac:dyDescent="0.2">
      <c r="A79"/>
      <c r="B79" s="90">
        <v>1</v>
      </c>
      <c r="C79" s="91">
        <v>0</v>
      </c>
      <c r="D79" s="92">
        <v>0</v>
      </c>
      <c r="E79" s="93"/>
      <c r="F79" s="94"/>
      <c r="G79" s="92">
        <v>0</v>
      </c>
      <c r="H79" s="93"/>
      <c r="I79" s="93"/>
      <c r="M79"/>
      <c r="N79"/>
    </row>
    <row r="80" spans="1:18" s="17" customFormat="1" x14ac:dyDescent="0.2">
      <c r="A80"/>
      <c r="B80" s="95">
        <v>1.1000000000000001</v>
      </c>
      <c r="C80" s="96">
        <v>0</v>
      </c>
      <c r="D80" s="97">
        <v>0</v>
      </c>
      <c r="E80" s="83"/>
      <c r="F80" s="98"/>
      <c r="G80" s="97">
        <v>0</v>
      </c>
      <c r="H80" s="83"/>
      <c r="I80" s="83"/>
      <c r="M80"/>
      <c r="N80"/>
    </row>
    <row r="81" spans="1:18" s="17" customFormat="1" x14ac:dyDescent="0.2">
      <c r="A81"/>
      <c r="B81" s="90">
        <v>1.25</v>
      </c>
      <c r="C81" s="91">
        <v>0</v>
      </c>
      <c r="D81" s="92">
        <v>0</v>
      </c>
      <c r="E81" s="93"/>
      <c r="F81" s="94"/>
      <c r="G81" s="92">
        <v>0</v>
      </c>
      <c r="H81" s="93"/>
      <c r="I81" s="93"/>
      <c r="M81"/>
      <c r="N81"/>
    </row>
    <row r="82" spans="1:18" s="17" customFormat="1" x14ac:dyDescent="0.2">
      <c r="A82"/>
      <c r="M82"/>
      <c r="N82"/>
    </row>
    <row r="83" spans="1:18" x14ac:dyDescent="0.2">
      <c r="A83" s="25" t="s">
        <v>434</v>
      </c>
      <c r="B83" s="17"/>
      <c r="C83" s="17"/>
      <c r="D83" s="17"/>
      <c r="E83" s="17"/>
      <c r="F83" s="17"/>
      <c r="G83" s="17"/>
      <c r="H83" s="17"/>
      <c r="I83" s="17"/>
      <c r="J83" s="28"/>
      <c r="K83" s="17"/>
      <c r="L83" s="17"/>
      <c r="M83" s="17"/>
      <c r="N83" s="17"/>
      <c r="O83" s="17"/>
      <c r="P83" s="17"/>
      <c r="Q83" s="17"/>
    </row>
    <row r="84" spans="1:18" x14ac:dyDescent="0.2">
      <c r="A84" s="17"/>
      <c r="B84" s="17"/>
      <c r="C84" s="17"/>
      <c r="D84" s="17"/>
      <c r="E84" s="17"/>
      <c r="F84" s="17"/>
      <c r="G84" s="17"/>
      <c r="H84" s="17"/>
      <c r="I84" s="17"/>
      <c r="J84" s="28"/>
      <c r="K84" s="17"/>
      <c r="L84" s="17"/>
      <c r="M84" s="17"/>
      <c r="N84" s="17"/>
      <c r="O84" s="17"/>
      <c r="P84" s="17"/>
      <c r="Q84" s="17"/>
    </row>
    <row r="85" spans="1:18" ht="26.25" customHeight="1" x14ac:dyDescent="0.2">
      <c r="A85" s="236" t="s">
        <v>140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19"/>
      <c r="N85" s="219"/>
      <c r="O85" s="219"/>
      <c r="P85" s="219"/>
      <c r="Q85" s="219"/>
      <c r="R85" s="219"/>
    </row>
  </sheetData>
  <sheetProtection sheet="1" objects="1" scenarios="1"/>
  <mergeCells count="6">
    <mergeCell ref="D73:I73"/>
    <mergeCell ref="A85:L85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219">
    <tabColor rgb="FF92D050"/>
    <pageSetUpPr fitToPage="1"/>
  </sheetPr>
  <dimension ref="A1:T87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449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>
        <v>0</v>
      </c>
      <c r="C10" s="25"/>
      <c r="D10" s="50">
        <v>0</v>
      </c>
      <c r="E10" s="130"/>
      <c r="F10" s="224" t="s">
        <v>458</v>
      </c>
      <c r="G10" s="31">
        <v>0</v>
      </c>
      <c r="H10" s="131"/>
      <c r="I10" s="35">
        <v>0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0</v>
      </c>
      <c r="P10" s="200">
        <f>+J10-N10</f>
        <v>0</v>
      </c>
      <c r="Q10" s="35">
        <v>0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0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0</v>
      </c>
      <c r="P13" s="201">
        <f>SUM(P10:P12)</f>
        <v>0</v>
      </c>
      <c r="Q13" s="36">
        <v>0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20" x14ac:dyDescent="0.2">
      <c r="A17" s="25"/>
      <c r="B17" s="25" t="s">
        <v>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20" x14ac:dyDescent="0.2">
      <c r="A18" s="25"/>
      <c r="B18" s="25" t="s">
        <v>458</v>
      </c>
      <c r="C18" s="25" t="s">
        <v>378</v>
      </c>
      <c r="D18" s="25">
        <v>40</v>
      </c>
      <c r="E18" s="130"/>
      <c r="F18" s="224" t="s">
        <v>82</v>
      </c>
      <c r="G18" s="41">
        <v>0.56999999999999995</v>
      </c>
      <c r="H18" s="131"/>
      <c r="I18" s="35">
        <v>22.799999999999997</v>
      </c>
      <c r="J18" s="200">
        <f t="shared" ref="J18:J27" si="4">E18*H18</f>
        <v>0</v>
      </c>
      <c r="K18" s="223">
        <v>0</v>
      </c>
      <c r="L18" s="212"/>
      <c r="M18" s="35">
        <v>0</v>
      </c>
      <c r="N18" s="200">
        <f t="shared" ref="N18:N27" si="5">J18*L18</f>
        <v>0</v>
      </c>
      <c r="O18" s="35">
        <v>22.799999999999997</v>
      </c>
      <c r="P18" s="200">
        <f t="shared" ref="P18:P27" si="6">+J18-N18</f>
        <v>0</v>
      </c>
      <c r="Q18" s="35">
        <v>14591.999999999998</v>
      </c>
      <c r="R18" s="200">
        <f t="shared" ref="R18:R27" si="7">+J18*E$7</f>
        <v>0</v>
      </c>
    </row>
    <row r="19" spans="1:20" x14ac:dyDescent="0.2">
      <c r="A19" s="25"/>
      <c r="B19" s="25" t="s">
        <v>458</v>
      </c>
      <c r="C19" s="25" t="s">
        <v>342</v>
      </c>
      <c r="D19" s="25">
        <v>50</v>
      </c>
      <c r="E19" s="130"/>
      <c r="F19" s="224" t="s">
        <v>82</v>
      </c>
      <c r="G19" s="41">
        <v>0.53800000000000003</v>
      </c>
      <c r="H19" s="131"/>
      <c r="I19" s="35">
        <v>26.900000000000002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26.900000000000002</v>
      </c>
      <c r="P19" s="200">
        <f t="shared" si="6"/>
        <v>0</v>
      </c>
      <c r="Q19" s="35">
        <v>17216</v>
      </c>
      <c r="R19" s="200">
        <f t="shared" si="7"/>
        <v>0</v>
      </c>
    </row>
    <row r="20" spans="1:20" x14ac:dyDescent="0.2">
      <c r="A20" s="25"/>
      <c r="B20" s="25" t="s">
        <v>458</v>
      </c>
      <c r="C20" s="25" t="s">
        <v>176</v>
      </c>
      <c r="D20" s="25">
        <v>1</v>
      </c>
      <c r="E20" s="130"/>
      <c r="F20" s="224" t="s">
        <v>42</v>
      </c>
      <c r="G20" s="41">
        <v>5</v>
      </c>
      <c r="H20" s="131"/>
      <c r="I20" s="35">
        <v>5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5</v>
      </c>
      <c r="P20" s="200">
        <f t="shared" si="6"/>
        <v>0</v>
      </c>
      <c r="Q20" s="35">
        <v>3200</v>
      </c>
      <c r="R20" s="200">
        <f t="shared" si="7"/>
        <v>0</v>
      </c>
      <c r="T20" s="122"/>
    </row>
    <row r="21" spans="1:20" x14ac:dyDescent="0.2">
      <c r="A21" s="25"/>
      <c r="B21" s="25" t="s">
        <v>1</v>
      </c>
      <c r="C21" s="25"/>
      <c r="D21" s="25"/>
      <c r="E21" s="25"/>
      <c r="F21" s="25"/>
      <c r="G21" s="25"/>
      <c r="H21" s="25"/>
      <c r="I21" s="25"/>
      <c r="J21" s="25"/>
      <c r="K21" s="223"/>
      <c r="L21" s="25"/>
      <c r="M21" s="25"/>
      <c r="N21" s="25"/>
      <c r="O21" s="25"/>
      <c r="P21" s="25"/>
      <c r="Q21" s="25"/>
      <c r="R21" s="25"/>
    </row>
    <row r="22" spans="1:20" x14ac:dyDescent="0.2">
      <c r="A22" s="25"/>
      <c r="B22" s="25" t="s">
        <v>458</v>
      </c>
      <c r="C22" s="25" t="s">
        <v>450</v>
      </c>
      <c r="D22" s="25">
        <v>15</v>
      </c>
      <c r="E22" s="130"/>
      <c r="F22" s="224" t="s">
        <v>82</v>
      </c>
      <c r="G22" s="41">
        <v>3.63</v>
      </c>
      <c r="H22" s="131"/>
      <c r="I22" s="35">
        <v>54.449999999999996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54.449999999999996</v>
      </c>
      <c r="P22" s="200">
        <f t="shared" si="6"/>
        <v>0</v>
      </c>
      <c r="Q22" s="35">
        <v>34848</v>
      </c>
      <c r="R22" s="200">
        <f t="shared" si="7"/>
        <v>0</v>
      </c>
    </row>
    <row r="23" spans="1:20" x14ac:dyDescent="0.2">
      <c r="A23" s="25"/>
      <c r="B23" s="25" t="s">
        <v>49</v>
      </c>
      <c r="C23" s="25"/>
      <c r="D23" s="25"/>
      <c r="E23" s="25"/>
      <c r="F23" s="25"/>
      <c r="G23" s="25"/>
      <c r="H23" s="25"/>
      <c r="I23" s="25"/>
      <c r="J23" s="25"/>
      <c r="K23" s="223"/>
      <c r="L23" s="25"/>
      <c r="M23" s="25"/>
      <c r="N23" s="25"/>
      <c r="O23" s="25"/>
      <c r="P23" s="25"/>
      <c r="Q23" s="25"/>
      <c r="R23" s="25"/>
    </row>
    <row r="24" spans="1:20" x14ac:dyDescent="0.2">
      <c r="A24" s="25"/>
      <c r="B24" s="25" t="s">
        <v>458</v>
      </c>
      <c r="C24" s="25" t="s">
        <v>402</v>
      </c>
      <c r="D24" s="25">
        <v>4</v>
      </c>
      <c r="E24" s="130"/>
      <c r="F24" s="224" t="s">
        <v>316</v>
      </c>
      <c r="G24" s="41">
        <v>2.81</v>
      </c>
      <c r="H24" s="131"/>
      <c r="I24" s="35">
        <v>11.24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11.24</v>
      </c>
      <c r="P24" s="200">
        <f t="shared" si="6"/>
        <v>0</v>
      </c>
      <c r="Q24" s="35">
        <v>7193.6</v>
      </c>
      <c r="R24" s="200">
        <f t="shared" si="7"/>
        <v>0</v>
      </c>
    </row>
    <row r="25" spans="1:20" x14ac:dyDescent="0.2">
      <c r="A25" s="25"/>
      <c r="B25" s="25" t="s">
        <v>458</v>
      </c>
      <c r="C25" s="25" t="s">
        <v>438</v>
      </c>
      <c r="D25" s="25">
        <v>1.4</v>
      </c>
      <c r="E25" s="130"/>
      <c r="F25" s="224" t="s">
        <v>316</v>
      </c>
      <c r="G25" s="41">
        <v>2.84</v>
      </c>
      <c r="H25" s="131"/>
      <c r="I25" s="35">
        <v>3.9759999999999995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3.9759999999999995</v>
      </c>
      <c r="P25" s="200">
        <f t="shared" si="6"/>
        <v>0</v>
      </c>
      <c r="Q25" s="35">
        <v>2544.64</v>
      </c>
      <c r="R25" s="200">
        <f t="shared" si="7"/>
        <v>0</v>
      </c>
    </row>
    <row r="26" spans="1:20" x14ac:dyDescent="0.2">
      <c r="A26" s="25"/>
      <c r="B26" s="131"/>
      <c r="C26" s="131"/>
      <c r="D26" s="25">
        <v>0</v>
      </c>
      <c r="E26" s="130"/>
      <c r="F26" s="224"/>
      <c r="G26" s="41">
        <v>0</v>
      </c>
      <c r="H26" s="131"/>
      <c r="I26" s="35">
        <v>0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0</v>
      </c>
      <c r="P26" s="200">
        <f t="shared" si="6"/>
        <v>0</v>
      </c>
      <c r="Q26" s="35">
        <v>0</v>
      </c>
      <c r="R26" s="200">
        <f t="shared" si="7"/>
        <v>0</v>
      </c>
    </row>
    <row r="27" spans="1:20" x14ac:dyDescent="0.2">
      <c r="A27" s="25"/>
      <c r="B27" s="131"/>
      <c r="C27" s="131"/>
      <c r="D27" s="25">
        <v>0</v>
      </c>
      <c r="E27" s="130"/>
      <c r="F27" s="224"/>
      <c r="G27" s="41">
        <v>0</v>
      </c>
      <c r="H27" s="131"/>
      <c r="I27" s="35">
        <v>0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0</v>
      </c>
      <c r="P27" s="200">
        <f t="shared" si="6"/>
        <v>0</v>
      </c>
      <c r="Q27" s="35">
        <v>0</v>
      </c>
      <c r="R27" s="200">
        <f t="shared" si="7"/>
        <v>0</v>
      </c>
    </row>
    <row r="28" spans="1:20" x14ac:dyDescent="0.2">
      <c r="A28" s="25"/>
      <c r="B28" s="131"/>
      <c r="C28" s="131"/>
      <c r="D28" s="25">
        <v>0</v>
      </c>
      <c r="E28" s="130"/>
      <c r="F28" s="224"/>
      <c r="G28" s="41">
        <v>0</v>
      </c>
      <c r="H28" s="131"/>
      <c r="I28" s="35">
        <v>0</v>
      </c>
      <c r="J28" s="200">
        <f>E28*H28</f>
        <v>0</v>
      </c>
      <c r="K28" s="223">
        <v>0</v>
      </c>
      <c r="L28" s="212"/>
      <c r="M28" s="35">
        <v>0</v>
      </c>
      <c r="N28" s="200">
        <f>J28*L28</f>
        <v>0</v>
      </c>
      <c r="O28" s="35">
        <v>0</v>
      </c>
      <c r="P28" s="200">
        <f>+J28-N28</f>
        <v>0</v>
      </c>
      <c r="Q28" s="35">
        <v>0</v>
      </c>
      <c r="R28" s="200">
        <f>+J28*E$7</f>
        <v>0</v>
      </c>
    </row>
    <row r="29" spans="1:20" x14ac:dyDescent="0.2">
      <c r="A29" s="25"/>
      <c r="B29" s="25" t="s">
        <v>106</v>
      </c>
      <c r="C29" s="25"/>
      <c r="D29" s="25"/>
      <c r="E29" s="104"/>
      <c r="H29" s="104"/>
      <c r="I29" s="184"/>
      <c r="J29" s="104"/>
      <c r="K29" s="223"/>
      <c r="L29" s="104"/>
      <c r="N29" s="104"/>
      <c r="P29" s="104"/>
      <c r="R29" s="104"/>
    </row>
    <row r="30" spans="1:20" x14ac:dyDescent="0.2">
      <c r="A30" s="25"/>
      <c r="B30" s="25"/>
      <c r="C30" s="25" t="s">
        <v>103</v>
      </c>
      <c r="D30" s="25">
        <v>0.22</v>
      </c>
      <c r="E30" s="130"/>
      <c r="F30" s="224" t="s">
        <v>44</v>
      </c>
      <c r="G30" s="41">
        <v>15</v>
      </c>
      <c r="H30" s="131"/>
      <c r="I30" s="35">
        <v>3.3</v>
      </c>
      <c r="J30" s="200">
        <f>E30*H30</f>
        <v>0</v>
      </c>
      <c r="K30" s="223">
        <v>0</v>
      </c>
      <c r="L30" s="212"/>
      <c r="M30" s="35">
        <v>0</v>
      </c>
      <c r="N30" s="200">
        <f>J30*L30</f>
        <v>0</v>
      </c>
      <c r="O30" s="35">
        <v>3.3</v>
      </c>
      <c r="P30" s="200">
        <f>+J30-N30</f>
        <v>0</v>
      </c>
      <c r="Q30" s="35">
        <v>2112</v>
      </c>
      <c r="R30" s="200">
        <f>+J30*E$7</f>
        <v>0</v>
      </c>
    </row>
    <row r="31" spans="1:20" x14ac:dyDescent="0.2">
      <c r="A31" s="25"/>
      <c r="B31" s="25"/>
      <c r="C31" s="25" t="s">
        <v>105</v>
      </c>
      <c r="D31" s="25">
        <v>0.23</v>
      </c>
      <c r="E31" s="130"/>
      <c r="F31" s="224" t="s">
        <v>44</v>
      </c>
      <c r="G31" s="41">
        <v>15</v>
      </c>
      <c r="H31" s="131"/>
      <c r="I31" s="35">
        <v>3.45</v>
      </c>
      <c r="J31" s="200">
        <f>E31*H31</f>
        <v>0</v>
      </c>
      <c r="K31" s="223">
        <v>0</v>
      </c>
      <c r="L31" s="212"/>
      <c r="M31" s="35">
        <v>0</v>
      </c>
      <c r="N31" s="200">
        <f>J31*L31</f>
        <v>0</v>
      </c>
      <c r="O31" s="35">
        <v>3.45</v>
      </c>
      <c r="P31" s="200">
        <f>+J31-N31</f>
        <v>0</v>
      </c>
      <c r="Q31" s="35">
        <v>2208</v>
      </c>
      <c r="R31" s="200">
        <f>+J31*E$7</f>
        <v>0</v>
      </c>
    </row>
    <row r="32" spans="1:20" x14ac:dyDescent="0.2">
      <c r="A32" s="25"/>
      <c r="B32" s="25"/>
      <c r="C32" s="25"/>
      <c r="D32" s="25"/>
      <c r="E32" s="207"/>
      <c r="F32" s="21"/>
      <c r="G32" s="41"/>
      <c r="H32" s="196"/>
      <c r="I32" s="35"/>
      <c r="J32" s="182"/>
      <c r="K32" s="223"/>
      <c r="L32" s="196"/>
      <c r="M32" s="35"/>
      <c r="N32" s="182"/>
      <c r="O32" s="35"/>
      <c r="P32" s="182"/>
      <c r="Q32" s="35"/>
      <c r="R32" s="182"/>
    </row>
    <row r="33" spans="1:18" x14ac:dyDescent="0.2">
      <c r="A33" s="25"/>
      <c r="B33" s="25" t="s">
        <v>51</v>
      </c>
      <c r="C33" s="25"/>
      <c r="D33" s="25"/>
      <c r="E33" s="207"/>
      <c r="F33" s="21"/>
      <c r="G33" s="41"/>
      <c r="H33" s="196"/>
      <c r="I33" s="184"/>
      <c r="J33" s="182"/>
      <c r="K33" s="223"/>
      <c r="L33" s="196"/>
      <c r="M33" s="35"/>
      <c r="N33" s="182"/>
      <c r="O33" s="35"/>
      <c r="P33" s="182"/>
      <c r="Q33" s="35"/>
      <c r="R33" s="182"/>
    </row>
    <row r="34" spans="1:18" x14ac:dyDescent="0.2">
      <c r="A34" s="25"/>
      <c r="B34" s="25"/>
      <c r="C34" s="25" t="s">
        <v>102</v>
      </c>
      <c r="D34" s="25">
        <v>1</v>
      </c>
      <c r="E34" s="130"/>
      <c r="F34" s="224" t="s">
        <v>42</v>
      </c>
      <c r="G34" s="41">
        <v>0</v>
      </c>
      <c r="H34" s="131"/>
      <c r="I34" s="35">
        <v>0</v>
      </c>
      <c r="J34" s="200">
        <f>E34*H34</f>
        <v>0</v>
      </c>
      <c r="K34" s="223">
        <v>0</v>
      </c>
      <c r="L34" s="212"/>
      <c r="M34" s="35">
        <v>0</v>
      </c>
      <c r="N34" s="200">
        <f>J34*L34</f>
        <v>0</v>
      </c>
      <c r="O34" s="35">
        <v>0</v>
      </c>
      <c r="P34" s="200">
        <f>+J34-N34</f>
        <v>0</v>
      </c>
      <c r="Q34" s="35">
        <v>0</v>
      </c>
      <c r="R34" s="200">
        <f>+J34*E$7</f>
        <v>0</v>
      </c>
    </row>
    <row r="35" spans="1:18" x14ac:dyDescent="0.2">
      <c r="A35" s="25"/>
      <c r="B35" s="25"/>
      <c r="C35" s="25" t="s">
        <v>103</v>
      </c>
      <c r="D35" s="25">
        <v>1.5</v>
      </c>
      <c r="E35" s="130"/>
      <c r="F35" s="224" t="s">
        <v>79</v>
      </c>
      <c r="G35" s="41">
        <v>3.0190000000000001</v>
      </c>
      <c r="H35" s="131"/>
      <c r="I35" s="35">
        <v>4.5285000000000002</v>
      </c>
      <c r="J35" s="200">
        <f>E35*H35</f>
        <v>0</v>
      </c>
      <c r="K35" s="223">
        <v>0</v>
      </c>
      <c r="L35" s="212"/>
      <c r="M35" s="35">
        <v>0</v>
      </c>
      <c r="N35" s="200">
        <f>J35*L35</f>
        <v>0</v>
      </c>
      <c r="O35" s="35">
        <v>4.5285000000000002</v>
      </c>
      <c r="P35" s="200">
        <f>+J35-N35</f>
        <v>0</v>
      </c>
      <c r="Q35" s="35">
        <v>2898.2400000000002</v>
      </c>
      <c r="R35" s="200">
        <f>+J35*E$7</f>
        <v>0</v>
      </c>
    </row>
    <row r="36" spans="1:18" x14ac:dyDescent="0.2">
      <c r="A36" s="25"/>
      <c r="B36" s="25"/>
      <c r="C36" s="25"/>
      <c r="D36" s="25"/>
      <c r="E36" s="207"/>
      <c r="F36" s="21"/>
      <c r="G36" s="41"/>
      <c r="H36" s="196"/>
      <c r="I36" s="35"/>
      <c r="J36" s="182"/>
      <c r="K36" s="223"/>
      <c r="L36" s="196"/>
      <c r="M36" s="35"/>
      <c r="N36" s="182"/>
      <c r="O36" s="35"/>
      <c r="P36" s="182"/>
      <c r="Q36" s="35"/>
      <c r="R36" s="182"/>
    </row>
    <row r="37" spans="1:18" x14ac:dyDescent="0.2">
      <c r="A37" s="25"/>
      <c r="B37" s="25" t="s">
        <v>29</v>
      </c>
      <c r="C37" s="25"/>
      <c r="D37" s="25"/>
      <c r="E37" s="207"/>
      <c r="F37" s="21"/>
      <c r="G37" s="41"/>
      <c r="H37" s="196"/>
      <c r="I37" s="184"/>
      <c r="J37" s="182"/>
      <c r="K37" s="223"/>
      <c r="L37" s="196"/>
      <c r="M37" s="35"/>
      <c r="N37" s="182"/>
      <c r="O37" s="35"/>
      <c r="P37" s="182"/>
      <c r="Q37" s="35"/>
      <c r="R37" s="182"/>
    </row>
    <row r="38" spans="1:18" x14ac:dyDescent="0.2">
      <c r="A38" s="25"/>
      <c r="B38" s="25"/>
      <c r="C38" s="25" t="s">
        <v>102</v>
      </c>
      <c r="D38" s="25">
        <v>1</v>
      </c>
      <c r="E38" s="130"/>
      <c r="F38" s="224" t="s">
        <v>42</v>
      </c>
      <c r="G38" s="41">
        <v>0</v>
      </c>
      <c r="H38" s="131"/>
      <c r="I38" s="35">
        <v>0</v>
      </c>
      <c r="J38" s="200">
        <f>E38*H38</f>
        <v>0</v>
      </c>
      <c r="K38" s="223">
        <v>0</v>
      </c>
      <c r="L38" s="212"/>
      <c r="M38" s="35">
        <v>0</v>
      </c>
      <c r="N38" s="200">
        <f>J38*L38</f>
        <v>0</v>
      </c>
      <c r="O38" s="35">
        <v>0</v>
      </c>
      <c r="P38" s="200">
        <f>+J38-N38</f>
        <v>0</v>
      </c>
      <c r="Q38" s="35">
        <v>0</v>
      </c>
      <c r="R38" s="200">
        <f>+J38*E$7</f>
        <v>0</v>
      </c>
    </row>
    <row r="39" spans="1:18" x14ac:dyDescent="0.2">
      <c r="A39" s="25"/>
      <c r="B39" s="25"/>
      <c r="C39" s="25" t="s">
        <v>103</v>
      </c>
      <c r="D39" s="25">
        <v>0</v>
      </c>
      <c r="E39" s="130"/>
      <c r="F39" s="224" t="s">
        <v>79</v>
      </c>
      <c r="G39" s="41">
        <v>3.09</v>
      </c>
      <c r="H39" s="131"/>
      <c r="I39" s="35">
        <v>0</v>
      </c>
      <c r="J39" s="200">
        <f>E39*H39</f>
        <v>0</v>
      </c>
      <c r="K39" s="223">
        <v>0</v>
      </c>
      <c r="L39" s="212"/>
      <c r="M39" s="35">
        <v>0</v>
      </c>
      <c r="N39" s="200">
        <f>J39*L39</f>
        <v>0</v>
      </c>
      <c r="O39" s="35">
        <v>0</v>
      </c>
      <c r="P39" s="200">
        <f>+J39-N39</f>
        <v>0</v>
      </c>
      <c r="Q39" s="35">
        <v>0</v>
      </c>
      <c r="R39" s="200">
        <f>+J39*E$7</f>
        <v>0</v>
      </c>
    </row>
    <row r="40" spans="1:18" x14ac:dyDescent="0.2">
      <c r="A40" s="25"/>
      <c r="B40" s="25"/>
      <c r="C40" s="25"/>
      <c r="D40" s="25"/>
      <c r="E40" s="207"/>
      <c r="F40" s="21"/>
      <c r="G40" s="41"/>
      <c r="H40" s="196"/>
      <c r="I40" s="35"/>
      <c r="J40" s="182"/>
      <c r="K40" s="223"/>
      <c r="L40" s="196"/>
      <c r="M40" s="35"/>
      <c r="N40" s="182"/>
      <c r="O40" s="35"/>
      <c r="P40" s="182"/>
      <c r="Q40" s="35"/>
      <c r="R40" s="182"/>
    </row>
    <row r="41" spans="1:18" x14ac:dyDescent="0.2">
      <c r="A41" s="25"/>
      <c r="B41" s="25" t="s">
        <v>47</v>
      </c>
      <c r="C41" s="25"/>
      <c r="D41" s="25"/>
      <c r="E41" s="207"/>
      <c r="F41" s="21"/>
      <c r="G41" s="41"/>
      <c r="H41" s="197"/>
      <c r="I41" s="184"/>
      <c r="J41" s="182"/>
      <c r="K41" s="223"/>
      <c r="L41" s="197"/>
      <c r="M41" s="35"/>
      <c r="N41" s="182"/>
      <c r="O41" s="35"/>
      <c r="P41" s="182"/>
      <c r="Q41" s="35"/>
      <c r="R41" s="182"/>
    </row>
    <row r="42" spans="1:18" x14ac:dyDescent="0.2">
      <c r="A42" s="25"/>
      <c r="B42" s="25"/>
      <c r="C42" s="25" t="s">
        <v>102</v>
      </c>
      <c r="D42" s="25">
        <v>1</v>
      </c>
      <c r="E42" s="130"/>
      <c r="F42" s="224" t="s">
        <v>42</v>
      </c>
      <c r="G42" s="41">
        <v>0</v>
      </c>
      <c r="H42" s="131"/>
      <c r="I42" s="35">
        <v>0</v>
      </c>
      <c r="J42" s="200">
        <f t="shared" ref="J42:J47" si="8">E42*H42</f>
        <v>0</v>
      </c>
      <c r="K42" s="223">
        <v>0</v>
      </c>
      <c r="L42" s="212"/>
      <c r="M42" s="35">
        <v>0</v>
      </c>
      <c r="N42" s="200">
        <f t="shared" ref="N42:N47" si="9">J42*L42</f>
        <v>0</v>
      </c>
      <c r="O42" s="35">
        <v>0</v>
      </c>
      <c r="P42" s="200">
        <f t="shared" ref="P42:P47" si="10">+J42-N42</f>
        <v>0</v>
      </c>
      <c r="Q42" s="35">
        <v>0</v>
      </c>
      <c r="R42" s="200">
        <f t="shared" ref="R42:R47" si="11">+J42*E$7</f>
        <v>0</v>
      </c>
    </row>
    <row r="43" spans="1:18" x14ac:dyDescent="0.2">
      <c r="A43" s="25"/>
      <c r="B43" s="25"/>
      <c r="C43" s="25" t="s">
        <v>46</v>
      </c>
      <c r="D43" s="25">
        <v>1</v>
      </c>
      <c r="E43" s="130"/>
      <c r="F43" s="224" t="s">
        <v>42</v>
      </c>
      <c r="G43" s="41">
        <v>0</v>
      </c>
      <c r="H43" s="131"/>
      <c r="I43" s="35">
        <v>0</v>
      </c>
      <c r="J43" s="200">
        <f t="shared" si="8"/>
        <v>0</v>
      </c>
      <c r="K43" s="223">
        <v>0</v>
      </c>
      <c r="L43" s="212"/>
      <c r="M43" s="35">
        <v>0</v>
      </c>
      <c r="N43" s="200">
        <f t="shared" si="9"/>
        <v>0</v>
      </c>
      <c r="O43" s="35">
        <v>0</v>
      </c>
      <c r="P43" s="200">
        <f t="shared" si="10"/>
        <v>0</v>
      </c>
      <c r="Q43" s="35">
        <v>0</v>
      </c>
      <c r="R43" s="200">
        <f t="shared" si="11"/>
        <v>0</v>
      </c>
    </row>
    <row r="44" spans="1:18" x14ac:dyDescent="0.2">
      <c r="A44" s="25"/>
      <c r="B44" s="25"/>
      <c r="C44" s="25" t="s">
        <v>103</v>
      </c>
      <c r="D44" s="25">
        <v>1</v>
      </c>
      <c r="E44" s="130"/>
      <c r="F44" s="224" t="s">
        <v>42</v>
      </c>
      <c r="G44" s="41">
        <v>3.2875264445713261</v>
      </c>
      <c r="H44" s="131"/>
      <c r="I44" s="35">
        <v>3.2875264445713261</v>
      </c>
      <c r="J44" s="200">
        <f t="shared" si="8"/>
        <v>0</v>
      </c>
      <c r="K44" s="223">
        <v>0</v>
      </c>
      <c r="L44" s="212"/>
      <c r="M44" s="35">
        <v>0</v>
      </c>
      <c r="N44" s="200">
        <f t="shared" si="9"/>
        <v>0</v>
      </c>
      <c r="O44" s="35">
        <v>3.2875264445713261</v>
      </c>
      <c r="P44" s="200">
        <f t="shared" si="10"/>
        <v>0</v>
      </c>
      <c r="Q44" s="35">
        <v>2104.0169245256488</v>
      </c>
      <c r="R44" s="200">
        <f t="shared" si="11"/>
        <v>0</v>
      </c>
    </row>
    <row r="45" spans="1:18" x14ac:dyDescent="0.2">
      <c r="A45" s="25"/>
      <c r="B45" s="25"/>
      <c r="C45" s="25" t="s">
        <v>5</v>
      </c>
      <c r="D45" s="25">
        <v>1</v>
      </c>
      <c r="E45" s="130"/>
      <c r="F45" s="224" t="s">
        <v>42</v>
      </c>
      <c r="G45" s="41">
        <v>2.6918865275710981</v>
      </c>
      <c r="H45" s="131"/>
      <c r="I45" s="35">
        <v>2.6918865275710981</v>
      </c>
      <c r="J45" s="200">
        <f t="shared" si="8"/>
        <v>0</v>
      </c>
      <c r="K45" s="223">
        <v>0</v>
      </c>
      <c r="L45" s="212"/>
      <c r="M45" s="35">
        <v>0</v>
      </c>
      <c r="N45" s="200">
        <f t="shared" si="9"/>
        <v>0</v>
      </c>
      <c r="O45" s="35">
        <v>2.6918865275710981</v>
      </c>
      <c r="P45" s="200">
        <f t="shared" si="10"/>
        <v>0</v>
      </c>
      <c r="Q45" s="35">
        <v>1722.8073776455028</v>
      </c>
      <c r="R45" s="200">
        <f t="shared" si="11"/>
        <v>0</v>
      </c>
    </row>
    <row r="46" spans="1:18" x14ac:dyDescent="0.2">
      <c r="A46" s="25"/>
      <c r="B46" s="131"/>
      <c r="C46" s="131"/>
      <c r="D46" s="25"/>
      <c r="E46" s="130"/>
      <c r="F46" s="224"/>
      <c r="G46" s="41"/>
      <c r="H46" s="131"/>
      <c r="I46" s="35">
        <v>0</v>
      </c>
      <c r="J46" s="200">
        <f t="shared" si="8"/>
        <v>0</v>
      </c>
      <c r="K46" s="223">
        <v>0</v>
      </c>
      <c r="L46" s="212"/>
      <c r="M46" s="35">
        <v>0</v>
      </c>
      <c r="N46" s="200">
        <f t="shared" si="9"/>
        <v>0</v>
      </c>
      <c r="O46" s="35">
        <v>0</v>
      </c>
      <c r="P46" s="200">
        <f t="shared" si="10"/>
        <v>0</v>
      </c>
      <c r="Q46" s="35">
        <v>0</v>
      </c>
      <c r="R46" s="200">
        <f t="shared" si="11"/>
        <v>0</v>
      </c>
    </row>
    <row r="47" spans="1:18" x14ac:dyDescent="0.2">
      <c r="A47" s="25"/>
      <c r="B47" s="131"/>
      <c r="C47" s="131"/>
      <c r="D47" s="25"/>
      <c r="E47" s="130"/>
      <c r="F47" s="224"/>
      <c r="G47" s="41"/>
      <c r="H47" s="131"/>
      <c r="I47" s="35">
        <v>0</v>
      </c>
      <c r="J47" s="200">
        <f t="shared" si="8"/>
        <v>0</v>
      </c>
      <c r="K47" s="223">
        <v>0</v>
      </c>
      <c r="L47" s="212"/>
      <c r="M47" s="35">
        <v>0</v>
      </c>
      <c r="N47" s="200">
        <f t="shared" si="9"/>
        <v>0</v>
      </c>
      <c r="O47" s="35">
        <v>0</v>
      </c>
      <c r="P47" s="200">
        <f t="shared" si="10"/>
        <v>0</v>
      </c>
      <c r="Q47" s="35">
        <v>0</v>
      </c>
      <c r="R47" s="200">
        <f t="shared" si="11"/>
        <v>0</v>
      </c>
    </row>
    <row r="48" spans="1:18" ht="13.5" thickBot="1" x14ac:dyDescent="0.25">
      <c r="A48" s="25"/>
      <c r="B48" s="25" t="s">
        <v>32</v>
      </c>
      <c r="C48" s="25"/>
      <c r="D48" s="25"/>
      <c r="E48" s="195"/>
      <c r="F48" s="21"/>
      <c r="G48" s="39">
        <v>0.09</v>
      </c>
      <c r="H48" s="213"/>
      <c r="I48" s="42">
        <v>11.074805154892317</v>
      </c>
      <c r="J48" s="200">
        <f>+SUM(J17:J47)/2*H48</f>
        <v>0</v>
      </c>
      <c r="K48" s="86"/>
      <c r="L48" s="135"/>
      <c r="M48" s="42">
        <v>0</v>
      </c>
      <c r="N48" s="200">
        <f>+SUM(N17:N47)/2*L48</f>
        <v>0</v>
      </c>
      <c r="O48" s="42">
        <v>11.074805154892317</v>
      </c>
      <c r="P48" s="200">
        <f>+SUM(P17:P47)/2*L48</f>
        <v>0</v>
      </c>
      <c r="Q48" s="42">
        <v>7087.875299131083</v>
      </c>
      <c r="R48" s="182">
        <f>+J48*E$7</f>
        <v>0</v>
      </c>
    </row>
    <row r="49" spans="1:18" ht="13.5" thickBot="1" x14ac:dyDescent="0.25">
      <c r="A49" s="25" t="s">
        <v>33</v>
      </c>
      <c r="B49" s="25"/>
      <c r="C49" s="25"/>
      <c r="D49" s="25"/>
      <c r="E49" s="198"/>
      <c r="F49" s="25"/>
      <c r="G49" s="25"/>
      <c r="H49" s="195"/>
      <c r="I49" s="87">
        <v>152.69871812703471</v>
      </c>
      <c r="J49" s="202">
        <f>SUM(J18:J48)</f>
        <v>0</v>
      </c>
      <c r="K49" s="35"/>
      <c r="L49" s="193"/>
      <c r="M49" s="87">
        <v>0</v>
      </c>
      <c r="N49" s="202">
        <f>SUM(N18:N48)</f>
        <v>0</v>
      </c>
      <c r="O49" s="87">
        <v>152.69871812703471</v>
      </c>
      <c r="P49" s="202">
        <f>SUM(P18:P48)</f>
        <v>0</v>
      </c>
      <c r="Q49" s="87">
        <v>97727.179601302254</v>
      </c>
      <c r="R49" s="202">
        <f>SUM(R18:R48)</f>
        <v>0</v>
      </c>
    </row>
    <row r="50" spans="1:18" ht="13.5" thickTop="1" x14ac:dyDescent="0.2">
      <c r="A50" s="25" t="s">
        <v>34</v>
      </c>
      <c r="B50" s="25"/>
      <c r="C50" s="25"/>
      <c r="D50" s="25"/>
      <c r="E50" s="198"/>
      <c r="F50" s="25"/>
      <c r="G50" s="25"/>
      <c r="H50" s="195"/>
      <c r="I50" s="35">
        <v>-152.69871812703471</v>
      </c>
      <c r="J50" s="200">
        <f>+J13-J49</f>
        <v>0</v>
      </c>
      <c r="K50" s="35"/>
      <c r="L50" s="193"/>
      <c r="M50" s="35">
        <v>0</v>
      </c>
      <c r="N50" s="200">
        <f>+N13-N49</f>
        <v>0</v>
      </c>
      <c r="O50" s="35">
        <v>-152.69871812703471</v>
      </c>
      <c r="P50" s="200">
        <f>+P13-P49</f>
        <v>0</v>
      </c>
      <c r="Q50" s="35">
        <v>-97727.179601302254</v>
      </c>
      <c r="R50" s="200">
        <f>+R13-R49</f>
        <v>0</v>
      </c>
    </row>
    <row r="51" spans="1:18" x14ac:dyDescent="0.2">
      <c r="A51" s="25"/>
      <c r="B51" s="25" t="s">
        <v>35</v>
      </c>
      <c r="C51" s="25"/>
      <c r="D51" s="25"/>
      <c r="E51" s="208"/>
      <c r="F51" s="17"/>
      <c r="G51" s="40" t="s">
        <v>308</v>
      </c>
      <c r="H51" s="208" t="str">
        <f>IF(E10=0,"n/a",(YVarExp-(YTotExp+YTotRet-J10))/E10)</f>
        <v>n/a</v>
      </c>
      <c r="I51" s="25" t="s">
        <v>458</v>
      </c>
      <c r="J51" s="182"/>
      <c r="K51" s="25"/>
      <c r="L51" s="195"/>
      <c r="M51" s="25"/>
      <c r="N51" s="182"/>
      <c r="O51" s="25"/>
      <c r="P51" s="182"/>
      <c r="Q51" s="25"/>
      <c r="R51" s="182"/>
    </row>
    <row r="52" spans="1:18" x14ac:dyDescent="0.2">
      <c r="A52" s="25"/>
      <c r="B52" s="25"/>
      <c r="C52" s="25"/>
      <c r="D52" s="25"/>
      <c r="E52" s="176"/>
      <c r="F52" s="25"/>
      <c r="G52" s="25"/>
      <c r="H52" s="209"/>
      <c r="I52" s="25"/>
      <c r="J52" s="182"/>
      <c r="K52" s="25"/>
      <c r="L52" s="195"/>
      <c r="M52" s="25"/>
      <c r="N52" s="182"/>
      <c r="O52" s="25"/>
      <c r="P52" s="182"/>
      <c r="Q52" s="22" t="s">
        <v>19</v>
      </c>
      <c r="R52" s="182" t="s">
        <v>19</v>
      </c>
    </row>
    <row r="53" spans="1:18" x14ac:dyDescent="0.2">
      <c r="A53" s="23" t="s">
        <v>36</v>
      </c>
      <c r="B53" s="23"/>
      <c r="C53" s="23"/>
      <c r="D53" s="24" t="s">
        <v>2</v>
      </c>
      <c r="E53" s="194" t="s">
        <v>2</v>
      </c>
      <c r="F53" s="24" t="s">
        <v>21</v>
      </c>
      <c r="G53" s="24" t="s">
        <v>22</v>
      </c>
      <c r="H53" s="194" t="s">
        <v>22</v>
      </c>
      <c r="I53" s="24" t="s">
        <v>12</v>
      </c>
      <c r="J53" s="194" t="s">
        <v>12</v>
      </c>
      <c r="K53" s="24" t="s">
        <v>11</v>
      </c>
      <c r="L53" s="194" t="s">
        <v>11</v>
      </c>
      <c r="M53" s="24" t="s">
        <v>10</v>
      </c>
      <c r="N53" s="194" t="s">
        <v>10</v>
      </c>
      <c r="O53" s="24" t="s">
        <v>9</v>
      </c>
      <c r="P53" s="194" t="s">
        <v>9</v>
      </c>
      <c r="Q53" s="24" t="s">
        <v>12</v>
      </c>
      <c r="R53" s="206" t="s">
        <v>12</v>
      </c>
    </row>
    <row r="54" spans="1:18" x14ac:dyDescent="0.2">
      <c r="A54" s="25"/>
      <c r="B54" s="25" t="s">
        <v>104</v>
      </c>
      <c r="C54" s="25"/>
      <c r="D54" s="25"/>
      <c r="E54" s="176"/>
      <c r="F54" s="25"/>
      <c r="G54" s="25"/>
      <c r="H54" s="209"/>
      <c r="I54" s="184"/>
      <c r="J54" s="182"/>
      <c r="K54" s="223"/>
      <c r="L54" s="195"/>
      <c r="M54" s="25"/>
      <c r="N54" s="182"/>
      <c r="O54" s="25"/>
      <c r="P54" s="182"/>
      <c r="Q54" s="25"/>
      <c r="R54" s="182"/>
    </row>
    <row r="55" spans="1:18" x14ac:dyDescent="0.2">
      <c r="A55" s="25"/>
      <c r="B55" s="25"/>
      <c r="C55" s="25" t="s">
        <v>103</v>
      </c>
      <c r="D55" s="25">
        <v>1</v>
      </c>
      <c r="E55" s="130"/>
      <c r="F55" s="224" t="s">
        <v>42</v>
      </c>
      <c r="G55" s="41">
        <v>4.1421172660048464</v>
      </c>
      <c r="H55" s="131"/>
      <c r="I55" s="35">
        <v>4.1421172660048464</v>
      </c>
      <c r="J55" s="200">
        <f t="shared" ref="J55:J56" si="12">E55*H55</f>
        <v>0</v>
      </c>
      <c r="K55" s="223">
        <v>0</v>
      </c>
      <c r="L55" s="212"/>
      <c r="M55" s="35">
        <v>0</v>
      </c>
      <c r="N55" s="200">
        <f>J55*L55</f>
        <v>0</v>
      </c>
      <c r="O55" s="35">
        <v>4.1421172660048464</v>
      </c>
      <c r="P55" s="200">
        <f t="shared" ref="P55:P56" si="13">+J55-N55</f>
        <v>0</v>
      </c>
      <c r="Q55" s="35">
        <v>2650.9550502431016</v>
      </c>
      <c r="R55" s="200">
        <f t="shared" ref="R55:R56" si="14">+J55*E$7</f>
        <v>0</v>
      </c>
    </row>
    <row r="56" spans="1:18" x14ac:dyDescent="0.2">
      <c r="A56" s="25"/>
      <c r="B56" s="25"/>
      <c r="C56" s="25" t="s">
        <v>5</v>
      </c>
      <c r="D56" s="25">
        <v>1</v>
      </c>
      <c r="E56" s="130"/>
      <c r="F56" s="224" t="s">
        <v>42</v>
      </c>
      <c r="G56" s="41">
        <v>3.3474828345889138</v>
      </c>
      <c r="H56" s="131"/>
      <c r="I56" s="35">
        <v>3.3474828345889138</v>
      </c>
      <c r="J56" s="200">
        <f t="shared" si="12"/>
        <v>0</v>
      </c>
      <c r="K56" s="223">
        <v>0</v>
      </c>
      <c r="L56" s="212"/>
      <c r="M56" s="35">
        <v>0</v>
      </c>
      <c r="N56" s="200">
        <f>J56*L56</f>
        <v>0</v>
      </c>
      <c r="O56" s="35">
        <v>3.3474828345889138</v>
      </c>
      <c r="P56" s="200">
        <f t="shared" si="13"/>
        <v>0</v>
      </c>
      <c r="Q56" s="35">
        <v>2142.3890141369047</v>
      </c>
      <c r="R56" s="200">
        <f t="shared" si="14"/>
        <v>0</v>
      </c>
    </row>
    <row r="57" spans="1:18" x14ac:dyDescent="0.2">
      <c r="A57" s="25"/>
      <c r="B57" s="25" t="s">
        <v>88</v>
      </c>
      <c r="C57" s="25"/>
      <c r="D57" s="25"/>
      <c r="E57" s="195"/>
      <c r="F57" s="21"/>
      <c r="G57" s="41"/>
      <c r="H57" s="195"/>
      <c r="I57" s="184"/>
      <c r="J57" s="182"/>
      <c r="K57" s="223"/>
      <c r="L57" s="195"/>
      <c r="M57" s="35"/>
      <c r="N57" s="182"/>
      <c r="O57" s="35"/>
      <c r="P57" s="182"/>
      <c r="Q57" s="35"/>
      <c r="R57" s="182"/>
    </row>
    <row r="58" spans="1:18" x14ac:dyDescent="0.2">
      <c r="A58" s="25"/>
      <c r="B58" s="25"/>
      <c r="C58" s="25" t="s">
        <v>103</v>
      </c>
      <c r="D58" s="41">
        <v>31.922273891474941</v>
      </c>
      <c r="E58" s="130"/>
      <c r="F58" s="224" t="s">
        <v>99</v>
      </c>
      <c r="G58" s="39">
        <v>0.08</v>
      </c>
      <c r="H58" s="213"/>
      <c r="I58" s="35">
        <v>2.5537819113179951</v>
      </c>
      <c r="J58" s="200">
        <f t="shared" ref="J58:J66" si="15">E58*H58</f>
        <v>0</v>
      </c>
      <c r="K58" s="223">
        <v>0</v>
      </c>
      <c r="L58" s="212"/>
      <c r="M58" s="35">
        <v>0</v>
      </c>
      <c r="N58" s="200">
        <f>J58*L58</f>
        <v>0</v>
      </c>
      <c r="O58" s="35">
        <v>2.5537819113179951</v>
      </c>
      <c r="P58" s="200">
        <f t="shared" ref="P58:P59" si="16">+J58-N58</f>
        <v>0</v>
      </c>
      <c r="Q58" s="35">
        <v>1634.4204232435168</v>
      </c>
      <c r="R58" s="200">
        <f t="shared" ref="R58:R59" si="17">+J58*E$7</f>
        <v>0</v>
      </c>
    </row>
    <row r="59" spans="1:18" x14ac:dyDescent="0.2">
      <c r="A59" s="25"/>
      <c r="B59" s="25"/>
      <c r="C59" s="25" t="s">
        <v>5</v>
      </c>
      <c r="D59" s="41">
        <v>14.31978768129702</v>
      </c>
      <c r="E59" s="130"/>
      <c r="F59" s="224" t="s">
        <v>99</v>
      </c>
      <c r="G59" s="39">
        <v>0.08</v>
      </c>
      <c r="H59" s="213"/>
      <c r="I59" s="35">
        <v>1.1455830145037618</v>
      </c>
      <c r="J59" s="200">
        <f t="shared" si="15"/>
        <v>0</v>
      </c>
      <c r="K59" s="223">
        <v>0</v>
      </c>
      <c r="L59" s="212"/>
      <c r="M59" s="35">
        <v>0</v>
      </c>
      <c r="N59" s="200">
        <f>J59*L59</f>
        <v>0</v>
      </c>
      <c r="O59" s="35">
        <v>1.1455830145037618</v>
      </c>
      <c r="P59" s="200">
        <f t="shared" si="16"/>
        <v>0</v>
      </c>
      <c r="Q59" s="35">
        <v>733.17312928240756</v>
      </c>
      <c r="R59" s="200">
        <f t="shared" si="17"/>
        <v>0</v>
      </c>
    </row>
    <row r="60" spans="1:18" x14ac:dyDescent="0.2">
      <c r="A60" s="25"/>
      <c r="B60" s="25" t="s">
        <v>156</v>
      </c>
      <c r="C60" s="25"/>
      <c r="D60" s="25">
        <v>1</v>
      </c>
      <c r="E60" s="130"/>
      <c r="F60" s="224" t="s">
        <v>42</v>
      </c>
      <c r="G60" s="41">
        <v>0</v>
      </c>
      <c r="H60" s="131"/>
      <c r="I60" s="35">
        <v>0</v>
      </c>
      <c r="J60" s="200">
        <f t="shared" si="15"/>
        <v>0</v>
      </c>
      <c r="K60" s="223">
        <v>0</v>
      </c>
      <c r="L60" s="212"/>
      <c r="M60" s="35">
        <v>0</v>
      </c>
      <c r="N60" s="200">
        <f t="shared" ref="N60:N67" si="18">J60*L60</f>
        <v>0</v>
      </c>
      <c r="O60" s="35">
        <v>0</v>
      </c>
      <c r="P60" s="200">
        <f t="shared" ref="P60:P67" si="19">+J60-N60</f>
        <v>0</v>
      </c>
      <c r="Q60" s="35">
        <v>0</v>
      </c>
      <c r="R60" s="200">
        <f t="shared" ref="R60:R67" si="20">+J60*E$7</f>
        <v>0</v>
      </c>
    </row>
    <row r="61" spans="1:18" x14ac:dyDescent="0.2">
      <c r="A61" s="25"/>
      <c r="B61" s="25" t="s">
        <v>152</v>
      </c>
      <c r="C61" s="25"/>
      <c r="D61" s="25">
        <v>1</v>
      </c>
      <c r="E61" s="130"/>
      <c r="F61" s="224" t="s">
        <v>42</v>
      </c>
      <c r="G61" s="41">
        <v>0</v>
      </c>
      <c r="H61" s="131"/>
      <c r="I61" s="35">
        <v>0</v>
      </c>
      <c r="J61" s="200">
        <f t="shared" si="15"/>
        <v>0</v>
      </c>
      <c r="K61" s="223">
        <v>0</v>
      </c>
      <c r="L61" s="212"/>
      <c r="M61" s="35">
        <v>0</v>
      </c>
      <c r="N61" s="200">
        <f t="shared" si="18"/>
        <v>0</v>
      </c>
      <c r="O61" s="35">
        <v>0</v>
      </c>
      <c r="P61" s="200">
        <f t="shared" si="19"/>
        <v>0</v>
      </c>
      <c r="Q61" s="35">
        <v>0</v>
      </c>
      <c r="R61" s="200">
        <f t="shared" si="20"/>
        <v>0</v>
      </c>
    </row>
    <row r="62" spans="1:18" x14ac:dyDescent="0.2">
      <c r="A62" s="25"/>
      <c r="B62" s="25" t="s">
        <v>137</v>
      </c>
      <c r="C62" s="25"/>
      <c r="D62" s="25">
        <v>1</v>
      </c>
      <c r="E62" s="130"/>
      <c r="F62" s="224" t="s">
        <v>42</v>
      </c>
      <c r="G62" s="41">
        <v>0</v>
      </c>
      <c r="H62" s="131"/>
      <c r="I62" s="35">
        <v>0</v>
      </c>
      <c r="J62" s="200">
        <f t="shared" si="15"/>
        <v>0</v>
      </c>
      <c r="K62" s="223">
        <v>0</v>
      </c>
      <c r="L62" s="212"/>
      <c r="M62" s="35">
        <v>0</v>
      </c>
      <c r="N62" s="200">
        <f t="shared" si="18"/>
        <v>0</v>
      </c>
      <c r="O62" s="35">
        <v>0</v>
      </c>
      <c r="P62" s="200">
        <f t="shared" si="19"/>
        <v>0</v>
      </c>
      <c r="Q62" s="35">
        <v>0</v>
      </c>
      <c r="R62" s="200">
        <f t="shared" si="20"/>
        <v>0</v>
      </c>
    </row>
    <row r="63" spans="1:18" x14ac:dyDescent="0.2">
      <c r="A63" s="25"/>
      <c r="B63" s="25" t="s">
        <v>418</v>
      </c>
      <c r="C63" s="25"/>
      <c r="D63" s="25">
        <v>1</v>
      </c>
      <c r="E63" s="130"/>
      <c r="F63" s="224" t="s">
        <v>42</v>
      </c>
      <c r="G63" s="41">
        <v>30</v>
      </c>
      <c r="H63" s="131"/>
      <c r="I63" s="35">
        <v>30</v>
      </c>
      <c r="J63" s="200">
        <f t="shared" si="15"/>
        <v>0</v>
      </c>
      <c r="K63" s="223">
        <v>0</v>
      </c>
      <c r="L63" s="212"/>
      <c r="M63" s="35">
        <v>0</v>
      </c>
      <c r="N63" s="200">
        <f t="shared" si="18"/>
        <v>0</v>
      </c>
      <c r="O63" s="35">
        <v>30</v>
      </c>
      <c r="P63" s="200">
        <f t="shared" si="19"/>
        <v>0</v>
      </c>
      <c r="Q63" s="35">
        <v>19200</v>
      </c>
      <c r="R63" s="200">
        <f t="shared" si="20"/>
        <v>0</v>
      </c>
    </row>
    <row r="64" spans="1:18" x14ac:dyDescent="0.2">
      <c r="A64" s="25"/>
      <c r="B64" s="25" t="s">
        <v>159</v>
      </c>
      <c r="C64" s="25"/>
      <c r="D64" s="25">
        <v>1</v>
      </c>
      <c r="E64" s="130"/>
      <c r="F64" s="224" t="s">
        <v>42</v>
      </c>
      <c r="G64" s="41">
        <v>0</v>
      </c>
      <c r="H64" s="131"/>
      <c r="I64" s="35">
        <v>0</v>
      </c>
      <c r="J64" s="200">
        <f t="shared" si="15"/>
        <v>0</v>
      </c>
      <c r="K64" s="223">
        <v>0</v>
      </c>
      <c r="L64" s="212"/>
      <c r="M64" s="35">
        <v>0</v>
      </c>
      <c r="N64" s="200">
        <f t="shared" si="18"/>
        <v>0</v>
      </c>
      <c r="O64" s="35">
        <v>0</v>
      </c>
      <c r="P64" s="200">
        <f t="shared" si="19"/>
        <v>0</v>
      </c>
      <c r="Q64" s="35">
        <v>0</v>
      </c>
      <c r="R64" s="200">
        <f t="shared" si="20"/>
        <v>0</v>
      </c>
    </row>
    <row r="65" spans="1:18" x14ac:dyDescent="0.2">
      <c r="A65" s="25"/>
      <c r="B65" s="25" t="s">
        <v>160</v>
      </c>
      <c r="C65" s="25"/>
      <c r="D65" s="25">
        <v>1</v>
      </c>
      <c r="E65" s="130"/>
      <c r="F65" s="224" t="s">
        <v>42</v>
      </c>
      <c r="G65" s="41">
        <v>0</v>
      </c>
      <c r="H65" s="131"/>
      <c r="I65" s="35">
        <v>0</v>
      </c>
      <c r="J65" s="200">
        <f t="shared" si="15"/>
        <v>0</v>
      </c>
      <c r="K65" s="223">
        <v>0</v>
      </c>
      <c r="L65" s="212"/>
      <c r="M65" s="35">
        <v>0</v>
      </c>
      <c r="N65" s="200">
        <f t="shared" si="18"/>
        <v>0</v>
      </c>
      <c r="O65" s="35">
        <v>0</v>
      </c>
      <c r="P65" s="200">
        <f t="shared" si="19"/>
        <v>0</v>
      </c>
      <c r="Q65" s="35">
        <v>0</v>
      </c>
      <c r="R65" s="200">
        <f t="shared" si="20"/>
        <v>0</v>
      </c>
    </row>
    <row r="66" spans="1:18" x14ac:dyDescent="0.2">
      <c r="A66" s="25"/>
      <c r="B66" s="131"/>
      <c r="C66" s="131"/>
      <c r="D66" s="25">
        <v>1</v>
      </c>
      <c r="E66" s="130"/>
      <c r="F66" s="224"/>
      <c r="G66" s="41">
        <v>0</v>
      </c>
      <c r="H66" s="131"/>
      <c r="I66" s="35">
        <v>0</v>
      </c>
      <c r="J66" s="200">
        <f t="shared" si="15"/>
        <v>0</v>
      </c>
      <c r="K66" s="223">
        <v>0</v>
      </c>
      <c r="L66" s="212"/>
      <c r="M66" s="35">
        <v>0</v>
      </c>
      <c r="N66" s="200">
        <f t="shared" si="18"/>
        <v>0</v>
      </c>
      <c r="O66" s="35">
        <v>0</v>
      </c>
      <c r="P66" s="200">
        <f t="shared" si="19"/>
        <v>0</v>
      </c>
      <c r="Q66" s="35">
        <v>0</v>
      </c>
      <c r="R66" s="200">
        <f t="shared" si="20"/>
        <v>0</v>
      </c>
    </row>
    <row r="67" spans="1:18" ht="13.5" thickBot="1" x14ac:dyDescent="0.25">
      <c r="A67" s="25"/>
      <c r="B67" s="131"/>
      <c r="C67" s="131"/>
      <c r="D67" s="25">
        <v>1</v>
      </c>
      <c r="E67" s="130"/>
      <c r="F67" s="224"/>
      <c r="G67" s="41">
        <v>0</v>
      </c>
      <c r="H67" s="131"/>
      <c r="I67" s="35">
        <v>0</v>
      </c>
      <c r="J67" s="200">
        <f>E67*H67</f>
        <v>0</v>
      </c>
      <c r="K67" s="223">
        <v>0</v>
      </c>
      <c r="L67" s="212"/>
      <c r="M67" s="35">
        <v>0</v>
      </c>
      <c r="N67" s="200">
        <f t="shared" si="18"/>
        <v>0</v>
      </c>
      <c r="O67" s="35">
        <v>0</v>
      </c>
      <c r="P67" s="200">
        <f t="shared" si="19"/>
        <v>0</v>
      </c>
      <c r="Q67" s="35">
        <v>0</v>
      </c>
      <c r="R67" s="200">
        <f t="shared" si="20"/>
        <v>0</v>
      </c>
    </row>
    <row r="68" spans="1:18" ht="13.5" thickBot="1" x14ac:dyDescent="0.25">
      <c r="A68" s="25" t="s">
        <v>37</v>
      </c>
      <c r="B68" s="25"/>
      <c r="C68" s="25"/>
      <c r="D68" s="25"/>
      <c r="E68" s="195"/>
      <c r="F68" s="25"/>
      <c r="G68" s="25"/>
      <c r="H68" s="195"/>
      <c r="I68" s="118">
        <v>41.188965026415516</v>
      </c>
      <c r="J68" s="202">
        <f>+SUM(J55:J67)</f>
        <v>0</v>
      </c>
      <c r="K68" s="35"/>
      <c r="L68" s="193"/>
      <c r="M68" s="118">
        <v>0</v>
      </c>
      <c r="N68" s="202">
        <f>+SUM(N55:N67)</f>
        <v>0</v>
      </c>
      <c r="O68" s="118">
        <v>41.188965026415516</v>
      </c>
      <c r="P68" s="202">
        <f>+SUM(P55:P67)</f>
        <v>0</v>
      </c>
      <c r="Q68" s="118">
        <v>26360.937616905932</v>
      </c>
      <c r="R68" s="202">
        <f>+SUM(R55:R67)</f>
        <v>0</v>
      </c>
    </row>
    <row r="69" spans="1:18" ht="14.25" thickTop="1" thickBot="1" x14ac:dyDescent="0.25">
      <c r="A69" s="25" t="s">
        <v>52</v>
      </c>
      <c r="B69" s="25"/>
      <c r="C69" s="25"/>
      <c r="D69" s="25"/>
      <c r="E69" s="195"/>
      <c r="F69" s="25"/>
      <c r="G69" s="25"/>
      <c r="H69" s="195"/>
      <c r="I69" s="87">
        <v>193.88768315345021</v>
      </c>
      <c r="J69" s="203">
        <f>+J49+J68</f>
        <v>0</v>
      </c>
      <c r="K69" s="35"/>
      <c r="L69" s="193"/>
      <c r="M69" s="87">
        <v>0</v>
      </c>
      <c r="N69" s="203">
        <f>+N49+N68</f>
        <v>0</v>
      </c>
      <c r="O69" s="87">
        <v>193.88768315345021</v>
      </c>
      <c r="P69" s="203">
        <f>+P49+P68</f>
        <v>0</v>
      </c>
      <c r="Q69" s="87">
        <v>124088.11721820818</v>
      </c>
      <c r="R69" s="203">
        <f>+R49+R68</f>
        <v>0</v>
      </c>
    </row>
    <row r="70" spans="1:18" ht="13.5" thickTop="1" x14ac:dyDescent="0.2">
      <c r="A70" s="25"/>
      <c r="B70" s="25"/>
      <c r="C70" s="25"/>
      <c r="D70" s="25"/>
      <c r="E70" s="195"/>
      <c r="F70" s="25"/>
      <c r="G70" s="25"/>
      <c r="H70" s="195"/>
      <c r="I70" s="35"/>
      <c r="J70" s="182"/>
      <c r="K70" s="35"/>
      <c r="L70" s="193"/>
      <c r="M70" s="35"/>
      <c r="N70" s="182"/>
      <c r="O70" s="35"/>
      <c r="P70" s="182"/>
      <c r="Q70" s="35"/>
      <c r="R70" s="182"/>
    </row>
    <row r="71" spans="1:18" x14ac:dyDescent="0.2">
      <c r="A71" s="25" t="s">
        <v>153</v>
      </c>
      <c r="B71" s="25"/>
      <c r="C71" s="25"/>
      <c r="D71" s="25"/>
      <c r="E71" s="195"/>
      <c r="F71" s="25"/>
      <c r="G71" s="25"/>
      <c r="H71" s="195"/>
      <c r="I71" s="35">
        <v>-193.88768315345021</v>
      </c>
      <c r="J71" s="200">
        <f>+J13-J69</f>
        <v>0</v>
      </c>
      <c r="K71" s="35"/>
      <c r="L71" s="193"/>
      <c r="M71" s="35">
        <v>0</v>
      </c>
      <c r="N71" s="200">
        <f>+N13-N69</f>
        <v>0</v>
      </c>
      <c r="O71" s="35">
        <v>-193.88768315345021</v>
      </c>
      <c r="P71" s="200">
        <f>+P13-P69</f>
        <v>0</v>
      </c>
      <c r="Q71" s="35">
        <v>-124088.11721820818</v>
      </c>
      <c r="R71" s="200">
        <f>+R13-R69</f>
        <v>0</v>
      </c>
    </row>
    <row r="72" spans="1:18" x14ac:dyDescent="0.2">
      <c r="A72" s="25"/>
      <c r="B72" s="25"/>
      <c r="C72" s="25"/>
      <c r="D72" s="25"/>
      <c r="E72" s="195"/>
      <c r="F72" s="25"/>
      <c r="G72" s="25"/>
      <c r="H72" s="195"/>
      <c r="I72" s="35"/>
      <c r="J72" s="204"/>
      <c r="K72" s="35"/>
      <c r="L72" s="193"/>
      <c r="M72" s="35"/>
      <c r="N72" s="193"/>
      <c r="O72" s="35"/>
      <c r="P72" s="193"/>
      <c r="Q72" s="35"/>
      <c r="R72" s="204"/>
    </row>
    <row r="73" spans="1:18" ht="13.5" thickBot="1" x14ac:dyDescent="0.25">
      <c r="A73" s="44" t="s">
        <v>38</v>
      </c>
      <c r="B73" s="44"/>
      <c r="C73" s="44"/>
      <c r="D73" s="44"/>
      <c r="E73" s="199"/>
      <c r="F73" s="44"/>
      <c r="G73" s="45" t="s">
        <v>308</v>
      </c>
      <c r="H73" s="210" t="str">
        <f>IF(E10=0,"n/a",(YTotExp-(YTotExp+YTotRet-J10))/E10)</f>
        <v>n/a</v>
      </c>
      <c r="I73" s="44" t="s">
        <v>458</v>
      </c>
      <c r="J73" s="205"/>
      <c r="K73" s="44"/>
      <c r="L73" s="199"/>
      <c r="M73" s="44"/>
      <c r="N73" s="199"/>
      <c r="O73" s="44"/>
      <c r="P73" s="199"/>
      <c r="Q73" s="44"/>
      <c r="R73" s="205"/>
    </row>
    <row r="74" spans="1:18" ht="13.5" thickTop="1" x14ac:dyDescent="0.2"/>
    <row r="75" spans="1:18" s="17" customFormat="1" ht="15.75" x14ac:dyDescent="0.25">
      <c r="A75"/>
      <c r="B75" s="88"/>
      <c r="C75" s="89"/>
      <c r="D75" s="234" t="s">
        <v>113</v>
      </c>
      <c r="E75" s="235"/>
      <c r="F75" s="235"/>
      <c r="G75" s="235"/>
      <c r="H75" s="235"/>
      <c r="I75" s="235"/>
      <c r="J75" s="99"/>
      <c r="K75" s="99"/>
      <c r="M75"/>
      <c r="N75"/>
    </row>
    <row r="76" spans="1:18" s="17" customFormat="1" ht="15.75" x14ac:dyDescent="0.25">
      <c r="A76"/>
      <c r="B76" s="19" t="s">
        <v>114</v>
      </c>
      <c r="C76" s="19" t="s">
        <v>114</v>
      </c>
      <c r="D76" s="123" t="s">
        <v>170</v>
      </c>
      <c r="E76" s="18"/>
      <c r="F76" s="18"/>
      <c r="G76" s="123" t="s">
        <v>170</v>
      </c>
      <c r="H76" s="18"/>
      <c r="I76" s="18"/>
      <c r="J76" s="18"/>
      <c r="K76" s="18"/>
      <c r="M76"/>
      <c r="N76"/>
    </row>
    <row r="77" spans="1:18" s="17" customFormat="1" x14ac:dyDescent="0.2">
      <c r="A77"/>
      <c r="B77" s="19" t="s">
        <v>80</v>
      </c>
      <c r="C77" s="19" t="s">
        <v>80</v>
      </c>
      <c r="D77" s="123" t="s">
        <v>157</v>
      </c>
      <c r="E77" s="119"/>
      <c r="F77" s="119"/>
      <c r="G77" s="123" t="s">
        <v>12</v>
      </c>
      <c r="H77" s="119"/>
      <c r="I77" s="119"/>
      <c r="J77" s="119"/>
      <c r="K77" s="119"/>
      <c r="M77"/>
      <c r="N77"/>
    </row>
    <row r="78" spans="1:18" s="17" customFormat="1" x14ac:dyDescent="0.2">
      <c r="A78"/>
      <c r="B78" s="19" t="s">
        <v>30</v>
      </c>
      <c r="C78" s="99" t="s">
        <v>458</v>
      </c>
      <c r="D78" s="123" t="s">
        <v>98</v>
      </c>
      <c r="E78" s="119"/>
      <c r="F78" s="119"/>
      <c r="G78" s="123" t="s">
        <v>98</v>
      </c>
      <c r="H78" s="19"/>
      <c r="I78" s="19"/>
      <c r="J78" s="19"/>
      <c r="K78" s="19"/>
      <c r="M78"/>
      <c r="N78"/>
    </row>
    <row r="79" spans="1:18" s="17" customFormat="1" x14ac:dyDescent="0.2">
      <c r="A79"/>
      <c r="B79" s="90">
        <v>0.75</v>
      </c>
      <c r="C79" s="91">
        <v>0</v>
      </c>
      <c r="D79" s="92">
        <v>0</v>
      </c>
      <c r="E79" s="93"/>
      <c r="F79" s="94"/>
      <c r="G79" s="92">
        <v>0</v>
      </c>
      <c r="H79" s="93"/>
      <c r="I79" s="93"/>
      <c r="M79"/>
      <c r="N79"/>
    </row>
    <row r="80" spans="1:18" s="17" customFormat="1" x14ac:dyDescent="0.2">
      <c r="A80"/>
      <c r="B80" s="95">
        <v>0.9</v>
      </c>
      <c r="C80" s="96">
        <v>0</v>
      </c>
      <c r="D80" s="97">
        <v>0</v>
      </c>
      <c r="E80" s="83"/>
      <c r="F80" s="98"/>
      <c r="G80" s="97">
        <v>0</v>
      </c>
      <c r="H80" s="83"/>
      <c r="I80" s="83"/>
      <c r="M80"/>
      <c r="N80"/>
    </row>
    <row r="81" spans="1:18" s="17" customFormat="1" x14ac:dyDescent="0.2">
      <c r="A81"/>
      <c r="B81" s="90">
        <v>1</v>
      </c>
      <c r="C81" s="91">
        <v>0</v>
      </c>
      <c r="D81" s="92">
        <v>0</v>
      </c>
      <c r="E81" s="93"/>
      <c r="F81" s="94"/>
      <c r="G81" s="92">
        <v>0</v>
      </c>
      <c r="H81" s="93"/>
      <c r="I81" s="93"/>
      <c r="M81"/>
      <c r="N81"/>
    </row>
    <row r="82" spans="1:18" s="17" customFormat="1" x14ac:dyDescent="0.2">
      <c r="A82"/>
      <c r="B82" s="95">
        <v>1.1000000000000001</v>
      </c>
      <c r="C82" s="96">
        <v>0</v>
      </c>
      <c r="D82" s="97">
        <v>0</v>
      </c>
      <c r="E82" s="83"/>
      <c r="F82" s="98"/>
      <c r="G82" s="97">
        <v>0</v>
      </c>
      <c r="H82" s="83"/>
      <c r="I82" s="83"/>
      <c r="M82"/>
      <c r="N82"/>
    </row>
    <row r="83" spans="1:18" s="17" customFormat="1" x14ac:dyDescent="0.2">
      <c r="A83"/>
      <c r="B83" s="90">
        <v>1.25</v>
      </c>
      <c r="C83" s="91">
        <v>0</v>
      </c>
      <c r="D83" s="92">
        <v>0</v>
      </c>
      <c r="E83" s="93"/>
      <c r="F83" s="94"/>
      <c r="G83" s="92">
        <v>0</v>
      </c>
      <c r="H83" s="93"/>
      <c r="I83" s="93"/>
      <c r="M83"/>
      <c r="N83"/>
    </row>
    <row r="84" spans="1:18" s="17" customFormat="1" x14ac:dyDescent="0.2">
      <c r="A84"/>
      <c r="M84"/>
      <c r="N84"/>
    </row>
    <row r="85" spans="1:18" x14ac:dyDescent="0.2">
      <c r="A85" s="25" t="s">
        <v>434</v>
      </c>
      <c r="B85" s="17"/>
      <c r="C85" s="17"/>
      <c r="D85" s="17"/>
      <c r="E85" s="17"/>
      <c r="F85" s="17"/>
      <c r="G85" s="17"/>
      <c r="H85" s="17"/>
      <c r="I85" s="17"/>
      <c r="J85" s="28"/>
      <c r="K85" s="17"/>
      <c r="L85" s="17"/>
      <c r="M85" s="17"/>
      <c r="N85" s="17"/>
      <c r="O85" s="17"/>
      <c r="P85" s="17"/>
      <c r="Q85" s="17"/>
    </row>
    <row r="86" spans="1:18" x14ac:dyDescent="0.2">
      <c r="A86" s="17"/>
      <c r="B86" s="17"/>
      <c r="C86" s="17"/>
      <c r="D86" s="17"/>
      <c r="E86" s="17"/>
      <c r="F86" s="17"/>
      <c r="G86" s="17"/>
      <c r="H86" s="17"/>
      <c r="I86" s="17"/>
      <c r="J86" s="28"/>
      <c r="K86" s="17"/>
      <c r="L86" s="17"/>
      <c r="M86" s="17"/>
      <c r="N86" s="17"/>
      <c r="O86" s="17"/>
      <c r="P86" s="17"/>
      <c r="Q86" s="17"/>
    </row>
    <row r="87" spans="1:18" ht="26.25" customHeight="1" x14ac:dyDescent="0.2">
      <c r="A87" s="236" t="s">
        <v>140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19"/>
      <c r="N87" s="219"/>
      <c r="O87" s="219"/>
      <c r="P87" s="219"/>
      <c r="Q87" s="219"/>
      <c r="R87" s="219"/>
    </row>
  </sheetData>
  <sheetProtection sheet="1" objects="1" scenarios="1"/>
  <mergeCells count="6">
    <mergeCell ref="D75:I75"/>
    <mergeCell ref="A87:L87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193">
    <tabColor rgb="FF92D050"/>
    <pageSetUpPr fitToPage="1"/>
  </sheetPr>
  <dimension ref="A1:S94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431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141</v>
      </c>
      <c r="C10" s="25"/>
      <c r="D10" s="50">
        <v>1000</v>
      </c>
      <c r="E10" s="130"/>
      <c r="F10" s="224" t="s">
        <v>82</v>
      </c>
      <c r="G10" s="31">
        <v>0.14000000000000001</v>
      </c>
      <c r="H10" s="131"/>
      <c r="I10" s="35">
        <v>140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140</v>
      </c>
      <c r="P10" s="200">
        <f>+J10-N10</f>
        <v>0</v>
      </c>
      <c r="Q10" s="35">
        <v>89600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140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140</v>
      </c>
      <c r="P13" s="201">
        <f>SUM(P10:P12)</f>
        <v>0</v>
      </c>
      <c r="Q13" s="36">
        <v>89600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1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365</v>
      </c>
      <c r="D18" s="25">
        <v>5</v>
      </c>
      <c r="E18" s="130"/>
      <c r="F18" s="224" t="s">
        <v>82</v>
      </c>
      <c r="G18" s="41">
        <v>5.4</v>
      </c>
      <c r="H18" s="131"/>
      <c r="I18" s="35">
        <v>27</v>
      </c>
      <c r="J18" s="200">
        <f t="shared" ref="J18:J34" si="4">E18*H18</f>
        <v>0</v>
      </c>
      <c r="K18" s="223">
        <v>0</v>
      </c>
      <c r="L18" s="212"/>
      <c r="M18" s="35">
        <v>0</v>
      </c>
      <c r="N18" s="200">
        <f t="shared" ref="N18:N34" si="5">J18*L18</f>
        <v>0</v>
      </c>
      <c r="O18" s="35">
        <v>27</v>
      </c>
      <c r="P18" s="200">
        <f t="shared" ref="P18:P34" si="6">+J18-N18</f>
        <v>0</v>
      </c>
      <c r="Q18" s="35">
        <v>17280</v>
      </c>
      <c r="R18" s="200">
        <f t="shared" ref="R18:R34" si="7">+J18*E$7</f>
        <v>0</v>
      </c>
    </row>
    <row r="19" spans="1:18" x14ac:dyDescent="0.2">
      <c r="A19" s="25"/>
      <c r="B19" s="25" t="s">
        <v>0</v>
      </c>
      <c r="C19" s="25"/>
      <c r="D19" s="25"/>
      <c r="E19" s="25"/>
      <c r="F19" s="25"/>
      <c r="G19" s="25"/>
      <c r="H19" s="25"/>
      <c r="I19" s="25"/>
      <c r="J19" s="25"/>
      <c r="K19" s="223"/>
      <c r="L19" s="25"/>
      <c r="M19" s="25"/>
      <c r="N19" s="25"/>
      <c r="O19" s="25"/>
      <c r="P19" s="25"/>
      <c r="Q19" s="25"/>
      <c r="R19" s="25"/>
    </row>
    <row r="20" spans="1:18" x14ac:dyDescent="0.2">
      <c r="A20" s="25"/>
      <c r="B20" s="25" t="s">
        <v>458</v>
      </c>
      <c r="C20" s="25" t="s">
        <v>342</v>
      </c>
      <c r="D20" s="25">
        <v>50</v>
      </c>
      <c r="E20" s="130"/>
      <c r="F20" s="224" t="s">
        <v>82</v>
      </c>
      <c r="G20" s="41">
        <v>0.53800000000000003</v>
      </c>
      <c r="H20" s="131"/>
      <c r="I20" s="35">
        <v>26.900000000000002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26.900000000000002</v>
      </c>
      <c r="P20" s="200">
        <f t="shared" si="6"/>
        <v>0</v>
      </c>
      <c r="Q20" s="35">
        <v>17216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378</v>
      </c>
      <c r="D21" s="25">
        <v>25</v>
      </c>
      <c r="E21" s="130"/>
      <c r="F21" s="224" t="s">
        <v>82</v>
      </c>
      <c r="G21" s="41">
        <v>0.56999999999999995</v>
      </c>
      <c r="H21" s="131"/>
      <c r="I21" s="35">
        <v>14.249999999999998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14.249999999999998</v>
      </c>
      <c r="P21" s="200">
        <f t="shared" si="6"/>
        <v>0</v>
      </c>
      <c r="Q21" s="35">
        <v>9119.9999999999982</v>
      </c>
      <c r="R21" s="200">
        <f t="shared" si="7"/>
        <v>0</v>
      </c>
    </row>
    <row r="22" spans="1:18" x14ac:dyDescent="0.2">
      <c r="A22" s="25"/>
      <c r="B22" s="25" t="s">
        <v>50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317</v>
      </c>
      <c r="D23" s="25">
        <v>1</v>
      </c>
      <c r="E23" s="130"/>
      <c r="F23" s="224" t="s">
        <v>42</v>
      </c>
      <c r="G23" s="41">
        <v>5.5</v>
      </c>
      <c r="H23" s="131"/>
      <c r="I23" s="35">
        <v>5.5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5.5</v>
      </c>
      <c r="P23" s="200">
        <f t="shared" si="6"/>
        <v>0</v>
      </c>
      <c r="Q23" s="35">
        <v>3520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404</v>
      </c>
      <c r="D24" s="25">
        <v>1</v>
      </c>
      <c r="E24" s="130"/>
      <c r="F24" s="224" t="s">
        <v>42</v>
      </c>
      <c r="G24" s="41">
        <v>12</v>
      </c>
      <c r="H24" s="131"/>
      <c r="I24" s="35">
        <v>12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12</v>
      </c>
      <c r="P24" s="200">
        <f t="shared" si="6"/>
        <v>0</v>
      </c>
      <c r="Q24" s="35">
        <v>7680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367</v>
      </c>
      <c r="D25" s="25">
        <v>1</v>
      </c>
      <c r="E25" s="130"/>
      <c r="F25" s="224" t="s">
        <v>42</v>
      </c>
      <c r="G25" s="41">
        <v>24</v>
      </c>
      <c r="H25" s="131"/>
      <c r="I25" s="35">
        <v>24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24</v>
      </c>
      <c r="P25" s="200">
        <f t="shared" si="6"/>
        <v>0</v>
      </c>
      <c r="Q25" s="35">
        <v>15360</v>
      </c>
      <c r="R25" s="200">
        <f t="shared" si="7"/>
        <v>0</v>
      </c>
    </row>
    <row r="26" spans="1:18" x14ac:dyDescent="0.2">
      <c r="A26" s="25"/>
      <c r="B26" s="25" t="s">
        <v>458</v>
      </c>
      <c r="C26" s="25" t="s">
        <v>387</v>
      </c>
      <c r="D26" s="25">
        <v>1</v>
      </c>
      <c r="E26" s="130"/>
      <c r="F26" s="224" t="s">
        <v>42</v>
      </c>
      <c r="G26" s="41">
        <v>3.5</v>
      </c>
      <c r="H26" s="131"/>
      <c r="I26" s="35">
        <v>3.5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3.5</v>
      </c>
      <c r="P26" s="200">
        <f t="shared" si="6"/>
        <v>0</v>
      </c>
      <c r="Q26" s="35">
        <v>2240</v>
      </c>
      <c r="R26" s="200">
        <f t="shared" si="7"/>
        <v>0</v>
      </c>
    </row>
    <row r="27" spans="1:18" x14ac:dyDescent="0.2">
      <c r="A27" s="25"/>
      <c r="B27" s="25" t="s">
        <v>27</v>
      </c>
      <c r="C27" s="25"/>
      <c r="D27" s="25"/>
      <c r="E27" s="25"/>
      <c r="F27" s="25"/>
      <c r="G27" s="25"/>
      <c r="H27" s="25"/>
      <c r="I27" s="25"/>
      <c r="J27" s="25"/>
      <c r="K27" s="223"/>
      <c r="L27" s="25"/>
      <c r="M27" s="25"/>
      <c r="N27" s="25"/>
      <c r="O27" s="25"/>
      <c r="P27" s="25"/>
      <c r="Q27" s="25"/>
      <c r="R27" s="25"/>
    </row>
    <row r="28" spans="1:18" x14ac:dyDescent="0.2">
      <c r="A28" s="25"/>
      <c r="B28" s="25" t="s">
        <v>458</v>
      </c>
      <c r="C28" s="25" t="s">
        <v>393</v>
      </c>
      <c r="D28" s="25">
        <v>1</v>
      </c>
      <c r="E28" s="130"/>
      <c r="F28" s="224" t="s">
        <v>42</v>
      </c>
      <c r="G28" s="41">
        <v>14</v>
      </c>
      <c r="H28" s="131"/>
      <c r="I28" s="35">
        <v>14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14</v>
      </c>
      <c r="P28" s="200">
        <f t="shared" si="6"/>
        <v>0</v>
      </c>
      <c r="Q28" s="35">
        <v>8960</v>
      </c>
      <c r="R28" s="200">
        <f t="shared" si="7"/>
        <v>0</v>
      </c>
    </row>
    <row r="29" spans="1:18" x14ac:dyDescent="0.2">
      <c r="A29" s="25"/>
      <c r="B29" s="25" t="s">
        <v>49</v>
      </c>
      <c r="C29" s="25"/>
      <c r="D29" s="25"/>
      <c r="E29" s="25"/>
      <c r="F29" s="25"/>
      <c r="G29" s="25"/>
      <c r="H29" s="25"/>
      <c r="I29" s="25"/>
      <c r="J29" s="25"/>
      <c r="K29" s="223"/>
      <c r="L29" s="25"/>
      <c r="M29" s="25"/>
      <c r="N29" s="25"/>
      <c r="O29" s="25"/>
      <c r="P29" s="25"/>
      <c r="Q29" s="25"/>
      <c r="R29" s="25"/>
    </row>
    <row r="30" spans="1:18" x14ac:dyDescent="0.2">
      <c r="A30" s="25"/>
      <c r="B30" s="25" t="s">
        <v>458</v>
      </c>
      <c r="C30" s="25" t="s">
        <v>402</v>
      </c>
      <c r="D30" s="25">
        <v>3</v>
      </c>
      <c r="E30" s="130"/>
      <c r="F30" s="224" t="s">
        <v>316</v>
      </c>
      <c r="G30" s="41">
        <v>2.81</v>
      </c>
      <c r="H30" s="131"/>
      <c r="I30" s="35">
        <v>8.43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8.43</v>
      </c>
      <c r="P30" s="200">
        <f t="shared" si="6"/>
        <v>0</v>
      </c>
      <c r="Q30" s="35">
        <v>5395.2</v>
      </c>
      <c r="R30" s="200">
        <f t="shared" si="7"/>
        <v>0</v>
      </c>
    </row>
    <row r="31" spans="1:18" x14ac:dyDescent="0.2">
      <c r="A31" s="25"/>
      <c r="B31" s="25" t="s">
        <v>48</v>
      </c>
      <c r="C31" s="25"/>
      <c r="D31" s="25"/>
      <c r="E31" s="25"/>
      <c r="F31" s="25"/>
      <c r="G31" s="25"/>
      <c r="H31" s="25"/>
      <c r="I31" s="25"/>
      <c r="J31" s="25"/>
      <c r="K31" s="223"/>
      <c r="L31" s="25"/>
      <c r="M31" s="25"/>
      <c r="N31" s="25"/>
      <c r="O31" s="25"/>
      <c r="P31" s="25"/>
      <c r="Q31" s="25"/>
      <c r="R31" s="25"/>
    </row>
    <row r="32" spans="1:18" x14ac:dyDescent="0.2">
      <c r="A32" s="25"/>
      <c r="B32" s="25" t="s">
        <v>458</v>
      </c>
      <c r="C32" s="25" t="s">
        <v>391</v>
      </c>
      <c r="D32" s="25">
        <v>14</v>
      </c>
      <c r="E32" s="130"/>
      <c r="F32" s="224" t="s">
        <v>410</v>
      </c>
      <c r="G32" s="41">
        <v>1.171875</v>
      </c>
      <c r="H32" s="131"/>
      <c r="I32" s="35">
        <v>16.40625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16.40625</v>
      </c>
      <c r="P32" s="200">
        <f t="shared" si="6"/>
        <v>0</v>
      </c>
      <c r="Q32" s="35">
        <v>10500</v>
      </c>
      <c r="R32" s="200">
        <f t="shared" si="7"/>
        <v>0</v>
      </c>
    </row>
    <row r="33" spans="1:18" x14ac:dyDescent="0.2">
      <c r="A33" s="25"/>
      <c r="B33" s="131"/>
      <c r="C33" s="131"/>
      <c r="D33" s="25">
        <v>0</v>
      </c>
      <c r="E33" s="130"/>
      <c r="F33" s="224"/>
      <c r="G33" s="41">
        <v>0</v>
      </c>
      <c r="H33" s="131"/>
      <c r="I33" s="35">
        <v>0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0</v>
      </c>
      <c r="P33" s="200">
        <f t="shared" si="6"/>
        <v>0</v>
      </c>
      <c r="Q33" s="35">
        <v>0</v>
      </c>
      <c r="R33" s="200">
        <f t="shared" si="7"/>
        <v>0</v>
      </c>
    </row>
    <row r="34" spans="1:18" x14ac:dyDescent="0.2">
      <c r="A34" s="25"/>
      <c r="B34" s="131"/>
      <c r="C34" s="131"/>
      <c r="D34" s="25">
        <v>0</v>
      </c>
      <c r="E34" s="130"/>
      <c r="F34" s="224"/>
      <c r="G34" s="41">
        <v>0</v>
      </c>
      <c r="H34" s="131"/>
      <c r="I34" s="35">
        <v>0</v>
      </c>
      <c r="J34" s="200">
        <f t="shared" si="4"/>
        <v>0</v>
      </c>
      <c r="K34" s="223">
        <v>0</v>
      </c>
      <c r="L34" s="212"/>
      <c r="M34" s="35">
        <v>0</v>
      </c>
      <c r="N34" s="200">
        <f t="shared" si="5"/>
        <v>0</v>
      </c>
      <c r="O34" s="35">
        <v>0</v>
      </c>
      <c r="P34" s="200">
        <f t="shared" si="6"/>
        <v>0</v>
      </c>
      <c r="Q34" s="35">
        <v>0</v>
      </c>
      <c r="R34" s="200">
        <f t="shared" si="7"/>
        <v>0</v>
      </c>
    </row>
    <row r="35" spans="1:18" x14ac:dyDescent="0.2">
      <c r="A35" s="25"/>
      <c r="B35" s="131"/>
      <c r="C35" s="131"/>
      <c r="D35" s="25">
        <v>0</v>
      </c>
      <c r="E35" s="130"/>
      <c r="F35" s="224"/>
      <c r="G35" s="41">
        <v>0</v>
      </c>
      <c r="H35" s="131"/>
      <c r="I35" s="35">
        <v>0</v>
      </c>
      <c r="J35" s="200">
        <f>E35*H35</f>
        <v>0</v>
      </c>
      <c r="K35" s="223">
        <v>0</v>
      </c>
      <c r="L35" s="212"/>
      <c r="M35" s="35">
        <v>0</v>
      </c>
      <c r="N35" s="200">
        <f>J35*L35</f>
        <v>0</v>
      </c>
      <c r="O35" s="35">
        <v>0</v>
      </c>
      <c r="P35" s="200">
        <f>+J35-N35</f>
        <v>0</v>
      </c>
      <c r="Q35" s="35">
        <v>0</v>
      </c>
      <c r="R35" s="200">
        <f>+J35*E$7</f>
        <v>0</v>
      </c>
    </row>
    <row r="36" spans="1:18" x14ac:dyDescent="0.2">
      <c r="A36" s="25"/>
      <c r="B36" s="25" t="s">
        <v>106</v>
      </c>
      <c r="C36" s="25"/>
      <c r="D36" s="25"/>
      <c r="E36" s="104"/>
      <c r="H36" s="104"/>
      <c r="I36" s="121"/>
      <c r="J36" s="104"/>
      <c r="K36" s="223"/>
      <c r="L36" s="104"/>
      <c r="N36" s="104"/>
      <c r="P36" s="104"/>
      <c r="R36" s="104"/>
    </row>
    <row r="37" spans="1:18" x14ac:dyDescent="0.2">
      <c r="A37" s="25"/>
      <c r="B37" s="25"/>
      <c r="C37" s="25" t="s">
        <v>103</v>
      </c>
      <c r="D37" s="25">
        <v>0.18</v>
      </c>
      <c r="E37" s="130"/>
      <c r="F37" s="224" t="s">
        <v>44</v>
      </c>
      <c r="G37" s="41">
        <v>15</v>
      </c>
      <c r="H37" s="131"/>
      <c r="I37" s="35">
        <v>2.6999999999999997</v>
      </c>
      <c r="J37" s="200">
        <f>E37*H37</f>
        <v>0</v>
      </c>
      <c r="K37" s="223">
        <v>0</v>
      </c>
      <c r="L37" s="212"/>
      <c r="M37" s="35">
        <v>0</v>
      </c>
      <c r="N37" s="200">
        <f>J37*L37</f>
        <v>0</v>
      </c>
      <c r="O37" s="35">
        <v>2.6999999999999997</v>
      </c>
      <c r="P37" s="200">
        <f>+J37-N37</f>
        <v>0</v>
      </c>
      <c r="Q37" s="35">
        <v>1727.9999999999998</v>
      </c>
      <c r="R37" s="200">
        <f>+J37*E$7</f>
        <v>0</v>
      </c>
    </row>
    <row r="38" spans="1:18" x14ac:dyDescent="0.2">
      <c r="A38" s="25"/>
      <c r="B38" s="25"/>
      <c r="C38" s="25" t="s">
        <v>105</v>
      </c>
      <c r="D38" s="25">
        <v>0.22</v>
      </c>
      <c r="E38" s="130"/>
      <c r="F38" s="224" t="s">
        <v>44</v>
      </c>
      <c r="G38" s="41">
        <v>15</v>
      </c>
      <c r="H38" s="131"/>
      <c r="I38" s="35">
        <v>3.3</v>
      </c>
      <c r="J38" s="200">
        <f>E38*H38</f>
        <v>0</v>
      </c>
      <c r="K38" s="223">
        <v>0</v>
      </c>
      <c r="L38" s="212"/>
      <c r="M38" s="35">
        <v>0</v>
      </c>
      <c r="N38" s="200">
        <f>J38*L38</f>
        <v>0</v>
      </c>
      <c r="O38" s="35">
        <v>3.3</v>
      </c>
      <c r="P38" s="200">
        <f>+J38-N38</f>
        <v>0</v>
      </c>
      <c r="Q38" s="35">
        <v>2112</v>
      </c>
      <c r="R38" s="200">
        <f>+J38*E$7</f>
        <v>0</v>
      </c>
    </row>
    <row r="39" spans="1:18" x14ac:dyDescent="0.2">
      <c r="A39" s="25"/>
      <c r="B39" s="25"/>
      <c r="C39" s="25"/>
      <c r="D39" s="25"/>
      <c r="E39" s="207"/>
      <c r="F39" s="21"/>
      <c r="G39" s="41"/>
      <c r="H39" s="196"/>
      <c r="I39" s="35"/>
      <c r="J39" s="182"/>
      <c r="K39" s="223"/>
      <c r="L39" s="196"/>
      <c r="M39" s="35"/>
      <c r="N39" s="182"/>
      <c r="O39" s="35"/>
      <c r="P39" s="182"/>
      <c r="Q39" s="35"/>
      <c r="R39" s="182"/>
    </row>
    <row r="40" spans="1:18" x14ac:dyDescent="0.2">
      <c r="A40" s="25"/>
      <c r="B40" s="25" t="s">
        <v>51</v>
      </c>
      <c r="C40" s="25"/>
      <c r="D40" s="25"/>
      <c r="E40" s="207"/>
      <c r="F40" s="21"/>
      <c r="G40" s="41"/>
      <c r="H40" s="196"/>
      <c r="I40" s="184"/>
      <c r="J40" s="182"/>
      <c r="K40" s="223"/>
      <c r="L40" s="196"/>
      <c r="M40" s="35"/>
      <c r="N40" s="182"/>
      <c r="O40" s="35"/>
      <c r="P40" s="182"/>
      <c r="Q40" s="35"/>
      <c r="R40" s="182"/>
    </row>
    <row r="41" spans="1:18" x14ac:dyDescent="0.2">
      <c r="A41" s="25"/>
      <c r="B41" s="25"/>
      <c r="C41" s="25" t="s">
        <v>102</v>
      </c>
      <c r="D41" s="25">
        <v>1</v>
      </c>
      <c r="E41" s="130"/>
      <c r="F41" s="224" t="s">
        <v>42</v>
      </c>
      <c r="G41" s="41">
        <v>0</v>
      </c>
      <c r="H41" s="131"/>
      <c r="I41" s="35">
        <v>0</v>
      </c>
      <c r="J41" s="200">
        <f>E41*H41</f>
        <v>0</v>
      </c>
      <c r="K41" s="223">
        <v>0</v>
      </c>
      <c r="L41" s="212"/>
      <c r="M41" s="35">
        <v>0</v>
      </c>
      <c r="N41" s="200">
        <f>J41*L41</f>
        <v>0</v>
      </c>
      <c r="O41" s="35">
        <v>0</v>
      </c>
      <c r="P41" s="200">
        <f>+J41-N41</f>
        <v>0</v>
      </c>
      <c r="Q41" s="35">
        <v>0</v>
      </c>
      <c r="R41" s="200">
        <f>+J41*E$7</f>
        <v>0</v>
      </c>
    </row>
    <row r="42" spans="1:18" x14ac:dyDescent="0.2">
      <c r="A42" s="25"/>
      <c r="B42" s="25"/>
      <c r="C42" s="25" t="s">
        <v>103</v>
      </c>
      <c r="D42" s="25">
        <v>0.96</v>
      </c>
      <c r="E42" s="130"/>
      <c r="F42" s="224" t="s">
        <v>79</v>
      </c>
      <c r="G42" s="41">
        <v>3.0190000000000001</v>
      </c>
      <c r="H42" s="131"/>
      <c r="I42" s="35">
        <v>2.8982399999999999</v>
      </c>
      <c r="J42" s="200">
        <f>E42*H42</f>
        <v>0</v>
      </c>
      <c r="K42" s="223">
        <v>0</v>
      </c>
      <c r="L42" s="212"/>
      <c r="M42" s="35">
        <v>0</v>
      </c>
      <c r="N42" s="200">
        <f>J42*L42</f>
        <v>0</v>
      </c>
      <c r="O42" s="35">
        <v>2.8982399999999999</v>
      </c>
      <c r="P42" s="200">
        <f>+J42-N42</f>
        <v>0</v>
      </c>
      <c r="Q42" s="35">
        <v>1854.8735999999999</v>
      </c>
      <c r="R42" s="200">
        <f>+J42*E$7</f>
        <v>0</v>
      </c>
    </row>
    <row r="43" spans="1:18" x14ac:dyDescent="0.2">
      <c r="A43" s="25"/>
      <c r="B43" s="25"/>
      <c r="C43" s="25"/>
      <c r="D43" s="25"/>
      <c r="E43" s="207"/>
      <c r="F43" s="21"/>
      <c r="G43" s="41"/>
      <c r="H43" s="196"/>
      <c r="I43" s="35"/>
      <c r="J43" s="182"/>
      <c r="K43" s="223"/>
      <c r="L43" s="196"/>
      <c r="M43" s="35"/>
      <c r="N43" s="182"/>
      <c r="O43" s="35"/>
      <c r="P43" s="182"/>
      <c r="Q43" s="35"/>
      <c r="R43" s="182"/>
    </row>
    <row r="44" spans="1:18" x14ac:dyDescent="0.2">
      <c r="A44" s="25"/>
      <c r="B44" s="25" t="s">
        <v>29</v>
      </c>
      <c r="C44" s="25"/>
      <c r="D44" s="25"/>
      <c r="E44" s="207"/>
      <c r="F44" s="21"/>
      <c r="G44" s="41"/>
      <c r="H44" s="196"/>
      <c r="I44" s="184"/>
      <c r="J44" s="182"/>
      <c r="K44" s="223"/>
      <c r="L44" s="196"/>
      <c r="M44" s="35"/>
      <c r="N44" s="182"/>
      <c r="O44" s="35"/>
      <c r="P44" s="182"/>
      <c r="Q44" s="35"/>
      <c r="R44" s="182"/>
    </row>
    <row r="45" spans="1:18" x14ac:dyDescent="0.2">
      <c r="A45" s="25"/>
      <c r="B45" s="25"/>
      <c r="C45" s="25" t="s">
        <v>102</v>
      </c>
      <c r="D45" s="25">
        <v>1</v>
      </c>
      <c r="E45" s="130"/>
      <c r="F45" s="224" t="s">
        <v>42</v>
      </c>
      <c r="G45" s="41">
        <v>0</v>
      </c>
      <c r="H45" s="131"/>
      <c r="I45" s="35">
        <v>0</v>
      </c>
      <c r="J45" s="200">
        <f>E45*H45</f>
        <v>0</v>
      </c>
      <c r="K45" s="223">
        <v>0</v>
      </c>
      <c r="L45" s="212"/>
      <c r="M45" s="35">
        <v>0</v>
      </c>
      <c r="N45" s="200">
        <f>J45*L45</f>
        <v>0</v>
      </c>
      <c r="O45" s="35">
        <v>0</v>
      </c>
      <c r="P45" s="200">
        <f>+J45-N45</f>
        <v>0</v>
      </c>
      <c r="Q45" s="35">
        <v>0</v>
      </c>
      <c r="R45" s="200">
        <f>+J45*E$7</f>
        <v>0</v>
      </c>
    </row>
    <row r="46" spans="1:18" x14ac:dyDescent="0.2">
      <c r="A46" s="25"/>
      <c r="B46" s="25"/>
      <c r="C46" s="25" t="s">
        <v>103</v>
      </c>
      <c r="D46" s="25">
        <v>0</v>
      </c>
      <c r="E46" s="130"/>
      <c r="F46" s="224" t="s">
        <v>79</v>
      </c>
      <c r="G46" s="41">
        <v>3.09</v>
      </c>
      <c r="H46" s="131"/>
      <c r="I46" s="35">
        <v>0</v>
      </c>
      <c r="J46" s="200">
        <f>E46*H46</f>
        <v>0</v>
      </c>
      <c r="K46" s="223">
        <v>0</v>
      </c>
      <c r="L46" s="212"/>
      <c r="M46" s="35">
        <v>0</v>
      </c>
      <c r="N46" s="200">
        <f>J46*L46</f>
        <v>0</v>
      </c>
      <c r="O46" s="35">
        <v>0</v>
      </c>
      <c r="P46" s="200">
        <f>+J46-N46</f>
        <v>0</v>
      </c>
      <c r="Q46" s="35">
        <v>0</v>
      </c>
      <c r="R46" s="200">
        <f>+J46*E$7</f>
        <v>0</v>
      </c>
    </row>
    <row r="47" spans="1:18" x14ac:dyDescent="0.2">
      <c r="A47" s="25"/>
      <c r="B47" s="25"/>
      <c r="C47" s="25"/>
      <c r="D47" s="25"/>
      <c r="E47" s="207"/>
      <c r="F47" s="21"/>
      <c r="G47" s="41"/>
      <c r="H47" s="196"/>
      <c r="I47" s="35"/>
      <c r="J47" s="182"/>
      <c r="K47" s="223"/>
      <c r="L47" s="196"/>
      <c r="M47" s="35"/>
      <c r="N47" s="182"/>
      <c r="O47" s="35"/>
      <c r="P47" s="182"/>
      <c r="Q47" s="35"/>
      <c r="R47" s="182"/>
    </row>
    <row r="48" spans="1:18" x14ac:dyDescent="0.2">
      <c r="A48" s="25"/>
      <c r="B48" s="25" t="s">
        <v>47</v>
      </c>
      <c r="C48" s="25"/>
      <c r="D48" s="25"/>
      <c r="E48" s="207"/>
      <c r="F48" s="21"/>
      <c r="G48" s="41"/>
      <c r="H48" s="197"/>
      <c r="I48" s="184"/>
      <c r="J48" s="182"/>
      <c r="K48" s="223"/>
      <c r="L48" s="197"/>
      <c r="M48" s="35"/>
      <c r="N48" s="182"/>
      <c r="O48" s="35"/>
      <c r="P48" s="182"/>
      <c r="Q48" s="35"/>
      <c r="R48" s="182"/>
    </row>
    <row r="49" spans="1:18" x14ac:dyDescent="0.2">
      <c r="A49" s="25"/>
      <c r="B49" s="25"/>
      <c r="C49" s="25" t="s">
        <v>102</v>
      </c>
      <c r="D49" s="25">
        <v>1</v>
      </c>
      <c r="E49" s="130"/>
      <c r="F49" s="224" t="s">
        <v>42</v>
      </c>
      <c r="G49" s="41">
        <v>0</v>
      </c>
      <c r="H49" s="131"/>
      <c r="I49" s="35">
        <v>0</v>
      </c>
      <c r="J49" s="200">
        <f t="shared" ref="J49:J54" si="8">E49*H49</f>
        <v>0</v>
      </c>
      <c r="K49" s="223">
        <v>0</v>
      </c>
      <c r="L49" s="212"/>
      <c r="M49" s="35">
        <v>0</v>
      </c>
      <c r="N49" s="200">
        <f t="shared" ref="N49:N54" si="9">J49*L49</f>
        <v>0</v>
      </c>
      <c r="O49" s="35">
        <v>0</v>
      </c>
      <c r="P49" s="200">
        <f t="shared" ref="P49:P54" si="10">+J49-N49</f>
        <v>0</v>
      </c>
      <c r="Q49" s="35">
        <v>0</v>
      </c>
      <c r="R49" s="200">
        <f t="shared" ref="R49:R54" si="11">+J49*E$7</f>
        <v>0</v>
      </c>
    </row>
    <row r="50" spans="1:18" x14ac:dyDescent="0.2">
      <c r="A50" s="25"/>
      <c r="B50" s="25"/>
      <c r="C50" s="25" t="s">
        <v>46</v>
      </c>
      <c r="D50" s="25">
        <v>1</v>
      </c>
      <c r="E50" s="130"/>
      <c r="F50" s="224" t="s">
        <v>42</v>
      </c>
      <c r="G50" s="41">
        <v>0</v>
      </c>
      <c r="H50" s="131"/>
      <c r="I50" s="35">
        <v>0</v>
      </c>
      <c r="J50" s="200">
        <f t="shared" si="8"/>
        <v>0</v>
      </c>
      <c r="K50" s="223">
        <v>0</v>
      </c>
      <c r="L50" s="212"/>
      <c r="M50" s="35">
        <v>0</v>
      </c>
      <c r="N50" s="200">
        <f t="shared" si="9"/>
        <v>0</v>
      </c>
      <c r="O50" s="35">
        <v>0</v>
      </c>
      <c r="P50" s="200">
        <f t="shared" si="10"/>
        <v>0</v>
      </c>
      <c r="Q50" s="35">
        <v>0</v>
      </c>
      <c r="R50" s="200">
        <f t="shared" si="11"/>
        <v>0</v>
      </c>
    </row>
    <row r="51" spans="1:18" x14ac:dyDescent="0.2">
      <c r="A51" s="25"/>
      <c r="B51" s="25"/>
      <c r="C51" s="25" t="s">
        <v>103</v>
      </c>
      <c r="D51" s="25">
        <v>1</v>
      </c>
      <c r="E51" s="130"/>
      <c r="F51" s="224" t="s">
        <v>42</v>
      </c>
      <c r="G51" s="41">
        <v>1.5528256362747441</v>
      </c>
      <c r="H51" s="131"/>
      <c r="I51" s="35">
        <v>1.5528256362747441</v>
      </c>
      <c r="J51" s="200">
        <f t="shared" si="8"/>
        <v>0</v>
      </c>
      <c r="K51" s="223">
        <v>0</v>
      </c>
      <c r="L51" s="212"/>
      <c r="M51" s="35">
        <v>0</v>
      </c>
      <c r="N51" s="200">
        <f t="shared" si="9"/>
        <v>0</v>
      </c>
      <c r="O51" s="35">
        <v>1.5528256362747441</v>
      </c>
      <c r="P51" s="200">
        <f t="shared" si="10"/>
        <v>0</v>
      </c>
      <c r="Q51" s="35">
        <v>993.80840721583627</v>
      </c>
      <c r="R51" s="200">
        <f t="shared" si="11"/>
        <v>0</v>
      </c>
    </row>
    <row r="52" spans="1:18" x14ac:dyDescent="0.2">
      <c r="A52" s="25"/>
      <c r="B52" s="25"/>
      <c r="C52" s="25" t="s">
        <v>5</v>
      </c>
      <c r="D52" s="25">
        <v>1</v>
      </c>
      <c r="E52" s="130"/>
      <c r="F52" s="224" t="s">
        <v>42</v>
      </c>
      <c r="G52" s="41">
        <v>11.896464451670886</v>
      </c>
      <c r="H52" s="131"/>
      <c r="I52" s="35">
        <v>11.896464451670886</v>
      </c>
      <c r="J52" s="200">
        <f t="shared" si="8"/>
        <v>0</v>
      </c>
      <c r="K52" s="223">
        <v>0</v>
      </c>
      <c r="L52" s="212"/>
      <c r="M52" s="35">
        <v>0</v>
      </c>
      <c r="N52" s="200">
        <f t="shared" si="9"/>
        <v>0</v>
      </c>
      <c r="O52" s="35">
        <v>11.896464451670886</v>
      </c>
      <c r="P52" s="200">
        <f t="shared" si="10"/>
        <v>0</v>
      </c>
      <c r="Q52" s="35">
        <v>7613.737249069367</v>
      </c>
      <c r="R52" s="200">
        <f t="shared" si="11"/>
        <v>0</v>
      </c>
    </row>
    <row r="53" spans="1:18" x14ac:dyDescent="0.2">
      <c r="A53" s="25"/>
      <c r="B53" s="131"/>
      <c r="C53" s="131"/>
      <c r="D53" s="25"/>
      <c r="E53" s="130"/>
      <c r="F53" s="224"/>
      <c r="G53" s="41"/>
      <c r="H53" s="131"/>
      <c r="I53" s="35">
        <v>0</v>
      </c>
      <c r="J53" s="200">
        <f t="shared" si="8"/>
        <v>0</v>
      </c>
      <c r="K53" s="223">
        <v>0</v>
      </c>
      <c r="L53" s="212"/>
      <c r="M53" s="35">
        <v>0</v>
      </c>
      <c r="N53" s="200">
        <f t="shared" si="9"/>
        <v>0</v>
      </c>
      <c r="O53" s="35">
        <v>0</v>
      </c>
      <c r="P53" s="200">
        <f t="shared" si="10"/>
        <v>0</v>
      </c>
      <c r="Q53" s="35">
        <v>0</v>
      </c>
      <c r="R53" s="200">
        <f t="shared" si="11"/>
        <v>0</v>
      </c>
    </row>
    <row r="54" spans="1:18" x14ac:dyDescent="0.2">
      <c r="A54" s="25"/>
      <c r="B54" s="131"/>
      <c r="C54" s="131"/>
      <c r="D54" s="25"/>
      <c r="E54" s="130"/>
      <c r="F54" s="224"/>
      <c r="G54" s="41"/>
      <c r="H54" s="131"/>
      <c r="I54" s="35">
        <v>0</v>
      </c>
      <c r="J54" s="200">
        <f t="shared" si="8"/>
        <v>0</v>
      </c>
      <c r="K54" s="223">
        <v>0</v>
      </c>
      <c r="L54" s="212"/>
      <c r="M54" s="35">
        <v>0</v>
      </c>
      <c r="N54" s="200">
        <f t="shared" si="9"/>
        <v>0</v>
      </c>
      <c r="O54" s="35">
        <v>0</v>
      </c>
      <c r="P54" s="200">
        <f t="shared" si="10"/>
        <v>0</v>
      </c>
      <c r="Q54" s="35">
        <v>0</v>
      </c>
      <c r="R54" s="200">
        <f t="shared" si="11"/>
        <v>0</v>
      </c>
    </row>
    <row r="55" spans="1:18" ht="13.5" thickBot="1" x14ac:dyDescent="0.25">
      <c r="A55" s="25"/>
      <c r="B55" s="25" t="s">
        <v>32</v>
      </c>
      <c r="C55" s="25"/>
      <c r="D55" s="25"/>
      <c r="E55" s="195"/>
      <c r="F55" s="21"/>
      <c r="G55" s="39">
        <v>0.09</v>
      </c>
      <c r="H55" s="213"/>
      <c r="I55" s="42">
        <v>5.3096240368082857</v>
      </c>
      <c r="J55" s="200">
        <f>+SUM(J17:J54)/2*H55</f>
        <v>0</v>
      </c>
      <c r="K55" s="86"/>
      <c r="L55" s="135"/>
      <c r="M55" s="42">
        <v>0</v>
      </c>
      <c r="N55" s="200">
        <f>+SUM(N17:N54)/2*L55</f>
        <v>0</v>
      </c>
      <c r="O55" s="42">
        <v>5.3096240368082857</v>
      </c>
      <c r="P55" s="200">
        <f>+SUM(P17:P54)/2*L55</f>
        <v>0</v>
      </c>
      <c r="Q55" s="42">
        <v>3398.159383557303</v>
      </c>
      <c r="R55" s="182">
        <f>+J55*E$7</f>
        <v>0</v>
      </c>
    </row>
    <row r="56" spans="1:18" ht="13.5" thickBot="1" x14ac:dyDescent="0.25">
      <c r="A56" s="25" t="s">
        <v>33</v>
      </c>
      <c r="B56" s="25"/>
      <c r="C56" s="25"/>
      <c r="D56" s="25"/>
      <c r="E56" s="198"/>
      <c r="F56" s="25"/>
      <c r="G56" s="25"/>
      <c r="H56" s="195"/>
      <c r="I56" s="87">
        <v>179.64340412475391</v>
      </c>
      <c r="J56" s="202">
        <f>SUM(J18:J55)</f>
        <v>0</v>
      </c>
      <c r="K56" s="35"/>
      <c r="L56" s="193"/>
      <c r="M56" s="87">
        <v>0</v>
      </c>
      <c r="N56" s="202">
        <f>SUM(N18:N55)</f>
        <v>0</v>
      </c>
      <c r="O56" s="87">
        <v>179.64340412475391</v>
      </c>
      <c r="P56" s="202">
        <f>SUM(P18:P55)</f>
        <v>0</v>
      </c>
      <c r="Q56" s="87">
        <v>114971.77863984251</v>
      </c>
      <c r="R56" s="202">
        <f>SUM(R18:R55)</f>
        <v>0</v>
      </c>
    </row>
    <row r="57" spans="1:18" ht="13.5" thickTop="1" x14ac:dyDescent="0.2">
      <c r="A57" s="25" t="s">
        <v>34</v>
      </c>
      <c r="B57" s="25"/>
      <c r="C57" s="25"/>
      <c r="D57" s="25"/>
      <c r="E57" s="198"/>
      <c r="F57" s="25"/>
      <c r="G57" s="25"/>
      <c r="H57" s="195"/>
      <c r="I57" s="35">
        <v>-39.643404124753914</v>
      </c>
      <c r="J57" s="200">
        <f>+J13-J56</f>
        <v>0</v>
      </c>
      <c r="K57" s="35"/>
      <c r="L57" s="193"/>
      <c r="M57" s="35">
        <v>0</v>
      </c>
      <c r="N57" s="200">
        <f>+N13-N56</f>
        <v>0</v>
      </c>
      <c r="O57" s="35">
        <v>-39.643404124753914</v>
      </c>
      <c r="P57" s="200">
        <f>+P13-P56</f>
        <v>0</v>
      </c>
      <c r="Q57" s="35">
        <v>-25371.778639842509</v>
      </c>
      <c r="R57" s="200">
        <f>+R13-R56</f>
        <v>0</v>
      </c>
    </row>
    <row r="58" spans="1:18" x14ac:dyDescent="0.2">
      <c r="A58" s="25"/>
      <c r="B58" s="25" t="s">
        <v>35</v>
      </c>
      <c r="C58" s="25"/>
      <c r="D58" s="25"/>
      <c r="E58" s="208"/>
      <c r="F58" s="17"/>
      <c r="G58" s="40">
        <v>0.17964340412475391</v>
      </c>
      <c r="H58" s="208" t="str">
        <f>IF(E10=0,"n/a",(YVarExp-(YTotExp+YTotRet-J10))/E10)</f>
        <v>n/a</v>
      </c>
      <c r="I58" s="25" t="s">
        <v>82</v>
      </c>
      <c r="J58" s="182"/>
      <c r="K58" s="25"/>
      <c r="L58" s="195"/>
      <c r="M58" s="25"/>
      <c r="N58" s="182"/>
      <c r="O58" s="25"/>
      <c r="P58" s="182"/>
      <c r="Q58" s="25"/>
      <c r="R58" s="182"/>
    </row>
    <row r="59" spans="1:18" x14ac:dyDescent="0.2">
      <c r="A59" s="25"/>
      <c r="B59" s="25"/>
      <c r="C59" s="25"/>
      <c r="D59" s="25"/>
      <c r="E59" s="176"/>
      <c r="F59" s="25"/>
      <c r="G59" s="25"/>
      <c r="H59" s="209"/>
      <c r="I59" s="25"/>
      <c r="J59" s="182"/>
      <c r="K59" s="25"/>
      <c r="L59" s="195"/>
      <c r="M59" s="25"/>
      <c r="N59" s="182"/>
      <c r="O59" s="25"/>
      <c r="P59" s="182"/>
      <c r="Q59" s="22" t="s">
        <v>19</v>
      </c>
      <c r="R59" s="182" t="s">
        <v>19</v>
      </c>
    </row>
    <row r="60" spans="1:18" x14ac:dyDescent="0.2">
      <c r="A60" s="23" t="s">
        <v>36</v>
      </c>
      <c r="B60" s="23"/>
      <c r="C60" s="23"/>
      <c r="D60" s="24" t="s">
        <v>2</v>
      </c>
      <c r="E60" s="194" t="s">
        <v>2</v>
      </c>
      <c r="F60" s="24" t="s">
        <v>21</v>
      </c>
      <c r="G60" s="24" t="s">
        <v>22</v>
      </c>
      <c r="H60" s="194" t="s">
        <v>22</v>
      </c>
      <c r="I60" s="24" t="s">
        <v>12</v>
      </c>
      <c r="J60" s="194" t="s">
        <v>12</v>
      </c>
      <c r="K60" s="24" t="s">
        <v>11</v>
      </c>
      <c r="L60" s="194" t="s">
        <v>11</v>
      </c>
      <c r="M60" s="24" t="s">
        <v>10</v>
      </c>
      <c r="N60" s="194" t="s">
        <v>10</v>
      </c>
      <c r="O60" s="24" t="s">
        <v>9</v>
      </c>
      <c r="P60" s="194" t="s">
        <v>9</v>
      </c>
      <c r="Q60" s="24" t="s">
        <v>12</v>
      </c>
      <c r="R60" s="206" t="s">
        <v>12</v>
      </c>
    </row>
    <row r="61" spans="1:18" x14ac:dyDescent="0.2">
      <c r="A61" s="25"/>
      <c r="B61" s="25" t="s">
        <v>104</v>
      </c>
      <c r="C61" s="25"/>
      <c r="D61" s="25"/>
      <c r="E61" s="176"/>
      <c r="F61" s="25"/>
      <c r="G61" s="25"/>
      <c r="H61" s="209"/>
      <c r="I61" s="184"/>
      <c r="J61" s="182"/>
      <c r="K61" s="223"/>
      <c r="L61" s="195"/>
      <c r="M61" s="25"/>
      <c r="N61" s="182"/>
      <c r="O61" s="25"/>
      <c r="P61" s="182"/>
      <c r="Q61" s="25"/>
      <c r="R61" s="182"/>
    </row>
    <row r="62" spans="1:18" x14ac:dyDescent="0.2">
      <c r="A62" s="25"/>
      <c r="B62" s="25"/>
      <c r="C62" s="25" t="s">
        <v>103</v>
      </c>
      <c r="D62" s="25">
        <v>1</v>
      </c>
      <c r="E62" s="130"/>
      <c r="F62" s="224" t="s">
        <v>42</v>
      </c>
      <c r="G62" s="41">
        <v>1.50391925666545</v>
      </c>
      <c r="H62" s="131"/>
      <c r="I62" s="35">
        <v>1.50391925666545</v>
      </c>
      <c r="J62" s="200">
        <f t="shared" ref="J62:J63" si="12">E62*H62</f>
        <v>0</v>
      </c>
      <c r="K62" s="223">
        <v>0</v>
      </c>
      <c r="L62" s="212"/>
      <c r="M62" s="35">
        <v>0</v>
      </c>
      <c r="N62" s="200">
        <f>J62*L62</f>
        <v>0</v>
      </c>
      <c r="O62" s="35">
        <v>1.50391925666545</v>
      </c>
      <c r="P62" s="200">
        <f t="shared" ref="P62:P63" si="13">+J62-N62</f>
        <v>0</v>
      </c>
      <c r="Q62" s="35">
        <v>962.50832426588795</v>
      </c>
      <c r="R62" s="200">
        <f t="shared" ref="R62:R63" si="14">+J62*E$7</f>
        <v>0</v>
      </c>
    </row>
    <row r="63" spans="1:18" x14ac:dyDescent="0.2">
      <c r="A63" s="25"/>
      <c r="B63" s="25"/>
      <c r="C63" s="25" t="s">
        <v>5</v>
      </c>
      <c r="D63" s="25">
        <v>1</v>
      </c>
      <c r="E63" s="130"/>
      <c r="F63" s="224" t="s">
        <v>42</v>
      </c>
      <c r="G63" s="41">
        <v>11.171303898129414</v>
      </c>
      <c r="H63" s="131"/>
      <c r="I63" s="35">
        <v>11.171303898129414</v>
      </c>
      <c r="J63" s="200">
        <f t="shared" si="12"/>
        <v>0</v>
      </c>
      <c r="K63" s="223">
        <v>0</v>
      </c>
      <c r="L63" s="212"/>
      <c r="M63" s="35">
        <v>0</v>
      </c>
      <c r="N63" s="200">
        <f>J63*L63</f>
        <v>0</v>
      </c>
      <c r="O63" s="35">
        <v>11.171303898129414</v>
      </c>
      <c r="P63" s="200">
        <f t="shared" si="13"/>
        <v>0</v>
      </c>
      <c r="Q63" s="35">
        <v>7149.6344948028254</v>
      </c>
      <c r="R63" s="200">
        <f t="shared" si="14"/>
        <v>0</v>
      </c>
    </row>
    <row r="64" spans="1:18" x14ac:dyDescent="0.2">
      <c r="A64" s="25"/>
      <c r="B64" s="25" t="s">
        <v>88</v>
      </c>
      <c r="C64" s="25"/>
      <c r="D64" s="25"/>
      <c r="E64" s="195"/>
      <c r="F64" s="21"/>
      <c r="G64" s="41"/>
      <c r="H64" s="195"/>
      <c r="I64" s="184"/>
      <c r="J64" s="182"/>
      <c r="K64" s="223"/>
      <c r="L64" s="195"/>
      <c r="M64" s="35"/>
      <c r="N64" s="182"/>
      <c r="O64" s="35"/>
      <c r="P64" s="182"/>
      <c r="Q64" s="35"/>
      <c r="R64" s="182"/>
    </row>
    <row r="65" spans="1:18" x14ac:dyDescent="0.2">
      <c r="A65" s="25"/>
      <c r="B65" s="25"/>
      <c r="C65" s="25" t="s">
        <v>103</v>
      </c>
      <c r="D65" s="41">
        <v>11.716016144667941</v>
      </c>
      <c r="E65" s="130"/>
      <c r="F65" s="224" t="s">
        <v>99</v>
      </c>
      <c r="G65" s="39">
        <v>0.08</v>
      </c>
      <c r="H65" s="213"/>
      <c r="I65" s="35">
        <v>0.93728129157343532</v>
      </c>
      <c r="J65" s="200">
        <f t="shared" ref="J65:J73" si="15">E65*H65</f>
        <v>0</v>
      </c>
      <c r="K65" s="223">
        <v>0</v>
      </c>
      <c r="L65" s="212"/>
      <c r="M65" s="35">
        <v>0</v>
      </c>
      <c r="N65" s="200">
        <f>J65*L65</f>
        <v>0</v>
      </c>
      <c r="O65" s="35">
        <v>0.93728129157343532</v>
      </c>
      <c r="P65" s="200">
        <f t="shared" ref="P65:P66" si="16">+J65-N65</f>
        <v>0</v>
      </c>
      <c r="Q65" s="35">
        <v>599.86002660699864</v>
      </c>
      <c r="R65" s="200">
        <f t="shared" ref="R65:R66" si="17">+J65*E$7</f>
        <v>0</v>
      </c>
    </row>
    <row r="66" spans="1:18" x14ac:dyDescent="0.2">
      <c r="A66" s="25"/>
      <c r="B66" s="25"/>
      <c r="C66" s="25" t="s">
        <v>5</v>
      </c>
      <c r="D66" s="41">
        <v>47.788355564220282</v>
      </c>
      <c r="E66" s="130"/>
      <c r="F66" s="224" t="s">
        <v>99</v>
      </c>
      <c r="G66" s="39">
        <v>0.08</v>
      </c>
      <c r="H66" s="213"/>
      <c r="I66" s="35">
        <v>3.8230684451376225</v>
      </c>
      <c r="J66" s="200">
        <f t="shared" si="15"/>
        <v>0</v>
      </c>
      <c r="K66" s="223">
        <v>0</v>
      </c>
      <c r="L66" s="212"/>
      <c r="M66" s="35">
        <v>0</v>
      </c>
      <c r="N66" s="200">
        <f>J66*L66</f>
        <v>0</v>
      </c>
      <c r="O66" s="35">
        <v>3.8230684451376225</v>
      </c>
      <c r="P66" s="200">
        <f t="shared" si="16"/>
        <v>0</v>
      </c>
      <c r="Q66" s="35">
        <v>2446.7638048880785</v>
      </c>
      <c r="R66" s="200">
        <f t="shared" si="17"/>
        <v>0</v>
      </c>
    </row>
    <row r="67" spans="1:18" x14ac:dyDescent="0.2">
      <c r="A67" s="25"/>
      <c r="B67" s="25" t="s">
        <v>156</v>
      </c>
      <c r="C67" s="25"/>
      <c r="D67" s="25">
        <v>1</v>
      </c>
      <c r="E67" s="130"/>
      <c r="F67" s="224" t="s">
        <v>42</v>
      </c>
      <c r="G67" s="41">
        <v>0</v>
      </c>
      <c r="H67" s="131"/>
      <c r="I67" s="35">
        <v>0</v>
      </c>
      <c r="J67" s="200">
        <f t="shared" si="15"/>
        <v>0</v>
      </c>
      <c r="K67" s="223">
        <v>0</v>
      </c>
      <c r="L67" s="212"/>
      <c r="M67" s="35">
        <v>0</v>
      </c>
      <c r="N67" s="200">
        <f t="shared" ref="N67:N74" si="18">J67*L67</f>
        <v>0</v>
      </c>
      <c r="O67" s="35">
        <v>0</v>
      </c>
      <c r="P67" s="200">
        <f t="shared" ref="P67:P74" si="19">+J67-N67</f>
        <v>0</v>
      </c>
      <c r="Q67" s="35">
        <v>0</v>
      </c>
      <c r="R67" s="200">
        <f t="shared" ref="R67:R74" si="20">+J67*E$7</f>
        <v>0</v>
      </c>
    </row>
    <row r="68" spans="1:18" x14ac:dyDescent="0.2">
      <c r="A68" s="25"/>
      <c r="B68" s="25" t="s">
        <v>152</v>
      </c>
      <c r="C68" s="25"/>
      <c r="D68" s="25">
        <v>1</v>
      </c>
      <c r="E68" s="130"/>
      <c r="F68" s="224" t="s">
        <v>42</v>
      </c>
      <c r="G68" s="41">
        <v>0</v>
      </c>
      <c r="H68" s="131"/>
      <c r="I68" s="35">
        <v>0</v>
      </c>
      <c r="J68" s="200">
        <f t="shared" si="15"/>
        <v>0</v>
      </c>
      <c r="K68" s="223">
        <v>0</v>
      </c>
      <c r="L68" s="212"/>
      <c r="M68" s="35">
        <v>0</v>
      </c>
      <c r="N68" s="200">
        <f t="shared" si="18"/>
        <v>0</v>
      </c>
      <c r="O68" s="35">
        <v>0</v>
      </c>
      <c r="P68" s="200">
        <f t="shared" si="19"/>
        <v>0</v>
      </c>
      <c r="Q68" s="35">
        <v>0</v>
      </c>
      <c r="R68" s="200">
        <f t="shared" si="20"/>
        <v>0</v>
      </c>
    </row>
    <row r="69" spans="1:18" x14ac:dyDescent="0.2">
      <c r="A69" s="25"/>
      <c r="B69" s="25" t="s">
        <v>137</v>
      </c>
      <c r="C69" s="25"/>
      <c r="D69" s="25">
        <v>1</v>
      </c>
      <c r="E69" s="130"/>
      <c r="F69" s="224" t="s">
        <v>42</v>
      </c>
      <c r="G69" s="41">
        <v>0</v>
      </c>
      <c r="H69" s="131"/>
      <c r="I69" s="35">
        <v>0</v>
      </c>
      <c r="J69" s="200">
        <f t="shared" si="15"/>
        <v>0</v>
      </c>
      <c r="K69" s="223">
        <v>0</v>
      </c>
      <c r="L69" s="212"/>
      <c r="M69" s="35">
        <v>0</v>
      </c>
      <c r="N69" s="200">
        <f t="shared" si="18"/>
        <v>0</v>
      </c>
      <c r="O69" s="35">
        <v>0</v>
      </c>
      <c r="P69" s="200">
        <f t="shared" si="19"/>
        <v>0</v>
      </c>
      <c r="Q69" s="35">
        <v>0</v>
      </c>
      <c r="R69" s="200">
        <f t="shared" si="20"/>
        <v>0</v>
      </c>
    </row>
    <row r="70" spans="1:18" x14ac:dyDescent="0.2">
      <c r="A70" s="25"/>
      <c r="B70" s="25" t="s">
        <v>412</v>
      </c>
      <c r="C70" s="25"/>
      <c r="D70" s="25">
        <v>1</v>
      </c>
      <c r="E70" s="130"/>
      <c r="F70" s="224" t="s">
        <v>42</v>
      </c>
      <c r="G70" s="41">
        <v>30</v>
      </c>
      <c r="H70" s="131"/>
      <c r="I70" s="35">
        <v>30</v>
      </c>
      <c r="J70" s="200">
        <f t="shared" si="15"/>
        <v>0</v>
      </c>
      <c r="K70" s="223">
        <v>0</v>
      </c>
      <c r="L70" s="212"/>
      <c r="M70" s="35">
        <v>0</v>
      </c>
      <c r="N70" s="200">
        <f t="shared" si="18"/>
        <v>0</v>
      </c>
      <c r="O70" s="35">
        <v>30</v>
      </c>
      <c r="P70" s="200">
        <f t="shared" si="19"/>
        <v>0</v>
      </c>
      <c r="Q70" s="35">
        <v>19200</v>
      </c>
      <c r="R70" s="200">
        <f t="shared" si="20"/>
        <v>0</v>
      </c>
    </row>
    <row r="71" spans="1:18" x14ac:dyDescent="0.2">
      <c r="A71" s="25"/>
      <c r="B71" s="25" t="s">
        <v>159</v>
      </c>
      <c r="C71" s="25"/>
      <c r="D71" s="25">
        <v>1</v>
      </c>
      <c r="E71" s="130"/>
      <c r="F71" s="224" t="s">
        <v>42</v>
      </c>
      <c r="G71" s="41">
        <v>0</v>
      </c>
      <c r="H71" s="131"/>
      <c r="I71" s="35">
        <v>0</v>
      </c>
      <c r="J71" s="200">
        <f t="shared" si="15"/>
        <v>0</v>
      </c>
      <c r="K71" s="223">
        <v>0</v>
      </c>
      <c r="L71" s="212"/>
      <c r="M71" s="35">
        <v>0</v>
      </c>
      <c r="N71" s="200">
        <f t="shared" si="18"/>
        <v>0</v>
      </c>
      <c r="O71" s="35">
        <v>0</v>
      </c>
      <c r="P71" s="200">
        <f t="shared" si="19"/>
        <v>0</v>
      </c>
      <c r="Q71" s="35">
        <v>0</v>
      </c>
      <c r="R71" s="200">
        <f t="shared" si="20"/>
        <v>0</v>
      </c>
    </row>
    <row r="72" spans="1:18" x14ac:dyDescent="0.2">
      <c r="A72" s="25"/>
      <c r="B72" s="25" t="s">
        <v>160</v>
      </c>
      <c r="C72" s="25"/>
      <c r="D72" s="25">
        <v>1</v>
      </c>
      <c r="E72" s="130"/>
      <c r="F72" s="224" t="s">
        <v>42</v>
      </c>
      <c r="G72" s="41">
        <v>0</v>
      </c>
      <c r="H72" s="131"/>
      <c r="I72" s="35">
        <v>0</v>
      </c>
      <c r="J72" s="200">
        <f t="shared" si="15"/>
        <v>0</v>
      </c>
      <c r="K72" s="223">
        <v>0</v>
      </c>
      <c r="L72" s="212"/>
      <c r="M72" s="35">
        <v>0</v>
      </c>
      <c r="N72" s="200">
        <f t="shared" si="18"/>
        <v>0</v>
      </c>
      <c r="O72" s="35">
        <v>0</v>
      </c>
      <c r="P72" s="200">
        <f t="shared" si="19"/>
        <v>0</v>
      </c>
      <c r="Q72" s="35">
        <v>0</v>
      </c>
      <c r="R72" s="200">
        <f t="shared" si="20"/>
        <v>0</v>
      </c>
    </row>
    <row r="73" spans="1:18" x14ac:dyDescent="0.2">
      <c r="A73" s="25"/>
      <c r="B73" s="131"/>
      <c r="C73" s="131"/>
      <c r="D73" s="25">
        <v>1</v>
      </c>
      <c r="E73" s="130"/>
      <c r="F73" s="224"/>
      <c r="G73" s="41">
        <v>0</v>
      </c>
      <c r="H73" s="131"/>
      <c r="I73" s="35">
        <v>0</v>
      </c>
      <c r="J73" s="200">
        <f t="shared" si="15"/>
        <v>0</v>
      </c>
      <c r="K73" s="223">
        <v>0</v>
      </c>
      <c r="L73" s="212"/>
      <c r="M73" s="35">
        <v>0</v>
      </c>
      <c r="N73" s="200">
        <f t="shared" si="18"/>
        <v>0</v>
      </c>
      <c r="O73" s="35">
        <v>0</v>
      </c>
      <c r="P73" s="200">
        <f t="shared" si="19"/>
        <v>0</v>
      </c>
      <c r="Q73" s="35">
        <v>0</v>
      </c>
      <c r="R73" s="200">
        <f t="shared" si="20"/>
        <v>0</v>
      </c>
    </row>
    <row r="74" spans="1:18" ht="13.5" thickBot="1" x14ac:dyDescent="0.25">
      <c r="A74" s="25"/>
      <c r="B74" s="131"/>
      <c r="C74" s="131"/>
      <c r="D74" s="25">
        <v>1</v>
      </c>
      <c r="E74" s="130"/>
      <c r="F74" s="224"/>
      <c r="G74" s="41">
        <v>0</v>
      </c>
      <c r="H74" s="131"/>
      <c r="I74" s="35">
        <v>0</v>
      </c>
      <c r="J74" s="200">
        <f>E74*H74</f>
        <v>0</v>
      </c>
      <c r="K74" s="223">
        <v>0</v>
      </c>
      <c r="L74" s="212"/>
      <c r="M74" s="35">
        <v>0</v>
      </c>
      <c r="N74" s="200">
        <f t="shared" si="18"/>
        <v>0</v>
      </c>
      <c r="O74" s="35">
        <v>0</v>
      </c>
      <c r="P74" s="200">
        <f t="shared" si="19"/>
        <v>0</v>
      </c>
      <c r="Q74" s="35">
        <v>0</v>
      </c>
      <c r="R74" s="200">
        <f t="shared" si="20"/>
        <v>0</v>
      </c>
    </row>
    <row r="75" spans="1:18" ht="13.5" thickBot="1" x14ac:dyDescent="0.25">
      <c r="A75" s="25" t="s">
        <v>37</v>
      </c>
      <c r="B75" s="25"/>
      <c r="C75" s="25"/>
      <c r="D75" s="25"/>
      <c r="E75" s="195"/>
      <c r="F75" s="25"/>
      <c r="G75" s="25"/>
      <c r="H75" s="195"/>
      <c r="I75" s="118">
        <v>47.435572891505927</v>
      </c>
      <c r="J75" s="202">
        <f>+SUM(J62:J74)</f>
        <v>0</v>
      </c>
      <c r="K75" s="35"/>
      <c r="L75" s="193"/>
      <c r="M75" s="118">
        <v>0</v>
      </c>
      <c r="N75" s="202">
        <f>+SUM(N62:N74)</f>
        <v>0</v>
      </c>
      <c r="O75" s="118">
        <v>47.435572891505927</v>
      </c>
      <c r="P75" s="202">
        <f>+SUM(P62:P74)</f>
        <v>0</v>
      </c>
      <c r="Q75" s="118">
        <v>30358.76665056379</v>
      </c>
      <c r="R75" s="202">
        <f>+SUM(R62:R74)</f>
        <v>0</v>
      </c>
    </row>
    <row r="76" spans="1:18" ht="14.25" thickTop="1" thickBot="1" x14ac:dyDescent="0.25">
      <c r="A76" s="25" t="s">
        <v>52</v>
      </c>
      <c r="B76" s="25"/>
      <c r="C76" s="25"/>
      <c r="D76" s="25"/>
      <c r="E76" s="195"/>
      <c r="F76" s="25"/>
      <c r="G76" s="25"/>
      <c r="H76" s="195"/>
      <c r="I76" s="87">
        <v>227.07897701625984</v>
      </c>
      <c r="J76" s="203">
        <f>+J56+J75</f>
        <v>0</v>
      </c>
      <c r="K76" s="35"/>
      <c r="L76" s="193"/>
      <c r="M76" s="87">
        <v>0</v>
      </c>
      <c r="N76" s="203">
        <f>+N56+N75</f>
        <v>0</v>
      </c>
      <c r="O76" s="87">
        <v>227.07897701625984</v>
      </c>
      <c r="P76" s="203">
        <f>+P56+P75</f>
        <v>0</v>
      </c>
      <c r="Q76" s="87">
        <v>145330.5452904063</v>
      </c>
      <c r="R76" s="203">
        <f>+R56+R75</f>
        <v>0</v>
      </c>
    </row>
    <row r="77" spans="1:18" ht="13.5" thickTop="1" x14ac:dyDescent="0.2">
      <c r="A77" s="25"/>
      <c r="B77" s="25"/>
      <c r="C77" s="25"/>
      <c r="D77" s="25"/>
      <c r="E77" s="195"/>
      <c r="F77" s="25"/>
      <c r="G77" s="25"/>
      <c r="H77" s="195"/>
      <c r="I77" s="35"/>
      <c r="J77" s="182"/>
      <c r="K77" s="35"/>
      <c r="L77" s="193"/>
      <c r="M77" s="35"/>
      <c r="N77" s="182"/>
      <c r="O77" s="35"/>
      <c r="P77" s="182"/>
      <c r="Q77" s="35"/>
      <c r="R77" s="182"/>
    </row>
    <row r="78" spans="1:18" x14ac:dyDescent="0.2">
      <c r="A78" s="25" t="s">
        <v>153</v>
      </c>
      <c r="B78" s="25"/>
      <c r="C78" s="25"/>
      <c r="D78" s="25"/>
      <c r="E78" s="195"/>
      <c r="F78" s="25"/>
      <c r="G78" s="25"/>
      <c r="H78" s="195"/>
      <c r="I78" s="35">
        <v>-87.078977016259842</v>
      </c>
      <c r="J78" s="200">
        <f>+J13-J76</f>
        <v>0</v>
      </c>
      <c r="K78" s="35"/>
      <c r="L78" s="193"/>
      <c r="M78" s="35">
        <v>0</v>
      </c>
      <c r="N78" s="200">
        <f>+N13-N76</f>
        <v>0</v>
      </c>
      <c r="O78" s="35">
        <v>-87.078977016259842</v>
      </c>
      <c r="P78" s="200">
        <f>+P13-P76</f>
        <v>0</v>
      </c>
      <c r="Q78" s="35">
        <v>-55730.545290406299</v>
      </c>
      <c r="R78" s="200">
        <f>+R13-R76</f>
        <v>0</v>
      </c>
    </row>
    <row r="79" spans="1:18" x14ac:dyDescent="0.2">
      <c r="A79" s="25"/>
      <c r="B79" s="25"/>
      <c r="C79" s="25"/>
      <c r="D79" s="25"/>
      <c r="E79" s="195"/>
      <c r="F79" s="25"/>
      <c r="G79" s="25"/>
      <c r="H79" s="195"/>
      <c r="I79" s="35"/>
      <c r="J79" s="204"/>
      <c r="K79" s="35"/>
      <c r="L79" s="193"/>
      <c r="M79" s="35"/>
      <c r="N79" s="193"/>
      <c r="O79" s="35"/>
      <c r="P79" s="193"/>
      <c r="Q79" s="35"/>
      <c r="R79" s="204"/>
    </row>
    <row r="80" spans="1:18" ht="13.5" thickBot="1" x14ac:dyDescent="0.25">
      <c r="A80" s="44" t="s">
        <v>38</v>
      </c>
      <c r="B80" s="44"/>
      <c r="C80" s="44"/>
      <c r="D80" s="44"/>
      <c r="E80" s="199"/>
      <c r="F80" s="44"/>
      <c r="G80" s="45">
        <v>0.22707897701625984</v>
      </c>
      <c r="H80" s="210" t="str">
        <f>IF(E10=0,"n/a",(YTotExp-(YTotExp+YTotRet-J10))/E10)</f>
        <v>n/a</v>
      </c>
      <c r="I80" s="44" t="s">
        <v>82</v>
      </c>
      <c r="J80" s="205"/>
      <c r="K80" s="44"/>
      <c r="L80" s="199"/>
      <c r="M80" s="44"/>
      <c r="N80" s="199"/>
      <c r="O80" s="44"/>
      <c r="P80" s="199"/>
      <c r="Q80" s="44"/>
      <c r="R80" s="205"/>
    </row>
    <row r="81" spans="1:18" ht="13.5" thickTop="1" x14ac:dyDescent="0.2"/>
    <row r="82" spans="1:18" s="17" customFormat="1" ht="15.75" x14ac:dyDescent="0.25">
      <c r="A82"/>
      <c r="B82" s="88"/>
      <c r="C82" s="89"/>
      <c r="D82" s="234" t="s">
        <v>113</v>
      </c>
      <c r="E82" s="235"/>
      <c r="F82" s="235"/>
      <c r="G82" s="235"/>
      <c r="H82" s="235"/>
      <c r="I82" s="235"/>
      <c r="J82" s="99"/>
      <c r="K82" s="99"/>
      <c r="M82"/>
      <c r="N82"/>
    </row>
    <row r="83" spans="1:18" s="17" customFormat="1" ht="15.75" x14ac:dyDescent="0.25">
      <c r="A83"/>
      <c r="B83" s="19" t="s">
        <v>114</v>
      </c>
      <c r="C83" s="19" t="s">
        <v>114</v>
      </c>
      <c r="D83" s="123" t="s">
        <v>170</v>
      </c>
      <c r="E83" s="18"/>
      <c r="F83" s="18"/>
      <c r="G83" s="123" t="s">
        <v>170</v>
      </c>
      <c r="H83" s="18"/>
      <c r="I83" s="18"/>
      <c r="J83" s="18"/>
      <c r="K83" s="18"/>
      <c r="M83"/>
      <c r="N83"/>
    </row>
    <row r="84" spans="1:18" s="17" customFormat="1" x14ac:dyDescent="0.2">
      <c r="A84"/>
      <c r="B84" s="19" t="s">
        <v>80</v>
      </c>
      <c r="C84" s="19" t="s">
        <v>80</v>
      </c>
      <c r="D84" s="123" t="s">
        <v>157</v>
      </c>
      <c r="E84" s="119"/>
      <c r="F84" s="119"/>
      <c r="G84" s="123" t="s">
        <v>12</v>
      </c>
      <c r="H84" s="119"/>
      <c r="I84" s="119"/>
      <c r="J84" s="119"/>
      <c r="K84" s="119"/>
      <c r="M84"/>
      <c r="N84"/>
    </row>
    <row r="85" spans="1:18" s="17" customFormat="1" x14ac:dyDescent="0.2">
      <c r="A85"/>
      <c r="B85" s="19" t="s">
        <v>30</v>
      </c>
      <c r="C85" s="99" t="s">
        <v>82</v>
      </c>
      <c r="D85" s="123" t="s">
        <v>98</v>
      </c>
      <c r="E85" s="119"/>
      <c r="F85" s="119"/>
      <c r="G85" s="123" t="s">
        <v>98</v>
      </c>
      <c r="H85" s="19"/>
      <c r="I85" s="19"/>
      <c r="J85" s="19"/>
      <c r="K85" s="19"/>
      <c r="M85"/>
      <c r="N85"/>
    </row>
    <row r="86" spans="1:18" s="17" customFormat="1" x14ac:dyDescent="0.2">
      <c r="A86"/>
      <c r="B86" s="90">
        <v>0.75</v>
      </c>
      <c r="C86" s="91">
        <v>750</v>
      </c>
      <c r="D86" s="92">
        <v>0.23952453883300523</v>
      </c>
      <c r="E86" s="93"/>
      <c r="F86" s="94"/>
      <c r="G86" s="92">
        <v>0.3027719693550131</v>
      </c>
      <c r="H86" s="93"/>
      <c r="I86" s="93"/>
      <c r="M86"/>
      <c r="N86"/>
    </row>
    <row r="87" spans="1:18" s="17" customFormat="1" x14ac:dyDescent="0.2">
      <c r="A87"/>
      <c r="B87" s="95">
        <v>0.9</v>
      </c>
      <c r="C87" s="96">
        <v>900</v>
      </c>
      <c r="D87" s="97">
        <v>0.19960378236083767</v>
      </c>
      <c r="E87" s="83"/>
      <c r="F87" s="98"/>
      <c r="G87" s="97">
        <v>0.25230997446251091</v>
      </c>
      <c r="H87" s="83"/>
      <c r="I87" s="83"/>
      <c r="M87"/>
      <c r="N87"/>
    </row>
    <row r="88" spans="1:18" s="17" customFormat="1" x14ac:dyDescent="0.2">
      <c r="A88"/>
      <c r="B88" s="90">
        <v>1</v>
      </c>
      <c r="C88" s="91">
        <v>1000</v>
      </c>
      <c r="D88" s="92">
        <v>0.17964340412475391</v>
      </c>
      <c r="E88" s="93"/>
      <c r="F88" s="94"/>
      <c r="G88" s="92">
        <v>0.22707897701625984</v>
      </c>
      <c r="H88" s="93"/>
      <c r="I88" s="93"/>
      <c r="M88"/>
      <c r="N88"/>
    </row>
    <row r="89" spans="1:18" s="17" customFormat="1" x14ac:dyDescent="0.2">
      <c r="A89"/>
      <c r="B89" s="95">
        <v>1.1000000000000001</v>
      </c>
      <c r="C89" s="96">
        <v>1100</v>
      </c>
      <c r="D89" s="97">
        <v>0.1633121855679581</v>
      </c>
      <c r="E89" s="83"/>
      <c r="F89" s="98"/>
      <c r="G89" s="97">
        <v>0.20643543365114531</v>
      </c>
      <c r="H89" s="83"/>
      <c r="I89" s="83"/>
      <c r="M89"/>
      <c r="N89"/>
    </row>
    <row r="90" spans="1:18" s="17" customFormat="1" x14ac:dyDescent="0.2">
      <c r="A90"/>
      <c r="B90" s="90">
        <v>1.25</v>
      </c>
      <c r="C90" s="91">
        <v>1250</v>
      </c>
      <c r="D90" s="92">
        <v>0.14371472329980314</v>
      </c>
      <c r="E90" s="93"/>
      <c r="F90" s="94"/>
      <c r="G90" s="92">
        <v>0.18166318161300787</v>
      </c>
      <c r="H90" s="93"/>
      <c r="I90" s="93"/>
      <c r="M90"/>
      <c r="N90"/>
    </row>
    <row r="91" spans="1:18" s="17" customFormat="1" x14ac:dyDescent="0.2">
      <c r="A91"/>
      <c r="M91"/>
      <c r="N91"/>
    </row>
    <row r="92" spans="1:18" x14ac:dyDescent="0.2">
      <c r="A92" s="25" t="s">
        <v>434</v>
      </c>
      <c r="B92" s="17"/>
      <c r="C92" s="17"/>
      <c r="D92" s="17"/>
      <c r="E92" s="17"/>
      <c r="F92" s="17"/>
      <c r="G92" s="17"/>
      <c r="H92" s="17"/>
      <c r="I92" s="17"/>
      <c r="J92" s="28"/>
      <c r="K92" s="17"/>
      <c r="L92" s="17"/>
      <c r="M92" s="17"/>
      <c r="N92" s="17"/>
      <c r="O92" s="17"/>
      <c r="P92" s="17"/>
      <c r="Q92" s="17"/>
    </row>
    <row r="93" spans="1:18" x14ac:dyDescent="0.2">
      <c r="A93" s="17"/>
      <c r="B93" s="17"/>
      <c r="C93" s="17"/>
      <c r="D93" s="17"/>
      <c r="E93" s="17"/>
      <c r="F93" s="17"/>
      <c r="G93" s="17"/>
      <c r="H93" s="17"/>
      <c r="I93" s="17"/>
      <c r="J93" s="28"/>
      <c r="K93" s="17"/>
      <c r="L93" s="17"/>
      <c r="M93" s="17"/>
      <c r="N93" s="17"/>
      <c r="O93" s="17"/>
      <c r="P93" s="17"/>
      <c r="Q93" s="17"/>
    </row>
    <row r="94" spans="1:18" ht="26.25" customHeight="1" x14ac:dyDescent="0.2">
      <c r="A94" s="236" t="s">
        <v>140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19"/>
      <c r="N94" s="219"/>
      <c r="O94" s="219"/>
      <c r="P94" s="219"/>
      <c r="Q94" s="219"/>
      <c r="R94" s="219"/>
    </row>
  </sheetData>
  <sheetProtection sheet="1" objects="1" scenarios="1"/>
  <mergeCells count="6">
    <mergeCell ref="D82:I82"/>
    <mergeCell ref="A94:L94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41">
    <tabColor rgb="FFFF0000"/>
    <pageSetUpPr fitToPage="1"/>
  </sheetPr>
  <dimension ref="A1:O85"/>
  <sheetViews>
    <sheetView showGridLines="0" workbookViewId="0">
      <selection activeCell="A3" sqref="A3:N3"/>
    </sheetView>
  </sheetViews>
  <sheetFormatPr defaultColWidth="9.140625" defaultRowHeight="12.75" x14ac:dyDescent="0.2"/>
  <cols>
    <col min="1" max="1" width="3.5703125" customWidth="1"/>
    <col min="2" max="2" width="4.42578125" customWidth="1"/>
    <col min="3" max="3" width="20.140625" customWidth="1"/>
    <col min="4" max="4" width="12.140625" customWidth="1"/>
    <col min="5" max="5" width="9.140625" customWidth="1"/>
    <col min="6" max="6" width="13.140625" customWidth="1"/>
    <col min="7" max="8" width="9.140625" customWidth="1"/>
    <col min="9" max="9" width="9.5703125" bestFit="1" customWidth="1"/>
    <col min="10" max="10" width="9.5703125" customWidth="1"/>
    <col min="11" max="11" width="11.42578125" customWidth="1"/>
    <col min="12" max="12" width="11.5703125" customWidth="1"/>
    <col min="13" max="13" width="14.5703125" customWidth="1"/>
    <col min="14" max="14" width="14.42578125" customWidth="1"/>
    <col min="15" max="15" width="9.140625" hidden="1" customWidth="1"/>
  </cols>
  <sheetData>
    <row r="1" spans="1:15" x14ac:dyDescent="0.2">
      <c r="A1" s="238" t="s">
        <v>18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5" x14ac:dyDescent="0.2">
      <c r="A2" s="239" t="s">
        <v>491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5" x14ac:dyDescent="0.2">
      <c r="A3" s="240" t="s">
        <v>351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5" x14ac:dyDescent="0.2">
      <c r="A4" s="241" t="s">
        <v>485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15" x14ac:dyDescent="0.2">
      <c r="A5" s="120" t="s">
        <v>482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5" x14ac:dyDescent="0.2">
      <c r="A6" s="105"/>
      <c r="B6" s="22"/>
      <c r="C6" s="22"/>
      <c r="D6" s="22"/>
      <c r="E6" s="214" t="s">
        <v>488</v>
      </c>
      <c r="F6" s="22"/>
      <c r="G6" s="22"/>
      <c r="H6" s="22"/>
      <c r="I6" s="22"/>
      <c r="J6" s="22"/>
      <c r="K6" s="22"/>
      <c r="L6" s="22"/>
      <c r="M6" s="22"/>
      <c r="N6" s="22"/>
    </row>
    <row r="7" spans="1:15" x14ac:dyDescent="0.2">
      <c r="A7" s="105"/>
      <c r="B7" s="32" t="s">
        <v>147</v>
      </c>
      <c r="C7" s="22"/>
      <c r="D7" s="22">
        <v>400</v>
      </c>
      <c r="E7" s="211"/>
      <c r="F7" s="114" t="s">
        <v>155</v>
      </c>
      <c r="G7" s="22"/>
      <c r="H7" s="22"/>
      <c r="I7" s="22"/>
      <c r="J7" s="22"/>
      <c r="K7" s="22"/>
      <c r="L7" s="22"/>
      <c r="M7" s="22"/>
      <c r="N7" s="188" t="s">
        <v>74</v>
      </c>
    </row>
    <row r="8" spans="1:15" x14ac:dyDescent="0.2">
      <c r="A8" s="105"/>
      <c r="B8" s="32" t="s">
        <v>96</v>
      </c>
      <c r="C8" s="22"/>
      <c r="D8" s="22">
        <v>400</v>
      </c>
      <c r="E8" s="211"/>
      <c r="F8" s="114" t="s">
        <v>154</v>
      </c>
      <c r="G8" s="188" t="s">
        <v>74</v>
      </c>
      <c r="H8" s="22"/>
      <c r="I8" s="22"/>
      <c r="J8" s="22"/>
      <c r="K8" s="22"/>
      <c r="L8" s="22"/>
      <c r="M8" s="22" t="s">
        <v>19</v>
      </c>
      <c r="N8" s="188" t="s">
        <v>19</v>
      </c>
    </row>
    <row r="9" spans="1:15" x14ac:dyDescent="0.2">
      <c r="A9" s="25"/>
      <c r="B9" s="17"/>
      <c r="C9" s="25"/>
      <c r="D9" s="21"/>
      <c r="E9" s="188" t="s">
        <v>74</v>
      </c>
      <c r="F9" s="21" t="s">
        <v>2</v>
      </c>
      <c r="G9" s="192" t="s">
        <v>2</v>
      </c>
      <c r="H9" s="21"/>
      <c r="I9" s="21"/>
      <c r="J9" s="188" t="s">
        <v>74</v>
      </c>
      <c r="K9" s="21"/>
      <c r="L9" s="188" t="s">
        <v>74</v>
      </c>
      <c r="M9" s="22" t="s">
        <v>12</v>
      </c>
      <c r="N9" s="188" t="s">
        <v>12</v>
      </c>
    </row>
    <row r="10" spans="1:15" x14ac:dyDescent="0.2">
      <c r="A10" s="23" t="s">
        <v>73</v>
      </c>
      <c r="B10" s="23"/>
      <c r="C10" s="23"/>
      <c r="D10" s="24" t="s">
        <v>20</v>
      </c>
      <c r="E10" s="189" t="s">
        <v>20</v>
      </c>
      <c r="F10" s="24" t="s">
        <v>100</v>
      </c>
      <c r="G10" s="189" t="s">
        <v>100</v>
      </c>
      <c r="H10" s="24" t="s">
        <v>21</v>
      </c>
      <c r="I10" s="24" t="s">
        <v>22</v>
      </c>
      <c r="J10" s="189" t="s">
        <v>22</v>
      </c>
      <c r="K10" s="24" t="s">
        <v>12</v>
      </c>
      <c r="L10" s="189" t="s">
        <v>12</v>
      </c>
      <c r="M10" s="24" t="str">
        <f>"(" &amp; D7 &amp; " AUs)"</f>
        <v>(400 AUs)</v>
      </c>
      <c r="N10" s="189" t="str">
        <f>"(" &amp; E7 &amp; " AUs)"</f>
        <v>( AUs)</v>
      </c>
    </row>
    <row r="11" spans="1:15" x14ac:dyDescent="0.2">
      <c r="A11" s="25"/>
      <c r="B11" s="25" t="s">
        <v>175</v>
      </c>
      <c r="C11" s="25"/>
      <c r="D11" s="33">
        <v>0.44</v>
      </c>
      <c r="E11" s="130"/>
      <c r="F11" s="34">
        <v>5.56</v>
      </c>
      <c r="G11" s="130"/>
      <c r="H11" s="225" t="s">
        <v>8</v>
      </c>
      <c r="I11" s="31">
        <v>340</v>
      </c>
      <c r="J11" s="131"/>
      <c r="K11" s="35">
        <v>831.77599999999984</v>
      </c>
      <c r="L11" s="200">
        <f>+E11*G11*J11</f>
        <v>0</v>
      </c>
      <c r="M11" s="35">
        <v>332710.39999999991</v>
      </c>
      <c r="N11" s="200">
        <f>+L11*E$7</f>
        <v>0</v>
      </c>
      <c r="O11" s="12"/>
    </row>
    <row r="12" spans="1:15" x14ac:dyDescent="0.2">
      <c r="A12" s="25"/>
      <c r="B12" s="25" t="s">
        <v>174</v>
      </c>
      <c r="C12" s="25"/>
      <c r="D12" s="33">
        <v>0.24</v>
      </c>
      <c r="E12" s="130"/>
      <c r="F12" s="34">
        <v>5.14</v>
      </c>
      <c r="G12" s="130"/>
      <c r="H12" s="225" t="s">
        <v>8</v>
      </c>
      <c r="I12" s="31">
        <v>275</v>
      </c>
      <c r="J12" s="131"/>
      <c r="K12" s="35">
        <v>339.23999999999995</v>
      </c>
      <c r="L12" s="200">
        <f t="shared" ref="L12:L16" si="0">+E12*G12*J12</f>
        <v>0</v>
      </c>
      <c r="M12" s="35">
        <v>135695.99999999997</v>
      </c>
      <c r="N12" s="200">
        <f t="shared" ref="N12:N16" si="1">+L12*E$7</f>
        <v>0</v>
      </c>
    </row>
    <row r="13" spans="1:15" x14ac:dyDescent="0.2">
      <c r="A13" s="25"/>
      <c r="B13" s="25" t="s">
        <v>95</v>
      </c>
      <c r="C13" s="25"/>
      <c r="D13" s="33">
        <v>0.15</v>
      </c>
      <c r="E13" s="130"/>
      <c r="F13" s="34">
        <v>11</v>
      </c>
      <c r="G13" s="130"/>
      <c r="H13" s="225" t="s">
        <v>8</v>
      </c>
      <c r="I13" s="31">
        <v>110</v>
      </c>
      <c r="J13" s="131"/>
      <c r="K13" s="35">
        <v>181.5</v>
      </c>
      <c r="L13" s="200">
        <f t="shared" si="0"/>
        <v>0</v>
      </c>
      <c r="M13" s="35">
        <v>72600</v>
      </c>
      <c r="N13" s="200">
        <f t="shared" si="1"/>
        <v>0</v>
      </c>
    </row>
    <row r="14" spans="1:15" x14ac:dyDescent="0.2">
      <c r="A14" s="25"/>
      <c r="B14" s="25" t="s">
        <v>94</v>
      </c>
      <c r="C14" s="25"/>
      <c r="D14" s="33">
        <v>9.0000000000000011E-3</v>
      </c>
      <c r="E14" s="130"/>
      <c r="F14" s="34">
        <v>16.5</v>
      </c>
      <c r="G14" s="130"/>
      <c r="H14" s="225" t="s">
        <v>8</v>
      </c>
      <c r="I14" s="31">
        <v>120</v>
      </c>
      <c r="J14" s="131"/>
      <c r="K14" s="35">
        <v>17.820000000000004</v>
      </c>
      <c r="L14" s="200">
        <f t="shared" si="0"/>
        <v>0</v>
      </c>
      <c r="M14" s="35">
        <v>7128.0000000000018</v>
      </c>
      <c r="N14" s="200">
        <f t="shared" si="1"/>
        <v>0</v>
      </c>
    </row>
    <row r="15" spans="1:15" x14ac:dyDescent="0.2">
      <c r="A15" s="25"/>
      <c r="B15" s="130"/>
      <c r="C15" s="130"/>
      <c r="D15" s="33">
        <v>0</v>
      </c>
      <c r="E15" s="130"/>
      <c r="F15" s="34">
        <v>0</v>
      </c>
      <c r="G15" s="130"/>
      <c r="H15" s="225"/>
      <c r="I15" s="31">
        <v>0</v>
      </c>
      <c r="J15" s="131"/>
      <c r="K15" s="35">
        <v>0</v>
      </c>
      <c r="L15" s="200">
        <f t="shared" si="0"/>
        <v>0</v>
      </c>
      <c r="M15" s="35">
        <v>0</v>
      </c>
      <c r="N15" s="200">
        <f t="shared" si="1"/>
        <v>0</v>
      </c>
    </row>
    <row r="16" spans="1:15" ht="13.5" thickBot="1" x14ac:dyDescent="0.25">
      <c r="A16" s="25"/>
      <c r="B16" s="130"/>
      <c r="C16" s="130"/>
      <c r="D16" s="33">
        <v>0</v>
      </c>
      <c r="E16" s="130"/>
      <c r="F16" s="34">
        <v>0</v>
      </c>
      <c r="G16" s="130"/>
      <c r="H16" s="225"/>
      <c r="I16" s="31">
        <v>0</v>
      </c>
      <c r="J16" s="131"/>
      <c r="K16" s="35">
        <v>0</v>
      </c>
      <c r="L16" s="182">
        <f t="shared" si="0"/>
        <v>0</v>
      </c>
      <c r="M16" s="35">
        <v>0</v>
      </c>
      <c r="N16" s="182">
        <f t="shared" si="1"/>
        <v>0</v>
      </c>
    </row>
    <row r="17" spans="1:14" x14ac:dyDescent="0.2">
      <c r="A17" s="25" t="s">
        <v>24</v>
      </c>
      <c r="B17" s="25"/>
      <c r="C17" s="25"/>
      <c r="D17" s="25"/>
      <c r="E17" s="25"/>
      <c r="F17" s="114">
        <v>368</v>
      </c>
      <c r="G17" s="198"/>
      <c r="H17" s="25"/>
      <c r="I17" s="25"/>
      <c r="J17" s="195"/>
      <c r="K17" s="36">
        <v>1370.3359999999998</v>
      </c>
      <c r="L17" s="201">
        <f>+SUM(L11:L16)</f>
        <v>0</v>
      </c>
      <c r="M17" s="36">
        <v>548134.39999999991</v>
      </c>
      <c r="N17" s="201">
        <f>+SUM(N11:N16)</f>
        <v>0</v>
      </c>
    </row>
    <row r="18" spans="1:14" x14ac:dyDescent="0.2">
      <c r="A18" s="25"/>
      <c r="B18" s="25"/>
      <c r="C18" s="25"/>
      <c r="D18" s="25"/>
      <c r="E18" s="25"/>
      <c r="F18" s="114">
        <v>547.85</v>
      </c>
      <c r="G18" s="198"/>
      <c r="H18" s="25"/>
      <c r="I18" s="25"/>
      <c r="J18" s="195"/>
      <c r="K18" s="35"/>
      <c r="L18" s="182"/>
      <c r="M18" s="35"/>
      <c r="N18" s="182"/>
    </row>
    <row r="19" spans="1:14" x14ac:dyDescent="0.2">
      <c r="A19" s="25"/>
      <c r="B19" s="25"/>
      <c r="C19" s="25"/>
      <c r="D19" s="25"/>
      <c r="E19" s="25"/>
      <c r="F19" s="113">
        <v>179.85000000000002</v>
      </c>
      <c r="G19" s="176"/>
      <c r="H19" s="21"/>
      <c r="I19" s="21"/>
      <c r="J19" s="209"/>
      <c r="K19" s="21"/>
      <c r="L19" s="182"/>
      <c r="M19" s="22" t="s">
        <v>19</v>
      </c>
      <c r="N19" s="176" t="s">
        <v>19</v>
      </c>
    </row>
    <row r="20" spans="1:14" x14ac:dyDescent="0.2">
      <c r="A20" s="23" t="s">
        <v>25</v>
      </c>
      <c r="B20" s="23"/>
      <c r="C20" s="23"/>
      <c r="D20" s="23"/>
      <c r="E20" s="23"/>
      <c r="F20" s="24" t="s">
        <v>2</v>
      </c>
      <c r="G20" s="194" t="s">
        <v>2</v>
      </c>
      <c r="H20" s="24" t="s">
        <v>21</v>
      </c>
      <c r="I20" s="24" t="s">
        <v>22</v>
      </c>
      <c r="J20" s="194" t="s">
        <v>22</v>
      </c>
      <c r="K20" s="24" t="s">
        <v>12</v>
      </c>
      <c r="L20" s="200" t="s">
        <v>12</v>
      </c>
      <c r="M20" s="24" t="s">
        <v>12</v>
      </c>
      <c r="N20" s="194" t="s">
        <v>12</v>
      </c>
    </row>
    <row r="21" spans="1:14" x14ac:dyDescent="0.2">
      <c r="A21" s="25" t="s">
        <v>26</v>
      </c>
      <c r="B21" s="25"/>
      <c r="C21" s="25"/>
      <c r="D21" s="25"/>
      <c r="E21" s="25"/>
      <c r="F21" s="25"/>
      <c r="G21" s="176"/>
      <c r="H21" s="25"/>
      <c r="I21" s="25"/>
      <c r="J21" s="209"/>
      <c r="K21" s="25"/>
      <c r="L21" s="182"/>
      <c r="M21" s="25"/>
      <c r="N21" s="182"/>
    </row>
    <row r="22" spans="1:14" x14ac:dyDescent="0.2">
      <c r="A22" s="25"/>
      <c r="B22" s="25" t="s">
        <v>27</v>
      </c>
      <c r="C22" s="25"/>
      <c r="D22" s="25"/>
      <c r="E22" s="25"/>
      <c r="G22" s="104"/>
      <c r="J22" s="104"/>
      <c r="K22" s="124"/>
      <c r="L22" s="104"/>
      <c r="N22" s="104"/>
    </row>
    <row r="23" spans="1:14" x14ac:dyDescent="0.2">
      <c r="A23" s="25"/>
      <c r="B23" s="25"/>
      <c r="C23" s="25" t="s">
        <v>352</v>
      </c>
      <c r="D23" s="25"/>
      <c r="E23" s="25"/>
      <c r="F23" s="34">
        <v>1</v>
      </c>
      <c r="G23" s="130"/>
      <c r="H23" s="225" t="s">
        <v>148</v>
      </c>
      <c r="I23" s="35">
        <v>12</v>
      </c>
      <c r="J23" s="131"/>
      <c r="K23" s="35">
        <v>12</v>
      </c>
      <c r="L23" s="200">
        <f t="shared" ref="L23:L27" si="2">+J23*G23</f>
        <v>0</v>
      </c>
      <c r="M23" s="35">
        <v>4800</v>
      </c>
      <c r="N23" s="200">
        <f t="shared" ref="N23:N27" si="3">+L23*E$7</f>
        <v>0</v>
      </c>
    </row>
    <row r="24" spans="1:14" x14ac:dyDescent="0.2">
      <c r="A24" s="25"/>
      <c r="B24" s="25"/>
      <c r="C24" s="25" t="s">
        <v>353</v>
      </c>
      <c r="D24" s="25"/>
      <c r="E24" s="25"/>
      <c r="F24" s="34">
        <v>1</v>
      </c>
      <c r="G24" s="130"/>
      <c r="H24" s="225" t="s">
        <v>148</v>
      </c>
      <c r="I24" s="35">
        <v>16.25</v>
      </c>
      <c r="J24" s="131"/>
      <c r="K24" s="35">
        <v>16.25</v>
      </c>
      <c r="L24" s="200">
        <f t="shared" si="2"/>
        <v>0</v>
      </c>
      <c r="M24" s="35">
        <v>6500</v>
      </c>
      <c r="N24" s="200">
        <f t="shared" si="3"/>
        <v>0</v>
      </c>
    </row>
    <row r="25" spans="1:14" x14ac:dyDescent="0.2">
      <c r="A25" s="25"/>
      <c r="B25" s="130"/>
      <c r="C25" s="130"/>
      <c r="D25" s="25"/>
      <c r="E25" s="25"/>
      <c r="F25" s="34">
        <v>1</v>
      </c>
      <c r="G25" s="130"/>
      <c r="H25" s="225"/>
      <c r="I25" s="35">
        <v>0</v>
      </c>
      <c r="J25" s="131"/>
      <c r="K25" s="35">
        <v>0</v>
      </c>
      <c r="L25" s="200">
        <f t="shared" si="2"/>
        <v>0</v>
      </c>
      <c r="M25" s="35">
        <v>0</v>
      </c>
      <c r="N25" s="200">
        <f t="shared" si="3"/>
        <v>0</v>
      </c>
    </row>
    <row r="26" spans="1:14" x14ac:dyDescent="0.2">
      <c r="A26" s="25"/>
      <c r="B26" s="130"/>
      <c r="C26" s="130"/>
      <c r="D26" s="25"/>
      <c r="E26" s="25"/>
      <c r="F26" s="34">
        <v>1</v>
      </c>
      <c r="G26" s="130"/>
      <c r="H26" s="225"/>
      <c r="I26" s="35">
        <v>0</v>
      </c>
      <c r="J26" s="131"/>
      <c r="K26" s="35">
        <v>0</v>
      </c>
      <c r="L26" s="200">
        <f t="shared" si="2"/>
        <v>0</v>
      </c>
      <c r="M26" s="35">
        <v>0</v>
      </c>
      <c r="N26" s="200">
        <f t="shared" si="3"/>
        <v>0</v>
      </c>
    </row>
    <row r="27" spans="1:14" x14ac:dyDescent="0.2">
      <c r="A27" s="25"/>
      <c r="B27" s="25" t="s">
        <v>109</v>
      </c>
      <c r="C27" s="25"/>
      <c r="D27" s="25"/>
      <c r="E27" s="25"/>
      <c r="F27" s="34">
        <v>1</v>
      </c>
      <c r="G27" s="130"/>
      <c r="H27" s="225" t="s">
        <v>148</v>
      </c>
      <c r="I27" s="35">
        <v>28.245720000000002</v>
      </c>
      <c r="J27" s="131"/>
      <c r="K27" s="35">
        <v>28.245720000000002</v>
      </c>
      <c r="L27" s="200">
        <f t="shared" si="2"/>
        <v>0</v>
      </c>
      <c r="M27" s="35">
        <v>11298.288</v>
      </c>
      <c r="N27" s="200">
        <f t="shared" si="3"/>
        <v>0</v>
      </c>
    </row>
    <row r="28" spans="1:14" x14ac:dyDescent="0.2">
      <c r="A28" s="25"/>
      <c r="B28" s="25" t="s">
        <v>107</v>
      </c>
      <c r="C28" s="25"/>
      <c r="D28" s="25"/>
      <c r="G28" s="104"/>
      <c r="J28" s="104"/>
      <c r="K28" s="124"/>
      <c r="L28" s="104"/>
      <c r="N28" s="104"/>
    </row>
    <row r="29" spans="1:14" x14ac:dyDescent="0.2">
      <c r="A29" s="25"/>
      <c r="B29" s="25"/>
      <c r="C29" s="25" t="s">
        <v>55</v>
      </c>
      <c r="D29" s="25"/>
      <c r="E29" s="25"/>
      <c r="F29" s="25">
        <v>396</v>
      </c>
      <c r="G29" s="130"/>
      <c r="H29" s="225" t="s">
        <v>82</v>
      </c>
      <c r="I29" s="35">
        <v>0.19600000000000001</v>
      </c>
      <c r="J29" s="131"/>
      <c r="K29" s="35">
        <v>77.616</v>
      </c>
      <c r="L29" s="200">
        <f t="shared" ref="L29:L44" si="4">+J29*G29</f>
        <v>0</v>
      </c>
      <c r="M29" s="35">
        <v>31046.400000000001</v>
      </c>
      <c r="N29" s="200">
        <f t="shared" ref="N29:N34" si="5">+L29*E$7</f>
        <v>0</v>
      </c>
    </row>
    <row r="30" spans="1:14" x14ac:dyDescent="0.2">
      <c r="A30" s="25"/>
      <c r="B30" s="25"/>
      <c r="C30" s="25" t="s">
        <v>178</v>
      </c>
      <c r="D30" s="25"/>
      <c r="E30" s="25"/>
      <c r="F30" s="25">
        <v>30</v>
      </c>
      <c r="G30" s="130"/>
      <c r="H30" s="225" t="s">
        <v>82</v>
      </c>
      <c r="I30" s="35">
        <v>0.45</v>
      </c>
      <c r="J30" s="131"/>
      <c r="K30" s="35">
        <v>13.5</v>
      </c>
      <c r="L30" s="200">
        <f t="shared" si="4"/>
        <v>0</v>
      </c>
      <c r="M30" s="35">
        <v>5400</v>
      </c>
      <c r="N30" s="200">
        <f t="shared" si="5"/>
        <v>0</v>
      </c>
    </row>
    <row r="31" spans="1:14" x14ac:dyDescent="0.2">
      <c r="A31" s="25"/>
      <c r="B31" s="25"/>
      <c r="C31" s="25" t="s">
        <v>54</v>
      </c>
      <c r="D31" s="25"/>
      <c r="E31" s="25"/>
      <c r="F31" s="25">
        <v>1584</v>
      </c>
      <c r="G31" s="130"/>
      <c r="H31" s="225" t="s">
        <v>82</v>
      </c>
      <c r="I31" s="35">
        <v>0.13</v>
      </c>
      <c r="J31" s="131"/>
      <c r="K31" s="35">
        <v>205.92000000000002</v>
      </c>
      <c r="L31" s="200">
        <f t="shared" si="4"/>
        <v>0</v>
      </c>
      <c r="M31" s="35">
        <v>82368</v>
      </c>
      <c r="N31" s="200">
        <f t="shared" si="5"/>
        <v>0</v>
      </c>
    </row>
    <row r="32" spans="1:14" x14ac:dyDescent="0.2">
      <c r="A32" s="25"/>
      <c r="B32" s="130"/>
      <c r="C32" s="130"/>
      <c r="D32" s="25"/>
      <c r="E32" s="25"/>
      <c r="F32" s="25">
        <v>0</v>
      </c>
      <c r="G32" s="130"/>
      <c r="H32" s="225"/>
      <c r="I32" s="35">
        <v>0</v>
      </c>
      <c r="J32" s="131"/>
      <c r="K32" s="35">
        <v>0</v>
      </c>
      <c r="L32" s="200">
        <f t="shared" si="4"/>
        <v>0</v>
      </c>
      <c r="M32" s="35">
        <v>0</v>
      </c>
      <c r="N32" s="200">
        <f t="shared" si="5"/>
        <v>0</v>
      </c>
    </row>
    <row r="33" spans="1:14" x14ac:dyDescent="0.2">
      <c r="A33" s="25"/>
      <c r="B33" s="130"/>
      <c r="C33" s="130"/>
      <c r="D33" s="25"/>
      <c r="E33" s="25"/>
      <c r="F33" s="25">
        <v>0</v>
      </c>
      <c r="G33" s="130"/>
      <c r="H33" s="225"/>
      <c r="I33" s="35">
        <v>0</v>
      </c>
      <c r="J33" s="131"/>
      <c r="K33" s="35">
        <v>0</v>
      </c>
      <c r="L33" s="200">
        <f t="shared" si="4"/>
        <v>0</v>
      </c>
      <c r="M33" s="35">
        <v>0</v>
      </c>
      <c r="N33" s="200">
        <f t="shared" si="5"/>
        <v>0</v>
      </c>
    </row>
    <row r="34" spans="1:14" x14ac:dyDescent="0.2">
      <c r="A34" s="25"/>
      <c r="B34" s="130"/>
      <c r="C34" s="130"/>
      <c r="D34" s="25"/>
      <c r="E34" s="25"/>
      <c r="F34" s="25">
        <v>0</v>
      </c>
      <c r="G34" s="130"/>
      <c r="H34" s="225"/>
      <c r="I34" s="35">
        <v>0</v>
      </c>
      <c r="J34" s="131"/>
      <c r="K34" s="35">
        <v>0</v>
      </c>
      <c r="L34" s="200">
        <f t="shared" si="4"/>
        <v>0</v>
      </c>
      <c r="M34" s="35">
        <v>0</v>
      </c>
      <c r="N34" s="200">
        <f t="shared" si="5"/>
        <v>0</v>
      </c>
    </row>
    <row r="35" spans="1:14" x14ac:dyDescent="0.2">
      <c r="A35" s="25"/>
      <c r="B35" s="25" t="s">
        <v>93</v>
      </c>
      <c r="C35" s="25"/>
      <c r="D35" s="25"/>
      <c r="E35" s="25"/>
      <c r="F35" s="25"/>
      <c r="G35" s="104"/>
      <c r="J35" s="104"/>
      <c r="K35" s="124"/>
      <c r="L35" s="104"/>
      <c r="N35" s="104"/>
    </row>
    <row r="36" spans="1:14" x14ac:dyDescent="0.2">
      <c r="A36" s="25"/>
      <c r="B36" s="25"/>
      <c r="C36" s="25" t="s">
        <v>345</v>
      </c>
      <c r="D36" s="25"/>
      <c r="E36" s="25"/>
      <c r="F36" s="25">
        <v>1</v>
      </c>
      <c r="G36" s="130"/>
      <c r="H36" s="225" t="s">
        <v>20</v>
      </c>
      <c r="I36" s="35">
        <v>32</v>
      </c>
      <c r="J36" s="131"/>
      <c r="K36" s="35">
        <v>32</v>
      </c>
      <c r="L36" s="200">
        <f t="shared" ref="L36:L39" si="6">+J36*G36</f>
        <v>0</v>
      </c>
      <c r="M36" s="35">
        <v>12800</v>
      </c>
      <c r="N36" s="200">
        <f t="shared" ref="N36:N50" si="7">+L36*E$7</f>
        <v>0</v>
      </c>
    </row>
    <row r="37" spans="1:14" x14ac:dyDescent="0.2">
      <c r="A37" s="25"/>
      <c r="B37" s="130"/>
      <c r="C37" s="130"/>
      <c r="D37" s="25"/>
      <c r="E37" s="25"/>
      <c r="F37" s="25">
        <v>0</v>
      </c>
      <c r="G37" s="130"/>
      <c r="H37" s="225"/>
      <c r="I37" s="35">
        <v>0</v>
      </c>
      <c r="J37" s="131"/>
      <c r="K37" s="35">
        <v>0</v>
      </c>
      <c r="L37" s="200">
        <f t="shared" si="6"/>
        <v>0</v>
      </c>
      <c r="M37" s="35">
        <v>0</v>
      </c>
      <c r="N37" s="200">
        <f t="shared" si="7"/>
        <v>0</v>
      </c>
    </row>
    <row r="38" spans="1:14" x14ac:dyDescent="0.2">
      <c r="A38" s="25"/>
      <c r="B38" s="130"/>
      <c r="C38" s="130"/>
      <c r="D38" s="25"/>
      <c r="E38" s="25"/>
      <c r="F38" s="25">
        <v>0</v>
      </c>
      <c r="G38" s="130"/>
      <c r="H38" s="225"/>
      <c r="I38" s="35">
        <v>0</v>
      </c>
      <c r="J38" s="131"/>
      <c r="K38" s="35">
        <v>0</v>
      </c>
      <c r="L38" s="200">
        <f t="shared" si="6"/>
        <v>0</v>
      </c>
      <c r="M38" s="35">
        <v>0</v>
      </c>
      <c r="N38" s="200">
        <f t="shared" si="7"/>
        <v>0</v>
      </c>
    </row>
    <row r="39" spans="1:14" x14ac:dyDescent="0.2">
      <c r="A39" s="25"/>
      <c r="B39" s="130"/>
      <c r="C39" s="130"/>
      <c r="D39" s="25"/>
      <c r="E39" s="25"/>
      <c r="F39" s="25">
        <v>0</v>
      </c>
      <c r="G39" s="130"/>
      <c r="H39" s="225"/>
      <c r="I39" s="35">
        <v>0</v>
      </c>
      <c r="J39" s="131"/>
      <c r="K39" s="35">
        <v>0</v>
      </c>
      <c r="L39" s="200">
        <f t="shared" si="6"/>
        <v>0</v>
      </c>
      <c r="M39" s="35">
        <v>0</v>
      </c>
      <c r="N39" s="200">
        <f t="shared" si="7"/>
        <v>0</v>
      </c>
    </row>
    <row r="40" spans="1:14" x14ac:dyDescent="0.2">
      <c r="A40" s="25"/>
      <c r="B40" s="25" t="s">
        <v>43</v>
      </c>
      <c r="C40" s="25"/>
      <c r="D40" s="25"/>
      <c r="E40" s="25"/>
      <c r="F40" s="37">
        <v>1</v>
      </c>
      <c r="G40" s="130"/>
      <c r="H40" s="225" t="s">
        <v>148</v>
      </c>
      <c r="I40" s="35">
        <v>37.281743249999998</v>
      </c>
      <c r="J40" s="131"/>
      <c r="K40" s="35">
        <v>37.281743249999998</v>
      </c>
      <c r="L40" s="200">
        <f t="shared" si="4"/>
        <v>0</v>
      </c>
      <c r="M40" s="35">
        <v>14912.6973</v>
      </c>
      <c r="N40" s="200">
        <f t="shared" si="7"/>
        <v>0</v>
      </c>
    </row>
    <row r="41" spans="1:14" x14ac:dyDescent="0.2">
      <c r="A41" s="25"/>
      <c r="B41" s="25" t="s">
        <v>92</v>
      </c>
      <c r="C41" s="25"/>
      <c r="D41" s="25"/>
      <c r="E41" s="25"/>
      <c r="F41" s="38">
        <v>0.1</v>
      </c>
      <c r="G41" s="135"/>
      <c r="H41" s="225" t="s">
        <v>30</v>
      </c>
      <c r="I41" s="35">
        <v>37.281743249999998</v>
      </c>
      <c r="J41" s="131"/>
      <c r="K41" s="35">
        <v>3.7281743249999999</v>
      </c>
      <c r="L41" s="200">
        <f t="shared" si="4"/>
        <v>0</v>
      </c>
      <c r="M41" s="35">
        <v>1491.26973</v>
      </c>
      <c r="N41" s="200">
        <f t="shared" si="7"/>
        <v>0</v>
      </c>
    </row>
    <row r="42" spans="1:14" x14ac:dyDescent="0.2">
      <c r="A42" s="25"/>
      <c r="B42" s="25" t="s">
        <v>91</v>
      </c>
      <c r="C42" s="25"/>
      <c r="D42" s="25"/>
      <c r="E42" s="25"/>
      <c r="F42" s="25">
        <v>1</v>
      </c>
      <c r="G42" s="130"/>
      <c r="H42" s="225" t="s">
        <v>148</v>
      </c>
      <c r="I42" s="35">
        <v>0</v>
      </c>
      <c r="J42" s="131"/>
      <c r="K42" s="35">
        <v>0</v>
      </c>
      <c r="L42" s="200">
        <f t="shared" si="4"/>
        <v>0</v>
      </c>
      <c r="M42" s="35">
        <v>0</v>
      </c>
      <c r="N42" s="200">
        <f t="shared" si="7"/>
        <v>0</v>
      </c>
    </row>
    <row r="43" spans="1:14" x14ac:dyDescent="0.2">
      <c r="A43" s="25"/>
      <c r="B43" s="25" t="s">
        <v>13</v>
      </c>
      <c r="C43" s="25"/>
      <c r="D43" s="25"/>
      <c r="E43" s="25"/>
      <c r="F43" s="34">
        <v>0.5</v>
      </c>
      <c r="G43" s="130"/>
      <c r="H43" s="225" t="s">
        <v>31</v>
      </c>
      <c r="I43" s="35">
        <v>15</v>
      </c>
      <c r="J43" s="131"/>
      <c r="K43" s="35">
        <v>7.5</v>
      </c>
      <c r="L43" s="200">
        <f t="shared" si="4"/>
        <v>0</v>
      </c>
      <c r="M43" s="35">
        <v>3000</v>
      </c>
      <c r="N43" s="200">
        <f t="shared" si="7"/>
        <v>0</v>
      </c>
    </row>
    <row r="44" spans="1:14" x14ac:dyDescent="0.2">
      <c r="A44" s="25"/>
      <c r="B44" s="25" t="s">
        <v>97</v>
      </c>
      <c r="C44" s="25"/>
      <c r="D44" s="25"/>
      <c r="E44" s="25"/>
      <c r="F44" s="34">
        <v>1</v>
      </c>
      <c r="G44" s="130"/>
      <c r="H44" s="225" t="s">
        <v>148</v>
      </c>
      <c r="I44" s="35">
        <v>10</v>
      </c>
      <c r="J44" s="131"/>
      <c r="K44" s="35">
        <v>10</v>
      </c>
      <c r="L44" s="200">
        <f t="shared" si="4"/>
        <v>0</v>
      </c>
      <c r="M44" s="35">
        <v>4000</v>
      </c>
      <c r="N44" s="200">
        <f t="shared" si="7"/>
        <v>0</v>
      </c>
    </row>
    <row r="45" spans="1:14" x14ac:dyDescent="0.2">
      <c r="A45" s="25"/>
      <c r="B45" s="130"/>
      <c r="C45" s="130"/>
      <c r="D45" s="25"/>
      <c r="E45" s="25"/>
      <c r="F45" s="34"/>
      <c r="G45" s="130"/>
      <c r="H45" s="225"/>
      <c r="I45" s="35"/>
      <c r="J45" s="131"/>
      <c r="K45" s="35">
        <v>0</v>
      </c>
      <c r="L45" s="200">
        <f t="shared" ref="L45:L49" si="8">+J45*G45</f>
        <v>0</v>
      </c>
      <c r="M45" s="35">
        <v>0</v>
      </c>
      <c r="N45" s="200">
        <f t="shared" si="7"/>
        <v>0</v>
      </c>
    </row>
    <row r="46" spans="1:14" x14ac:dyDescent="0.2">
      <c r="A46" s="25"/>
      <c r="B46" s="25" t="s">
        <v>318</v>
      </c>
      <c r="C46" s="25"/>
      <c r="D46" s="25"/>
      <c r="E46" s="25"/>
      <c r="F46" s="34">
        <v>1</v>
      </c>
      <c r="G46" s="130"/>
      <c r="H46" s="225"/>
      <c r="I46" s="35">
        <v>0</v>
      </c>
      <c r="J46" s="131"/>
      <c r="K46" s="35">
        <v>0</v>
      </c>
      <c r="L46" s="200">
        <f t="shared" si="8"/>
        <v>0</v>
      </c>
      <c r="M46" s="35">
        <v>0</v>
      </c>
      <c r="N46" s="200">
        <f t="shared" si="7"/>
        <v>0</v>
      </c>
    </row>
    <row r="47" spans="1:14" x14ac:dyDescent="0.2">
      <c r="A47" s="25"/>
      <c r="B47" s="25" t="s">
        <v>319</v>
      </c>
      <c r="C47" s="25"/>
      <c r="D47" s="25"/>
      <c r="E47" s="25"/>
      <c r="F47" s="34">
        <v>1</v>
      </c>
      <c r="G47" s="130"/>
      <c r="H47" s="225"/>
      <c r="I47" s="35">
        <v>0</v>
      </c>
      <c r="J47" s="131"/>
      <c r="K47" s="35">
        <v>0</v>
      </c>
      <c r="L47" s="200">
        <f t="shared" si="8"/>
        <v>0</v>
      </c>
      <c r="M47" s="35">
        <v>0</v>
      </c>
      <c r="N47" s="200">
        <f t="shared" si="7"/>
        <v>0</v>
      </c>
    </row>
    <row r="48" spans="1:14" x14ac:dyDescent="0.2">
      <c r="A48" s="25"/>
      <c r="B48" s="25" t="s">
        <v>320</v>
      </c>
      <c r="C48" s="25"/>
      <c r="D48" s="25"/>
      <c r="E48" s="25"/>
      <c r="F48" s="34">
        <v>1</v>
      </c>
      <c r="G48" s="130"/>
      <c r="H48" s="225"/>
      <c r="I48" s="35">
        <v>0</v>
      </c>
      <c r="J48" s="131"/>
      <c r="K48" s="35">
        <v>0</v>
      </c>
      <c r="L48" s="200">
        <f t="shared" si="8"/>
        <v>0</v>
      </c>
      <c r="M48" s="35">
        <v>0</v>
      </c>
      <c r="N48" s="200">
        <f t="shared" si="7"/>
        <v>0</v>
      </c>
    </row>
    <row r="49" spans="1:14" x14ac:dyDescent="0.2">
      <c r="A49" s="25"/>
      <c r="B49" s="25" t="s">
        <v>321</v>
      </c>
      <c r="C49" s="25"/>
      <c r="D49" s="25"/>
      <c r="E49" s="25"/>
      <c r="F49" s="34">
        <v>1</v>
      </c>
      <c r="G49" s="130"/>
      <c r="H49" s="225"/>
      <c r="I49" s="35">
        <v>0</v>
      </c>
      <c r="J49" s="131"/>
      <c r="K49" s="35">
        <v>0</v>
      </c>
      <c r="L49" s="200">
        <f t="shared" si="8"/>
        <v>0</v>
      </c>
      <c r="M49" s="35">
        <v>0</v>
      </c>
      <c r="N49" s="200">
        <f t="shared" si="7"/>
        <v>0</v>
      </c>
    </row>
    <row r="50" spans="1:14" ht="13.5" thickBot="1" x14ac:dyDescent="0.25">
      <c r="A50" s="25"/>
      <c r="B50" s="25" t="s">
        <v>32</v>
      </c>
      <c r="C50" s="25"/>
      <c r="D50" s="25"/>
      <c r="E50" s="25"/>
      <c r="F50" s="25"/>
      <c r="G50" s="198"/>
      <c r="H50" s="21"/>
      <c r="I50" s="39">
        <v>0.09</v>
      </c>
      <c r="J50" s="213"/>
      <c r="K50" s="35">
        <v>35.66468267513013</v>
      </c>
      <c r="L50" s="182">
        <f>+SUM(L21:L49)/2*J50</f>
        <v>0</v>
      </c>
      <c r="M50" s="35">
        <v>14265.873070052052</v>
      </c>
      <c r="N50" s="182">
        <f t="shared" si="7"/>
        <v>0</v>
      </c>
    </row>
    <row r="51" spans="1:14" x14ac:dyDescent="0.2">
      <c r="A51" s="25" t="s">
        <v>33</v>
      </c>
      <c r="B51" s="25"/>
      <c r="C51" s="25"/>
      <c r="D51" s="25"/>
      <c r="E51" s="25"/>
      <c r="F51" s="25"/>
      <c r="G51" s="198"/>
      <c r="H51" s="25"/>
      <c r="I51" s="25"/>
      <c r="J51" s="195"/>
      <c r="K51" s="36">
        <v>479.70632025013009</v>
      </c>
      <c r="L51" s="201">
        <f>+SUM(L23:L50)</f>
        <v>0</v>
      </c>
      <c r="M51" s="36">
        <v>191882.52810005203</v>
      </c>
      <c r="N51" s="201">
        <f>+SUM(N23:N50)</f>
        <v>0</v>
      </c>
    </row>
    <row r="52" spans="1:14" x14ac:dyDescent="0.2">
      <c r="B52" s="25"/>
      <c r="C52" s="25"/>
      <c r="D52" s="25"/>
      <c r="E52" s="25"/>
      <c r="F52" s="25"/>
      <c r="G52" s="198"/>
      <c r="H52" s="25"/>
      <c r="I52" s="25"/>
      <c r="J52" s="195"/>
      <c r="K52" s="35"/>
      <c r="L52" s="182"/>
      <c r="M52" s="35"/>
      <c r="N52" s="182"/>
    </row>
    <row r="53" spans="1:14" x14ac:dyDescent="0.2">
      <c r="A53" s="25" t="s">
        <v>34</v>
      </c>
      <c r="B53" s="25"/>
      <c r="C53" s="25"/>
      <c r="D53" s="25"/>
      <c r="E53" s="25"/>
      <c r="F53" s="25"/>
      <c r="G53" s="198"/>
      <c r="H53" s="25"/>
      <c r="I53" s="25"/>
      <c r="J53" s="195"/>
      <c r="K53" s="35">
        <v>890.62967974986964</v>
      </c>
      <c r="L53" s="200">
        <f>+L17-L51</f>
        <v>0</v>
      </c>
      <c r="M53" s="35">
        <v>356251.87189994787</v>
      </c>
      <c r="N53" s="200">
        <f>+N17-N51</f>
        <v>0</v>
      </c>
    </row>
    <row r="54" spans="1:14" x14ac:dyDescent="0.2">
      <c r="A54" s="25"/>
      <c r="B54" s="25" t="s">
        <v>489</v>
      </c>
      <c r="C54" s="25"/>
      <c r="D54" s="25"/>
      <c r="E54" s="25"/>
      <c r="F54" s="25"/>
      <c r="G54" s="176"/>
      <c r="H54" s="17"/>
      <c r="I54" s="40">
        <v>76.191934850578832</v>
      </c>
      <c r="J54" s="208" t="str">
        <f>IF((E11*G11+E12*G12)=0,"n/a",(L51-SUM(L13:L16))/(E11*G11+E12*G12))</f>
        <v>n/a</v>
      </c>
      <c r="K54" s="25" t="s">
        <v>8</v>
      </c>
      <c r="L54" s="182"/>
      <c r="M54" s="25"/>
      <c r="N54" s="182"/>
    </row>
    <row r="55" spans="1:14" x14ac:dyDescent="0.2">
      <c r="A55" s="25"/>
      <c r="B55" s="25"/>
      <c r="C55" s="25"/>
      <c r="D55" s="25"/>
      <c r="E55" s="25"/>
      <c r="F55" s="21"/>
      <c r="G55" s="176"/>
      <c r="H55" s="21"/>
      <c r="I55" s="21"/>
      <c r="J55" s="209"/>
      <c r="K55" s="21"/>
      <c r="L55" s="182"/>
      <c r="M55" s="22" t="s">
        <v>19</v>
      </c>
      <c r="N55" s="176" t="s">
        <v>19</v>
      </c>
    </row>
    <row r="56" spans="1:14" x14ac:dyDescent="0.2">
      <c r="A56" s="23" t="s">
        <v>36</v>
      </c>
      <c r="B56" s="23"/>
      <c r="C56" s="23"/>
      <c r="D56" s="23"/>
      <c r="E56" s="23"/>
      <c r="F56" s="24" t="s">
        <v>2</v>
      </c>
      <c r="G56" s="194" t="s">
        <v>2</v>
      </c>
      <c r="H56" s="24" t="s">
        <v>21</v>
      </c>
      <c r="I56" s="24" t="s">
        <v>22</v>
      </c>
      <c r="J56" s="194" t="s">
        <v>22</v>
      </c>
      <c r="K56" s="24" t="s">
        <v>12</v>
      </c>
      <c r="L56" s="200" t="s">
        <v>12</v>
      </c>
      <c r="M56" s="24" t="s">
        <v>12</v>
      </c>
      <c r="N56" s="200" t="s">
        <v>12</v>
      </c>
    </row>
    <row r="57" spans="1:14" x14ac:dyDescent="0.2">
      <c r="A57" s="25"/>
      <c r="B57" s="25" t="s">
        <v>90</v>
      </c>
      <c r="C57" s="25"/>
      <c r="D57" s="25"/>
      <c r="E57" s="25"/>
      <c r="F57" s="25">
        <v>1</v>
      </c>
      <c r="G57" s="130"/>
      <c r="H57" s="225" t="s">
        <v>148</v>
      </c>
      <c r="I57" s="35">
        <v>70.007166666666677</v>
      </c>
      <c r="J57" s="131"/>
      <c r="K57" s="35">
        <v>70.007166666666677</v>
      </c>
      <c r="L57" s="200">
        <f t="shared" ref="L57:L63" si="9">+G57*J57</f>
        <v>0</v>
      </c>
      <c r="M57" s="35">
        <v>28002.866666666672</v>
      </c>
      <c r="N57" s="200">
        <f t="shared" ref="N57:N65" si="10">+L57*E$7</f>
        <v>0</v>
      </c>
    </row>
    <row r="58" spans="1:14" x14ac:dyDescent="0.2">
      <c r="A58" s="25"/>
      <c r="B58" s="25" t="s">
        <v>89</v>
      </c>
      <c r="C58" s="25"/>
      <c r="D58" s="25"/>
      <c r="E58" s="25"/>
      <c r="F58" s="25">
        <v>1</v>
      </c>
      <c r="G58" s="130"/>
      <c r="H58" s="225" t="s">
        <v>148</v>
      </c>
      <c r="I58" s="35">
        <v>62.966250000000002</v>
      </c>
      <c r="J58" s="131"/>
      <c r="K58" s="35">
        <v>62.966250000000002</v>
      </c>
      <c r="L58" s="200">
        <f t="shared" si="9"/>
        <v>0</v>
      </c>
      <c r="M58" s="35">
        <v>25186.5</v>
      </c>
      <c r="N58" s="200">
        <f t="shared" si="10"/>
        <v>0</v>
      </c>
    </row>
    <row r="59" spans="1:14" x14ac:dyDescent="0.2">
      <c r="A59" s="25"/>
      <c r="B59" s="25" t="s">
        <v>88</v>
      </c>
      <c r="C59" s="25"/>
      <c r="D59" s="25"/>
      <c r="E59" s="25"/>
      <c r="F59" s="41">
        <v>873.04250000000002</v>
      </c>
      <c r="G59" s="130"/>
      <c r="H59" s="225" t="s">
        <v>87</v>
      </c>
      <c r="I59" s="39">
        <v>0.08</v>
      </c>
      <c r="J59" s="213"/>
      <c r="K59" s="35">
        <v>69.843400000000003</v>
      </c>
      <c r="L59" s="200">
        <f t="shared" si="9"/>
        <v>0</v>
      </c>
      <c r="M59" s="35">
        <v>27937.360000000001</v>
      </c>
      <c r="N59" s="200">
        <f t="shared" si="10"/>
        <v>0</v>
      </c>
    </row>
    <row r="60" spans="1:14" x14ac:dyDescent="0.2">
      <c r="A60" s="25"/>
      <c r="B60" s="25" t="s">
        <v>86</v>
      </c>
      <c r="C60" s="25"/>
      <c r="D60" s="25"/>
      <c r="E60" s="25"/>
      <c r="F60" s="25">
        <v>1</v>
      </c>
      <c r="G60" s="130"/>
      <c r="H60" s="225" t="s">
        <v>148</v>
      </c>
      <c r="I60" s="35">
        <v>0</v>
      </c>
      <c r="J60" s="131"/>
      <c r="K60" s="35">
        <v>0</v>
      </c>
      <c r="L60" s="200">
        <f t="shared" si="9"/>
        <v>0</v>
      </c>
      <c r="M60" s="35">
        <v>0</v>
      </c>
      <c r="N60" s="200">
        <f t="shared" si="10"/>
        <v>0</v>
      </c>
    </row>
    <row r="61" spans="1:14" x14ac:dyDescent="0.2">
      <c r="A61" s="25"/>
      <c r="B61" s="25" t="s">
        <v>152</v>
      </c>
      <c r="C61" s="25"/>
      <c r="D61" s="25"/>
      <c r="E61" s="25"/>
      <c r="F61" s="25">
        <v>1</v>
      </c>
      <c r="G61" s="130"/>
      <c r="H61" s="225" t="s">
        <v>148</v>
      </c>
      <c r="I61" s="35">
        <v>100</v>
      </c>
      <c r="J61" s="131"/>
      <c r="K61" s="35">
        <v>100</v>
      </c>
      <c r="L61" s="200">
        <f>+J61*G61</f>
        <v>0</v>
      </c>
      <c r="M61" s="35">
        <v>40000</v>
      </c>
      <c r="N61" s="200">
        <f t="shared" si="10"/>
        <v>0</v>
      </c>
    </row>
    <row r="62" spans="1:14" x14ac:dyDescent="0.2">
      <c r="A62" s="25"/>
      <c r="B62" s="25" t="s">
        <v>156</v>
      </c>
      <c r="C62" s="25"/>
      <c r="D62" s="25"/>
      <c r="E62" s="25"/>
      <c r="F62" s="25">
        <v>1</v>
      </c>
      <c r="G62" s="130"/>
      <c r="H62" s="225" t="s">
        <v>148</v>
      </c>
      <c r="I62" s="35">
        <v>37.5</v>
      </c>
      <c r="J62" s="131"/>
      <c r="K62" s="35">
        <v>37.5</v>
      </c>
      <c r="L62" s="200">
        <f>+J62*G62</f>
        <v>0</v>
      </c>
      <c r="M62" s="35">
        <v>15000</v>
      </c>
      <c r="N62" s="200">
        <f t="shared" si="10"/>
        <v>0</v>
      </c>
    </row>
    <row r="63" spans="1:14" x14ac:dyDescent="0.2">
      <c r="A63" s="25"/>
      <c r="B63" s="25" t="s">
        <v>139</v>
      </c>
      <c r="C63" s="25"/>
      <c r="D63" s="25"/>
      <c r="E63" s="25"/>
      <c r="F63" s="25">
        <v>11.25</v>
      </c>
      <c r="G63" s="130"/>
      <c r="H63" s="225" t="s">
        <v>85</v>
      </c>
      <c r="I63" s="35">
        <v>15</v>
      </c>
      <c r="J63" s="131"/>
      <c r="K63" s="35">
        <v>168.75</v>
      </c>
      <c r="L63" s="200">
        <f t="shared" si="9"/>
        <v>0</v>
      </c>
      <c r="M63" s="35">
        <v>67500</v>
      </c>
      <c r="N63" s="200">
        <f t="shared" si="10"/>
        <v>0</v>
      </c>
    </row>
    <row r="64" spans="1:14" x14ac:dyDescent="0.2">
      <c r="A64" s="25"/>
      <c r="B64" s="130"/>
      <c r="C64" s="130"/>
      <c r="D64" s="25"/>
      <c r="E64" s="25"/>
      <c r="F64" s="25"/>
      <c r="G64" s="130"/>
      <c r="H64" s="225"/>
      <c r="I64" s="35"/>
      <c r="J64" s="131"/>
      <c r="K64" s="35">
        <v>0</v>
      </c>
      <c r="L64" s="200">
        <f t="shared" ref="L64:L65" si="11">+G64*J64</f>
        <v>0</v>
      </c>
      <c r="M64" s="35">
        <v>0</v>
      </c>
      <c r="N64" s="200">
        <f t="shared" si="10"/>
        <v>0</v>
      </c>
    </row>
    <row r="65" spans="1:14" ht="13.5" thickBot="1" x14ac:dyDescent="0.25">
      <c r="A65" s="25"/>
      <c r="B65" s="130"/>
      <c r="C65" s="130"/>
      <c r="D65" s="25"/>
      <c r="E65" s="25"/>
      <c r="F65" s="25"/>
      <c r="G65" s="130"/>
      <c r="H65" s="225"/>
      <c r="I65" s="35"/>
      <c r="J65" s="131"/>
      <c r="K65" s="35">
        <v>0</v>
      </c>
      <c r="L65" s="200">
        <f t="shared" si="11"/>
        <v>0</v>
      </c>
      <c r="M65" s="35">
        <v>0</v>
      </c>
      <c r="N65" s="200">
        <f t="shared" si="10"/>
        <v>0</v>
      </c>
    </row>
    <row r="66" spans="1:14" ht="13.5" thickBot="1" x14ac:dyDescent="0.25">
      <c r="A66" s="25" t="s">
        <v>37</v>
      </c>
      <c r="B66" s="25"/>
      <c r="C66" s="25"/>
      <c r="D66" s="25"/>
      <c r="E66" s="25"/>
      <c r="F66" s="25"/>
      <c r="G66" s="195"/>
      <c r="H66" s="25"/>
      <c r="I66" s="25"/>
      <c r="J66" s="195"/>
      <c r="K66" s="118">
        <v>509.06681666666668</v>
      </c>
      <c r="L66" s="202">
        <f>+SUM(L57:L63)</f>
        <v>0</v>
      </c>
      <c r="M66" s="118">
        <v>203626.72666666668</v>
      </c>
      <c r="N66" s="202">
        <f>+SUM(N57:N63)</f>
        <v>0</v>
      </c>
    </row>
    <row r="67" spans="1:14" ht="14.25" thickTop="1" thickBot="1" x14ac:dyDescent="0.25">
      <c r="A67" s="25" t="s">
        <v>81</v>
      </c>
      <c r="B67" s="25"/>
      <c r="C67" s="25"/>
      <c r="D67" s="25"/>
      <c r="E67" s="25"/>
      <c r="F67" s="25"/>
      <c r="G67" s="195"/>
      <c r="H67" s="25"/>
      <c r="I67" s="25"/>
      <c r="J67" s="195"/>
      <c r="K67" s="43">
        <v>988.77313691679683</v>
      </c>
      <c r="L67" s="203">
        <f>+L51+L66</f>
        <v>0</v>
      </c>
      <c r="M67" s="43">
        <v>395509.25476671872</v>
      </c>
      <c r="N67" s="203">
        <f>+N51+N66</f>
        <v>0</v>
      </c>
    </row>
    <row r="68" spans="1:14" ht="13.5" thickTop="1" x14ac:dyDescent="0.2">
      <c r="A68" s="25" t="s">
        <v>84</v>
      </c>
      <c r="B68" s="25"/>
      <c r="C68" s="25"/>
      <c r="D68" s="25"/>
      <c r="E68" s="25"/>
      <c r="F68" s="25"/>
      <c r="G68" s="195"/>
      <c r="H68" s="25"/>
      <c r="I68" s="25"/>
      <c r="J68" s="195"/>
      <c r="K68" s="35">
        <v>381.56286308320296</v>
      </c>
      <c r="L68" s="200">
        <f>+L17-L67</f>
        <v>0</v>
      </c>
      <c r="M68" s="35">
        <v>152625.14523328119</v>
      </c>
      <c r="N68" s="200">
        <f>+N17-N67</f>
        <v>0</v>
      </c>
    </row>
    <row r="69" spans="1:14" ht="13.5" thickBot="1" x14ac:dyDescent="0.25">
      <c r="A69" s="44"/>
      <c r="B69" s="44" t="s">
        <v>490</v>
      </c>
      <c r="C69" s="44"/>
      <c r="D69" s="44"/>
      <c r="E69" s="44"/>
      <c r="F69" s="44"/>
      <c r="G69" s="199"/>
      <c r="H69" s="44"/>
      <c r="I69" s="45">
        <v>214.52530894478178</v>
      </c>
      <c r="J69" s="210" t="str">
        <f>IF((E11*G11+E12*G12)=0,"n/a",(L67-SUM(L13:L16))/(E11*G11+E12*G12))</f>
        <v>n/a</v>
      </c>
      <c r="K69" s="44" t="s">
        <v>8</v>
      </c>
      <c r="L69" s="199"/>
      <c r="M69" s="44"/>
      <c r="N69" s="199"/>
    </row>
    <row r="70" spans="1:14" ht="13.5" thickTop="1" x14ac:dyDescent="0.2"/>
    <row r="71" spans="1:14" ht="15.75" x14ac:dyDescent="0.25">
      <c r="C71" s="234" t="s">
        <v>111</v>
      </c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18"/>
    </row>
    <row r="72" spans="1:14" s="46" customFormat="1" ht="51" x14ac:dyDescent="0.2">
      <c r="C72" s="111" t="s">
        <v>112</v>
      </c>
      <c r="D72" s="111" t="s">
        <v>492</v>
      </c>
      <c r="E72" s="112"/>
      <c r="F72" s="111" t="s">
        <v>493</v>
      </c>
      <c r="G72" s="112"/>
      <c r="H72" s="242" t="s">
        <v>494</v>
      </c>
      <c r="I72" s="243"/>
      <c r="K72" s="242" t="s">
        <v>171</v>
      </c>
      <c r="L72" s="244"/>
      <c r="M72" s="243"/>
    </row>
    <row r="73" spans="1:14" x14ac:dyDescent="0.2">
      <c r="C73" s="47">
        <v>0.94000000000000006</v>
      </c>
      <c r="D73" s="110">
        <v>1450.1779999999999</v>
      </c>
      <c r="E73" s="110"/>
      <c r="F73" s="108">
        <v>572.94090909090914</v>
      </c>
      <c r="G73" s="108"/>
      <c r="H73" s="245">
        <v>314.0394825652873</v>
      </c>
      <c r="I73" s="246"/>
      <c r="J73" s="109"/>
      <c r="K73" s="247">
        <v>200.83220411851909</v>
      </c>
      <c r="L73" s="247"/>
      <c r="M73" s="248"/>
    </row>
    <row r="74" spans="1:14" x14ac:dyDescent="0.2">
      <c r="C74" s="48">
        <v>0.91</v>
      </c>
      <c r="D74" s="107">
        <v>1410.2569999999998</v>
      </c>
      <c r="E74" s="107"/>
      <c r="F74" s="106">
        <v>560.39545454545464</v>
      </c>
      <c r="G74" s="106"/>
      <c r="H74" s="249">
        <v>326.43577792970655</v>
      </c>
      <c r="I74" s="250"/>
      <c r="J74" s="101"/>
      <c r="K74" s="251">
        <v>207.45304601253616</v>
      </c>
      <c r="L74" s="251"/>
      <c r="M74" s="229"/>
    </row>
    <row r="75" spans="1:14" x14ac:dyDescent="0.2">
      <c r="C75" s="47">
        <v>0.88</v>
      </c>
      <c r="D75" s="110">
        <v>1370.3359999999998</v>
      </c>
      <c r="E75" s="110"/>
      <c r="F75" s="108">
        <v>547.85</v>
      </c>
      <c r="G75" s="108"/>
      <c r="H75" s="245">
        <v>339.8509468857219</v>
      </c>
      <c r="I75" s="246"/>
      <c r="J75" s="109"/>
      <c r="K75" s="247">
        <v>214.52530894478176</v>
      </c>
      <c r="L75" s="247"/>
      <c r="M75" s="248"/>
    </row>
    <row r="76" spans="1:14" x14ac:dyDescent="0.2">
      <c r="C76" s="48">
        <v>0.85</v>
      </c>
      <c r="D76" s="107">
        <v>1330.4149999999997</v>
      </c>
      <c r="E76" s="107"/>
      <c r="F76" s="106">
        <v>535.3045454545454</v>
      </c>
      <c r="G76" s="106"/>
      <c r="H76" s="249">
        <v>354.41598746653858</v>
      </c>
      <c r="I76" s="250"/>
      <c r="J76" s="101"/>
      <c r="K76" s="251">
        <v>222.09679043695058</v>
      </c>
      <c r="L76" s="251"/>
      <c r="M76" s="229"/>
    </row>
    <row r="77" spans="1:14" x14ac:dyDescent="0.2">
      <c r="C77" s="47">
        <v>0.82</v>
      </c>
      <c r="D77" s="110">
        <v>1290.4939999999997</v>
      </c>
      <c r="E77" s="110"/>
      <c r="F77" s="108">
        <v>522.7590909090909</v>
      </c>
      <c r="G77" s="108"/>
      <c r="H77" s="245">
        <v>370.28536003966718</v>
      </c>
      <c r="I77" s="246"/>
      <c r="J77" s="109"/>
      <c r="K77" s="247">
        <v>230.22228277000974</v>
      </c>
      <c r="L77" s="247"/>
      <c r="M77" s="248"/>
    </row>
    <row r="79" spans="1:14" x14ac:dyDescent="0.2">
      <c r="D79" s="12" t="str">
        <f>"Example Male "&amp;F8&amp;" Price"</f>
        <v>Example Male Calf Price</v>
      </c>
      <c r="K79" s="8">
        <f>+I11</f>
        <v>340</v>
      </c>
      <c r="L79" s="8"/>
    </row>
    <row r="80" spans="1:14" x14ac:dyDescent="0.2">
      <c r="D80" s="12" t="str">
        <f>"Example Female "&amp;F8&amp;" Price"</f>
        <v>Example Female Calf Price</v>
      </c>
      <c r="K80" s="8">
        <f>+I12</f>
        <v>275</v>
      </c>
      <c r="L80" s="8"/>
    </row>
    <row r="81" spans="1:14" x14ac:dyDescent="0.2">
      <c r="D81" s="12" t="str">
        <f>"Example Weighted Average "&amp;F8&amp;" Price ($/cwt)"</f>
        <v>Example Weighted Average Calf Price ($/cwt)</v>
      </c>
      <c r="K81" s="8">
        <f>+(K11+K12)/(D11*F11+D12*F12)</f>
        <v>318.21086956521737</v>
      </c>
      <c r="L81" s="8"/>
    </row>
    <row r="83" spans="1:14" x14ac:dyDescent="0.2">
      <c r="A83" s="25" t="s">
        <v>434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5" spans="1:14" ht="25.5" customHeight="1" x14ac:dyDescent="0.2">
      <c r="A85" s="236" t="s">
        <v>140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</row>
  </sheetData>
  <sheetProtection sheet="1" objects="1" scenarios="1"/>
  <mergeCells count="18">
    <mergeCell ref="H76:I76"/>
    <mergeCell ref="K76:M76"/>
    <mergeCell ref="H77:I77"/>
    <mergeCell ref="K77:M77"/>
    <mergeCell ref="A85:N85"/>
    <mergeCell ref="H73:I73"/>
    <mergeCell ref="K73:M73"/>
    <mergeCell ref="H74:I74"/>
    <mergeCell ref="K74:M74"/>
    <mergeCell ref="H75:I75"/>
    <mergeCell ref="K75:M75"/>
    <mergeCell ref="H72:I72"/>
    <mergeCell ref="K72:M72"/>
    <mergeCell ref="A1:N1"/>
    <mergeCell ref="A2:N2"/>
    <mergeCell ref="A3:N3"/>
    <mergeCell ref="A4:N4"/>
    <mergeCell ref="C71:M71"/>
  </mergeCells>
  <printOptions horizontalCentered="1"/>
  <pageMargins left="0.7" right="0.7" top="0.75" bottom="0.75" header="0.3" footer="0.3"/>
  <pageSetup scale="60"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9">
    <tabColor rgb="FFFF0000"/>
    <pageSetUpPr fitToPage="1"/>
  </sheetPr>
  <dimension ref="A1:O83"/>
  <sheetViews>
    <sheetView showGridLines="0" workbookViewId="0">
      <selection sqref="A1:N1"/>
    </sheetView>
  </sheetViews>
  <sheetFormatPr defaultColWidth="9.140625" defaultRowHeight="12.75" x14ac:dyDescent="0.2"/>
  <cols>
    <col min="1" max="2" width="5" customWidth="1"/>
    <col min="3" max="3" width="22.5703125" customWidth="1"/>
    <col min="5" max="5" width="9.42578125" customWidth="1"/>
    <col min="6" max="6" width="11.42578125" customWidth="1"/>
    <col min="7" max="7" width="9.140625" customWidth="1"/>
    <col min="9" max="9" width="9.5703125" customWidth="1"/>
    <col min="10" max="10" width="9.140625" customWidth="1"/>
    <col min="11" max="11" width="11" customWidth="1"/>
    <col min="12" max="12" width="13.42578125" customWidth="1"/>
    <col min="13" max="13" width="16.5703125" customWidth="1"/>
    <col min="14" max="14" width="14.5703125" customWidth="1"/>
    <col min="15" max="15" width="9.140625" hidden="1" customWidth="1"/>
  </cols>
  <sheetData>
    <row r="1" spans="1:15" x14ac:dyDescent="0.2">
      <c r="A1" s="238" t="s">
        <v>150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7"/>
    </row>
    <row r="2" spans="1:15" x14ac:dyDescent="0.2">
      <c r="A2" s="239" t="s">
        <v>495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7"/>
    </row>
    <row r="3" spans="1:15" x14ac:dyDescent="0.2">
      <c r="A3" s="240" t="s">
        <v>354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17"/>
    </row>
    <row r="4" spans="1:15" x14ac:dyDescent="0.2">
      <c r="A4" s="241" t="s">
        <v>485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17"/>
    </row>
    <row r="5" spans="1:15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117" t="s">
        <v>117</v>
      </c>
      <c r="N5" s="17"/>
      <c r="O5" s="17"/>
    </row>
    <row r="6" spans="1:15" x14ac:dyDescent="0.2">
      <c r="A6" s="105"/>
      <c r="B6" s="22"/>
      <c r="C6" s="22"/>
      <c r="D6" s="22"/>
      <c r="E6" s="188" t="s">
        <v>115</v>
      </c>
      <c r="F6" s="22"/>
      <c r="G6" s="22"/>
      <c r="H6" s="22"/>
      <c r="I6" s="22"/>
      <c r="J6" s="22"/>
      <c r="K6" s="22"/>
      <c r="L6" s="22"/>
      <c r="M6" s="22"/>
      <c r="N6" s="188" t="s">
        <v>74</v>
      </c>
      <c r="O6" s="17"/>
    </row>
    <row r="7" spans="1:15" x14ac:dyDescent="0.2">
      <c r="A7" s="105"/>
      <c r="B7" s="32" t="s">
        <v>149</v>
      </c>
      <c r="C7" s="22"/>
      <c r="D7" s="49">
        <v>800</v>
      </c>
      <c r="E7" s="211"/>
      <c r="F7" s="22"/>
      <c r="G7" s="188" t="s">
        <v>74</v>
      </c>
      <c r="H7" s="22"/>
      <c r="I7" s="22"/>
      <c r="J7" s="22"/>
      <c r="K7" s="22"/>
      <c r="L7" s="22"/>
      <c r="M7" s="22" t="s">
        <v>19</v>
      </c>
      <c r="N7" s="188" t="s">
        <v>19</v>
      </c>
      <c r="O7" s="17"/>
    </row>
    <row r="8" spans="1:15" x14ac:dyDescent="0.2">
      <c r="A8" s="25"/>
      <c r="B8" s="17"/>
      <c r="C8" s="25"/>
      <c r="D8" s="25"/>
      <c r="E8" s="188" t="s">
        <v>74</v>
      </c>
      <c r="F8" s="21" t="s">
        <v>116</v>
      </c>
      <c r="G8" s="192" t="s">
        <v>124</v>
      </c>
      <c r="H8" s="21"/>
      <c r="I8" s="21"/>
      <c r="J8" s="188" t="s">
        <v>74</v>
      </c>
      <c r="K8" s="21"/>
      <c r="L8" s="188" t="s">
        <v>74</v>
      </c>
      <c r="M8" s="22" t="s">
        <v>12</v>
      </c>
      <c r="N8" s="188" t="s">
        <v>12</v>
      </c>
      <c r="O8" s="17"/>
    </row>
    <row r="9" spans="1:15" x14ac:dyDescent="0.2">
      <c r="A9" s="23" t="s">
        <v>73</v>
      </c>
      <c r="B9" s="23"/>
      <c r="C9" s="23"/>
      <c r="D9" s="24" t="s">
        <v>20</v>
      </c>
      <c r="E9" s="189" t="s">
        <v>20</v>
      </c>
      <c r="F9" s="24" t="s">
        <v>158</v>
      </c>
      <c r="G9" s="189" t="s">
        <v>158</v>
      </c>
      <c r="H9" s="24" t="s">
        <v>21</v>
      </c>
      <c r="I9" s="24" t="s">
        <v>22</v>
      </c>
      <c r="J9" s="189" t="s">
        <v>22</v>
      </c>
      <c r="K9" s="24" t="s">
        <v>12</v>
      </c>
      <c r="L9" s="189" t="s">
        <v>12</v>
      </c>
      <c r="M9" s="24" t="str">
        <f>"(" &amp; D7 &amp; " Head)"</f>
        <v>(800 Head)</v>
      </c>
      <c r="N9" s="189" t="str">
        <f>"(" &amp; E7 &amp; " Head)"</f>
        <v>( Head)</v>
      </c>
      <c r="O9" s="17"/>
    </row>
    <row r="10" spans="1:15" x14ac:dyDescent="0.2">
      <c r="A10" s="25"/>
      <c r="B10" s="25"/>
      <c r="C10" s="25"/>
      <c r="D10" s="25"/>
      <c r="E10" s="22"/>
      <c r="F10" s="21"/>
      <c r="G10" s="17"/>
      <c r="H10" s="21"/>
      <c r="I10" s="21"/>
      <c r="J10" s="17"/>
      <c r="K10" s="21"/>
      <c r="L10" s="28"/>
      <c r="M10" s="21"/>
      <c r="N10" s="17"/>
      <c r="O10" s="17"/>
    </row>
    <row r="11" spans="1:15" x14ac:dyDescent="0.2">
      <c r="A11" s="25"/>
      <c r="B11" s="116" t="s">
        <v>117</v>
      </c>
      <c r="C11" s="25"/>
      <c r="D11" s="33">
        <v>0.98499999999999999</v>
      </c>
      <c r="E11" s="130"/>
      <c r="F11" s="50">
        <v>6.9000000000000012</v>
      </c>
      <c r="G11" s="130"/>
      <c r="H11" s="225" t="s">
        <v>8</v>
      </c>
      <c r="I11" s="31">
        <v>280</v>
      </c>
      <c r="J11" s="131"/>
      <c r="K11" s="35">
        <v>1903.0200000000002</v>
      </c>
      <c r="L11" s="200">
        <f t="shared" ref="L11:L13" si="0">+J11*G11*E11</f>
        <v>0</v>
      </c>
      <c r="M11" s="35">
        <v>1522416.0000000002</v>
      </c>
      <c r="N11" s="200">
        <f t="shared" ref="N11:N14" si="1">+L11*E$7</f>
        <v>0</v>
      </c>
      <c r="O11" s="17"/>
    </row>
    <row r="12" spans="1:15" x14ac:dyDescent="0.2">
      <c r="A12" s="25"/>
      <c r="B12" s="130"/>
      <c r="C12" s="130"/>
      <c r="D12" s="33">
        <v>0.98499999999999999</v>
      </c>
      <c r="E12" s="130"/>
      <c r="F12" s="50">
        <v>0</v>
      </c>
      <c r="G12" s="130"/>
      <c r="H12" s="225"/>
      <c r="I12" s="31">
        <v>0</v>
      </c>
      <c r="J12" s="131"/>
      <c r="K12" s="35">
        <v>0</v>
      </c>
      <c r="L12" s="200">
        <f t="shared" si="0"/>
        <v>0</v>
      </c>
      <c r="M12" s="35">
        <v>0</v>
      </c>
      <c r="N12" s="200">
        <f t="shared" si="1"/>
        <v>0</v>
      </c>
      <c r="O12" s="17"/>
    </row>
    <row r="13" spans="1:15" ht="13.5" thickBot="1" x14ac:dyDescent="0.25">
      <c r="A13" s="25"/>
      <c r="B13" s="130"/>
      <c r="C13" s="130"/>
      <c r="D13" s="33">
        <v>0.98499999999999999</v>
      </c>
      <c r="E13" s="130"/>
      <c r="F13" s="50">
        <v>0</v>
      </c>
      <c r="G13" s="130"/>
      <c r="H13" s="225"/>
      <c r="I13" s="31">
        <v>0</v>
      </c>
      <c r="J13" s="131"/>
      <c r="K13" s="35">
        <v>0</v>
      </c>
      <c r="L13" s="200">
        <f t="shared" si="0"/>
        <v>0</v>
      </c>
      <c r="M13" s="35">
        <v>0</v>
      </c>
      <c r="N13" s="200">
        <f t="shared" si="1"/>
        <v>0</v>
      </c>
      <c r="O13" s="17"/>
    </row>
    <row r="14" spans="1:15" x14ac:dyDescent="0.2">
      <c r="A14" s="25" t="s">
        <v>24</v>
      </c>
      <c r="B14" s="25"/>
      <c r="C14" s="25"/>
      <c r="D14" s="25"/>
      <c r="E14" s="25"/>
      <c r="F14" s="25"/>
      <c r="G14" s="198"/>
      <c r="H14" s="25"/>
      <c r="I14" s="25"/>
      <c r="J14" s="195"/>
      <c r="K14" s="36">
        <v>1903.0200000000002</v>
      </c>
      <c r="L14" s="201">
        <f>+L11</f>
        <v>0</v>
      </c>
      <c r="M14" s="36">
        <v>1522416.0000000002</v>
      </c>
      <c r="N14" s="201">
        <f t="shared" si="1"/>
        <v>0</v>
      </c>
      <c r="O14" s="17"/>
    </row>
    <row r="15" spans="1:15" x14ac:dyDescent="0.2">
      <c r="A15" s="25"/>
      <c r="B15" s="25"/>
      <c r="C15" s="25"/>
      <c r="D15" s="25"/>
      <c r="E15" s="25"/>
      <c r="F15" s="25"/>
      <c r="G15" s="176"/>
      <c r="H15" s="25"/>
      <c r="I15" s="25"/>
      <c r="J15" s="209"/>
      <c r="K15" s="35"/>
      <c r="L15" s="182"/>
      <c r="M15" s="22" t="s">
        <v>19</v>
      </c>
      <c r="N15" s="182" t="s">
        <v>19</v>
      </c>
      <c r="O15" s="17"/>
    </row>
    <row r="16" spans="1:15" x14ac:dyDescent="0.2">
      <c r="A16" s="23" t="s">
        <v>25</v>
      </c>
      <c r="B16" s="23"/>
      <c r="C16" s="23"/>
      <c r="D16" s="23"/>
      <c r="E16" s="23"/>
      <c r="F16" s="24" t="s">
        <v>2</v>
      </c>
      <c r="G16" s="194" t="s">
        <v>2</v>
      </c>
      <c r="H16" s="24" t="s">
        <v>21</v>
      </c>
      <c r="I16" s="24" t="s">
        <v>22</v>
      </c>
      <c r="J16" s="194" t="s">
        <v>22</v>
      </c>
      <c r="K16" s="24" t="s">
        <v>12</v>
      </c>
      <c r="L16" s="200" t="s">
        <v>12</v>
      </c>
      <c r="M16" s="24" t="s">
        <v>12</v>
      </c>
      <c r="N16" s="206" t="s">
        <v>12</v>
      </c>
      <c r="O16" s="17"/>
    </row>
    <row r="17" spans="1:15" x14ac:dyDescent="0.2">
      <c r="A17" s="25" t="s">
        <v>26</v>
      </c>
      <c r="B17" s="25"/>
      <c r="C17" s="25"/>
      <c r="D17" s="25"/>
      <c r="E17" s="25"/>
      <c r="F17" s="25"/>
      <c r="G17" s="198"/>
      <c r="H17" s="25"/>
      <c r="I17" s="25"/>
      <c r="J17" s="195"/>
      <c r="K17" s="25"/>
      <c r="L17" s="204"/>
      <c r="M17" s="25"/>
      <c r="N17" s="204"/>
      <c r="O17" s="17"/>
    </row>
    <row r="18" spans="1:15" x14ac:dyDescent="0.2">
      <c r="A18" s="25"/>
      <c r="B18" s="25" t="s">
        <v>310</v>
      </c>
      <c r="C18" s="25"/>
      <c r="D18" s="25"/>
      <c r="E18" s="25"/>
      <c r="F18" s="34">
        <v>4.75</v>
      </c>
      <c r="G18" s="130"/>
      <c r="H18" s="225" t="s">
        <v>8</v>
      </c>
      <c r="I18" s="35">
        <v>340</v>
      </c>
      <c r="J18" s="131"/>
      <c r="K18" s="35">
        <v>1615</v>
      </c>
      <c r="L18" s="200">
        <f t="shared" ref="L18:L35" si="2">+J18*G18</f>
        <v>0</v>
      </c>
      <c r="M18" s="35">
        <v>1292000</v>
      </c>
      <c r="N18" s="200">
        <f>+L18*E$7</f>
        <v>0</v>
      </c>
      <c r="O18" s="17"/>
    </row>
    <row r="19" spans="1:15" x14ac:dyDescent="0.2">
      <c r="A19" s="25"/>
      <c r="B19" s="25" t="s">
        <v>311</v>
      </c>
      <c r="C19" s="25"/>
      <c r="D19" s="25"/>
      <c r="E19" s="25"/>
      <c r="F19" s="34">
        <v>1</v>
      </c>
      <c r="G19" s="130"/>
      <c r="H19" s="225" t="s">
        <v>20</v>
      </c>
      <c r="I19" s="35">
        <v>0</v>
      </c>
      <c r="J19" s="131"/>
      <c r="K19" s="35">
        <v>0</v>
      </c>
      <c r="L19" s="200">
        <f>+J19*G19</f>
        <v>0</v>
      </c>
      <c r="M19" s="35">
        <v>0</v>
      </c>
      <c r="N19" s="200">
        <f>+L19*E$7</f>
        <v>0</v>
      </c>
      <c r="O19" s="17"/>
    </row>
    <row r="20" spans="1:15" x14ac:dyDescent="0.2">
      <c r="A20" s="25"/>
      <c r="B20" s="25" t="s">
        <v>78</v>
      </c>
      <c r="C20" s="25"/>
      <c r="D20" s="25"/>
      <c r="E20" s="25"/>
      <c r="G20" s="104"/>
      <c r="J20" s="104"/>
      <c r="K20" s="124"/>
      <c r="L20" s="104"/>
      <c r="N20" s="104"/>
      <c r="O20" s="17"/>
    </row>
    <row r="21" spans="1:15" x14ac:dyDescent="0.2">
      <c r="A21" s="25"/>
      <c r="B21" s="25"/>
      <c r="C21" s="25" t="s">
        <v>126</v>
      </c>
      <c r="D21" s="25"/>
      <c r="E21" s="25"/>
      <c r="F21" s="34">
        <v>1.25E-3</v>
      </c>
      <c r="G21" s="130"/>
      <c r="H21" s="225" t="s">
        <v>42</v>
      </c>
      <c r="I21" s="35">
        <v>0</v>
      </c>
      <c r="J21" s="131"/>
      <c r="K21" s="35">
        <v>0</v>
      </c>
      <c r="L21" s="200">
        <f t="shared" si="2"/>
        <v>0</v>
      </c>
      <c r="M21" s="35">
        <v>0</v>
      </c>
      <c r="N21" s="200">
        <f t="shared" ref="N21:N35" si="3">+L21*E$7</f>
        <v>0</v>
      </c>
      <c r="O21" s="17"/>
    </row>
    <row r="22" spans="1:15" x14ac:dyDescent="0.2">
      <c r="A22" s="25"/>
      <c r="B22" s="25"/>
      <c r="C22" s="25" t="s">
        <v>125</v>
      </c>
      <c r="D22" s="25"/>
      <c r="E22" s="25"/>
      <c r="F22" s="34">
        <v>0</v>
      </c>
      <c r="G22" s="130"/>
      <c r="H22" s="225" t="s">
        <v>108</v>
      </c>
      <c r="I22" s="35">
        <v>0</v>
      </c>
      <c r="J22" s="131"/>
      <c r="K22" s="35">
        <v>0</v>
      </c>
      <c r="L22" s="200">
        <f t="shared" si="2"/>
        <v>0</v>
      </c>
      <c r="M22" s="35">
        <v>0</v>
      </c>
      <c r="N22" s="200">
        <f t="shared" si="3"/>
        <v>0</v>
      </c>
      <c r="O22" s="17"/>
    </row>
    <row r="23" spans="1:15" x14ac:dyDescent="0.2">
      <c r="A23" s="25"/>
      <c r="B23" s="25"/>
      <c r="C23" s="25" t="s">
        <v>119</v>
      </c>
      <c r="D23" s="25"/>
      <c r="E23" s="25"/>
      <c r="F23" s="34">
        <v>207.76649746192894</v>
      </c>
      <c r="G23" s="130"/>
      <c r="H23" s="225" t="s">
        <v>41</v>
      </c>
      <c r="I23" s="35">
        <v>0.85</v>
      </c>
      <c r="J23" s="131"/>
      <c r="K23" s="35">
        <v>176.60152284263958</v>
      </c>
      <c r="L23" s="200">
        <f t="shared" si="2"/>
        <v>0</v>
      </c>
      <c r="M23" s="35">
        <v>141281.21827411166</v>
      </c>
      <c r="N23" s="200">
        <f t="shared" si="3"/>
        <v>0</v>
      </c>
      <c r="O23" s="17"/>
    </row>
    <row r="24" spans="1:15" x14ac:dyDescent="0.2">
      <c r="A24" s="25"/>
      <c r="B24" s="25"/>
      <c r="C24" s="25" t="s">
        <v>127</v>
      </c>
      <c r="D24" s="25"/>
      <c r="E24" s="25"/>
      <c r="F24" s="34">
        <v>0</v>
      </c>
      <c r="G24" s="130"/>
      <c r="H24" s="225" t="s">
        <v>108</v>
      </c>
      <c r="I24" s="35">
        <v>0</v>
      </c>
      <c r="J24" s="131"/>
      <c r="K24" s="35">
        <v>0</v>
      </c>
      <c r="L24" s="200">
        <f>+G24*J24*G18</f>
        <v>0</v>
      </c>
      <c r="M24" s="35">
        <v>0</v>
      </c>
      <c r="N24" s="200">
        <f t="shared" si="3"/>
        <v>0</v>
      </c>
      <c r="O24" s="17"/>
    </row>
    <row r="25" spans="1:15" x14ac:dyDescent="0.2">
      <c r="A25" s="25"/>
      <c r="B25" s="25" t="s">
        <v>118</v>
      </c>
      <c r="C25" s="25"/>
      <c r="D25" s="25"/>
      <c r="E25" s="25"/>
      <c r="G25" s="104"/>
      <c r="J25" s="104"/>
      <c r="K25" s="124"/>
      <c r="L25" s="104"/>
      <c r="N25" s="104"/>
    </row>
    <row r="26" spans="1:15" x14ac:dyDescent="0.2">
      <c r="A26" s="25"/>
      <c r="B26" s="25"/>
      <c r="C26" s="25" t="s">
        <v>346</v>
      </c>
      <c r="D26" s="25"/>
      <c r="E26" s="25"/>
      <c r="F26" s="25">
        <v>1</v>
      </c>
      <c r="G26" s="130"/>
      <c r="H26" s="225" t="s">
        <v>20</v>
      </c>
      <c r="I26" s="35">
        <v>24</v>
      </c>
      <c r="J26" s="131"/>
      <c r="K26" s="35">
        <v>24</v>
      </c>
      <c r="L26" s="200">
        <f t="shared" ref="L26:L29" si="4">+J26*G26</f>
        <v>0</v>
      </c>
      <c r="M26" s="35">
        <v>19200</v>
      </c>
      <c r="N26" s="200">
        <f t="shared" ref="N26:N29" si="5">+L26*E$7</f>
        <v>0</v>
      </c>
      <c r="O26" s="17"/>
    </row>
    <row r="27" spans="1:15" x14ac:dyDescent="0.2">
      <c r="A27" s="25"/>
      <c r="B27" s="130"/>
      <c r="C27" s="130"/>
      <c r="D27" s="25"/>
      <c r="E27" s="25"/>
      <c r="F27" s="25">
        <v>0</v>
      </c>
      <c r="G27" s="130"/>
      <c r="H27" s="225"/>
      <c r="I27" s="35">
        <v>0</v>
      </c>
      <c r="J27" s="131"/>
      <c r="K27" s="35">
        <v>0</v>
      </c>
      <c r="L27" s="200">
        <f t="shared" si="4"/>
        <v>0</v>
      </c>
      <c r="M27" s="35">
        <v>0</v>
      </c>
      <c r="N27" s="200">
        <f t="shared" si="5"/>
        <v>0</v>
      </c>
      <c r="O27" s="17"/>
    </row>
    <row r="28" spans="1:15" x14ac:dyDescent="0.2">
      <c r="A28" s="25"/>
      <c r="B28" s="130"/>
      <c r="C28" s="130"/>
      <c r="D28" s="25"/>
      <c r="E28" s="25"/>
      <c r="F28" s="25">
        <v>0</v>
      </c>
      <c r="G28" s="130"/>
      <c r="H28" s="225"/>
      <c r="I28" s="35">
        <v>0</v>
      </c>
      <c r="J28" s="131"/>
      <c r="K28" s="35">
        <v>0</v>
      </c>
      <c r="L28" s="200">
        <f t="shared" si="4"/>
        <v>0</v>
      </c>
      <c r="M28" s="35">
        <v>0</v>
      </c>
      <c r="N28" s="200">
        <f t="shared" si="5"/>
        <v>0</v>
      </c>
      <c r="O28" s="17"/>
    </row>
    <row r="29" spans="1:15" x14ac:dyDescent="0.2">
      <c r="A29" s="25"/>
      <c r="B29" s="130"/>
      <c r="C29" s="130"/>
      <c r="D29" s="25"/>
      <c r="E29" s="25"/>
      <c r="F29" s="25">
        <v>0</v>
      </c>
      <c r="G29" s="130"/>
      <c r="H29" s="225"/>
      <c r="I29" s="35">
        <v>0</v>
      </c>
      <c r="J29" s="131"/>
      <c r="K29" s="35">
        <v>0</v>
      </c>
      <c r="L29" s="200">
        <f t="shared" si="4"/>
        <v>0</v>
      </c>
      <c r="M29" s="35">
        <v>0</v>
      </c>
      <c r="N29" s="200">
        <f t="shared" si="5"/>
        <v>0</v>
      </c>
      <c r="O29" s="17"/>
    </row>
    <row r="30" spans="1:15" x14ac:dyDescent="0.2">
      <c r="A30" s="25"/>
      <c r="B30" s="25" t="s">
        <v>107</v>
      </c>
      <c r="C30" s="25"/>
      <c r="D30" s="25"/>
      <c r="E30" s="25"/>
      <c r="F30" s="25"/>
      <c r="G30" s="104"/>
      <c r="J30" s="104"/>
      <c r="K30" s="124"/>
      <c r="L30" s="104"/>
      <c r="N30" s="104"/>
    </row>
    <row r="31" spans="1:15" x14ac:dyDescent="0.2">
      <c r="A31" s="25"/>
      <c r="B31" s="25"/>
      <c r="C31" s="25" t="s">
        <v>54</v>
      </c>
      <c r="D31" s="25"/>
      <c r="E31" s="25"/>
      <c r="F31" s="25">
        <v>125</v>
      </c>
      <c r="G31" s="130"/>
      <c r="H31" s="225" t="s">
        <v>82</v>
      </c>
      <c r="I31" s="35">
        <v>0.13</v>
      </c>
      <c r="J31" s="131"/>
      <c r="K31" s="35">
        <v>16.25</v>
      </c>
      <c r="L31" s="200">
        <f t="shared" si="2"/>
        <v>0</v>
      </c>
      <c r="M31" s="35">
        <v>13000</v>
      </c>
      <c r="N31" s="200">
        <f t="shared" si="3"/>
        <v>0</v>
      </c>
      <c r="O31" s="17"/>
    </row>
    <row r="32" spans="1:15" x14ac:dyDescent="0.2">
      <c r="A32" s="25"/>
      <c r="B32" s="25"/>
      <c r="C32" s="25" t="s">
        <v>343</v>
      </c>
      <c r="D32" s="25"/>
      <c r="E32" s="25"/>
      <c r="F32" s="25">
        <v>15</v>
      </c>
      <c r="G32" s="130"/>
      <c r="H32" s="225" t="s">
        <v>82</v>
      </c>
      <c r="I32" s="35">
        <v>0.45</v>
      </c>
      <c r="J32" s="131"/>
      <c r="K32" s="35">
        <v>6.75</v>
      </c>
      <c r="L32" s="200">
        <f t="shared" si="2"/>
        <v>0</v>
      </c>
      <c r="M32" s="35">
        <v>5400</v>
      </c>
      <c r="N32" s="200">
        <f t="shared" si="3"/>
        <v>0</v>
      </c>
      <c r="O32" s="17"/>
    </row>
    <row r="33" spans="1:15" x14ac:dyDescent="0.2">
      <c r="A33" s="25"/>
      <c r="B33" s="130"/>
      <c r="C33" s="130"/>
      <c r="D33" s="25"/>
      <c r="E33" s="25"/>
      <c r="F33" s="25">
        <v>0</v>
      </c>
      <c r="G33" s="130"/>
      <c r="H33" s="225"/>
      <c r="I33" s="35">
        <v>0</v>
      </c>
      <c r="J33" s="131"/>
      <c r="K33" s="35">
        <v>0</v>
      </c>
      <c r="L33" s="200">
        <f t="shared" si="2"/>
        <v>0</v>
      </c>
      <c r="M33" s="35">
        <v>0</v>
      </c>
      <c r="N33" s="200">
        <f t="shared" si="3"/>
        <v>0</v>
      </c>
      <c r="O33" s="17"/>
    </row>
    <row r="34" spans="1:15" x14ac:dyDescent="0.2">
      <c r="A34" s="25"/>
      <c r="B34" s="130"/>
      <c r="C34" s="130"/>
      <c r="D34" s="25"/>
      <c r="E34" s="25"/>
      <c r="F34" s="25">
        <v>0</v>
      </c>
      <c r="G34" s="130"/>
      <c r="H34" s="225"/>
      <c r="I34" s="35">
        <v>0</v>
      </c>
      <c r="J34" s="131"/>
      <c r="K34" s="35">
        <v>0</v>
      </c>
      <c r="L34" s="200">
        <f t="shared" si="2"/>
        <v>0</v>
      </c>
      <c r="M34" s="35">
        <v>0</v>
      </c>
      <c r="N34" s="200">
        <f t="shared" si="3"/>
        <v>0</v>
      </c>
      <c r="O34" s="17"/>
    </row>
    <row r="35" spans="1:15" x14ac:dyDescent="0.2">
      <c r="A35" s="25"/>
      <c r="B35" s="130"/>
      <c r="C35" s="130"/>
      <c r="D35" s="25"/>
      <c r="E35" s="25"/>
      <c r="F35" s="25">
        <v>0</v>
      </c>
      <c r="G35" s="130"/>
      <c r="H35" s="225"/>
      <c r="I35" s="35">
        <v>0</v>
      </c>
      <c r="J35" s="131"/>
      <c r="K35" s="35">
        <v>0</v>
      </c>
      <c r="L35" s="200">
        <f t="shared" si="2"/>
        <v>0</v>
      </c>
      <c r="M35" s="35">
        <v>0</v>
      </c>
      <c r="N35" s="200">
        <f t="shared" si="3"/>
        <v>0</v>
      </c>
      <c r="O35" s="17"/>
    </row>
    <row r="36" spans="1:15" x14ac:dyDescent="0.2">
      <c r="A36" s="25"/>
      <c r="B36" s="25" t="s">
        <v>27</v>
      </c>
      <c r="C36" s="25"/>
      <c r="D36" s="25"/>
      <c r="E36" s="25"/>
      <c r="G36" s="104"/>
      <c r="J36" s="104"/>
      <c r="K36" s="124"/>
      <c r="L36" s="104"/>
      <c r="N36" s="104"/>
    </row>
    <row r="37" spans="1:15" x14ac:dyDescent="0.2">
      <c r="A37" s="25"/>
      <c r="B37" s="130"/>
      <c r="C37" s="130"/>
      <c r="D37" s="25"/>
      <c r="E37" s="25"/>
      <c r="F37" s="25">
        <v>1</v>
      </c>
      <c r="G37" s="130"/>
      <c r="H37" s="225"/>
      <c r="I37" s="35">
        <v>0</v>
      </c>
      <c r="J37" s="131"/>
      <c r="K37" s="35">
        <v>0</v>
      </c>
      <c r="L37" s="200">
        <f t="shared" ref="L37:L44" si="6">+J37*G37</f>
        <v>0</v>
      </c>
      <c r="M37" s="35">
        <v>0</v>
      </c>
      <c r="N37" s="200">
        <f t="shared" ref="N37:N47" si="7">+L37*E$7</f>
        <v>0</v>
      </c>
      <c r="O37" s="17"/>
    </row>
    <row r="38" spans="1:15" x14ac:dyDescent="0.2">
      <c r="A38" s="25"/>
      <c r="B38" s="130"/>
      <c r="C38" s="130"/>
      <c r="D38" s="25"/>
      <c r="E38" s="25"/>
      <c r="F38" s="25">
        <v>1</v>
      </c>
      <c r="G38" s="130"/>
      <c r="H38" s="225"/>
      <c r="I38" s="35">
        <v>0</v>
      </c>
      <c r="J38" s="131"/>
      <c r="K38" s="35">
        <v>0</v>
      </c>
      <c r="L38" s="200">
        <f t="shared" si="6"/>
        <v>0</v>
      </c>
      <c r="M38" s="35">
        <v>0</v>
      </c>
      <c r="N38" s="200">
        <f t="shared" si="7"/>
        <v>0</v>
      </c>
      <c r="O38" s="17"/>
    </row>
    <row r="39" spans="1:15" x14ac:dyDescent="0.2">
      <c r="A39" s="25"/>
      <c r="B39" s="25" t="s">
        <v>43</v>
      </c>
      <c r="C39" s="25"/>
      <c r="D39" s="25"/>
      <c r="E39" s="25"/>
      <c r="F39" s="25">
        <v>1</v>
      </c>
      <c r="G39" s="130"/>
      <c r="H39" s="225" t="s">
        <v>20</v>
      </c>
      <c r="I39" s="35">
        <v>8.5000437499999997</v>
      </c>
      <c r="J39" s="131"/>
      <c r="K39" s="35">
        <v>8.5000437499999997</v>
      </c>
      <c r="L39" s="200">
        <f t="shared" si="6"/>
        <v>0</v>
      </c>
      <c r="M39" s="35">
        <v>6800.0349999999999</v>
      </c>
      <c r="N39" s="200">
        <f t="shared" si="7"/>
        <v>0</v>
      </c>
      <c r="O39" s="17"/>
    </row>
    <row r="40" spans="1:15" x14ac:dyDescent="0.2">
      <c r="A40" s="25"/>
      <c r="B40" s="25" t="s">
        <v>92</v>
      </c>
      <c r="C40" s="25"/>
      <c r="D40" s="25"/>
      <c r="E40" s="25"/>
      <c r="F40" s="38">
        <v>0.1</v>
      </c>
      <c r="G40" s="135"/>
      <c r="H40" s="225" t="s">
        <v>30</v>
      </c>
      <c r="I40" s="35">
        <v>8.5000437499999997</v>
      </c>
      <c r="J40" s="131"/>
      <c r="K40" s="35">
        <v>0.85000437500000003</v>
      </c>
      <c r="L40" s="200">
        <f t="shared" si="6"/>
        <v>0</v>
      </c>
      <c r="M40" s="35">
        <v>680.00350000000003</v>
      </c>
      <c r="N40" s="200">
        <f t="shared" si="7"/>
        <v>0</v>
      </c>
      <c r="O40" s="17"/>
    </row>
    <row r="41" spans="1:15" x14ac:dyDescent="0.2">
      <c r="A41" s="25"/>
      <c r="B41" s="25" t="s">
        <v>97</v>
      </c>
      <c r="C41" s="25"/>
      <c r="D41" s="25"/>
      <c r="E41" s="25"/>
      <c r="F41" s="25">
        <v>1</v>
      </c>
      <c r="G41" s="130"/>
      <c r="H41" s="225" t="s">
        <v>20</v>
      </c>
      <c r="I41" s="35">
        <v>0</v>
      </c>
      <c r="J41" s="131"/>
      <c r="K41" s="35">
        <v>0</v>
      </c>
      <c r="L41" s="200">
        <f t="shared" si="6"/>
        <v>0</v>
      </c>
      <c r="M41" s="35">
        <v>0</v>
      </c>
      <c r="N41" s="200">
        <f t="shared" si="7"/>
        <v>0</v>
      </c>
      <c r="O41" s="17"/>
    </row>
    <row r="42" spans="1:15" x14ac:dyDescent="0.2">
      <c r="A42" s="25"/>
      <c r="B42" s="25" t="s">
        <v>91</v>
      </c>
      <c r="C42" s="25"/>
      <c r="D42" s="25"/>
      <c r="E42" s="25"/>
      <c r="F42" s="25">
        <v>1</v>
      </c>
      <c r="G42" s="130"/>
      <c r="H42" s="225" t="s">
        <v>20</v>
      </c>
      <c r="I42" s="35">
        <v>0</v>
      </c>
      <c r="J42" s="131"/>
      <c r="K42" s="35">
        <v>0</v>
      </c>
      <c r="L42" s="200">
        <f t="shared" si="6"/>
        <v>0</v>
      </c>
      <c r="M42" s="35">
        <v>0</v>
      </c>
      <c r="N42" s="200">
        <f t="shared" si="7"/>
        <v>0</v>
      </c>
      <c r="O42" s="17"/>
    </row>
    <row r="43" spans="1:15" x14ac:dyDescent="0.2">
      <c r="A43" s="25"/>
      <c r="B43" s="25" t="s">
        <v>120</v>
      </c>
      <c r="C43" s="25"/>
      <c r="D43" s="25"/>
      <c r="E43" s="25"/>
      <c r="F43" s="33">
        <v>0.98499999999999999</v>
      </c>
      <c r="G43" s="130"/>
      <c r="H43" s="225" t="s">
        <v>20</v>
      </c>
      <c r="I43" s="35">
        <v>12</v>
      </c>
      <c r="J43" s="131"/>
      <c r="K43" s="35">
        <v>11.82</v>
      </c>
      <c r="L43" s="200">
        <f t="shared" si="6"/>
        <v>0</v>
      </c>
      <c r="M43" s="35">
        <v>9456</v>
      </c>
      <c r="N43" s="200">
        <f t="shared" si="7"/>
        <v>0</v>
      </c>
      <c r="O43" s="17"/>
    </row>
    <row r="44" spans="1:15" x14ac:dyDescent="0.2">
      <c r="A44" s="25"/>
      <c r="B44" s="25" t="s">
        <v>13</v>
      </c>
      <c r="C44" s="25"/>
      <c r="D44" s="25"/>
      <c r="E44" s="25"/>
      <c r="F44" s="25">
        <v>1</v>
      </c>
      <c r="G44" s="130"/>
      <c r="H44" s="225" t="s">
        <v>20</v>
      </c>
      <c r="I44" s="35">
        <v>8.4149999999999991</v>
      </c>
      <c r="J44" s="131"/>
      <c r="K44" s="35">
        <v>8.4149999999999991</v>
      </c>
      <c r="L44" s="200">
        <f t="shared" si="6"/>
        <v>0</v>
      </c>
      <c r="M44" s="35">
        <v>6731.9999999999991</v>
      </c>
      <c r="N44" s="200">
        <f t="shared" si="7"/>
        <v>0</v>
      </c>
      <c r="O44" s="17"/>
    </row>
    <row r="45" spans="1:15" x14ac:dyDescent="0.2">
      <c r="A45" s="25"/>
      <c r="B45" s="130"/>
      <c r="C45" s="130"/>
      <c r="D45" s="25"/>
      <c r="E45" s="25"/>
      <c r="F45" s="25"/>
      <c r="G45" s="130"/>
      <c r="H45" s="225"/>
      <c r="I45" s="35"/>
      <c r="J45" s="131"/>
      <c r="K45" s="35">
        <v>0</v>
      </c>
      <c r="L45" s="200">
        <f>+J45*G45</f>
        <v>0</v>
      </c>
      <c r="M45" s="35">
        <v>0</v>
      </c>
      <c r="N45" s="200">
        <f>+L45*E$7</f>
        <v>0</v>
      </c>
      <c r="O45" s="17"/>
    </row>
    <row r="46" spans="1:15" x14ac:dyDescent="0.2">
      <c r="A46" s="25"/>
      <c r="B46" s="130"/>
      <c r="C46" s="130"/>
      <c r="D46" s="25"/>
      <c r="E46" s="25"/>
      <c r="F46" s="25"/>
      <c r="G46" s="130"/>
      <c r="H46" s="225"/>
      <c r="I46" s="35"/>
      <c r="J46" s="131"/>
      <c r="K46" s="35">
        <v>0</v>
      </c>
      <c r="L46" s="200">
        <f>+J46*G46</f>
        <v>0</v>
      </c>
      <c r="M46" s="35">
        <v>0</v>
      </c>
      <c r="N46" s="200">
        <f>+L46*E$7</f>
        <v>0</v>
      </c>
      <c r="O46" s="17"/>
    </row>
    <row r="47" spans="1:15" ht="13.5" thickBot="1" x14ac:dyDescent="0.25">
      <c r="A47" s="25"/>
      <c r="B47" s="25" t="s">
        <v>32</v>
      </c>
      <c r="C47" s="25"/>
      <c r="D47" s="25"/>
      <c r="E47" s="25"/>
      <c r="F47" s="25"/>
      <c r="G47" s="104"/>
      <c r="H47" s="21"/>
      <c r="I47" s="39">
        <v>0.09</v>
      </c>
      <c r="J47" s="213"/>
      <c r="K47" s="42">
        <v>57.092631107876706</v>
      </c>
      <c r="L47" s="215">
        <f>+SUM(L18:L44)*J47/2</f>
        <v>0</v>
      </c>
      <c r="M47" s="42">
        <v>45674.104886301364</v>
      </c>
      <c r="N47" s="215">
        <f t="shared" si="7"/>
        <v>0</v>
      </c>
      <c r="O47" s="17"/>
    </row>
    <row r="48" spans="1:15" x14ac:dyDescent="0.2">
      <c r="A48" s="25" t="s">
        <v>33</v>
      </c>
      <c r="B48" s="25"/>
      <c r="C48" s="25"/>
      <c r="D48" s="25"/>
      <c r="E48" s="25"/>
      <c r="F48" s="25"/>
      <c r="G48" s="198"/>
      <c r="H48" s="25"/>
      <c r="I48" s="25"/>
      <c r="J48" s="195"/>
      <c r="K48" s="35">
        <v>1925.2792020755162</v>
      </c>
      <c r="L48" s="200">
        <f>+SUM(L18:L47)</f>
        <v>0</v>
      </c>
      <c r="M48" s="35">
        <v>1540223.361660413</v>
      </c>
      <c r="N48" s="200">
        <f>+SUM(N18:N47)</f>
        <v>0</v>
      </c>
      <c r="O48" s="17"/>
    </row>
    <row r="49" spans="1:15" x14ac:dyDescent="0.2">
      <c r="A49" s="25"/>
      <c r="B49" s="25"/>
      <c r="C49" s="25"/>
      <c r="D49" s="25"/>
      <c r="E49" s="25"/>
      <c r="F49" s="25"/>
      <c r="G49" s="198"/>
      <c r="H49" s="25"/>
      <c r="I49" s="25"/>
      <c r="J49" s="195"/>
      <c r="K49" s="35"/>
      <c r="L49" s="204"/>
      <c r="M49" s="35"/>
      <c r="N49" s="204"/>
      <c r="O49" s="35"/>
    </row>
    <row r="50" spans="1:15" x14ac:dyDescent="0.2">
      <c r="A50" s="25" t="s">
        <v>34</v>
      </c>
      <c r="B50" s="25"/>
      <c r="C50" s="25"/>
      <c r="D50" s="25"/>
      <c r="E50" s="25"/>
      <c r="F50" s="25"/>
      <c r="G50" s="198"/>
      <c r="H50" s="25"/>
      <c r="I50" s="25"/>
      <c r="J50" s="195"/>
      <c r="K50" s="35">
        <v>-22.259202075515987</v>
      </c>
      <c r="L50" s="200">
        <f>+L14-L48</f>
        <v>0</v>
      </c>
      <c r="M50" s="35">
        <v>-17807.361660412746</v>
      </c>
      <c r="N50" s="200">
        <f>+N14-N48</f>
        <v>0</v>
      </c>
      <c r="O50" s="17"/>
    </row>
    <row r="51" spans="1:15" x14ac:dyDescent="0.2">
      <c r="A51" s="25"/>
      <c r="B51" s="25"/>
      <c r="C51" s="25"/>
      <c r="D51" s="25"/>
      <c r="E51" s="25"/>
      <c r="F51" s="25"/>
      <c r="G51" s="176"/>
      <c r="H51" s="25"/>
      <c r="I51" s="25"/>
      <c r="J51" s="209"/>
      <c r="K51" s="35"/>
      <c r="L51" s="182"/>
      <c r="M51" s="35"/>
      <c r="N51" s="182"/>
    </row>
    <row r="52" spans="1:15" x14ac:dyDescent="0.2">
      <c r="A52" s="25"/>
      <c r="B52" s="25" t="s">
        <v>35</v>
      </c>
      <c r="C52" s="25"/>
      <c r="D52" s="25"/>
      <c r="E52" s="25"/>
      <c r="F52" s="25"/>
      <c r="G52" s="176"/>
      <c r="H52" s="17"/>
      <c r="I52" s="40">
        <v>283.2750977820225</v>
      </c>
      <c r="J52" s="208" t="str">
        <f>+IF(G11=0,"n/a",(L48-SUM(L12:L13))/(G11*E11))</f>
        <v>n/a</v>
      </c>
      <c r="K52" s="25" t="s">
        <v>8</v>
      </c>
      <c r="L52" s="182"/>
      <c r="M52" s="25"/>
      <c r="N52" s="182"/>
    </row>
    <row r="53" spans="1:15" x14ac:dyDescent="0.2">
      <c r="A53" s="25"/>
      <c r="B53" s="25"/>
      <c r="C53" s="25"/>
      <c r="D53" s="25"/>
      <c r="E53" s="25"/>
      <c r="F53" s="25"/>
      <c r="G53" s="176"/>
      <c r="H53" s="25"/>
      <c r="I53" s="25"/>
      <c r="J53" s="209"/>
      <c r="K53" s="25"/>
      <c r="L53" s="182"/>
      <c r="M53" s="22" t="s">
        <v>19</v>
      </c>
      <c r="N53" s="182" t="s">
        <v>19</v>
      </c>
    </row>
    <row r="54" spans="1:15" x14ac:dyDescent="0.2">
      <c r="A54" s="23" t="s">
        <v>36</v>
      </c>
      <c r="B54" s="23"/>
      <c r="C54" s="23"/>
      <c r="D54" s="23"/>
      <c r="E54" s="23"/>
      <c r="F54" s="24" t="s">
        <v>2</v>
      </c>
      <c r="G54" s="194" t="s">
        <v>2</v>
      </c>
      <c r="H54" s="24" t="s">
        <v>21</v>
      </c>
      <c r="I54" s="24" t="s">
        <v>22</v>
      </c>
      <c r="J54" s="194" t="s">
        <v>22</v>
      </c>
      <c r="K54" s="24" t="s">
        <v>12</v>
      </c>
      <c r="L54" s="194" t="s">
        <v>12</v>
      </c>
      <c r="M54" s="24" t="s">
        <v>12</v>
      </c>
      <c r="N54" s="206" t="s">
        <v>12</v>
      </c>
    </row>
    <row r="55" spans="1:15" x14ac:dyDescent="0.2">
      <c r="A55" s="25"/>
      <c r="B55" s="25"/>
      <c r="C55" s="25"/>
      <c r="D55" s="25"/>
      <c r="E55" s="25"/>
      <c r="F55" s="25"/>
      <c r="G55" s="176"/>
      <c r="H55" s="25"/>
      <c r="I55" s="25"/>
      <c r="J55" s="209"/>
      <c r="K55" s="25"/>
      <c r="L55" s="182"/>
      <c r="M55" s="25"/>
      <c r="N55" s="182"/>
    </row>
    <row r="56" spans="1:15" x14ac:dyDescent="0.2">
      <c r="A56" s="25"/>
      <c r="B56" s="25" t="s">
        <v>121</v>
      </c>
      <c r="C56" s="25"/>
      <c r="D56" s="25"/>
      <c r="E56" s="25"/>
      <c r="F56" s="25">
        <v>1</v>
      </c>
      <c r="G56" s="130"/>
      <c r="H56" s="225" t="s">
        <v>20</v>
      </c>
      <c r="I56" s="35">
        <v>12.485833333333336</v>
      </c>
      <c r="J56" s="131"/>
      <c r="K56" s="35">
        <v>12.485833333333336</v>
      </c>
      <c r="L56" s="200">
        <f t="shared" ref="L56:L62" si="8">+J56*G56</f>
        <v>0</v>
      </c>
      <c r="M56" s="35">
        <v>9988.6666666666679</v>
      </c>
      <c r="N56" s="200">
        <f t="shared" ref="N56:N62" si="9">+L56*E$7</f>
        <v>0</v>
      </c>
    </row>
    <row r="57" spans="1:15" x14ac:dyDescent="0.2">
      <c r="A57" s="25"/>
      <c r="B57" s="25" t="s">
        <v>88</v>
      </c>
      <c r="C57" s="25"/>
      <c r="D57" s="25"/>
      <c r="E57" s="25"/>
      <c r="F57" s="41">
        <v>27.215</v>
      </c>
      <c r="G57" s="131"/>
      <c r="H57" s="225" t="s">
        <v>87</v>
      </c>
      <c r="I57" s="39">
        <v>0.08</v>
      </c>
      <c r="J57" s="213"/>
      <c r="K57" s="35">
        <v>2.1772</v>
      </c>
      <c r="L57" s="200">
        <f t="shared" si="8"/>
        <v>0</v>
      </c>
      <c r="M57" s="35">
        <v>1741.76</v>
      </c>
      <c r="N57" s="200">
        <f t="shared" si="9"/>
        <v>0</v>
      </c>
    </row>
    <row r="58" spans="1:15" x14ac:dyDescent="0.2">
      <c r="A58" s="25"/>
      <c r="B58" s="25" t="s">
        <v>156</v>
      </c>
      <c r="C58" s="25"/>
      <c r="D58" s="25"/>
      <c r="E58" s="25"/>
      <c r="F58" s="25">
        <v>1</v>
      </c>
      <c r="G58" s="130"/>
      <c r="H58" s="225" t="s">
        <v>20</v>
      </c>
      <c r="I58" s="35">
        <v>0</v>
      </c>
      <c r="J58" s="131"/>
      <c r="K58" s="35">
        <v>0</v>
      </c>
      <c r="L58" s="200">
        <f t="shared" si="8"/>
        <v>0</v>
      </c>
      <c r="M58" s="35">
        <v>0</v>
      </c>
      <c r="N58" s="200">
        <f t="shared" si="9"/>
        <v>0</v>
      </c>
    </row>
    <row r="59" spans="1:15" x14ac:dyDescent="0.2">
      <c r="A59" s="25"/>
      <c r="B59" s="25" t="s">
        <v>152</v>
      </c>
      <c r="C59" s="25"/>
      <c r="D59" s="25"/>
      <c r="E59" s="25"/>
      <c r="F59" s="25">
        <v>1</v>
      </c>
      <c r="G59" s="130"/>
      <c r="H59" s="225" t="s">
        <v>20</v>
      </c>
      <c r="I59" s="35">
        <v>23.333333333333321</v>
      </c>
      <c r="J59" s="131"/>
      <c r="K59" s="35">
        <v>23.333333333333321</v>
      </c>
      <c r="L59" s="200">
        <f t="shared" si="8"/>
        <v>0</v>
      </c>
      <c r="M59" s="35">
        <v>18666.666666666657</v>
      </c>
      <c r="N59" s="200">
        <f t="shared" si="9"/>
        <v>0</v>
      </c>
    </row>
    <row r="60" spans="1:15" x14ac:dyDescent="0.2">
      <c r="A60" s="25"/>
      <c r="B60" s="25" t="s">
        <v>86</v>
      </c>
      <c r="C60" s="25"/>
      <c r="D60" s="25"/>
      <c r="E60" s="25"/>
      <c r="F60" s="25">
        <v>1</v>
      </c>
      <c r="G60" s="130"/>
      <c r="H60" s="225" t="s">
        <v>20</v>
      </c>
      <c r="I60" s="35">
        <v>0</v>
      </c>
      <c r="J60" s="131"/>
      <c r="K60" s="35">
        <v>0</v>
      </c>
      <c r="L60" s="200">
        <f t="shared" si="8"/>
        <v>0</v>
      </c>
      <c r="M60" s="35">
        <v>0</v>
      </c>
      <c r="N60" s="200">
        <f t="shared" si="9"/>
        <v>0</v>
      </c>
    </row>
    <row r="61" spans="1:15" x14ac:dyDescent="0.2">
      <c r="A61" s="25"/>
      <c r="B61" s="130"/>
      <c r="C61" s="130"/>
      <c r="D61" s="25"/>
      <c r="E61" s="25"/>
      <c r="F61" s="25"/>
      <c r="G61" s="130"/>
      <c r="H61" s="225"/>
      <c r="I61" s="35"/>
      <c r="J61" s="131"/>
      <c r="K61" s="35">
        <v>0</v>
      </c>
      <c r="L61" s="200">
        <f t="shared" si="8"/>
        <v>0</v>
      </c>
      <c r="M61" s="35">
        <v>0</v>
      </c>
      <c r="N61" s="200">
        <f t="shared" si="9"/>
        <v>0</v>
      </c>
    </row>
    <row r="62" spans="1:15" ht="13.5" thickBot="1" x14ac:dyDescent="0.25">
      <c r="A62" s="25"/>
      <c r="B62" s="130"/>
      <c r="C62" s="130"/>
      <c r="D62" s="25"/>
      <c r="E62" s="25"/>
      <c r="F62" s="25"/>
      <c r="G62" s="130"/>
      <c r="H62" s="225"/>
      <c r="I62" s="35"/>
      <c r="J62" s="131"/>
      <c r="K62" s="35">
        <v>0</v>
      </c>
      <c r="L62" s="200">
        <f t="shared" si="8"/>
        <v>0</v>
      </c>
      <c r="M62" s="35">
        <v>0</v>
      </c>
      <c r="N62" s="200">
        <f t="shared" si="9"/>
        <v>0</v>
      </c>
    </row>
    <row r="63" spans="1:15" x14ac:dyDescent="0.2">
      <c r="A63" s="25" t="s">
        <v>37</v>
      </c>
      <c r="B63" s="25"/>
      <c r="C63" s="25"/>
      <c r="D63" s="25"/>
      <c r="E63" s="25"/>
      <c r="F63" s="25"/>
      <c r="G63" s="195"/>
      <c r="H63" s="25"/>
      <c r="I63" s="25"/>
      <c r="J63" s="195"/>
      <c r="K63" s="36">
        <v>37.99636666666666</v>
      </c>
      <c r="L63" s="201">
        <f>+SUM(L56:L60)</f>
        <v>0</v>
      </c>
      <c r="M63" s="36">
        <v>30397.093333333323</v>
      </c>
      <c r="N63" s="201">
        <f>+SUM(N56:N60)</f>
        <v>0</v>
      </c>
    </row>
    <row r="64" spans="1:15" x14ac:dyDescent="0.2">
      <c r="A64" s="25"/>
      <c r="B64" s="25"/>
      <c r="C64" s="25"/>
      <c r="D64" s="25"/>
      <c r="E64" s="25"/>
      <c r="F64" s="25"/>
      <c r="G64" s="195"/>
      <c r="H64" s="25"/>
      <c r="I64" s="25"/>
      <c r="J64" s="195"/>
      <c r="K64" s="35"/>
      <c r="L64" s="182"/>
      <c r="M64" s="35"/>
      <c r="N64" s="182"/>
    </row>
    <row r="65" spans="1:14" x14ac:dyDescent="0.2">
      <c r="A65" s="25" t="s">
        <v>81</v>
      </c>
      <c r="B65" s="25"/>
      <c r="C65" s="25"/>
      <c r="D65" s="25"/>
      <c r="E65" s="25"/>
      <c r="F65" s="25"/>
      <c r="G65" s="195"/>
      <c r="H65" s="25"/>
      <c r="I65" s="25"/>
      <c r="J65" s="195"/>
      <c r="K65" s="35">
        <v>1963.2755687421829</v>
      </c>
      <c r="L65" s="200">
        <f>+L48+L63</f>
        <v>0</v>
      </c>
      <c r="M65" s="35">
        <v>1570620.4549937462</v>
      </c>
      <c r="N65" s="200">
        <f>+N48+N63</f>
        <v>0</v>
      </c>
    </row>
    <row r="66" spans="1:14" x14ac:dyDescent="0.2">
      <c r="A66" s="25"/>
      <c r="B66" s="25"/>
      <c r="C66" s="25"/>
      <c r="D66" s="25"/>
      <c r="E66" s="25"/>
      <c r="F66" s="25"/>
      <c r="G66" s="195"/>
      <c r="H66" s="25"/>
      <c r="I66" s="25"/>
      <c r="J66" s="195"/>
      <c r="K66" s="35"/>
      <c r="L66" s="182"/>
      <c r="M66" s="35"/>
      <c r="N66" s="182"/>
    </row>
    <row r="67" spans="1:14" x14ac:dyDescent="0.2">
      <c r="A67" s="25" t="s">
        <v>84</v>
      </c>
      <c r="B67" s="25"/>
      <c r="C67" s="25"/>
      <c r="D67" s="25"/>
      <c r="E67" s="25"/>
      <c r="F67" s="25"/>
      <c r="G67" s="195"/>
      <c r="H67" s="25"/>
      <c r="I67" s="25"/>
      <c r="J67" s="195"/>
      <c r="K67" s="35">
        <v>-60.255568742182732</v>
      </c>
      <c r="L67" s="200">
        <f>+L50-L63</f>
        <v>0</v>
      </c>
      <c r="M67" s="35">
        <v>-48204.454993746011</v>
      </c>
      <c r="N67" s="200">
        <f>+N50-N63</f>
        <v>0</v>
      </c>
    </row>
    <row r="68" spans="1:14" x14ac:dyDescent="0.2">
      <c r="A68" s="25"/>
      <c r="B68" s="25"/>
      <c r="C68" s="25"/>
      <c r="D68" s="25"/>
      <c r="E68" s="25"/>
      <c r="F68" s="25"/>
      <c r="G68" s="195"/>
      <c r="H68" s="25"/>
      <c r="I68" s="25"/>
      <c r="J68" s="195"/>
      <c r="K68" s="35"/>
      <c r="L68" s="193"/>
      <c r="M68" s="35"/>
      <c r="N68" s="209"/>
    </row>
    <row r="69" spans="1:14" x14ac:dyDescent="0.2">
      <c r="A69" s="25" t="s">
        <v>38</v>
      </c>
      <c r="B69" s="25"/>
      <c r="C69" s="25"/>
      <c r="D69" s="25"/>
      <c r="E69" s="25"/>
      <c r="F69" s="25"/>
      <c r="G69" s="195"/>
      <c r="H69" s="25"/>
      <c r="I69" s="40">
        <v>288.86567626604614</v>
      </c>
      <c r="J69" s="208" t="str">
        <f>+IF(G11=0,"n/a",(L65-SUM(L12:L13))/(G11*E11))</f>
        <v>n/a</v>
      </c>
      <c r="K69" s="25" t="s">
        <v>8</v>
      </c>
      <c r="L69" s="195"/>
      <c r="M69" s="25"/>
      <c r="N69" s="209"/>
    </row>
    <row r="70" spans="1:14" ht="13.5" thickBot="1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8.75" thickBot="1" x14ac:dyDescent="0.3">
      <c r="A71" s="17"/>
      <c r="B71" s="17"/>
      <c r="C71" s="252" t="s">
        <v>322</v>
      </c>
      <c r="D71" s="253"/>
      <c r="E71" s="253"/>
      <c r="F71" s="253"/>
      <c r="G71" s="253"/>
      <c r="H71" s="254"/>
      <c r="I71" s="17"/>
      <c r="J71" s="17"/>
      <c r="K71" s="17"/>
      <c r="L71" s="17"/>
      <c r="M71" s="17"/>
      <c r="N71" s="17"/>
    </row>
    <row r="72" spans="1:14" ht="28.35" customHeight="1" x14ac:dyDescent="0.2">
      <c r="A72" s="51"/>
      <c r="B72" s="51"/>
      <c r="C72" s="255"/>
      <c r="D72" s="52"/>
      <c r="E72" s="53"/>
      <c r="F72" s="257" t="s">
        <v>496</v>
      </c>
      <c r="G72" s="258"/>
      <c r="H72" s="259" t="s">
        <v>123</v>
      </c>
      <c r="I72" s="51"/>
      <c r="J72" s="51"/>
      <c r="K72" s="51"/>
      <c r="L72" s="51"/>
      <c r="M72" s="51"/>
      <c r="N72" s="17"/>
    </row>
    <row r="73" spans="1:14" ht="36" customHeight="1" x14ac:dyDescent="0.2">
      <c r="A73" s="51"/>
      <c r="B73" s="51"/>
      <c r="C73" s="256"/>
      <c r="D73" s="54"/>
      <c r="E73" s="54"/>
      <c r="F73" s="54" t="s">
        <v>497</v>
      </c>
      <c r="G73" s="55"/>
      <c r="H73" s="56" t="s">
        <v>498</v>
      </c>
      <c r="I73" s="51"/>
      <c r="J73" s="51"/>
      <c r="K73" s="51"/>
      <c r="L73" s="51"/>
      <c r="M73" s="51"/>
      <c r="N73" s="17"/>
    </row>
    <row r="74" spans="1:14" ht="47.85" customHeight="1" thickBot="1" x14ac:dyDescent="0.25">
      <c r="A74" s="51"/>
      <c r="B74" s="51"/>
      <c r="C74" s="57" t="s">
        <v>122</v>
      </c>
      <c r="D74" s="58" t="s">
        <v>323</v>
      </c>
      <c r="E74" s="58"/>
      <c r="F74" s="58" t="s">
        <v>324</v>
      </c>
      <c r="G74" s="59"/>
      <c r="H74" s="60" t="s">
        <v>325</v>
      </c>
      <c r="I74" s="51"/>
      <c r="J74" s="51"/>
      <c r="K74" s="51"/>
      <c r="L74" s="51"/>
      <c r="M74" s="51"/>
      <c r="N74" s="17"/>
    </row>
    <row r="75" spans="1:14" ht="12.75" customHeight="1" x14ac:dyDescent="0.2">
      <c r="A75" s="17"/>
      <c r="B75" s="17"/>
      <c r="C75" s="61">
        <v>2.0465</v>
      </c>
      <c r="D75" s="62">
        <v>753.32400000000007</v>
      </c>
      <c r="E75" s="62"/>
      <c r="F75" s="63">
        <v>364.08253121217206</v>
      </c>
      <c r="G75" s="64"/>
      <c r="H75" s="65">
        <v>264.58378682156928</v>
      </c>
      <c r="I75" s="17"/>
      <c r="J75" s="17"/>
      <c r="K75" s="17"/>
      <c r="L75" s="17"/>
      <c r="M75" s="17"/>
      <c r="N75" s="17"/>
    </row>
    <row r="76" spans="1:14" ht="12.75" customHeight="1" x14ac:dyDescent="0.2">
      <c r="A76" s="17"/>
      <c r="B76" s="17"/>
      <c r="C76" s="66">
        <v>1.8759583333333334</v>
      </c>
      <c r="D76" s="62">
        <v>730.13033333333328</v>
      </c>
      <c r="E76" s="62"/>
      <c r="F76" s="63">
        <v>350.61555591392636</v>
      </c>
      <c r="G76" s="67"/>
      <c r="H76" s="68">
        <v>272.9886809572883</v>
      </c>
      <c r="I76" s="17"/>
      <c r="J76" s="17"/>
      <c r="K76" s="17"/>
      <c r="L76" s="17"/>
      <c r="M76" s="17"/>
      <c r="N76" s="17"/>
    </row>
    <row r="77" spans="1:14" ht="12.75" customHeight="1" x14ac:dyDescent="0.2">
      <c r="A77" s="17"/>
      <c r="B77" s="17"/>
      <c r="C77" s="69">
        <v>1.7054166666666666</v>
      </c>
      <c r="D77" s="70">
        <v>690.00000000000011</v>
      </c>
      <c r="E77" s="70"/>
      <c r="F77" s="71">
        <v>327.31461710690888</v>
      </c>
      <c r="G77" s="72"/>
      <c r="H77" s="73">
        <v>288.86567626604614</v>
      </c>
      <c r="I77" s="17"/>
      <c r="J77" s="17"/>
      <c r="K77" s="17"/>
      <c r="L77" s="17"/>
      <c r="M77" s="17"/>
      <c r="N77" s="17"/>
    </row>
    <row r="78" spans="1:14" ht="12.75" customHeight="1" x14ac:dyDescent="0.2">
      <c r="A78" s="17"/>
      <c r="B78" s="17"/>
      <c r="C78" s="66">
        <v>1.534875</v>
      </c>
      <c r="D78" s="62">
        <v>683.74299999999994</v>
      </c>
      <c r="E78" s="62"/>
      <c r="F78" s="63">
        <v>323.68160531743507</v>
      </c>
      <c r="G78" s="67"/>
      <c r="H78" s="68">
        <v>291.50911471645327</v>
      </c>
      <c r="I78" s="17"/>
      <c r="J78" s="17"/>
      <c r="K78" s="17"/>
      <c r="L78" s="17"/>
      <c r="M78" s="17"/>
      <c r="N78" s="17"/>
    </row>
    <row r="79" spans="1:14" ht="12.75" customHeight="1" thickBot="1" x14ac:dyDescent="0.25">
      <c r="A79" s="17"/>
      <c r="B79" s="17"/>
      <c r="C79" s="74">
        <v>1.3643333333333334</v>
      </c>
      <c r="D79" s="75">
        <v>660.54933333333338</v>
      </c>
      <c r="E79" s="75"/>
      <c r="F79" s="76">
        <v>310.2146300191896</v>
      </c>
      <c r="G79" s="77"/>
      <c r="H79" s="78">
        <v>301.74478508328195</v>
      </c>
      <c r="I79" s="17"/>
      <c r="J79" s="17"/>
      <c r="K79" s="17"/>
      <c r="L79" s="17"/>
      <c r="M79" s="17"/>
      <c r="N79" s="17"/>
    </row>
    <row r="80" spans="1:14" ht="12.75" customHeight="1" x14ac:dyDescent="0.2">
      <c r="A80" s="17"/>
      <c r="B80" s="17"/>
      <c r="C80" s="79"/>
      <c r="D80" s="80"/>
      <c r="E80" s="80"/>
      <c r="F80" s="81"/>
      <c r="G80" s="81"/>
      <c r="H80" s="81"/>
      <c r="I80" s="17"/>
      <c r="J80" s="17"/>
      <c r="K80" s="17"/>
      <c r="L80" s="17"/>
      <c r="M80" s="17"/>
      <c r="N80" s="17"/>
    </row>
    <row r="81" spans="1:14" ht="12.75" customHeight="1" x14ac:dyDescent="0.2">
      <c r="A81" s="25" t="s">
        <v>434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 customHeight="1" x14ac:dyDescent="0.2"/>
    <row r="83" spans="1:14" ht="29.25" customHeight="1" x14ac:dyDescent="0.2">
      <c r="A83" s="236" t="s">
        <v>140</v>
      </c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</row>
  </sheetData>
  <sheetProtection sheet="1" objects="1" scenarios="1"/>
  <mergeCells count="8">
    <mergeCell ref="A83:N83"/>
    <mergeCell ref="A1:N1"/>
    <mergeCell ref="A2:N2"/>
    <mergeCell ref="A3:N3"/>
    <mergeCell ref="A4:N4"/>
    <mergeCell ref="C71:H71"/>
    <mergeCell ref="C72:C73"/>
    <mergeCell ref="F72:H72"/>
  </mergeCells>
  <printOptions horizontalCentered="1"/>
  <pageMargins left="0.7" right="0.7" top="0.75" bottom="0.75" header="0.3" footer="0.3"/>
  <pageSetup scale="59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13">
    <tabColor rgb="FFFF0000"/>
    <pageSetUpPr fitToPage="1"/>
  </sheetPr>
  <dimension ref="A1:O84"/>
  <sheetViews>
    <sheetView showGridLines="0" workbookViewId="0">
      <selection sqref="A1:N1"/>
    </sheetView>
  </sheetViews>
  <sheetFormatPr defaultColWidth="9.140625" defaultRowHeight="12.75" x14ac:dyDescent="0.2"/>
  <cols>
    <col min="1" max="2" width="5" customWidth="1"/>
    <col min="3" max="3" width="22.5703125" customWidth="1"/>
    <col min="5" max="5" width="9.42578125" customWidth="1"/>
    <col min="6" max="6" width="11.42578125" customWidth="1"/>
    <col min="7" max="7" width="9.140625" customWidth="1"/>
    <col min="9" max="9" width="9.5703125" customWidth="1"/>
    <col min="10" max="10" width="9.140625" customWidth="1"/>
    <col min="11" max="11" width="11" customWidth="1"/>
    <col min="12" max="12" width="13.42578125" customWidth="1"/>
    <col min="13" max="13" width="16.5703125" customWidth="1"/>
    <col min="14" max="14" width="14.5703125" customWidth="1"/>
    <col min="15" max="15" width="9.140625" hidden="1" customWidth="1"/>
  </cols>
  <sheetData>
    <row r="1" spans="1:15" x14ac:dyDescent="0.2">
      <c r="A1" s="238" t="s">
        <v>150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7"/>
    </row>
    <row r="2" spans="1:15" x14ac:dyDescent="0.2">
      <c r="A2" s="239" t="s">
        <v>495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7"/>
    </row>
    <row r="3" spans="1:15" x14ac:dyDescent="0.2">
      <c r="A3" s="240" t="s">
        <v>355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17"/>
    </row>
    <row r="4" spans="1:15" x14ac:dyDescent="0.2">
      <c r="A4" s="241" t="s">
        <v>485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17"/>
    </row>
    <row r="5" spans="1:15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117" t="s">
        <v>117</v>
      </c>
      <c r="N5" s="17"/>
      <c r="O5" s="17"/>
    </row>
    <row r="6" spans="1:15" x14ac:dyDescent="0.2">
      <c r="A6" s="105"/>
      <c r="B6" s="22"/>
      <c r="C6" s="22"/>
      <c r="D6" s="22"/>
      <c r="E6" s="188" t="s">
        <v>115</v>
      </c>
      <c r="F6" s="22"/>
      <c r="G6" s="22"/>
      <c r="H6" s="22"/>
      <c r="I6" s="22"/>
      <c r="J6" s="22"/>
      <c r="K6" s="22"/>
      <c r="L6" s="22"/>
      <c r="M6" s="22"/>
      <c r="N6" s="188" t="s">
        <v>74</v>
      </c>
      <c r="O6" s="17"/>
    </row>
    <row r="7" spans="1:15" x14ac:dyDescent="0.2">
      <c r="A7" s="105"/>
      <c r="B7" s="32" t="s">
        <v>149</v>
      </c>
      <c r="C7" s="22"/>
      <c r="D7" s="49">
        <v>800</v>
      </c>
      <c r="E7" s="211"/>
      <c r="F7" s="22"/>
      <c r="G7" s="188" t="s">
        <v>74</v>
      </c>
      <c r="H7" s="22"/>
      <c r="I7" s="22"/>
      <c r="J7" s="22"/>
      <c r="K7" s="22"/>
      <c r="L7" s="22"/>
      <c r="M7" s="22" t="s">
        <v>19</v>
      </c>
      <c r="N7" s="188" t="s">
        <v>19</v>
      </c>
      <c r="O7" s="17"/>
    </row>
    <row r="8" spans="1:15" x14ac:dyDescent="0.2">
      <c r="A8" s="25"/>
      <c r="B8" s="17"/>
      <c r="C8" s="25"/>
      <c r="D8" s="25"/>
      <c r="E8" s="188" t="s">
        <v>74</v>
      </c>
      <c r="F8" s="21" t="s">
        <v>116</v>
      </c>
      <c r="G8" s="192" t="s">
        <v>124</v>
      </c>
      <c r="H8" s="21"/>
      <c r="I8" s="21"/>
      <c r="J8" s="188" t="s">
        <v>74</v>
      </c>
      <c r="K8" s="21"/>
      <c r="L8" s="188" t="s">
        <v>74</v>
      </c>
      <c r="M8" s="22" t="s">
        <v>12</v>
      </c>
      <c r="N8" s="188" t="s">
        <v>12</v>
      </c>
      <c r="O8" s="17"/>
    </row>
    <row r="9" spans="1:15" x14ac:dyDescent="0.2">
      <c r="A9" s="23" t="s">
        <v>73</v>
      </c>
      <c r="B9" s="23"/>
      <c r="C9" s="23"/>
      <c r="D9" s="24" t="s">
        <v>20</v>
      </c>
      <c r="E9" s="189" t="s">
        <v>20</v>
      </c>
      <c r="F9" s="24" t="s">
        <v>158</v>
      </c>
      <c r="G9" s="189" t="s">
        <v>158</v>
      </c>
      <c r="H9" s="24" t="s">
        <v>21</v>
      </c>
      <c r="I9" s="24" t="s">
        <v>22</v>
      </c>
      <c r="J9" s="189" t="s">
        <v>22</v>
      </c>
      <c r="K9" s="24" t="s">
        <v>12</v>
      </c>
      <c r="L9" s="189" t="s">
        <v>12</v>
      </c>
      <c r="M9" s="24" t="str">
        <f>"(" &amp; D7 &amp; " Head)"</f>
        <v>(800 Head)</v>
      </c>
      <c r="N9" s="189" t="str">
        <f>"(" &amp; E7 &amp; " Head)"</f>
        <v>( Head)</v>
      </c>
      <c r="O9" s="17"/>
    </row>
    <row r="10" spans="1:15" x14ac:dyDescent="0.2">
      <c r="A10" s="25"/>
      <c r="B10" s="25"/>
      <c r="C10" s="25"/>
      <c r="D10" s="25"/>
      <c r="E10" s="22"/>
      <c r="F10" s="21"/>
      <c r="G10" s="17"/>
      <c r="H10" s="21"/>
      <c r="I10" s="21"/>
      <c r="J10" s="17"/>
      <c r="K10" s="21"/>
      <c r="L10" s="28"/>
      <c r="M10" s="21"/>
      <c r="N10" s="17"/>
      <c r="O10" s="17"/>
    </row>
    <row r="11" spans="1:15" x14ac:dyDescent="0.2">
      <c r="A11" s="25"/>
      <c r="B11" s="116" t="s">
        <v>117</v>
      </c>
      <c r="C11" s="25"/>
      <c r="D11" s="33">
        <v>0.97</v>
      </c>
      <c r="E11" s="130"/>
      <c r="F11" s="50">
        <v>7.95</v>
      </c>
      <c r="G11" s="130"/>
      <c r="H11" s="225" t="s">
        <v>8</v>
      </c>
      <c r="I11" s="31">
        <v>262</v>
      </c>
      <c r="J11" s="131"/>
      <c r="K11" s="35">
        <v>2020.413</v>
      </c>
      <c r="L11" s="200">
        <f t="shared" ref="L11:L13" si="0">+J11*G11*E11</f>
        <v>0</v>
      </c>
      <c r="M11" s="35">
        <v>1616330.4</v>
      </c>
      <c r="N11" s="200">
        <f t="shared" ref="N11:N14" si="1">+L11*E$7</f>
        <v>0</v>
      </c>
      <c r="O11" s="17"/>
    </row>
    <row r="12" spans="1:15" x14ac:dyDescent="0.2">
      <c r="A12" s="25"/>
      <c r="B12" s="130"/>
      <c r="C12" s="130"/>
      <c r="D12" s="33">
        <v>0.97</v>
      </c>
      <c r="E12" s="130"/>
      <c r="F12" s="50">
        <v>0</v>
      </c>
      <c r="G12" s="130"/>
      <c r="H12" s="225"/>
      <c r="I12" s="31">
        <v>0</v>
      </c>
      <c r="J12" s="131"/>
      <c r="K12" s="35">
        <v>0</v>
      </c>
      <c r="L12" s="200">
        <f t="shared" si="0"/>
        <v>0</v>
      </c>
      <c r="M12" s="35">
        <v>0</v>
      </c>
      <c r="N12" s="200">
        <f t="shared" si="1"/>
        <v>0</v>
      </c>
      <c r="O12" s="17"/>
    </row>
    <row r="13" spans="1:15" ht="13.5" thickBot="1" x14ac:dyDescent="0.25">
      <c r="A13" s="25"/>
      <c r="B13" s="130"/>
      <c r="C13" s="130"/>
      <c r="D13" s="33">
        <v>0.97</v>
      </c>
      <c r="E13" s="130"/>
      <c r="F13" s="50">
        <v>0</v>
      </c>
      <c r="G13" s="130"/>
      <c r="H13" s="225"/>
      <c r="I13" s="31">
        <v>0</v>
      </c>
      <c r="J13" s="131"/>
      <c r="K13" s="35">
        <v>0</v>
      </c>
      <c r="L13" s="200">
        <f t="shared" si="0"/>
        <v>0</v>
      </c>
      <c r="M13" s="35">
        <v>0</v>
      </c>
      <c r="N13" s="200">
        <f t="shared" si="1"/>
        <v>0</v>
      </c>
      <c r="O13" s="17"/>
    </row>
    <row r="14" spans="1:15" x14ac:dyDescent="0.2">
      <c r="A14" s="25" t="s">
        <v>24</v>
      </c>
      <c r="B14" s="25"/>
      <c r="C14" s="25"/>
      <c r="D14" s="25"/>
      <c r="E14" s="25"/>
      <c r="F14" s="25"/>
      <c r="G14" s="198"/>
      <c r="H14" s="25"/>
      <c r="I14" s="25"/>
      <c r="J14" s="195"/>
      <c r="K14" s="36">
        <v>2020.413</v>
      </c>
      <c r="L14" s="201">
        <f>+L11</f>
        <v>0</v>
      </c>
      <c r="M14" s="36">
        <v>1616330.4</v>
      </c>
      <c r="N14" s="201">
        <f t="shared" si="1"/>
        <v>0</v>
      </c>
      <c r="O14" s="17"/>
    </row>
    <row r="15" spans="1:15" x14ac:dyDescent="0.2">
      <c r="A15" s="25"/>
      <c r="B15" s="25"/>
      <c r="C15" s="25"/>
      <c r="D15" s="25"/>
      <c r="E15" s="25"/>
      <c r="F15" s="25"/>
      <c r="G15" s="176"/>
      <c r="H15" s="25"/>
      <c r="I15" s="25"/>
      <c r="J15" s="209"/>
      <c r="K15" s="35"/>
      <c r="L15" s="182"/>
      <c r="M15" s="22" t="s">
        <v>19</v>
      </c>
      <c r="N15" s="182" t="s">
        <v>19</v>
      </c>
      <c r="O15" s="17"/>
    </row>
    <row r="16" spans="1:15" x14ac:dyDescent="0.2">
      <c r="A16" s="23" t="s">
        <v>25</v>
      </c>
      <c r="B16" s="23"/>
      <c r="C16" s="23"/>
      <c r="D16" s="23"/>
      <c r="E16" s="23"/>
      <c r="F16" s="24" t="s">
        <v>2</v>
      </c>
      <c r="G16" s="194" t="s">
        <v>2</v>
      </c>
      <c r="H16" s="24" t="s">
        <v>21</v>
      </c>
      <c r="I16" s="24" t="s">
        <v>22</v>
      </c>
      <c r="J16" s="194" t="s">
        <v>22</v>
      </c>
      <c r="K16" s="24" t="s">
        <v>12</v>
      </c>
      <c r="L16" s="200" t="s">
        <v>12</v>
      </c>
      <c r="M16" s="24" t="s">
        <v>12</v>
      </c>
      <c r="N16" s="206" t="s">
        <v>12</v>
      </c>
      <c r="O16" s="17"/>
    </row>
    <row r="17" spans="1:15" x14ac:dyDescent="0.2">
      <c r="A17" s="25" t="s">
        <v>26</v>
      </c>
      <c r="B17" s="25"/>
      <c r="C17" s="25"/>
      <c r="D17" s="25"/>
      <c r="E17" s="25"/>
      <c r="F17" s="25"/>
      <c r="G17" s="198"/>
      <c r="H17" s="25"/>
      <c r="I17" s="25"/>
      <c r="J17" s="195"/>
      <c r="K17" s="25"/>
      <c r="L17" s="204"/>
      <c r="M17" s="25"/>
      <c r="N17" s="204"/>
      <c r="O17" s="17"/>
    </row>
    <row r="18" spans="1:15" x14ac:dyDescent="0.2">
      <c r="A18" s="25"/>
      <c r="B18" s="25" t="s">
        <v>310</v>
      </c>
      <c r="C18" s="25"/>
      <c r="D18" s="25"/>
      <c r="E18" s="25"/>
      <c r="F18" s="34">
        <v>4.75</v>
      </c>
      <c r="G18" s="130"/>
      <c r="H18" s="225" t="s">
        <v>8</v>
      </c>
      <c r="I18" s="35">
        <v>340</v>
      </c>
      <c r="J18" s="131"/>
      <c r="K18" s="35">
        <v>1615</v>
      </c>
      <c r="L18" s="200">
        <f t="shared" ref="L18:L36" si="2">+J18*G18</f>
        <v>0</v>
      </c>
      <c r="M18" s="35">
        <v>1292000</v>
      </c>
      <c r="N18" s="200">
        <f>+L18*E$7</f>
        <v>0</v>
      </c>
      <c r="O18" s="17"/>
    </row>
    <row r="19" spans="1:15" x14ac:dyDescent="0.2">
      <c r="A19" s="25"/>
      <c r="B19" s="25" t="s">
        <v>311</v>
      </c>
      <c r="C19" s="25"/>
      <c r="D19" s="25"/>
      <c r="E19" s="25"/>
      <c r="F19" s="34">
        <v>1</v>
      </c>
      <c r="G19" s="130"/>
      <c r="H19" s="225" t="s">
        <v>20</v>
      </c>
      <c r="I19" s="35">
        <v>5</v>
      </c>
      <c r="J19" s="131"/>
      <c r="K19" s="35">
        <v>5</v>
      </c>
      <c r="L19" s="200">
        <f>+J19*G19</f>
        <v>0</v>
      </c>
      <c r="M19" s="35">
        <v>4000</v>
      </c>
      <c r="N19" s="200">
        <f>+L19*E$7</f>
        <v>0</v>
      </c>
      <c r="O19" s="17"/>
    </row>
    <row r="20" spans="1:15" x14ac:dyDescent="0.2">
      <c r="A20" s="25"/>
      <c r="B20" s="25" t="s">
        <v>78</v>
      </c>
      <c r="C20" s="25"/>
      <c r="D20" s="25"/>
      <c r="E20" s="25"/>
      <c r="G20" s="104"/>
      <c r="J20" s="104"/>
      <c r="K20" s="124"/>
      <c r="L20" s="104"/>
      <c r="N20" s="104"/>
      <c r="O20" s="17"/>
    </row>
    <row r="21" spans="1:15" x14ac:dyDescent="0.2">
      <c r="A21" s="25"/>
      <c r="B21" s="25"/>
      <c r="C21" s="25" t="s">
        <v>126</v>
      </c>
      <c r="D21" s="25"/>
      <c r="E21" s="25"/>
      <c r="F21" s="34">
        <v>1.25E-3</v>
      </c>
      <c r="G21" s="130"/>
      <c r="H21" s="225" t="s">
        <v>42</v>
      </c>
      <c r="I21" s="35">
        <v>0</v>
      </c>
      <c r="J21" s="131"/>
      <c r="K21" s="35">
        <v>0</v>
      </c>
      <c r="L21" s="200">
        <f t="shared" si="2"/>
        <v>0</v>
      </c>
      <c r="M21" s="35">
        <v>0</v>
      </c>
      <c r="N21" s="200">
        <f t="shared" ref="N21:N36" si="3">+L21*E$7</f>
        <v>0</v>
      </c>
      <c r="O21" s="17"/>
    </row>
    <row r="22" spans="1:15" x14ac:dyDescent="0.2">
      <c r="A22" s="25"/>
      <c r="B22" s="25"/>
      <c r="C22" s="25" t="s">
        <v>125</v>
      </c>
      <c r="D22" s="25"/>
      <c r="E22" s="25"/>
      <c r="F22" s="34">
        <v>0</v>
      </c>
      <c r="G22" s="130"/>
      <c r="H22" s="225" t="s">
        <v>108</v>
      </c>
      <c r="I22" s="35">
        <v>0</v>
      </c>
      <c r="J22" s="131"/>
      <c r="K22" s="35">
        <v>0</v>
      </c>
      <c r="L22" s="200">
        <f t="shared" si="2"/>
        <v>0</v>
      </c>
      <c r="M22" s="35">
        <v>0</v>
      </c>
      <c r="N22" s="200">
        <f t="shared" si="3"/>
        <v>0</v>
      </c>
      <c r="O22" s="17"/>
    </row>
    <row r="23" spans="1:15" x14ac:dyDescent="0.2">
      <c r="A23" s="25"/>
      <c r="B23" s="25"/>
      <c r="C23" s="25" t="s">
        <v>119</v>
      </c>
      <c r="D23" s="25"/>
      <c r="E23" s="25"/>
      <c r="F23" s="34">
        <v>305.30927835051546</v>
      </c>
      <c r="G23" s="130"/>
      <c r="H23" s="225" t="s">
        <v>41</v>
      </c>
      <c r="I23" s="35">
        <v>0.85</v>
      </c>
      <c r="J23" s="131"/>
      <c r="K23" s="35">
        <v>259.51288659793812</v>
      </c>
      <c r="L23" s="200">
        <f t="shared" si="2"/>
        <v>0</v>
      </c>
      <c r="M23" s="35">
        <v>207610.3092783505</v>
      </c>
      <c r="N23" s="200">
        <f t="shared" si="3"/>
        <v>0</v>
      </c>
      <c r="O23" s="17"/>
    </row>
    <row r="24" spans="1:15" x14ac:dyDescent="0.2">
      <c r="A24" s="25"/>
      <c r="B24" s="25"/>
      <c r="C24" s="25" t="s">
        <v>127</v>
      </c>
      <c r="D24" s="25"/>
      <c r="E24" s="25"/>
      <c r="F24" s="34">
        <v>0</v>
      </c>
      <c r="G24" s="130"/>
      <c r="H24" s="225" t="s">
        <v>108</v>
      </c>
      <c r="I24" s="35">
        <v>0</v>
      </c>
      <c r="J24" s="131"/>
      <c r="K24" s="35">
        <v>0</v>
      </c>
      <c r="L24" s="200">
        <f>+G24*J24*G18</f>
        <v>0</v>
      </c>
      <c r="M24" s="35">
        <v>0</v>
      </c>
      <c r="N24" s="200">
        <f t="shared" si="3"/>
        <v>0</v>
      </c>
      <c r="O24" s="17"/>
    </row>
    <row r="25" spans="1:15" x14ac:dyDescent="0.2">
      <c r="A25" s="25"/>
      <c r="B25" s="25" t="s">
        <v>118</v>
      </c>
      <c r="C25" s="25"/>
      <c r="D25" s="25"/>
      <c r="E25" s="25"/>
      <c r="G25" s="104"/>
      <c r="J25" s="104"/>
      <c r="K25" s="124"/>
      <c r="L25" s="104"/>
      <c r="N25" s="104"/>
    </row>
    <row r="26" spans="1:15" x14ac:dyDescent="0.2">
      <c r="A26" s="25"/>
      <c r="B26" s="25"/>
      <c r="C26" s="25" t="s">
        <v>347</v>
      </c>
      <c r="D26" s="25"/>
      <c r="E26" s="25"/>
      <c r="F26" s="25">
        <v>1</v>
      </c>
      <c r="G26" s="130"/>
      <c r="H26" s="225" t="s">
        <v>20</v>
      </c>
      <c r="I26" s="35">
        <v>12</v>
      </c>
      <c r="J26" s="131"/>
      <c r="K26" s="35">
        <v>12</v>
      </c>
      <c r="L26" s="200">
        <f t="shared" ref="L26:L30" si="4">+J26*G26</f>
        <v>0</v>
      </c>
      <c r="M26" s="35">
        <v>9600</v>
      </c>
      <c r="N26" s="200">
        <f t="shared" ref="N26:N30" si="5">+L26*E$7</f>
        <v>0</v>
      </c>
      <c r="O26" s="17"/>
    </row>
    <row r="27" spans="1:15" x14ac:dyDescent="0.2">
      <c r="A27" s="25"/>
      <c r="B27" s="25"/>
      <c r="C27" s="25" t="s">
        <v>348</v>
      </c>
      <c r="D27" s="25"/>
      <c r="E27" s="25"/>
      <c r="F27" s="25">
        <v>0.25</v>
      </c>
      <c r="G27" s="130"/>
      <c r="H27" s="225" t="s">
        <v>20</v>
      </c>
      <c r="I27" s="35">
        <v>16.8</v>
      </c>
      <c r="J27" s="131"/>
      <c r="K27" s="35">
        <v>4.2</v>
      </c>
      <c r="L27" s="200">
        <f t="shared" si="4"/>
        <v>0</v>
      </c>
      <c r="M27" s="35">
        <v>3360</v>
      </c>
      <c r="N27" s="200">
        <f t="shared" si="5"/>
        <v>0</v>
      </c>
      <c r="O27" s="17"/>
    </row>
    <row r="28" spans="1:15" x14ac:dyDescent="0.2">
      <c r="A28" s="25"/>
      <c r="B28" s="130"/>
      <c r="C28" s="130"/>
      <c r="D28" s="25"/>
      <c r="E28" s="25"/>
      <c r="F28" s="25">
        <v>0</v>
      </c>
      <c r="G28" s="130"/>
      <c r="H28" s="225"/>
      <c r="I28" s="35">
        <v>0</v>
      </c>
      <c r="J28" s="131"/>
      <c r="K28" s="35">
        <v>0</v>
      </c>
      <c r="L28" s="200">
        <f t="shared" si="4"/>
        <v>0</v>
      </c>
      <c r="M28" s="35">
        <v>0</v>
      </c>
      <c r="N28" s="200">
        <f t="shared" si="5"/>
        <v>0</v>
      </c>
      <c r="O28" s="17"/>
    </row>
    <row r="29" spans="1:15" x14ac:dyDescent="0.2">
      <c r="A29" s="25"/>
      <c r="B29" s="130"/>
      <c r="C29" s="130"/>
      <c r="D29" s="25"/>
      <c r="E29" s="25"/>
      <c r="F29" s="25">
        <v>0</v>
      </c>
      <c r="G29" s="130"/>
      <c r="H29" s="225"/>
      <c r="I29" s="35">
        <v>0</v>
      </c>
      <c r="J29" s="131"/>
      <c r="K29" s="35">
        <v>0</v>
      </c>
      <c r="L29" s="200">
        <f t="shared" si="4"/>
        <v>0</v>
      </c>
      <c r="M29" s="35">
        <v>0</v>
      </c>
      <c r="N29" s="200">
        <f t="shared" si="5"/>
        <v>0</v>
      </c>
      <c r="O29" s="17"/>
    </row>
    <row r="30" spans="1:15" x14ac:dyDescent="0.2">
      <c r="A30" s="25"/>
      <c r="B30" s="130"/>
      <c r="C30" s="130"/>
      <c r="D30" s="25"/>
      <c r="E30" s="25"/>
      <c r="F30" s="25">
        <v>0</v>
      </c>
      <c r="G30" s="130"/>
      <c r="H30" s="225"/>
      <c r="I30" s="35">
        <v>0</v>
      </c>
      <c r="J30" s="131"/>
      <c r="K30" s="35">
        <v>0</v>
      </c>
      <c r="L30" s="200">
        <f t="shared" si="4"/>
        <v>0</v>
      </c>
      <c r="M30" s="35">
        <v>0</v>
      </c>
      <c r="N30" s="200">
        <f t="shared" si="5"/>
        <v>0</v>
      </c>
      <c r="O30" s="17"/>
    </row>
    <row r="31" spans="1:15" x14ac:dyDescent="0.2">
      <c r="A31" s="25"/>
      <c r="B31" s="25" t="s">
        <v>107</v>
      </c>
      <c r="C31" s="25"/>
      <c r="D31" s="25"/>
      <c r="E31" s="25"/>
      <c r="F31" s="25"/>
      <c r="G31" s="104"/>
      <c r="J31" s="104"/>
      <c r="K31" s="124"/>
      <c r="L31" s="104"/>
      <c r="N31" s="104"/>
    </row>
    <row r="32" spans="1:15" x14ac:dyDescent="0.2">
      <c r="A32" s="25"/>
      <c r="B32" s="25"/>
      <c r="C32" s="25" t="s">
        <v>54</v>
      </c>
      <c r="D32" s="25"/>
      <c r="E32" s="25"/>
      <c r="F32" s="25">
        <v>300</v>
      </c>
      <c r="G32" s="130"/>
      <c r="H32" s="225" t="s">
        <v>82</v>
      </c>
      <c r="I32" s="35">
        <v>0.13</v>
      </c>
      <c r="J32" s="131"/>
      <c r="K32" s="35">
        <v>39</v>
      </c>
      <c r="L32" s="200">
        <f t="shared" si="2"/>
        <v>0</v>
      </c>
      <c r="M32" s="35">
        <v>31200</v>
      </c>
      <c r="N32" s="200">
        <f t="shared" si="3"/>
        <v>0</v>
      </c>
      <c r="O32" s="17"/>
    </row>
    <row r="33" spans="1:15" x14ac:dyDescent="0.2">
      <c r="A33" s="25"/>
      <c r="B33" s="25"/>
      <c r="C33" s="25" t="s">
        <v>343</v>
      </c>
      <c r="D33" s="25"/>
      <c r="E33" s="25"/>
      <c r="F33" s="25">
        <v>14</v>
      </c>
      <c r="G33" s="130"/>
      <c r="H33" s="225" t="s">
        <v>82</v>
      </c>
      <c r="I33" s="35">
        <v>0.45</v>
      </c>
      <c r="J33" s="131"/>
      <c r="K33" s="35">
        <v>6.3</v>
      </c>
      <c r="L33" s="200">
        <f t="shared" si="2"/>
        <v>0</v>
      </c>
      <c r="M33" s="35">
        <v>5040</v>
      </c>
      <c r="N33" s="200">
        <f t="shared" si="3"/>
        <v>0</v>
      </c>
      <c r="O33" s="17"/>
    </row>
    <row r="34" spans="1:15" x14ac:dyDescent="0.2">
      <c r="A34" s="25"/>
      <c r="B34" s="130"/>
      <c r="C34" s="130"/>
      <c r="D34" s="25"/>
      <c r="E34" s="25"/>
      <c r="F34" s="25">
        <v>0</v>
      </c>
      <c r="G34" s="130"/>
      <c r="H34" s="225"/>
      <c r="I34" s="35">
        <v>0</v>
      </c>
      <c r="J34" s="131"/>
      <c r="K34" s="35">
        <v>0</v>
      </c>
      <c r="L34" s="200">
        <f t="shared" si="2"/>
        <v>0</v>
      </c>
      <c r="M34" s="35">
        <v>0</v>
      </c>
      <c r="N34" s="200">
        <f t="shared" si="3"/>
        <v>0</v>
      </c>
      <c r="O34" s="17"/>
    </row>
    <row r="35" spans="1:15" x14ac:dyDescent="0.2">
      <c r="A35" s="25"/>
      <c r="B35" s="130"/>
      <c r="C35" s="130"/>
      <c r="D35" s="25"/>
      <c r="E35" s="25"/>
      <c r="F35" s="25">
        <v>0</v>
      </c>
      <c r="G35" s="130"/>
      <c r="H35" s="225"/>
      <c r="I35" s="35">
        <v>0</v>
      </c>
      <c r="J35" s="131"/>
      <c r="K35" s="35">
        <v>0</v>
      </c>
      <c r="L35" s="200">
        <f t="shared" si="2"/>
        <v>0</v>
      </c>
      <c r="M35" s="35">
        <v>0</v>
      </c>
      <c r="N35" s="200">
        <f t="shared" si="3"/>
        <v>0</v>
      </c>
      <c r="O35" s="17"/>
    </row>
    <row r="36" spans="1:15" x14ac:dyDescent="0.2">
      <c r="A36" s="25"/>
      <c r="B36" s="130"/>
      <c r="C36" s="130"/>
      <c r="D36" s="25"/>
      <c r="E36" s="25"/>
      <c r="F36" s="25">
        <v>0</v>
      </c>
      <c r="G36" s="130"/>
      <c r="H36" s="225"/>
      <c r="I36" s="35">
        <v>0</v>
      </c>
      <c r="J36" s="131"/>
      <c r="K36" s="35">
        <v>0</v>
      </c>
      <c r="L36" s="200">
        <f t="shared" si="2"/>
        <v>0</v>
      </c>
      <c r="M36" s="35">
        <v>0</v>
      </c>
      <c r="N36" s="200">
        <f t="shared" si="3"/>
        <v>0</v>
      </c>
      <c r="O36" s="17"/>
    </row>
    <row r="37" spans="1:15" x14ac:dyDescent="0.2">
      <c r="A37" s="25"/>
      <c r="B37" s="25" t="s">
        <v>27</v>
      </c>
      <c r="C37" s="25"/>
      <c r="D37" s="25"/>
      <c r="E37" s="25"/>
      <c r="G37" s="104"/>
      <c r="J37" s="104"/>
      <c r="K37" s="124"/>
      <c r="L37" s="104"/>
      <c r="N37" s="104"/>
    </row>
    <row r="38" spans="1:15" x14ac:dyDescent="0.2">
      <c r="A38" s="25"/>
      <c r="B38" s="130"/>
      <c r="C38" s="130"/>
      <c r="D38" s="25"/>
      <c r="E38" s="25"/>
      <c r="F38" s="25">
        <v>1</v>
      </c>
      <c r="G38" s="130"/>
      <c r="H38" s="225"/>
      <c r="I38" s="35">
        <v>0</v>
      </c>
      <c r="J38" s="131"/>
      <c r="K38" s="35">
        <v>0</v>
      </c>
      <c r="L38" s="200">
        <f t="shared" ref="L38:L45" si="6">+J38*G38</f>
        <v>0</v>
      </c>
      <c r="M38" s="35">
        <v>0</v>
      </c>
      <c r="N38" s="200">
        <f t="shared" ref="N38:N48" si="7">+L38*E$7</f>
        <v>0</v>
      </c>
      <c r="O38" s="17"/>
    </row>
    <row r="39" spans="1:15" x14ac:dyDescent="0.2">
      <c r="A39" s="25"/>
      <c r="B39" s="130"/>
      <c r="C39" s="130"/>
      <c r="D39" s="25"/>
      <c r="E39" s="25"/>
      <c r="F39" s="25">
        <v>1</v>
      </c>
      <c r="G39" s="130"/>
      <c r="H39" s="225"/>
      <c r="I39" s="35">
        <v>0</v>
      </c>
      <c r="J39" s="131"/>
      <c r="K39" s="35">
        <v>0</v>
      </c>
      <c r="L39" s="200">
        <f t="shared" si="6"/>
        <v>0</v>
      </c>
      <c r="M39" s="35">
        <v>0</v>
      </c>
      <c r="N39" s="200">
        <f t="shared" si="7"/>
        <v>0</v>
      </c>
      <c r="O39" s="17"/>
    </row>
    <row r="40" spans="1:15" x14ac:dyDescent="0.2">
      <c r="A40" s="25"/>
      <c r="B40" s="25" t="s">
        <v>43</v>
      </c>
      <c r="C40" s="25"/>
      <c r="D40" s="25"/>
      <c r="E40" s="25"/>
      <c r="F40" s="25">
        <v>1</v>
      </c>
      <c r="G40" s="130"/>
      <c r="H40" s="225" t="s">
        <v>20</v>
      </c>
      <c r="I40" s="35">
        <v>18.425000000000001</v>
      </c>
      <c r="J40" s="131"/>
      <c r="K40" s="35">
        <v>18.425000000000001</v>
      </c>
      <c r="L40" s="200">
        <f t="shared" si="6"/>
        <v>0</v>
      </c>
      <c r="M40" s="35">
        <v>14740</v>
      </c>
      <c r="N40" s="200">
        <f t="shared" si="7"/>
        <v>0</v>
      </c>
      <c r="O40" s="17"/>
    </row>
    <row r="41" spans="1:15" x14ac:dyDescent="0.2">
      <c r="A41" s="25"/>
      <c r="B41" s="25" t="s">
        <v>92</v>
      </c>
      <c r="C41" s="25"/>
      <c r="D41" s="25"/>
      <c r="E41" s="25"/>
      <c r="F41" s="38">
        <v>0.1</v>
      </c>
      <c r="G41" s="135"/>
      <c r="H41" s="225" t="s">
        <v>30</v>
      </c>
      <c r="I41" s="35">
        <v>18.425000000000001</v>
      </c>
      <c r="J41" s="131"/>
      <c r="K41" s="35">
        <v>1.8425000000000002</v>
      </c>
      <c r="L41" s="200">
        <f t="shared" si="6"/>
        <v>0</v>
      </c>
      <c r="M41" s="35">
        <v>1474.0000000000002</v>
      </c>
      <c r="N41" s="200">
        <f t="shared" si="7"/>
        <v>0</v>
      </c>
      <c r="O41" s="17"/>
    </row>
    <row r="42" spans="1:15" x14ac:dyDescent="0.2">
      <c r="A42" s="25"/>
      <c r="B42" s="25" t="s">
        <v>97</v>
      </c>
      <c r="C42" s="25"/>
      <c r="D42" s="25"/>
      <c r="E42" s="25"/>
      <c r="F42" s="25">
        <v>1</v>
      </c>
      <c r="G42" s="130"/>
      <c r="H42" s="225" t="s">
        <v>20</v>
      </c>
      <c r="I42" s="35">
        <v>0</v>
      </c>
      <c r="J42" s="131"/>
      <c r="K42" s="35">
        <v>0</v>
      </c>
      <c r="L42" s="200">
        <f t="shared" si="6"/>
        <v>0</v>
      </c>
      <c r="M42" s="35">
        <v>0</v>
      </c>
      <c r="N42" s="200">
        <f t="shared" si="7"/>
        <v>0</v>
      </c>
      <c r="O42" s="17"/>
    </row>
    <row r="43" spans="1:15" x14ac:dyDescent="0.2">
      <c r="A43" s="25"/>
      <c r="B43" s="25" t="s">
        <v>91</v>
      </c>
      <c r="C43" s="25"/>
      <c r="D43" s="25"/>
      <c r="E43" s="25"/>
      <c r="F43" s="25">
        <v>1</v>
      </c>
      <c r="G43" s="130"/>
      <c r="H43" s="225" t="s">
        <v>20</v>
      </c>
      <c r="I43" s="35">
        <v>0</v>
      </c>
      <c r="J43" s="131"/>
      <c r="K43" s="35">
        <v>0</v>
      </c>
      <c r="L43" s="200">
        <f t="shared" si="6"/>
        <v>0</v>
      </c>
      <c r="M43" s="35">
        <v>0</v>
      </c>
      <c r="N43" s="200">
        <f t="shared" si="7"/>
        <v>0</v>
      </c>
      <c r="O43" s="17"/>
    </row>
    <row r="44" spans="1:15" x14ac:dyDescent="0.2">
      <c r="A44" s="25"/>
      <c r="B44" s="25" t="s">
        <v>120</v>
      </c>
      <c r="C44" s="25"/>
      <c r="D44" s="25"/>
      <c r="E44" s="25"/>
      <c r="F44" s="33">
        <v>0.97</v>
      </c>
      <c r="G44" s="130"/>
      <c r="H44" s="225" t="s">
        <v>20</v>
      </c>
      <c r="I44" s="35">
        <v>23</v>
      </c>
      <c r="J44" s="131"/>
      <c r="K44" s="35">
        <v>22.31</v>
      </c>
      <c r="L44" s="200">
        <f t="shared" si="6"/>
        <v>0</v>
      </c>
      <c r="M44" s="35">
        <v>17848</v>
      </c>
      <c r="N44" s="200">
        <f t="shared" si="7"/>
        <v>0</v>
      </c>
      <c r="O44" s="17"/>
    </row>
    <row r="45" spans="1:15" x14ac:dyDescent="0.2">
      <c r="A45" s="25"/>
      <c r="B45" s="25" t="s">
        <v>13</v>
      </c>
      <c r="C45" s="25"/>
      <c r="D45" s="25"/>
      <c r="E45" s="25"/>
      <c r="F45" s="25">
        <v>1</v>
      </c>
      <c r="G45" s="130"/>
      <c r="H45" s="225" t="s">
        <v>20</v>
      </c>
      <c r="I45" s="35">
        <v>12.55875</v>
      </c>
      <c r="J45" s="131"/>
      <c r="K45" s="35">
        <v>12.55875</v>
      </c>
      <c r="L45" s="200">
        <f t="shared" si="6"/>
        <v>0</v>
      </c>
      <c r="M45" s="35">
        <v>10047</v>
      </c>
      <c r="N45" s="200">
        <f t="shared" si="7"/>
        <v>0</v>
      </c>
      <c r="O45" s="17"/>
    </row>
    <row r="46" spans="1:15" x14ac:dyDescent="0.2">
      <c r="A46" s="25"/>
      <c r="B46" s="130"/>
      <c r="C46" s="130"/>
      <c r="D46" s="25"/>
      <c r="E46" s="25"/>
      <c r="F46" s="25"/>
      <c r="G46" s="130"/>
      <c r="H46" s="225"/>
      <c r="I46" s="35"/>
      <c r="J46" s="131"/>
      <c r="K46" s="35">
        <v>0</v>
      </c>
      <c r="L46" s="200">
        <f>+J46*G46</f>
        <v>0</v>
      </c>
      <c r="M46" s="35">
        <v>0</v>
      </c>
      <c r="N46" s="200">
        <f>+L46*E$7</f>
        <v>0</v>
      </c>
      <c r="O46" s="17"/>
    </row>
    <row r="47" spans="1:15" x14ac:dyDescent="0.2">
      <c r="A47" s="25"/>
      <c r="B47" s="130"/>
      <c r="C47" s="130"/>
      <c r="D47" s="25"/>
      <c r="E47" s="25"/>
      <c r="F47" s="25"/>
      <c r="G47" s="130"/>
      <c r="H47" s="225"/>
      <c r="I47" s="35"/>
      <c r="J47" s="131"/>
      <c r="K47" s="35">
        <v>0</v>
      </c>
      <c r="L47" s="200">
        <f>+J47*G47</f>
        <v>0</v>
      </c>
      <c r="M47" s="35">
        <v>0</v>
      </c>
      <c r="N47" s="200">
        <f>+L47*E$7</f>
        <v>0</v>
      </c>
      <c r="O47" s="17"/>
    </row>
    <row r="48" spans="1:15" ht="13.5" thickBot="1" x14ac:dyDescent="0.25">
      <c r="A48" s="25"/>
      <c r="B48" s="25" t="s">
        <v>32</v>
      </c>
      <c r="C48" s="25"/>
      <c r="D48" s="25"/>
      <c r="E48" s="25"/>
      <c r="F48" s="25"/>
      <c r="G48" s="104"/>
      <c r="H48" s="21"/>
      <c r="I48" s="39">
        <v>0.09</v>
      </c>
      <c r="J48" s="213"/>
      <c r="K48" s="42">
        <v>84.039595890410979</v>
      </c>
      <c r="L48" s="215">
        <f>+SUM(L18:L45)*J48/2</f>
        <v>0</v>
      </c>
      <c r="M48" s="42">
        <v>67231.676712328786</v>
      </c>
      <c r="N48" s="215">
        <f t="shared" si="7"/>
        <v>0</v>
      </c>
      <c r="O48" s="17"/>
    </row>
    <row r="49" spans="1:15" x14ac:dyDescent="0.2">
      <c r="A49" s="25" t="s">
        <v>33</v>
      </c>
      <c r="B49" s="25"/>
      <c r="C49" s="25"/>
      <c r="D49" s="25"/>
      <c r="E49" s="25"/>
      <c r="F49" s="25"/>
      <c r="G49" s="198"/>
      <c r="H49" s="25"/>
      <c r="I49" s="25"/>
      <c r="J49" s="195"/>
      <c r="K49" s="35">
        <v>2080.1887324883492</v>
      </c>
      <c r="L49" s="200">
        <f>+SUM(L18:L48)</f>
        <v>0</v>
      </c>
      <c r="M49" s="35">
        <v>1664150.9859906794</v>
      </c>
      <c r="N49" s="200">
        <f>+SUM(N18:N48)</f>
        <v>0</v>
      </c>
      <c r="O49" s="17"/>
    </row>
    <row r="50" spans="1:15" x14ac:dyDescent="0.2">
      <c r="A50" s="25"/>
      <c r="B50" s="25"/>
      <c r="C50" s="25"/>
      <c r="D50" s="25"/>
      <c r="E50" s="25"/>
      <c r="F50" s="25"/>
      <c r="G50" s="198"/>
      <c r="H50" s="25"/>
      <c r="I50" s="25"/>
      <c r="J50" s="195"/>
      <c r="K50" s="35"/>
      <c r="L50" s="204"/>
      <c r="M50" s="35"/>
      <c r="N50" s="204"/>
      <c r="O50" s="35"/>
    </row>
    <row r="51" spans="1:15" x14ac:dyDescent="0.2">
      <c r="A51" s="25" t="s">
        <v>34</v>
      </c>
      <c r="B51" s="25"/>
      <c r="C51" s="25"/>
      <c r="D51" s="25"/>
      <c r="E51" s="25"/>
      <c r="F51" s="25"/>
      <c r="G51" s="198"/>
      <c r="H51" s="25"/>
      <c r="I51" s="25"/>
      <c r="J51" s="195"/>
      <c r="K51" s="35">
        <v>-59.775732488349149</v>
      </c>
      <c r="L51" s="200">
        <f>+L14-L49</f>
        <v>0</v>
      </c>
      <c r="M51" s="35">
        <v>-47820.58599067945</v>
      </c>
      <c r="N51" s="200">
        <f>+N14-N49</f>
        <v>0</v>
      </c>
      <c r="O51" s="17"/>
    </row>
    <row r="52" spans="1:15" x14ac:dyDescent="0.2">
      <c r="A52" s="25"/>
      <c r="B52" s="25"/>
      <c r="C52" s="25"/>
      <c r="D52" s="25"/>
      <c r="E52" s="25"/>
      <c r="F52" s="25"/>
      <c r="G52" s="176"/>
      <c r="H52" s="25"/>
      <c r="I52" s="25"/>
      <c r="J52" s="209"/>
      <c r="K52" s="35"/>
      <c r="L52" s="182"/>
      <c r="M52" s="35"/>
      <c r="N52" s="182"/>
    </row>
    <row r="53" spans="1:15" x14ac:dyDescent="0.2">
      <c r="A53" s="25"/>
      <c r="B53" s="25" t="s">
        <v>35</v>
      </c>
      <c r="C53" s="25"/>
      <c r="D53" s="25"/>
      <c r="E53" s="25"/>
      <c r="F53" s="25"/>
      <c r="G53" s="176"/>
      <c r="H53" s="17"/>
      <c r="I53" s="40">
        <v>269.75150521796655</v>
      </c>
      <c r="J53" s="208" t="str">
        <f>+IF(G11=0,"n/a",(L49-SUM(L12:L13))/(G11*E11))</f>
        <v>n/a</v>
      </c>
      <c r="K53" s="25" t="s">
        <v>8</v>
      </c>
      <c r="L53" s="182"/>
      <c r="M53" s="25"/>
      <c r="N53" s="182"/>
    </row>
    <row r="54" spans="1:15" x14ac:dyDescent="0.2">
      <c r="A54" s="25"/>
      <c r="B54" s="25"/>
      <c r="C54" s="25"/>
      <c r="D54" s="25"/>
      <c r="E54" s="25"/>
      <c r="F54" s="25"/>
      <c r="G54" s="176"/>
      <c r="H54" s="25"/>
      <c r="I54" s="25"/>
      <c r="J54" s="209"/>
      <c r="K54" s="25"/>
      <c r="L54" s="182"/>
      <c r="M54" s="22" t="s">
        <v>19</v>
      </c>
      <c r="N54" s="182" t="s">
        <v>19</v>
      </c>
    </row>
    <row r="55" spans="1:15" x14ac:dyDescent="0.2">
      <c r="A55" s="23" t="s">
        <v>36</v>
      </c>
      <c r="B55" s="23"/>
      <c r="C55" s="23"/>
      <c r="D55" s="23"/>
      <c r="E55" s="23"/>
      <c r="F55" s="24" t="s">
        <v>2</v>
      </c>
      <c r="G55" s="194" t="s">
        <v>2</v>
      </c>
      <c r="H55" s="24" t="s">
        <v>21</v>
      </c>
      <c r="I55" s="24" t="s">
        <v>22</v>
      </c>
      <c r="J55" s="194" t="s">
        <v>22</v>
      </c>
      <c r="K55" s="24" t="s">
        <v>12</v>
      </c>
      <c r="L55" s="194" t="s">
        <v>12</v>
      </c>
      <c r="M55" s="24" t="s">
        <v>12</v>
      </c>
      <c r="N55" s="206" t="s">
        <v>12</v>
      </c>
    </row>
    <row r="56" spans="1:15" x14ac:dyDescent="0.2">
      <c r="A56" s="25"/>
      <c r="B56" s="25"/>
      <c r="C56" s="25"/>
      <c r="D56" s="25"/>
      <c r="E56" s="25"/>
      <c r="F56" s="25"/>
      <c r="G56" s="176"/>
      <c r="H56" s="25"/>
      <c r="I56" s="25"/>
      <c r="J56" s="209"/>
      <c r="K56" s="25"/>
      <c r="L56" s="182"/>
      <c r="M56" s="25"/>
      <c r="N56" s="182"/>
    </row>
    <row r="57" spans="1:15" x14ac:dyDescent="0.2">
      <c r="A57" s="25"/>
      <c r="B57" s="25" t="s">
        <v>121</v>
      </c>
      <c r="C57" s="25"/>
      <c r="D57" s="25"/>
      <c r="E57" s="25"/>
      <c r="F57" s="25">
        <v>1</v>
      </c>
      <c r="G57" s="130"/>
      <c r="H57" s="225" t="s">
        <v>20</v>
      </c>
      <c r="I57" s="35">
        <v>12.485833333333336</v>
      </c>
      <c r="J57" s="131"/>
      <c r="K57" s="35">
        <v>12.485833333333336</v>
      </c>
      <c r="L57" s="200">
        <f t="shared" ref="L57:L63" si="8">+J57*G57</f>
        <v>0</v>
      </c>
      <c r="M57" s="35">
        <v>9988.6666666666679</v>
      </c>
      <c r="N57" s="200">
        <f t="shared" ref="N57:N63" si="9">+L57*E$7</f>
        <v>0</v>
      </c>
    </row>
    <row r="58" spans="1:15" x14ac:dyDescent="0.2">
      <c r="A58" s="25"/>
      <c r="B58" s="25" t="s">
        <v>88</v>
      </c>
      <c r="C58" s="25"/>
      <c r="D58" s="25"/>
      <c r="E58" s="25"/>
      <c r="F58" s="41">
        <v>27.215</v>
      </c>
      <c r="G58" s="131"/>
      <c r="H58" s="225" t="s">
        <v>87</v>
      </c>
      <c r="I58" s="39">
        <v>0.08</v>
      </c>
      <c r="J58" s="213"/>
      <c r="K58" s="35">
        <v>2.1772</v>
      </c>
      <c r="L58" s="200">
        <f t="shared" si="8"/>
        <v>0</v>
      </c>
      <c r="M58" s="35">
        <v>1741.76</v>
      </c>
      <c r="N58" s="200">
        <f t="shared" si="9"/>
        <v>0</v>
      </c>
    </row>
    <row r="59" spans="1:15" x14ac:dyDescent="0.2">
      <c r="A59" s="25"/>
      <c r="B59" s="25" t="s">
        <v>156</v>
      </c>
      <c r="C59" s="25"/>
      <c r="D59" s="25"/>
      <c r="E59" s="25"/>
      <c r="F59" s="25">
        <v>1</v>
      </c>
      <c r="G59" s="130"/>
      <c r="H59" s="225" t="s">
        <v>20</v>
      </c>
      <c r="I59" s="35">
        <v>0</v>
      </c>
      <c r="J59" s="131"/>
      <c r="K59" s="35">
        <v>0</v>
      </c>
      <c r="L59" s="200">
        <f t="shared" si="8"/>
        <v>0</v>
      </c>
      <c r="M59" s="35">
        <v>0</v>
      </c>
      <c r="N59" s="200">
        <f t="shared" si="9"/>
        <v>0</v>
      </c>
    </row>
    <row r="60" spans="1:15" x14ac:dyDescent="0.2">
      <c r="A60" s="25"/>
      <c r="B60" s="25" t="s">
        <v>152</v>
      </c>
      <c r="C60" s="25"/>
      <c r="D60" s="25"/>
      <c r="E60" s="25"/>
      <c r="F60" s="25">
        <v>1</v>
      </c>
      <c r="G60" s="130"/>
      <c r="H60" s="225" t="s">
        <v>20</v>
      </c>
      <c r="I60" s="35">
        <v>35</v>
      </c>
      <c r="J60" s="131"/>
      <c r="K60" s="35">
        <v>35</v>
      </c>
      <c r="L60" s="200">
        <f t="shared" si="8"/>
        <v>0</v>
      </c>
      <c r="M60" s="35">
        <v>28000</v>
      </c>
      <c r="N60" s="200">
        <f t="shared" si="9"/>
        <v>0</v>
      </c>
    </row>
    <row r="61" spans="1:15" x14ac:dyDescent="0.2">
      <c r="A61" s="25"/>
      <c r="B61" s="25" t="s">
        <v>86</v>
      </c>
      <c r="C61" s="25"/>
      <c r="D61" s="25"/>
      <c r="E61" s="25"/>
      <c r="F61" s="25">
        <v>1</v>
      </c>
      <c r="G61" s="130"/>
      <c r="H61" s="225" t="s">
        <v>20</v>
      </c>
      <c r="I61" s="35">
        <v>0</v>
      </c>
      <c r="J61" s="131"/>
      <c r="K61" s="35">
        <v>0</v>
      </c>
      <c r="L61" s="200">
        <f t="shared" si="8"/>
        <v>0</v>
      </c>
      <c r="M61" s="35">
        <v>0</v>
      </c>
      <c r="N61" s="200">
        <f t="shared" si="9"/>
        <v>0</v>
      </c>
    </row>
    <row r="62" spans="1:15" x14ac:dyDescent="0.2">
      <c r="A62" s="25"/>
      <c r="B62" s="130"/>
      <c r="C62" s="130"/>
      <c r="D62" s="25"/>
      <c r="E62" s="25"/>
      <c r="F62" s="25"/>
      <c r="G62" s="130"/>
      <c r="H62" s="225"/>
      <c r="I62" s="35"/>
      <c r="J62" s="131"/>
      <c r="K62" s="35">
        <v>0</v>
      </c>
      <c r="L62" s="200">
        <f t="shared" si="8"/>
        <v>0</v>
      </c>
      <c r="M62" s="35">
        <v>0</v>
      </c>
      <c r="N62" s="200">
        <f t="shared" si="9"/>
        <v>0</v>
      </c>
    </row>
    <row r="63" spans="1:15" ht="13.5" thickBot="1" x14ac:dyDescent="0.25">
      <c r="A63" s="25"/>
      <c r="B63" s="130"/>
      <c r="C63" s="130"/>
      <c r="D63" s="25"/>
      <c r="E63" s="25"/>
      <c r="F63" s="25"/>
      <c r="G63" s="130"/>
      <c r="H63" s="225"/>
      <c r="I63" s="35"/>
      <c r="J63" s="131"/>
      <c r="K63" s="35">
        <v>0</v>
      </c>
      <c r="L63" s="200">
        <f t="shared" si="8"/>
        <v>0</v>
      </c>
      <c r="M63" s="35">
        <v>0</v>
      </c>
      <c r="N63" s="200">
        <f t="shared" si="9"/>
        <v>0</v>
      </c>
    </row>
    <row r="64" spans="1:15" x14ac:dyDescent="0.2">
      <c r="A64" s="25" t="s">
        <v>37</v>
      </c>
      <c r="B64" s="25"/>
      <c r="C64" s="25"/>
      <c r="D64" s="25"/>
      <c r="E64" s="25"/>
      <c r="F64" s="25"/>
      <c r="G64" s="195"/>
      <c r="H64" s="25"/>
      <c r="I64" s="25"/>
      <c r="J64" s="195"/>
      <c r="K64" s="36">
        <v>49.663033333333331</v>
      </c>
      <c r="L64" s="201">
        <f>+SUM(L57:L61)</f>
        <v>0</v>
      </c>
      <c r="M64" s="36">
        <v>39730.426666666666</v>
      </c>
      <c r="N64" s="201">
        <f>+SUM(N57:N61)</f>
        <v>0</v>
      </c>
    </row>
    <row r="65" spans="1:14" x14ac:dyDescent="0.2">
      <c r="A65" s="25"/>
      <c r="B65" s="25"/>
      <c r="C65" s="25"/>
      <c r="D65" s="25"/>
      <c r="E65" s="25"/>
      <c r="F65" s="25"/>
      <c r="G65" s="195"/>
      <c r="H65" s="25"/>
      <c r="I65" s="25"/>
      <c r="J65" s="195"/>
      <c r="K65" s="35"/>
      <c r="L65" s="182"/>
      <c r="M65" s="35"/>
      <c r="N65" s="182"/>
    </row>
    <row r="66" spans="1:14" x14ac:dyDescent="0.2">
      <c r="A66" s="25" t="s">
        <v>81</v>
      </c>
      <c r="B66" s="25"/>
      <c r="C66" s="25"/>
      <c r="D66" s="25"/>
      <c r="E66" s="25"/>
      <c r="F66" s="25"/>
      <c r="G66" s="195"/>
      <c r="H66" s="25"/>
      <c r="I66" s="25"/>
      <c r="J66" s="195"/>
      <c r="K66" s="35">
        <v>2129.8517658216824</v>
      </c>
      <c r="L66" s="200">
        <f>+L49+L64</f>
        <v>0</v>
      </c>
      <c r="M66" s="35">
        <v>1703881.4126573461</v>
      </c>
      <c r="N66" s="200">
        <f>+N49+N64</f>
        <v>0</v>
      </c>
    </row>
    <row r="67" spans="1:14" x14ac:dyDescent="0.2">
      <c r="A67" s="25"/>
      <c r="B67" s="25"/>
      <c r="C67" s="25"/>
      <c r="D67" s="25"/>
      <c r="E67" s="25"/>
      <c r="F67" s="25"/>
      <c r="G67" s="195"/>
      <c r="H67" s="25"/>
      <c r="I67" s="25"/>
      <c r="J67" s="195"/>
      <c r="K67" s="35"/>
      <c r="L67" s="182"/>
      <c r="M67" s="35"/>
      <c r="N67" s="182"/>
    </row>
    <row r="68" spans="1:14" x14ac:dyDescent="0.2">
      <c r="A68" s="25" t="s">
        <v>84</v>
      </c>
      <c r="B68" s="25"/>
      <c r="C68" s="25"/>
      <c r="D68" s="25"/>
      <c r="E68" s="25"/>
      <c r="F68" s="25"/>
      <c r="G68" s="195"/>
      <c r="H68" s="25"/>
      <c r="I68" s="25"/>
      <c r="J68" s="195"/>
      <c r="K68" s="35">
        <v>-109.43876582168241</v>
      </c>
      <c r="L68" s="200">
        <f>+L51-L64</f>
        <v>0</v>
      </c>
      <c r="M68" s="35">
        <v>-87551.012657346204</v>
      </c>
      <c r="N68" s="200">
        <f>+N51-N64</f>
        <v>0</v>
      </c>
    </row>
    <row r="69" spans="1:14" x14ac:dyDescent="0.2">
      <c r="A69" s="25"/>
      <c r="B69" s="25"/>
      <c r="C69" s="25"/>
      <c r="D69" s="25"/>
      <c r="E69" s="25"/>
      <c r="F69" s="25"/>
      <c r="G69" s="195"/>
      <c r="H69" s="25"/>
      <c r="I69" s="25"/>
      <c r="J69" s="195"/>
      <c r="K69" s="35"/>
      <c r="L69" s="193"/>
      <c r="M69" s="35"/>
      <c r="N69" s="209"/>
    </row>
    <row r="70" spans="1:14" x14ac:dyDescent="0.2">
      <c r="A70" s="25" t="s">
        <v>38</v>
      </c>
      <c r="B70" s="25"/>
      <c r="C70" s="25"/>
      <c r="D70" s="25"/>
      <c r="E70" s="25"/>
      <c r="F70" s="25"/>
      <c r="G70" s="195"/>
      <c r="H70" s="25"/>
      <c r="I70" s="40">
        <v>276.19163143638491</v>
      </c>
      <c r="J70" s="208" t="str">
        <f>+IF(G11=0,"n/a",(L66-SUM(L12:L13))/(G11*E11))</f>
        <v>n/a</v>
      </c>
      <c r="K70" s="25" t="s">
        <v>8</v>
      </c>
      <c r="L70" s="195"/>
      <c r="M70" s="25"/>
      <c r="N70" s="209"/>
    </row>
    <row r="71" spans="1:14" ht="13.5" thickBo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8.75" thickBot="1" x14ac:dyDescent="0.3">
      <c r="A72" s="17"/>
      <c r="B72" s="17"/>
      <c r="C72" s="252" t="s">
        <v>322</v>
      </c>
      <c r="D72" s="253"/>
      <c r="E72" s="253"/>
      <c r="F72" s="253"/>
      <c r="G72" s="253"/>
      <c r="H72" s="254"/>
      <c r="I72" s="17"/>
      <c r="J72" s="17"/>
      <c r="K72" s="17"/>
      <c r="L72" s="17"/>
      <c r="M72" s="17"/>
      <c r="N72" s="17"/>
    </row>
    <row r="73" spans="1:14" ht="28.35" customHeight="1" x14ac:dyDescent="0.2">
      <c r="A73" s="51"/>
      <c r="B73" s="51"/>
      <c r="C73" s="255"/>
      <c r="D73" s="52"/>
      <c r="E73" s="53"/>
      <c r="F73" s="257" t="s">
        <v>496</v>
      </c>
      <c r="G73" s="258"/>
      <c r="H73" s="259" t="s">
        <v>123</v>
      </c>
      <c r="I73" s="51"/>
      <c r="J73" s="51"/>
      <c r="K73" s="51"/>
      <c r="L73" s="51"/>
      <c r="M73" s="51"/>
      <c r="N73" s="17"/>
    </row>
    <row r="74" spans="1:14" ht="36" customHeight="1" x14ac:dyDescent="0.2">
      <c r="A74" s="51"/>
      <c r="B74" s="51"/>
      <c r="C74" s="256"/>
      <c r="D74" s="54"/>
      <c r="E74" s="54"/>
      <c r="F74" s="54" t="s">
        <v>499</v>
      </c>
      <c r="G74" s="55"/>
      <c r="H74" s="56" t="s">
        <v>498</v>
      </c>
      <c r="I74" s="51"/>
      <c r="J74" s="51"/>
      <c r="K74" s="51"/>
      <c r="L74" s="51"/>
      <c r="M74" s="51"/>
      <c r="N74" s="17"/>
    </row>
    <row r="75" spans="1:14" ht="47.85" customHeight="1" thickBot="1" x14ac:dyDescent="0.25">
      <c r="A75" s="51"/>
      <c r="B75" s="51"/>
      <c r="C75" s="57" t="s">
        <v>122</v>
      </c>
      <c r="D75" s="58" t="s">
        <v>323</v>
      </c>
      <c r="E75" s="58"/>
      <c r="F75" s="58" t="s">
        <v>324</v>
      </c>
      <c r="G75" s="59"/>
      <c r="H75" s="60" t="s">
        <v>325</v>
      </c>
      <c r="I75" s="51"/>
      <c r="J75" s="51"/>
      <c r="K75" s="51"/>
      <c r="L75" s="51"/>
      <c r="M75" s="51"/>
      <c r="N75" s="17"/>
    </row>
    <row r="76" spans="1:14" ht="12.75" customHeight="1" x14ac:dyDescent="0.2">
      <c r="A76" s="17"/>
      <c r="B76" s="17"/>
      <c r="C76" s="61">
        <v>1.9634254143646406</v>
      </c>
      <c r="D76" s="62">
        <v>861.79480662983417</v>
      </c>
      <c r="E76" s="62"/>
      <c r="F76" s="63">
        <v>352.69759068365852</v>
      </c>
      <c r="G76" s="64"/>
      <c r="H76" s="65">
        <v>254.78495031850281</v>
      </c>
      <c r="I76" s="17"/>
      <c r="J76" s="17"/>
      <c r="K76" s="17"/>
      <c r="L76" s="17"/>
      <c r="M76" s="17"/>
      <c r="N76" s="17"/>
    </row>
    <row r="77" spans="1:14" ht="12.75" customHeight="1" x14ac:dyDescent="0.2">
      <c r="A77" s="17"/>
      <c r="B77" s="17"/>
      <c r="C77" s="66">
        <v>1.7998066298342541</v>
      </c>
      <c r="D77" s="62">
        <v>829.56190607734811</v>
      </c>
      <c r="E77" s="62"/>
      <c r="F77" s="63">
        <v>335.45197100700841</v>
      </c>
      <c r="G77" s="67"/>
      <c r="H77" s="68">
        <v>264.68470331550293</v>
      </c>
      <c r="I77" s="17"/>
      <c r="J77" s="17"/>
      <c r="K77" s="17"/>
      <c r="L77" s="17"/>
      <c r="M77" s="17"/>
      <c r="N77" s="17"/>
    </row>
    <row r="78" spans="1:14" ht="12.75" customHeight="1" x14ac:dyDescent="0.2">
      <c r="A78" s="17"/>
      <c r="B78" s="17"/>
      <c r="C78" s="69">
        <v>1.6361878453038672</v>
      </c>
      <c r="D78" s="70">
        <v>795</v>
      </c>
      <c r="E78" s="70"/>
      <c r="F78" s="71">
        <v>316.96025982701423</v>
      </c>
      <c r="G78" s="72"/>
      <c r="H78" s="73">
        <v>276.19163143638491</v>
      </c>
      <c r="I78" s="17"/>
      <c r="J78" s="17"/>
      <c r="K78" s="17"/>
      <c r="L78" s="17"/>
      <c r="M78" s="17"/>
      <c r="N78" s="17"/>
    </row>
    <row r="79" spans="1:14" ht="12.75" customHeight="1" x14ac:dyDescent="0.2">
      <c r="A79" s="17"/>
      <c r="B79" s="17"/>
      <c r="C79" s="66">
        <v>1.4725690607734805</v>
      </c>
      <c r="D79" s="62">
        <v>765.09610497237566</v>
      </c>
      <c r="E79" s="62"/>
      <c r="F79" s="63">
        <v>300.96073165370802</v>
      </c>
      <c r="G79" s="67"/>
      <c r="H79" s="68">
        <v>286.98662241896244</v>
      </c>
      <c r="I79" s="17"/>
      <c r="J79" s="17"/>
      <c r="K79" s="17"/>
      <c r="L79" s="17"/>
      <c r="M79" s="17"/>
      <c r="N79" s="17"/>
    </row>
    <row r="80" spans="1:14" ht="12.75" customHeight="1" thickBot="1" x14ac:dyDescent="0.25">
      <c r="A80" s="17"/>
      <c r="B80" s="17"/>
      <c r="C80" s="74">
        <v>1.3089502762430938</v>
      </c>
      <c r="D80" s="75">
        <v>732.86320441988948</v>
      </c>
      <c r="E80" s="75"/>
      <c r="F80" s="76">
        <v>283.71511197705786</v>
      </c>
      <c r="G80" s="77"/>
      <c r="H80" s="78">
        <v>299.60891155087029</v>
      </c>
      <c r="I80" s="17"/>
      <c r="J80" s="17"/>
      <c r="K80" s="17"/>
      <c r="L80" s="17"/>
      <c r="M80" s="17"/>
      <c r="N80" s="17"/>
    </row>
    <row r="81" spans="1:14" ht="12.75" customHeight="1" x14ac:dyDescent="0.2">
      <c r="A81" s="17"/>
      <c r="B81" s="17"/>
      <c r="C81" s="79"/>
      <c r="D81" s="80"/>
      <c r="E81" s="80"/>
      <c r="F81" s="81"/>
      <c r="G81" s="81"/>
      <c r="H81" s="81"/>
      <c r="I81" s="17"/>
      <c r="J81" s="17"/>
      <c r="K81" s="17"/>
      <c r="L81" s="17"/>
      <c r="M81" s="17"/>
      <c r="N81" s="17"/>
    </row>
    <row r="82" spans="1:14" ht="12.75" customHeight="1" x14ac:dyDescent="0.2">
      <c r="A82" s="25" t="s">
        <v>434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 customHeight="1" x14ac:dyDescent="0.2"/>
    <row r="84" spans="1:14" ht="29.25" customHeight="1" x14ac:dyDescent="0.2">
      <c r="A84" s="236" t="s">
        <v>140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</row>
  </sheetData>
  <sheetProtection sheet="1" objects="1" scenarios="1"/>
  <mergeCells count="8">
    <mergeCell ref="A84:N84"/>
    <mergeCell ref="A1:N1"/>
    <mergeCell ref="A2:N2"/>
    <mergeCell ref="A3:N3"/>
    <mergeCell ref="A4:N4"/>
    <mergeCell ref="C72:H72"/>
    <mergeCell ref="C73:C74"/>
    <mergeCell ref="F73:H73"/>
  </mergeCells>
  <printOptions horizontalCentered="1"/>
  <pageMargins left="0.7" right="0.7" top="0.75" bottom="0.75" header="0.3" footer="0.3"/>
  <pageSetup scale="59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39">
    <tabColor rgb="FFFFFF00"/>
  </sheetPr>
  <dimension ref="A1:I116"/>
  <sheetViews>
    <sheetView workbookViewId="0">
      <selection activeCell="A3" sqref="A3:G3"/>
    </sheetView>
  </sheetViews>
  <sheetFormatPr defaultColWidth="9.140625" defaultRowHeight="12.75" x14ac:dyDescent="0.2"/>
  <cols>
    <col min="1" max="1" width="2.5703125" style="17" customWidth="1"/>
    <col min="2" max="2" width="20.42578125" style="17" customWidth="1"/>
    <col min="3" max="3" width="16.140625" style="17" customWidth="1"/>
    <col min="4" max="4" width="12" style="17" customWidth="1"/>
    <col min="5" max="5" width="16" style="17" customWidth="1"/>
    <col min="6" max="6" width="14.42578125" style="17" customWidth="1"/>
    <col min="7" max="7" width="11.140625" style="17" customWidth="1"/>
    <col min="8" max="8" width="16.42578125" style="17" customWidth="1"/>
    <col min="9" max="16384" width="9.140625" style="17"/>
  </cols>
  <sheetData>
    <row r="1" spans="1:8" x14ac:dyDescent="0.2">
      <c r="A1" s="239" t="s">
        <v>183</v>
      </c>
      <c r="B1" s="239"/>
      <c r="C1" s="239"/>
      <c r="D1" s="239"/>
      <c r="E1" s="239"/>
      <c r="F1" s="239"/>
      <c r="G1" s="239"/>
    </row>
    <row r="2" spans="1:8" x14ac:dyDescent="0.2">
      <c r="A2" s="22"/>
      <c r="B2" s="22"/>
      <c r="C2" s="22"/>
      <c r="D2" s="22"/>
      <c r="E2" s="22"/>
      <c r="F2" s="22"/>
      <c r="G2" s="22"/>
    </row>
    <row r="3" spans="1:8" x14ac:dyDescent="0.2">
      <c r="A3" s="240" t="s">
        <v>315</v>
      </c>
      <c r="B3" s="240"/>
      <c r="C3" s="240"/>
      <c r="D3" s="240"/>
      <c r="E3" s="240"/>
      <c r="F3" s="240"/>
      <c r="G3" s="240"/>
    </row>
    <row r="4" spans="1:8" x14ac:dyDescent="0.2">
      <c r="A4" s="128"/>
      <c r="B4" s="128"/>
      <c r="C4" s="128"/>
      <c r="D4" s="128"/>
      <c r="E4" s="128"/>
      <c r="F4" s="128"/>
      <c r="G4" s="128"/>
    </row>
    <row r="5" spans="1:8" x14ac:dyDescent="0.2">
      <c r="A5" s="129" t="s">
        <v>71</v>
      </c>
      <c r="B5" s="128"/>
      <c r="C5" s="128"/>
      <c r="D5" s="130">
        <v>0</v>
      </c>
      <c r="E5" s="128"/>
      <c r="F5" s="128"/>
      <c r="G5" s="128"/>
    </row>
    <row r="6" spans="1:8" x14ac:dyDescent="0.2">
      <c r="A6" s="20"/>
      <c r="B6" s="22"/>
      <c r="C6" s="22"/>
      <c r="D6" s="22"/>
      <c r="E6" s="22"/>
      <c r="F6" s="22"/>
      <c r="G6" s="22"/>
    </row>
    <row r="7" spans="1:8" x14ac:dyDescent="0.2">
      <c r="A7" s="120" t="s">
        <v>184</v>
      </c>
      <c r="C7" s="21"/>
      <c r="D7" s="21"/>
      <c r="E7" s="21"/>
      <c r="F7" s="21"/>
      <c r="G7" s="21"/>
      <c r="H7" s="22" t="s">
        <v>19</v>
      </c>
    </row>
    <row r="8" spans="1:8" x14ac:dyDescent="0.2">
      <c r="A8" s="23" t="s">
        <v>73</v>
      </c>
      <c r="B8" s="23"/>
      <c r="C8" s="24" t="s">
        <v>20</v>
      </c>
      <c r="D8" s="24" t="s">
        <v>2</v>
      </c>
      <c r="E8" s="24" t="s">
        <v>21</v>
      </c>
      <c r="F8" s="24" t="s">
        <v>22</v>
      </c>
      <c r="G8" s="24" t="s">
        <v>12</v>
      </c>
      <c r="H8" s="24" t="s">
        <v>12</v>
      </c>
    </row>
    <row r="9" spans="1:8" x14ac:dyDescent="0.2">
      <c r="B9" s="130" t="s">
        <v>185</v>
      </c>
      <c r="C9" s="130">
        <v>0</v>
      </c>
      <c r="D9" s="130">
        <v>0</v>
      </c>
      <c r="E9" s="130" t="s">
        <v>8</v>
      </c>
      <c r="F9" s="131">
        <v>0</v>
      </c>
      <c r="G9" s="30">
        <f>IF($D$5=0,0,C9/$D$5*D9*F9)</f>
        <v>0</v>
      </c>
      <c r="H9" s="30">
        <f>+G9*$D$5</f>
        <v>0</v>
      </c>
    </row>
    <row r="10" spans="1:8" x14ac:dyDescent="0.2">
      <c r="B10" s="130" t="s">
        <v>186</v>
      </c>
      <c r="C10" s="130">
        <v>0</v>
      </c>
      <c r="D10" s="130">
        <v>0</v>
      </c>
      <c r="E10" s="130" t="s">
        <v>8</v>
      </c>
      <c r="F10" s="131">
        <v>0</v>
      </c>
      <c r="G10" s="30">
        <f t="shared" ref="G10:G16" si="0">IF($D$5=0,0,C10/$D$5*D10*F10)</f>
        <v>0</v>
      </c>
      <c r="H10" s="30">
        <f t="shared" ref="H10:H16" si="1">+G10*$D$5</f>
        <v>0</v>
      </c>
    </row>
    <row r="11" spans="1:8" x14ac:dyDescent="0.2">
      <c r="B11" s="130" t="s">
        <v>187</v>
      </c>
      <c r="C11" s="130">
        <v>0</v>
      </c>
      <c r="D11" s="130">
        <v>0</v>
      </c>
      <c r="E11" s="130" t="s">
        <v>8</v>
      </c>
      <c r="F11" s="131">
        <v>0</v>
      </c>
      <c r="G11" s="30">
        <f t="shared" si="0"/>
        <v>0</v>
      </c>
      <c r="H11" s="30">
        <f t="shared" si="1"/>
        <v>0</v>
      </c>
    </row>
    <row r="12" spans="1:8" x14ac:dyDescent="0.2">
      <c r="B12" s="130" t="s">
        <v>188</v>
      </c>
      <c r="C12" s="130">
        <v>0</v>
      </c>
      <c r="D12" s="130">
        <v>0</v>
      </c>
      <c r="E12" s="130" t="s">
        <v>8</v>
      </c>
      <c r="F12" s="131">
        <v>0</v>
      </c>
      <c r="G12" s="30">
        <f t="shared" si="0"/>
        <v>0</v>
      </c>
      <c r="H12" s="30">
        <f t="shared" si="1"/>
        <v>0</v>
      </c>
    </row>
    <row r="13" spans="1:8" x14ac:dyDescent="0.2">
      <c r="B13" s="130" t="s">
        <v>189</v>
      </c>
      <c r="C13" s="130">
        <v>0</v>
      </c>
      <c r="D13" s="130">
        <v>0</v>
      </c>
      <c r="E13" s="130" t="s">
        <v>8</v>
      </c>
      <c r="F13" s="131">
        <v>0</v>
      </c>
      <c r="G13" s="30">
        <f t="shared" si="0"/>
        <v>0</v>
      </c>
      <c r="H13" s="30">
        <f t="shared" si="1"/>
        <v>0</v>
      </c>
    </row>
    <row r="14" spans="1:8" x14ac:dyDescent="0.2">
      <c r="B14" s="130" t="s">
        <v>23</v>
      </c>
      <c r="C14" s="130">
        <v>0</v>
      </c>
      <c r="D14" s="130">
        <v>0</v>
      </c>
      <c r="E14" s="130" t="s">
        <v>8</v>
      </c>
      <c r="F14" s="131">
        <v>0</v>
      </c>
      <c r="G14" s="30">
        <f t="shared" si="0"/>
        <v>0</v>
      </c>
      <c r="H14" s="30">
        <f t="shared" si="1"/>
        <v>0</v>
      </c>
    </row>
    <row r="15" spans="1:8" x14ac:dyDescent="0.2">
      <c r="B15" s="130" t="s">
        <v>23</v>
      </c>
      <c r="C15" s="130">
        <v>0</v>
      </c>
      <c r="D15" s="130">
        <v>0</v>
      </c>
      <c r="E15" s="130" t="s">
        <v>8</v>
      </c>
      <c r="F15" s="131">
        <v>0</v>
      </c>
      <c r="G15" s="30">
        <f t="shared" si="0"/>
        <v>0</v>
      </c>
      <c r="H15" s="30">
        <f t="shared" si="1"/>
        <v>0</v>
      </c>
    </row>
    <row r="16" spans="1:8" x14ac:dyDescent="0.2">
      <c r="B16" s="130" t="s">
        <v>23</v>
      </c>
      <c r="C16" s="130">
        <v>0</v>
      </c>
      <c r="D16" s="130">
        <v>0</v>
      </c>
      <c r="E16" s="130" t="s">
        <v>8</v>
      </c>
      <c r="F16" s="131">
        <v>0</v>
      </c>
      <c r="G16" s="30">
        <f t="shared" si="0"/>
        <v>0</v>
      </c>
      <c r="H16" s="30">
        <f t="shared" si="1"/>
        <v>0</v>
      </c>
    </row>
    <row r="17" spans="1:9" x14ac:dyDescent="0.2">
      <c r="C17" s="22"/>
      <c r="D17" s="22"/>
      <c r="E17" s="22"/>
      <c r="F17" s="22"/>
    </row>
    <row r="18" spans="1:9" x14ac:dyDescent="0.2">
      <c r="A18" s="17" t="s">
        <v>24</v>
      </c>
      <c r="C18" s="22"/>
      <c r="D18" s="22"/>
      <c r="E18" s="22"/>
      <c r="F18" s="22"/>
      <c r="G18" s="30">
        <f>+SUM(G9:G17)</f>
        <v>0</v>
      </c>
      <c r="H18" s="30">
        <f>+SUM(H9:H17)</f>
        <v>0</v>
      </c>
    </row>
    <row r="19" spans="1:9" x14ac:dyDescent="0.2">
      <c r="C19" s="22"/>
      <c r="D19" s="22"/>
      <c r="E19" s="22"/>
      <c r="F19" s="22"/>
      <c r="G19" s="30"/>
      <c r="H19" s="30"/>
    </row>
    <row r="20" spans="1:9" x14ac:dyDescent="0.2">
      <c r="A20" s="25"/>
      <c r="B20" s="25"/>
      <c r="C20" s="21"/>
      <c r="D20" s="21"/>
      <c r="E20" s="21"/>
      <c r="F20" s="21"/>
      <c r="G20" s="21"/>
      <c r="H20" s="22" t="s">
        <v>19</v>
      </c>
    </row>
    <row r="21" spans="1:9" x14ac:dyDescent="0.2">
      <c r="A21" s="23" t="s">
        <v>25</v>
      </c>
      <c r="B21" s="23"/>
      <c r="C21" s="24"/>
      <c r="D21" s="24" t="s">
        <v>2</v>
      </c>
      <c r="E21" s="24" t="s">
        <v>21</v>
      </c>
      <c r="F21" s="24" t="s">
        <v>22</v>
      </c>
      <c r="G21" s="24" t="s">
        <v>12</v>
      </c>
      <c r="H21" s="24" t="s">
        <v>12</v>
      </c>
    </row>
    <row r="22" spans="1:9" x14ac:dyDescent="0.2">
      <c r="A22" s="25" t="s">
        <v>26</v>
      </c>
      <c r="B22" s="25"/>
      <c r="C22" s="21"/>
      <c r="D22" s="21"/>
      <c r="E22" s="21"/>
      <c r="F22" s="21"/>
      <c r="G22" s="25"/>
      <c r="H22" s="25"/>
      <c r="I22" s="25"/>
    </row>
    <row r="23" spans="1:9" x14ac:dyDescent="0.2">
      <c r="B23" s="17" t="s">
        <v>190</v>
      </c>
      <c r="C23" s="22"/>
      <c r="D23" s="130">
        <v>0</v>
      </c>
      <c r="E23" s="130" t="s">
        <v>68</v>
      </c>
      <c r="F23" s="131">
        <v>0</v>
      </c>
      <c r="G23" s="30">
        <f>D23*F23</f>
        <v>0</v>
      </c>
      <c r="H23" s="30">
        <f>+G23*$D$5</f>
        <v>0</v>
      </c>
    </row>
    <row r="24" spans="1:9" x14ac:dyDescent="0.2">
      <c r="B24" s="17" t="s">
        <v>40</v>
      </c>
      <c r="C24" s="28">
        <f>+SUM(G25:G28)</f>
        <v>0</v>
      </c>
      <c r="G24" s="30"/>
      <c r="H24" s="30"/>
    </row>
    <row r="25" spans="1:9" x14ac:dyDescent="0.2">
      <c r="C25" s="130" t="s">
        <v>191</v>
      </c>
      <c r="D25" s="130">
        <v>0</v>
      </c>
      <c r="E25" s="130" t="s">
        <v>42</v>
      </c>
      <c r="F25" s="131">
        <v>0</v>
      </c>
      <c r="G25" s="30">
        <f t="shared" ref="G25:G59" si="2">D25*F25</f>
        <v>0</v>
      </c>
      <c r="H25" s="30">
        <f t="shared" ref="H25:H61" si="3">+G25*$D$5</f>
        <v>0</v>
      </c>
    </row>
    <row r="26" spans="1:9" x14ac:dyDescent="0.2">
      <c r="C26" s="130" t="s">
        <v>192</v>
      </c>
      <c r="D26" s="130">
        <v>0</v>
      </c>
      <c r="E26" s="130" t="s">
        <v>42</v>
      </c>
      <c r="F26" s="131">
        <v>0</v>
      </c>
      <c r="G26" s="30">
        <f t="shared" si="2"/>
        <v>0</v>
      </c>
      <c r="H26" s="30">
        <f t="shared" si="3"/>
        <v>0</v>
      </c>
    </row>
    <row r="27" spans="1:9" x14ac:dyDescent="0.2">
      <c r="C27" s="130" t="s">
        <v>193</v>
      </c>
      <c r="D27" s="130">
        <v>0</v>
      </c>
      <c r="E27" s="130" t="s">
        <v>42</v>
      </c>
      <c r="F27" s="131">
        <v>0</v>
      </c>
      <c r="G27" s="30">
        <f t="shared" si="2"/>
        <v>0</v>
      </c>
      <c r="H27" s="30">
        <f t="shared" si="3"/>
        <v>0</v>
      </c>
    </row>
    <row r="28" spans="1:9" x14ac:dyDescent="0.2">
      <c r="C28" s="130" t="s">
        <v>194</v>
      </c>
      <c r="D28" s="130">
        <v>0</v>
      </c>
      <c r="E28" s="130" t="s">
        <v>42</v>
      </c>
      <c r="F28" s="131">
        <v>0</v>
      </c>
      <c r="G28" s="30">
        <f t="shared" si="2"/>
        <v>0</v>
      </c>
      <c r="H28" s="30">
        <f t="shared" si="3"/>
        <v>0</v>
      </c>
    </row>
    <row r="29" spans="1:9" x14ac:dyDescent="0.2">
      <c r="B29" s="17" t="s">
        <v>107</v>
      </c>
      <c r="C29" s="28">
        <f>SUM(G30:G37)</f>
        <v>0</v>
      </c>
      <c r="D29" s="22"/>
      <c r="E29" s="22"/>
      <c r="F29" s="22"/>
      <c r="G29" s="30"/>
      <c r="H29" s="30"/>
    </row>
    <row r="30" spans="1:9" x14ac:dyDescent="0.2">
      <c r="C30" s="17" t="s">
        <v>54</v>
      </c>
      <c r="D30" s="130">
        <v>0</v>
      </c>
      <c r="E30" s="130" t="s">
        <v>66</v>
      </c>
      <c r="F30" s="131">
        <v>0</v>
      </c>
      <c r="G30" s="30">
        <f>D30*F30</f>
        <v>0</v>
      </c>
      <c r="H30" s="30">
        <f>+G30*$D$5</f>
        <v>0</v>
      </c>
    </row>
    <row r="31" spans="1:9" x14ac:dyDescent="0.2">
      <c r="C31" s="17" t="s">
        <v>55</v>
      </c>
      <c r="D31" s="130">
        <v>0</v>
      </c>
      <c r="E31" s="130" t="s">
        <v>57</v>
      </c>
      <c r="F31" s="131">
        <v>0</v>
      </c>
      <c r="G31" s="30">
        <f>D31*F31</f>
        <v>0</v>
      </c>
      <c r="H31" s="30">
        <f>+G31*$D$5</f>
        <v>0</v>
      </c>
    </row>
    <row r="32" spans="1:9" x14ac:dyDescent="0.2">
      <c r="C32" s="17" t="s">
        <v>67</v>
      </c>
      <c r="D32" s="130">
        <v>0</v>
      </c>
      <c r="E32" s="130" t="s">
        <v>68</v>
      </c>
      <c r="F32" s="131">
        <v>0</v>
      </c>
      <c r="G32" s="30">
        <f t="shared" si="2"/>
        <v>0</v>
      </c>
      <c r="H32" s="30">
        <f t="shared" si="3"/>
        <v>0</v>
      </c>
    </row>
    <row r="33" spans="2:8" x14ac:dyDescent="0.2">
      <c r="C33" s="130" t="s">
        <v>69</v>
      </c>
      <c r="D33" s="130">
        <v>0</v>
      </c>
      <c r="E33" s="130" t="s">
        <v>57</v>
      </c>
      <c r="F33" s="131">
        <v>0</v>
      </c>
      <c r="G33" s="30">
        <f t="shared" si="2"/>
        <v>0</v>
      </c>
      <c r="H33" s="30">
        <f t="shared" si="3"/>
        <v>0</v>
      </c>
    </row>
    <row r="34" spans="2:8" x14ac:dyDescent="0.2">
      <c r="C34" s="130" t="s">
        <v>69</v>
      </c>
      <c r="D34" s="130">
        <v>0</v>
      </c>
      <c r="E34" s="130" t="s">
        <v>57</v>
      </c>
      <c r="F34" s="131">
        <v>0</v>
      </c>
      <c r="G34" s="30">
        <f t="shared" si="2"/>
        <v>0</v>
      </c>
      <c r="H34" s="30">
        <f t="shared" si="3"/>
        <v>0</v>
      </c>
    </row>
    <row r="35" spans="2:8" x14ac:dyDescent="0.2">
      <c r="C35" s="130" t="s">
        <v>69</v>
      </c>
      <c r="D35" s="130">
        <v>0</v>
      </c>
      <c r="E35" s="130" t="s">
        <v>57</v>
      </c>
      <c r="F35" s="131">
        <v>0</v>
      </c>
      <c r="G35" s="30">
        <f t="shared" si="2"/>
        <v>0</v>
      </c>
      <c r="H35" s="30">
        <f t="shared" si="3"/>
        <v>0</v>
      </c>
    </row>
    <row r="36" spans="2:8" x14ac:dyDescent="0.2">
      <c r="C36" s="130" t="s">
        <v>69</v>
      </c>
      <c r="D36" s="130">
        <v>0</v>
      </c>
      <c r="E36" s="130" t="s">
        <v>57</v>
      </c>
      <c r="F36" s="131">
        <v>0</v>
      </c>
      <c r="G36" s="30">
        <f t="shared" si="2"/>
        <v>0</v>
      </c>
      <c r="H36" s="30">
        <f t="shared" si="3"/>
        <v>0</v>
      </c>
    </row>
    <row r="37" spans="2:8" x14ac:dyDescent="0.2">
      <c r="C37" s="130" t="s">
        <v>69</v>
      </c>
      <c r="D37" s="130">
        <v>0</v>
      </c>
      <c r="E37" s="130" t="s">
        <v>57</v>
      </c>
      <c r="F37" s="131">
        <v>0</v>
      </c>
      <c r="G37" s="30">
        <f t="shared" si="2"/>
        <v>0</v>
      </c>
      <c r="H37" s="30">
        <f t="shared" si="3"/>
        <v>0</v>
      </c>
    </row>
    <row r="38" spans="2:8" x14ac:dyDescent="0.2">
      <c r="B38" s="17" t="s">
        <v>118</v>
      </c>
      <c r="C38" s="28">
        <f>SUM(G39:G48)</f>
        <v>0</v>
      </c>
      <c r="D38" s="132"/>
      <c r="E38" s="132"/>
      <c r="F38" s="133"/>
      <c r="G38" s="30"/>
      <c r="H38" s="30"/>
    </row>
    <row r="39" spans="2:8" x14ac:dyDescent="0.2">
      <c r="C39" s="134" t="s">
        <v>195</v>
      </c>
      <c r="D39" s="130">
        <v>0</v>
      </c>
      <c r="E39" s="130" t="s">
        <v>196</v>
      </c>
      <c r="F39" s="131">
        <v>0</v>
      </c>
      <c r="G39" s="30">
        <f t="shared" ref="G39:G48" si="4">D39*F39</f>
        <v>0</v>
      </c>
      <c r="H39" s="30">
        <f t="shared" ref="H39:H48" si="5">+G39*$D$5</f>
        <v>0</v>
      </c>
    </row>
    <row r="40" spans="2:8" x14ac:dyDescent="0.2">
      <c r="C40" s="134" t="s">
        <v>197</v>
      </c>
      <c r="D40" s="130">
        <v>0</v>
      </c>
      <c r="E40" s="130" t="s">
        <v>196</v>
      </c>
      <c r="F40" s="131">
        <v>0</v>
      </c>
      <c r="G40" s="30">
        <f t="shared" si="4"/>
        <v>0</v>
      </c>
      <c r="H40" s="30">
        <f t="shared" si="5"/>
        <v>0</v>
      </c>
    </row>
    <row r="41" spans="2:8" x14ac:dyDescent="0.2">
      <c r="C41" s="134" t="s">
        <v>198</v>
      </c>
      <c r="D41" s="130">
        <v>0</v>
      </c>
      <c r="E41" s="130" t="s">
        <v>196</v>
      </c>
      <c r="F41" s="131">
        <v>0</v>
      </c>
      <c r="G41" s="30">
        <f t="shared" si="4"/>
        <v>0</v>
      </c>
      <c r="H41" s="30">
        <f t="shared" si="5"/>
        <v>0</v>
      </c>
    </row>
    <row r="42" spans="2:8" x14ac:dyDescent="0.2">
      <c r="C42" s="134" t="s">
        <v>199</v>
      </c>
      <c r="D42" s="130">
        <v>0</v>
      </c>
      <c r="E42" s="130" t="s">
        <v>196</v>
      </c>
      <c r="F42" s="131">
        <v>0</v>
      </c>
      <c r="G42" s="30">
        <f t="shared" si="4"/>
        <v>0</v>
      </c>
      <c r="H42" s="30">
        <f t="shared" si="5"/>
        <v>0</v>
      </c>
    </row>
    <row r="43" spans="2:8" x14ac:dyDescent="0.2">
      <c r="C43" s="134" t="s">
        <v>200</v>
      </c>
      <c r="D43" s="130">
        <v>0</v>
      </c>
      <c r="E43" s="130" t="s">
        <v>196</v>
      </c>
      <c r="F43" s="131">
        <v>0</v>
      </c>
      <c r="G43" s="30">
        <f t="shared" si="4"/>
        <v>0</v>
      </c>
      <c r="H43" s="30">
        <f t="shared" si="5"/>
        <v>0</v>
      </c>
    </row>
    <row r="44" spans="2:8" x14ac:dyDescent="0.2">
      <c r="C44" s="134" t="s">
        <v>201</v>
      </c>
      <c r="D44" s="130">
        <v>0</v>
      </c>
      <c r="E44" s="130" t="s">
        <v>196</v>
      </c>
      <c r="F44" s="131">
        <v>0</v>
      </c>
      <c r="G44" s="30">
        <f t="shared" si="4"/>
        <v>0</v>
      </c>
      <c r="H44" s="30">
        <f t="shared" si="5"/>
        <v>0</v>
      </c>
    </row>
    <row r="45" spans="2:8" x14ac:dyDescent="0.2">
      <c r="C45" s="134" t="s">
        <v>202</v>
      </c>
      <c r="D45" s="130">
        <v>0</v>
      </c>
      <c r="E45" s="130" t="s">
        <v>196</v>
      </c>
      <c r="F45" s="131">
        <v>0</v>
      </c>
      <c r="G45" s="30">
        <f t="shared" si="4"/>
        <v>0</v>
      </c>
      <c r="H45" s="30">
        <f t="shared" si="5"/>
        <v>0</v>
      </c>
    </row>
    <row r="46" spans="2:8" x14ac:dyDescent="0.2">
      <c r="C46" s="134" t="s">
        <v>203</v>
      </c>
      <c r="D46" s="130">
        <v>0</v>
      </c>
      <c r="E46" s="130" t="s">
        <v>196</v>
      </c>
      <c r="F46" s="131">
        <v>0</v>
      </c>
      <c r="G46" s="30">
        <f t="shared" si="4"/>
        <v>0</v>
      </c>
      <c r="H46" s="30">
        <f t="shared" si="5"/>
        <v>0</v>
      </c>
    </row>
    <row r="47" spans="2:8" x14ac:dyDescent="0.2">
      <c r="C47" s="134" t="s">
        <v>204</v>
      </c>
      <c r="D47" s="130">
        <v>0</v>
      </c>
      <c r="E47" s="130" t="s">
        <v>196</v>
      </c>
      <c r="F47" s="131">
        <v>0</v>
      </c>
      <c r="G47" s="30">
        <f t="shared" si="4"/>
        <v>0</v>
      </c>
      <c r="H47" s="30">
        <f t="shared" si="5"/>
        <v>0</v>
      </c>
    </row>
    <row r="48" spans="2:8" x14ac:dyDescent="0.2">
      <c r="C48" s="134" t="s">
        <v>205</v>
      </c>
      <c r="D48" s="130">
        <v>0</v>
      </c>
      <c r="E48" s="130" t="s">
        <v>196</v>
      </c>
      <c r="F48" s="131">
        <v>0</v>
      </c>
      <c r="G48" s="30">
        <f t="shared" si="4"/>
        <v>0</v>
      </c>
      <c r="H48" s="30">
        <f t="shared" si="5"/>
        <v>0</v>
      </c>
    </row>
    <row r="49" spans="1:8" x14ac:dyDescent="0.2">
      <c r="C49" s="11"/>
      <c r="G49" s="30"/>
      <c r="H49" s="30"/>
    </row>
    <row r="50" spans="1:8" x14ac:dyDescent="0.2">
      <c r="B50" s="17" t="s">
        <v>327</v>
      </c>
      <c r="C50" s="22"/>
      <c r="D50" s="22">
        <v>1</v>
      </c>
      <c r="E50" s="22" t="s">
        <v>20</v>
      </c>
      <c r="F50" s="131">
        <v>0</v>
      </c>
      <c r="G50" s="30">
        <f t="shared" si="2"/>
        <v>0</v>
      </c>
      <c r="H50" s="30">
        <f t="shared" si="3"/>
        <v>0</v>
      </c>
    </row>
    <row r="51" spans="1:8" x14ac:dyDescent="0.2">
      <c r="C51" s="22"/>
      <c r="G51" s="30"/>
      <c r="H51" s="30"/>
    </row>
    <row r="52" spans="1:8" x14ac:dyDescent="0.2">
      <c r="B52" s="17" t="s">
        <v>13</v>
      </c>
      <c r="C52" s="22"/>
      <c r="D52" s="130">
        <v>0</v>
      </c>
      <c r="E52" s="130" t="s">
        <v>31</v>
      </c>
      <c r="F52" s="131">
        <v>0</v>
      </c>
      <c r="G52" s="30">
        <f t="shared" si="2"/>
        <v>0</v>
      </c>
      <c r="H52" s="30">
        <f t="shared" si="3"/>
        <v>0</v>
      </c>
    </row>
    <row r="53" spans="1:8" x14ac:dyDescent="0.2">
      <c r="C53" s="22"/>
      <c r="G53" s="30"/>
      <c r="H53" s="30"/>
    </row>
    <row r="54" spans="1:8" x14ac:dyDescent="0.2">
      <c r="B54" s="134" t="s">
        <v>72</v>
      </c>
      <c r="C54" s="22"/>
      <c r="D54" s="130">
        <v>0</v>
      </c>
      <c r="E54" s="130" t="s">
        <v>57</v>
      </c>
      <c r="F54" s="131">
        <v>0</v>
      </c>
      <c r="G54" s="30">
        <f t="shared" si="2"/>
        <v>0</v>
      </c>
      <c r="H54" s="30">
        <f t="shared" si="3"/>
        <v>0</v>
      </c>
    </row>
    <row r="55" spans="1:8" x14ac:dyDescent="0.2">
      <c r="B55" s="134" t="s">
        <v>72</v>
      </c>
      <c r="C55" s="22"/>
      <c r="D55" s="130">
        <v>0</v>
      </c>
      <c r="E55" s="130" t="s">
        <v>57</v>
      </c>
      <c r="F55" s="131">
        <v>0</v>
      </c>
      <c r="G55" s="30">
        <f t="shared" si="2"/>
        <v>0</v>
      </c>
      <c r="H55" s="30">
        <f t="shared" si="3"/>
        <v>0</v>
      </c>
    </row>
    <row r="56" spans="1:8" x14ac:dyDescent="0.2">
      <c r="B56" s="134" t="s">
        <v>72</v>
      </c>
      <c r="C56" s="22"/>
      <c r="D56" s="130">
        <v>0</v>
      </c>
      <c r="E56" s="130" t="s">
        <v>57</v>
      </c>
      <c r="F56" s="131">
        <v>0</v>
      </c>
      <c r="G56" s="30">
        <f t="shared" si="2"/>
        <v>0</v>
      </c>
      <c r="H56" s="30">
        <f t="shared" si="3"/>
        <v>0</v>
      </c>
    </row>
    <row r="57" spans="1:8" x14ac:dyDescent="0.2">
      <c r="B57" s="134" t="s">
        <v>72</v>
      </c>
      <c r="C57" s="22"/>
      <c r="D57" s="130">
        <v>0</v>
      </c>
      <c r="E57" s="130" t="s">
        <v>57</v>
      </c>
      <c r="F57" s="131">
        <v>0</v>
      </c>
      <c r="G57" s="30">
        <f t="shared" si="2"/>
        <v>0</v>
      </c>
      <c r="H57" s="30">
        <f t="shared" si="3"/>
        <v>0</v>
      </c>
    </row>
    <row r="58" spans="1:8" x14ac:dyDescent="0.2">
      <c r="B58" s="134" t="s">
        <v>72</v>
      </c>
      <c r="C58" s="22"/>
      <c r="D58" s="130">
        <v>0</v>
      </c>
      <c r="E58" s="130" t="s">
        <v>57</v>
      </c>
      <c r="F58" s="131">
        <v>0</v>
      </c>
      <c r="G58" s="30">
        <f t="shared" si="2"/>
        <v>0</v>
      </c>
      <c r="H58" s="30">
        <f t="shared" si="3"/>
        <v>0</v>
      </c>
    </row>
    <row r="59" spans="1:8" x14ac:dyDescent="0.2">
      <c r="B59" s="134" t="s">
        <v>72</v>
      </c>
      <c r="C59" s="22"/>
      <c r="D59" s="130">
        <v>0</v>
      </c>
      <c r="E59" s="130" t="s">
        <v>57</v>
      </c>
      <c r="F59" s="131">
        <v>0</v>
      </c>
      <c r="G59" s="30">
        <f t="shared" si="2"/>
        <v>0</v>
      </c>
      <c r="H59" s="30">
        <f t="shared" si="3"/>
        <v>0</v>
      </c>
    </row>
    <row r="60" spans="1:8" x14ac:dyDescent="0.2">
      <c r="G60" s="30"/>
      <c r="H60" s="30"/>
    </row>
    <row r="61" spans="1:8" x14ac:dyDescent="0.2">
      <c r="B61" s="17" t="s">
        <v>64</v>
      </c>
      <c r="C61" s="22"/>
      <c r="D61" s="22"/>
      <c r="E61" s="22"/>
      <c r="F61" s="135">
        <v>0</v>
      </c>
      <c r="G61" s="30">
        <f>+SUM(G23:G59)/2*F61</f>
        <v>0</v>
      </c>
      <c r="H61" s="30">
        <f t="shared" si="3"/>
        <v>0</v>
      </c>
    </row>
    <row r="62" spans="1:8" x14ac:dyDescent="0.2">
      <c r="C62" s="22"/>
      <c r="D62" s="22"/>
      <c r="E62" s="22"/>
      <c r="F62" s="22"/>
    </row>
    <row r="63" spans="1:8" x14ac:dyDescent="0.2">
      <c r="A63" s="17" t="s">
        <v>33</v>
      </c>
      <c r="C63" s="22"/>
      <c r="D63" s="22"/>
      <c r="E63" s="22"/>
      <c r="F63" s="22"/>
      <c r="G63" s="30">
        <f>+SUM(G23:G62)</f>
        <v>0</v>
      </c>
      <c r="H63" s="30">
        <f>+SUM(H23:H62)</f>
        <v>0</v>
      </c>
    </row>
    <row r="64" spans="1:8" x14ac:dyDescent="0.2">
      <c r="C64" s="22"/>
      <c r="D64" s="22"/>
      <c r="E64" s="22"/>
      <c r="F64" s="22"/>
      <c r="G64" s="30"/>
      <c r="H64" s="30"/>
    </row>
    <row r="65" spans="1:8" x14ac:dyDescent="0.2">
      <c r="A65" s="25" t="s">
        <v>63</v>
      </c>
      <c r="C65" s="22"/>
      <c r="D65" s="22"/>
      <c r="E65" s="22"/>
      <c r="F65" s="22"/>
      <c r="G65" s="30">
        <f>+G18-G63</f>
        <v>0</v>
      </c>
      <c r="H65" s="30">
        <f>+H18-H63</f>
        <v>0</v>
      </c>
    </row>
    <row r="66" spans="1:8" x14ac:dyDescent="0.2">
      <c r="C66" s="22"/>
      <c r="D66" s="22"/>
      <c r="E66" s="22"/>
      <c r="F66" s="22"/>
      <c r="G66" s="30"/>
      <c r="H66" s="30"/>
    </row>
    <row r="67" spans="1:8" x14ac:dyDescent="0.2">
      <c r="B67" s="17" t="s">
        <v>35</v>
      </c>
      <c r="C67" s="22"/>
      <c r="D67" s="22"/>
      <c r="E67" s="28">
        <f>IF((H101/100+C13*D13)=0,0,(G63-SUM(G11:G12,G14:G16))/(H101/100+C13/D5*D13))</f>
        <v>0</v>
      </c>
      <c r="F67" s="22" t="str">
        <f>+E9</f>
        <v>CWT</v>
      </c>
      <c r="G67" s="30"/>
      <c r="H67" s="30"/>
    </row>
    <row r="68" spans="1:8" x14ac:dyDescent="0.2">
      <c r="C68" s="22"/>
      <c r="D68" s="22"/>
      <c r="E68" s="22"/>
      <c r="F68" s="22"/>
      <c r="G68" s="30"/>
      <c r="H68" s="30"/>
    </row>
    <row r="69" spans="1:8" x14ac:dyDescent="0.2">
      <c r="A69" s="25"/>
      <c r="B69" s="25"/>
      <c r="C69" s="21"/>
      <c r="D69" s="21"/>
      <c r="E69" s="21"/>
      <c r="F69" s="21"/>
      <c r="G69" s="21"/>
      <c r="H69" s="22" t="s">
        <v>19</v>
      </c>
    </row>
    <row r="70" spans="1:8" x14ac:dyDescent="0.2">
      <c r="A70" s="23" t="s">
        <v>36</v>
      </c>
      <c r="B70" s="23"/>
      <c r="C70" s="24"/>
      <c r="D70" s="24" t="s">
        <v>2</v>
      </c>
      <c r="E70" s="24" t="s">
        <v>21</v>
      </c>
      <c r="F70" s="24" t="s">
        <v>22</v>
      </c>
      <c r="G70" s="24" t="s">
        <v>12</v>
      </c>
      <c r="H70" s="24" t="s">
        <v>12</v>
      </c>
    </row>
    <row r="71" spans="1:8" x14ac:dyDescent="0.2">
      <c r="B71" s="17" t="s">
        <v>90</v>
      </c>
      <c r="C71" s="22"/>
      <c r="D71" s="130">
        <v>0</v>
      </c>
      <c r="E71" s="130" t="s">
        <v>77</v>
      </c>
      <c r="F71" s="131">
        <v>0</v>
      </c>
      <c r="G71" s="30">
        <f>D71*F71</f>
        <v>0</v>
      </c>
      <c r="H71" s="30">
        <f t="shared" ref="H71:H82" si="6">+G71*$D$5</f>
        <v>0</v>
      </c>
    </row>
    <row r="72" spans="1:8" x14ac:dyDescent="0.2">
      <c r="B72" s="17" t="s">
        <v>89</v>
      </c>
      <c r="C72" s="22"/>
      <c r="D72" s="130">
        <v>0</v>
      </c>
      <c r="E72" s="130" t="s">
        <v>77</v>
      </c>
      <c r="F72" s="131">
        <v>0</v>
      </c>
      <c r="G72" s="30">
        <f t="shared" ref="G72:G82" si="7">D72*F72</f>
        <v>0</v>
      </c>
      <c r="H72" s="30">
        <f t="shared" si="6"/>
        <v>0</v>
      </c>
    </row>
    <row r="73" spans="1:8" x14ac:dyDescent="0.2">
      <c r="B73" s="17" t="s">
        <v>88</v>
      </c>
      <c r="C73" s="22"/>
      <c r="D73" s="130">
        <v>0</v>
      </c>
      <c r="E73" s="130" t="s">
        <v>77</v>
      </c>
      <c r="F73" s="131">
        <v>0</v>
      </c>
      <c r="G73" s="30">
        <f t="shared" si="7"/>
        <v>0</v>
      </c>
      <c r="H73" s="30">
        <f t="shared" si="6"/>
        <v>0</v>
      </c>
    </row>
    <row r="74" spans="1:8" x14ac:dyDescent="0.2">
      <c r="B74" s="17" t="s">
        <v>86</v>
      </c>
      <c r="C74" s="22"/>
      <c r="D74" s="130">
        <v>0</v>
      </c>
      <c r="E74" s="130" t="s">
        <v>77</v>
      </c>
      <c r="F74" s="131">
        <v>0</v>
      </c>
      <c r="G74" s="30">
        <f t="shared" si="7"/>
        <v>0</v>
      </c>
      <c r="H74" s="30">
        <f t="shared" si="6"/>
        <v>0</v>
      </c>
    </row>
    <row r="75" spans="1:8" x14ac:dyDescent="0.2">
      <c r="B75" s="17" t="s">
        <v>206</v>
      </c>
      <c r="C75" s="22"/>
      <c r="D75" s="130">
        <v>0</v>
      </c>
      <c r="E75" s="130" t="s">
        <v>77</v>
      </c>
      <c r="F75" s="131">
        <v>0</v>
      </c>
      <c r="G75" s="30">
        <f t="shared" si="7"/>
        <v>0</v>
      </c>
      <c r="H75" s="30">
        <f t="shared" si="6"/>
        <v>0</v>
      </c>
    </row>
    <row r="76" spans="1:8" x14ac:dyDescent="0.2">
      <c r="B76" s="17" t="s">
        <v>207</v>
      </c>
      <c r="C76" s="22"/>
      <c r="D76" s="130">
        <v>0</v>
      </c>
      <c r="E76" s="130" t="s">
        <v>77</v>
      </c>
      <c r="F76" s="131">
        <v>0</v>
      </c>
      <c r="G76" s="30">
        <f t="shared" si="7"/>
        <v>0</v>
      </c>
      <c r="H76" s="30">
        <f t="shared" si="6"/>
        <v>0</v>
      </c>
    </row>
    <row r="77" spans="1:8" x14ac:dyDescent="0.2">
      <c r="B77" s="17" t="s">
        <v>156</v>
      </c>
      <c r="C77" s="22"/>
      <c r="D77" s="130">
        <v>0</v>
      </c>
      <c r="E77" s="130" t="s">
        <v>77</v>
      </c>
      <c r="F77" s="131">
        <v>0</v>
      </c>
      <c r="G77" s="30">
        <f t="shared" si="7"/>
        <v>0</v>
      </c>
      <c r="H77" s="30">
        <f t="shared" si="6"/>
        <v>0</v>
      </c>
    </row>
    <row r="78" spans="1:8" x14ac:dyDescent="0.2">
      <c r="B78" s="134" t="s">
        <v>65</v>
      </c>
      <c r="C78" s="22"/>
      <c r="D78" s="130">
        <v>0</v>
      </c>
      <c r="E78" s="130" t="s">
        <v>77</v>
      </c>
      <c r="F78" s="131">
        <v>0</v>
      </c>
      <c r="G78" s="30">
        <f t="shared" si="7"/>
        <v>0</v>
      </c>
      <c r="H78" s="30">
        <f t="shared" si="6"/>
        <v>0</v>
      </c>
    </row>
    <row r="79" spans="1:8" x14ac:dyDescent="0.2">
      <c r="B79" s="134" t="s">
        <v>65</v>
      </c>
      <c r="C79" s="22"/>
      <c r="D79" s="130">
        <v>0</v>
      </c>
      <c r="E79" s="130" t="s">
        <v>77</v>
      </c>
      <c r="F79" s="131">
        <v>0</v>
      </c>
      <c r="G79" s="30">
        <f t="shared" si="7"/>
        <v>0</v>
      </c>
      <c r="H79" s="30">
        <f t="shared" si="6"/>
        <v>0</v>
      </c>
    </row>
    <row r="80" spans="1:8" x14ac:dyDescent="0.2">
      <c r="B80" s="134" t="s">
        <v>65</v>
      </c>
      <c r="C80" s="22"/>
      <c r="D80" s="130">
        <v>0</v>
      </c>
      <c r="E80" s="130" t="s">
        <v>77</v>
      </c>
      <c r="F80" s="131">
        <v>0</v>
      </c>
      <c r="G80" s="30">
        <f t="shared" si="7"/>
        <v>0</v>
      </c>
      <c r="H80" s="30">
        <f t="shared" si="6"/>
        <v>0</v>
      </c>
    </row>
    <row r="81" spans="1:8" x14ac:dyDescent="0.2">
      <c r="B81" s="134" t="s">
        <v>65</v>
      </c>
      <c r="C81" s="22"/>
      <c r="D81" s="130">
        <v>0</v>
      </c>
      <c r="E81" s="130" t="s">
        <v>77</v>
      </c>
      <c r="F81" s="131">
        <v>0</v>
      </c>
      <c r="G81" s="30">
        <f t="shared" si="7"/>
        <v>0</v>
      </c>
      <c r="H81" s="30">
        <f t="shared" si="6"/>
        <v>0</v>
      </c>
    </row>
    <row r="82" spans="1:8" x14ac:dyDescent="0.2">
      <c r="B82" s="134" t="s">
        <v>65</v>
      </c>
      <c r="C82" s="22"/>
      <c r="D82" s="130">
        <v>0</v>
      </c>
      <c r="E82" s="130" t="s">
        <v>77</v>
      </c>
      <c r="F82" s="131">
        <v>0</v>
      </c>
      <c r="G82" s="30">
        <f t="shared" si="7"/>
        <v>0</v>
      </c>
      <c r="H82" s="30">
        <f t="shared" si="6"/>
        <v>0</v>
      </c>
    </row>
    <row r="84" spans="1:8" x14ac:dyDescent="0.2">
      <c r="A84" s="25"/>
      <c r="D84" s="17" t="s">
        <v>37</v>
      </c>
      <c r="G84" s="30">
        <f>+SUM(G71:G83)</f>
        <v>0</v>
      </c>
      <c r="H84" s="30">
        <f>+SUM(H71:H83)</f>
        <v>0</v>
      </c>
    </row>
    <row r="85" spans="1:8" x14ac:dyDescent="0.2">
      <c r="A85" s="25"/>
    </row>
    <row r="86" spans="1:8" x14ac:dyDescent="0.2">
      <c r="A86" s="25"/>
      <c r="D86" s="17" t="s">
        <v>52</v>
      </c>
      <c r="G86" s="30">
        <f>+G63+G84</f>
        <v>0</v>
      </c>
      <c r="H86" s="30">
        <f>+H63+H84</f>
        <v>0</v>
      </c>
    </row>
    <row r="87" spans="1:8" x14ac:dyDescent="0.2">
      <c r="A87" s="25"/>
    </row>
    <row r="88" spans="1:8" x14ac:dyDescent="0.2">
      <c r="A88" s="25"/>
      <c r="D88" s="17" t="s">
        <v>53</v>
      </c>
      <c r="G88" s="30">
        <f>+G18-G86</f>
        <v>0</v>
      </c>
      <c r="H88" s="30">
        <f>+H18-H86</f>
        <v>0</v>
      </c>
    </row>
    <row r="89" spans="1:8" x14ac:dyDescent="0.2">
      <c r="A89" s="25"/>
      <c r="G89" s="30"/>
      <c r="H89" s="30"/>
    </row>
    <row r="90" spans="1:8" x14ac:dyDescent="0.2">
      <c r="A90" s="25"/>
      <c r="B90" s="17" t="s">
        <v>208</v>
      </c>
      <c r="E90" s="28">
        <f>IF((H101/100+C13*D13)=0,0,(G86-SUM(G11:G12,G14:G16))/(H101/100+C13/D5*D13))</f>
        <v>0</v>
      </c>
      <c r="F90" s="22" t="str">
        <f>+F67</f>
        <v>CWT</v>
      </c>
      <c r="G90" s="30"/>
      <c r="H90" s="30"/>
    </row>
    <row r="93" spans="1:8" ht="15.75" x14ac:dyDescent="0.25">
      <c r="B93" s="281" t="s">
        <v>209</v>
      </c>
      <c r="C93" s="263"/>
      <c r="D93" s="263"/>
      <c r="E93" s="263"/>
      <c r="F93" s="263"/>
      <c r="G93" s="263"/>
      <c r="H93" s="263"/>
    </row>
    <row r="94" spans="1:8" ht="38.25" x14ac:dyDescent="0.2">
      <c r="B94" s="187" t="s">
        <v>110</v>
      </c>
      <c r="C94" s="187" t="s">
        <v>313</v>
      </c>
      <c r="D94" s="187" t="s">
        <v>314</v>
      </c>
      <c r="E94" s="282" t="str">
        <f>"Your Breakeven Pay Weight to Cover Total Cost"</f>
        <v>Your Breakeven Pay Weight to Cover Total Cost</v>
      </c>
      <c r="F94" s="283"/>
      <c r="G94" s="282" t="s">
        <v>172</v>
      </c>
      <c r="H94" s="284"/>
    </row>
    <row r="95" spans="1:8" x14ac:dyDescent="0.2">
      <c r="B95" s="136">
        <f>+B96-0.03</f>
        <v>-0.06</v>
      </c>
      <c r="C95" s="137">
        <f>+IF($B$97=0,0,YTotRet-$G$9-$G$10+($G$9+$G$10)*B95/$B$97)</f>
        <v>0</v>
      </c>
      <c r="D95" s="138">
        <f>IF($B$97=0,0,$H$101*B95/$B$97+$H$102)</f>
        <v>0</v>
      </c>
      <c r="E95" s="260">
        <f>IF($C$97=0,0,(YTotExp-($G$18-$G$9-$G$10))/(YPrice/100)/(B95-$C$11/$D$5))</f>
        <v>0</v>
      </c>
      <c r="F95" s="261"/>
      <c r="G95" s="262">
        <f>IF(D95-$H$102=0,0,(YTotExp-($G$18-$G$9-$G$10))/(D95-$H$102)*100)</f>
        <v>0</v>
      </c>
      <c r="H95" s="263"/>
    </row>
    <row r="96" spans="1:8" x14ac:dyDescent="0.2">
      <c r="B96" s="139">
        <f>+B97-0.03</f>
        <v>-0.03</v>
      </c>
      <c r="C96" s="140">
        <f>+IF($B$97=0,0,YTotRet-$G$9-$G$10+($G$9+$G$10)*B96/$B$97)</f>
        <v>0</v>
      </c>
      <c r="D96" s="141">
        <f>IF($B$97=0,0,$H$101*B96/$B$97+$H$102)</f>
        <v>0</v>
      </c>
      <c r="E96" s="279">
        <f>IF($C$97=0,0,(YTotExp-($G$18-$G$9-$G$10))/(YPrice/100)/(B96-$C$11/$D$5))</f>
        <v>0</v>
      </c>
      <c r="F96" s="261"/>
      <c r="G96" s="280">
        <f>IF(D96-$H$102=0,0,(YTotExp-($G$18-$G$9-$G$10))/(D96-$H$102)*100)</f>
        <v>0</v>
      </c>
      <c r="H96" s="263"/>
    </row>
    <row r="97" spans="2:8" x14ac:dyDescent="0.2">
      <c r="B97" s="142">
        <v>0</v>
      </c>
      <c r="C97" s="137">
        <f>+G18</f>
        <v>0</v>
      </c>
      <c r="D97" s="138">
        <f>H101+H102</f>
        <v>0</v>
      </c>
      <c r="E97" s="260">
        <f>IF($C$97=0,0,(YTotExp-($G$18-$G$9-$G$10))/(YPrice/100)/(B97-$C$11/$D$5))</f>
        <v>0</v>
      </c>
      <c r="F97" s="261"/>
      <c r="G97" s="262">
        <f>IF(D97-$H$102=0,0,(YTotExp-($G$18-$G$9-$G$10))/(D97-$H$102)*100)</f>
        <v>0</v>
      </c>
      <c r="H97" s="263"/>
    </row>
    <row r="98" spans="2:8" x14ac:dyDescent="0.2">
      <c r="B98" s="139">
        <f>+B97+0.03</f>
        <v>0.03</v>
      </c>
      <c r="C98" s="140">
        <f>+IF($B$97=0,0,YTotRet-$G$9-$G$10+($G$9+$G$10)*B98/$B$97)</f>
        <v>0</v>
      </c>
      <c r="D98" s="141">
        <f>IF($B$97=0,0,$H$101*B98/$B$97+$H$102)</f>
        <v>0</v>
      </c>
      <c r="E98" s="279">
        <f>IF($C$97=0,0,(YTotExp-($G$18-$G$9-$G$10))/(YPrice/100)/(B98-$C$11/$D$5))</f>
        <v>0</v>
      </c>
      <c r="F98" s="261"/>
      <c r="G98" s="280">
        <f>IF(D98-$H$102=0,0,(YTotExp-($G$18-$G$9-$G$10))/(D98-$H$102)*100)</f>
        <v>0</v>
      </c>
      <c r="H98" s="263"/>
    </row>
    <row r="99" spans="2:8" x14ac:dyDescent="0.2">
      <c r="B99" s="136">
        <f>+B98+0.03</f>
        <v>0.06</v>
      </c>
      <c r="C99" s="137">
        <f>+IF($B$97=0,0,YTotRet-$G$9-$G$10+($G$9+$G$10)*B99/$B$97)</f>
        <v>0</v>
      </c>
      <c r="D99" s="138">
        <f>IF($B$97=0,0,$H$101*B99/$B$97+$H$102)</f>
        <v>0</v>
      </c>
      <c r="E99" s="260">
        <f>IF($C$97=0,0,(YTotExp-($G$18-$G$9-$G$10))/(YPrice/100)/(B99-$C$11/$D$5))</f>
        <v>0</v>
      </c>
      <c r="F99" s="261"/>
      <c r="G99" s="262">
        <f>IF(D99-$H$102=0,0,(YTotExp-($G$18-$G$9-$G$10))/(D99-$H$102)*100)</f>
        <v>0</v>
      </c>
      <c r="H99" s="263"/>
    </row>
    <row r="101" spans="2:8" x14ac:dyDescent="0.2">
      <c r="C101" s="17" t="s">
        <v>210</v>
      </c>
      <c r="F101" s="31">
        <f>+F9</f>
        <v>0</v>
      </c>
      <c r="G101" s="31"/>
      <c r="H101" s="143">
        <f>IF(D5=0,0,(C9*D9+C10*D10)*100/D5)</f>
        <v>0</v>
      </c>
    </row>
    <row r="102" spans="2:8" x14ac:dyDescent="0.2">
      <c r="C102" s="17" t="s">
        <v>211</v>
      </c>
      <c r="F102" s="31">
        <f>+F10</f>
        <v>0</v>
      </c>
      <c r="G102" s="31"/>
      <c r="H102" s="143">
        <f>IF(D5=0,0,(C11*D11+C12*D12)*100/D5)</f>
        <v>0</v>
      </c>
    </row>
    <row r="103" spans="2:8" x14ac:dyDescent="0.2">
      <c r="C103" s="17" t="s">
        <v>212</v>
      </c>
      <c r="F103" s="31">
        <f>+IF((C9*D9+C10*D10)=0,F13,(G9+G10)/((C9*D9+C10*D10)/D5))</f>
        <v>0</v>
      </c>
      <c r="G103" s="31"/>
    </row>
    <row r="104" spans="2:8" ht="13.5" thickBot="1" x14ac:dyDescent="0.25"/>
    <row r="105" spans="2:8" ht="18.75" thickBot="1" x14ac:dyDescent="0.3">
      <c r="C105" s="264" t="s">
        <v>326</v>
      </c>
      <c r="D105" s="265"/>
      <c r="E105" s="265"/>
      <c r="F105" s="265"/>
      <c r="G105" s="265"/>
      <c r="H105" s="266"/>
    </row>
    <row r="106" spans="2:8" x14ac:dyDescent="0.2">
      <c r="C106" s="144" t="s">
        <v>129</v>
      </c>
      <c r="D106" s="80"/>
      <c r="E106" s="145">
        <v>0</v>
      </c>
      <c r="F106" s="82" t="s">
        <v>130</v>
      </c>
      <c r="G106" s="81"/>
      <c r="H106" s="146"/>
    </row>
    <row r="107" spans="2:8" x14ac:dyDescent="0.2">
      <c r="C107" s="147" t="str">
        <f>+"Your Animal"&amp;IF(M25="Stocker"," Grazing"," Feeding")&amp;" Days"</f>
        <v>Your Animal Feeding Days</v>
      </c>
      <c r="D107" s="80"/>
      <c r="E107" s="148">
        <v>0</v>
      </c>
      <c r="F107" s="82" t="s">
        <v>39</v>
      </c>
      <c r="G107" s="81"/>
      <c r="H107" s="149"/>
    </row>
    <row r="108" spans="2:8" ht="13.5" thickBot="1" x14ac:dyDescent="0.25">
      <c r="C108" s="150" t="s">
        <v>128</v>
      </c>
      <c r="D108" s="80"/>
      <c r="E108" s="151">
        <v>0</v>
      </c>
      <c r="F108" s="81"/>
      <c r="G108" s="81"/>
      <c r="H108" s="152"/>
    </row>
    <row r="109" spans="2:8" ht="13.35" customHeight="1" x14ac:dyDescent="0.2">
      <c r="C109" s="267" t="s">
        <v>213</v>
      </c>
      <c r="D109" s="270" t="s">
        <v>214</v>
      </c>
      <c r="E109" s="273"/>
      <c r="F109" s="276" t="str">
        <f>+"Purchase Weight (Pounds/Head): "&amp;D23*100</f>
        <v>Purchase Weight (Pounds/Head): 0</v>
      </c>
      <c r="G109" s="277"/>
      <c r="H109" s="278" t="s">
        <v>123</v>
      </c>
    </row>
    <row r="110" spans="2:8" ht="24" x14ac:dyDescent="0.2">
      <c r="C110" s="268"/>
      <c r="D110" s="271"/>
      <c r="E110" s="274"/>
      <c r="F110" s="153" t="str">
        <f>"Sales Price        "&amp;IF(F13="",".00",TEXT(F13,"#.00"))</f>
        <v>Sales Price        .00</v>
      </c>
      <c r="G110" s="154"/>
      <c r="H110" s="155" t="str">
        <f>"Purchase Price        "&amp;IF(F23="",".00",TEXT(F23,"#.00"))</f>
        <v>Purchase Price        .00</v>
      </c>
    </row>
    <row r="111" spans="2:8" ht="43.35" customHeight="1" thickBot="1" x14ac:dyDescent="0.25">
      <c r="C111" s="269"/>
      <c r="D111" s="272"/>
      <c r="E111" s="275"/>
      <c r="F111" s="185" t="s">
        <v>324</v>
      </c>
      <c r="G111" s="156"/>
      <c r="H111" s="186" t="s">
        <v>325</v>
      </c>
    </row>
    <row r="112" spans="2:8" x14ac:dyDescent="0.2">
      <c r="C112" s="157">
        <f>+C114*1.2</f>
        <v>0</v>
      </c>
      <c r="D112" s="158">
        <f>+(C112*$E$107+$D$23*100)*(1-$E$108)</f>
        <v>0</v>
      </c>
      <c r="E112" s="158"/>
      <c r="F112" s="159">
        <f>IF($D$23=0,0,(((D112*$F$13/100*($C$13/$D$5))-($G$86-SUM($G$14:$G$16)-$G$23))/(100*$D$23))*100)</f>
        <v>0</v>
      </c>
      <c r="G112" s="160"/>
      <c r="H112" s="161">
        <f>IF($C$13=0,0,($G$86-SUM($G$14:$G$16))/(D112*($C$13/$D$5)*100))</f>
        <v>0</v>
      </c>
    </row>
    <row r="113" spans="3:8" x14ac:dyDescent="0.2">
      <c r="C113" s="162">
        <f>+C114*1.1</f>
        <v>0</v>
      </c>
      <c r="D113" s="158">
        <f>+(C113*$E$107+$D$23*100)*(1-$E$108)</f>
        <v>0</v>
      </c>
      <c r="E113" s="158"/>
      <c r="F113" s="159">
        <f>IF($D$23=0,0,(((D113*$F$13/100*($C$13/$D$5))-($G$86-SUM($G$14:$G$16)-$G$23))/(100*$D$23))*100)</f>
        <v>0</v>
      </c>
      <c r="G113" s="163"/>
      <c r="H113" s="164">
        <f>IF($C$13=0,0,($G$86-SUM($G$14:$G$16))/(D113*($C$13/$D$5)*100))</f>
        <v>0</v>
      </c>
    </row>
    <row r="114" spans="3:8" x14ac:dyDescent="0.2">
      <c r="C114" s="165">
        <f>+E106</f>
        <v>0</v>
      </c>
      <c r="D114" s="166">
        <f>+(C114*$E$107+$D$23*100)*(1-$E$108)</f>
        <v>0</v>
      </c>
      <c r="E114" s="166"/>
      <c r="F114" s="167">
        <f>IF($D$23=0,0,(((D114*$F$13/100*($C$13/$D$5))-($G$86-SUM($G$14:$G$16)-$G$23))/(100*$D$23))*100)</f>
        <v>0</v>
      </c>
      <c r="G114" s="168"/>
      <c r="H114" s="169">
        <f>IF($C$13=0,0,($G$86-SUM($G$14:$G$16))/(D114*($C$13/$D$5)*100))</f>
        <v>0</v>
      </c>
    </row>
    <row r="115" spans="3:8" x14ac:dyDescent="0.2">
      <c r="C115" s="162">
        <f>+C114*0.9</f>
        <v>0</v>
      </c>
      <c r="D115" s="158">
        <f>+(C115*$E$107+$D$23*100)*(1-$E$108)</f>
        <v>0</v>
      </c>
      <c r="E115" s="158"/>
      <c r="F115" s="159">
        <f>IF($D$23=0,0,(((D115*$F$13/100*($C$13/$D$5))-($G$86-SUM($G$14:$G$16)-$G$23))/(100*$D$23))*100)</f>
        <v>0</v>
      </c>
      <c r="G115" s="163"/>
      <c r="H115" s="164">
        <f>IF($C$13=0,0,($G$86-SUM($G$14:$G$16))/(D115*($C$13/$D$5)*100))</f>
        <v>0</v>
      </c>
    </row>
    <row r="116" spans="3:8" ht="13.5" thickBot="1" x14ac:dyDescent="0.25">
      <c r="C116" s="170">
        <f>+C114*0.8</f>
        <v>0</v>
      </c>
      <c r="D116" s="171">
        <f>+(C116*$E$107+$D$23*100)*(1-$E$108)</f>
        <v>0</v>
      </c>
      <c r="E116" s="171"/>
      <c r="F116" s="172">
        <f>IF($D$23=0,0,(((D116*$F$13/100*($C$13/$D$5))-($G$86-SUM($G$14:$G$16)-$G$23))/(100*$D$23))*100)</f>
        <v>0</v>
      </c>
      <c r="G116" s="173"/>
      <c r="H116" s="174">
        <f>IF($C$13=0,0,($G$86-SUM($G$14:$G$16))/(D116*($C$13/$D$5)*100))</f>
        <v>0</v>
      </c>
    </row>
  </sheetData>
  <sheetProtection sheet="1" objects="1" scenarios="1"/>
  <mergeCells count="20">
    <mergeCell ref="E95:F95"/>
    <mergeCell ref="G95:H95"/>
    <mergeCell ref="A1:G1"/>
    <mergeCell ref="A3:G3"/>
    <mergeCell ref="B93:H93"/>
    <mergeCell ref="E94:F94"/>
    <mergeCell ref="G94:H94"/>
    <mergeCell ref="E96:F96"/>
    <mergeCell ref="G96:H96"/>
    <mergeCell ref="E97:F97"/>
    <mergeCell ref="G97:H97"/>
    <mergeCell ref="E98:F98"/>
    <mergeCell ref="G98:H98"/>
    <mergeCell ref="E99:F99"/>
    <mergeCell ref="G99:H99"/>
    <mergeCell ref="C105:H105"/>
    <mergeCell ref="C109:C111"/>
    <mergeCell ref="D109:D111"/>
    <mergeCell ref="E109:E111"/>
    <mergeCell ref="F109:H109"/>
  </mergeCells>
  <pageMargins left="0.7" right="0.7" top="0.75" bottom="0.75" header="0.3" footer="0.3"/>
  <pageSetup orientation="portrait" r:id="rId1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40">
    <tabColor rgb="FFFFFF00"/>
  </sheetPr>
  <dimension ref="A1:K155"/>
  <sheetViews>
    <sheetView workbookViewId="0">
      <selection activeCell="A3" sqref="A3:F3"/>
    </sheetView>
  </sheetViews>
  <sheetFormatPr defaultColWidth="9.140625" defaultRowHeight="12.75" x14ac:dyDescent="0.2"/>
  <cols>
    <col min="1" max="1" width="2.5703125" style="17" customWidth="1"/>
    <col min="2" max="2" width="24.5703125" style="17" customWidth="1"/>
    <col min="3" max="5" width="13.42578125" style="17" customWidth="1"/>
    <col min="6" max="6" width="12.42578125" style="17" customWidth="1"/>
    <col min="7" max="7" width="16.140625" style="17" customWidth="1"/>
    <col min="8" max="16384" width="9.140625" style="17"/>
  </cols>
  <sheetData>
    <row r="1" spans="1:7" x14ac:dyDescent="0.2">
      <c r="A1" s="261" t="s">
        <v>61</v>
      </c>
      <c r="B1" s="261"/>
      <c r="C1" s="261"/>
      <c r="D1" s="261"/>
      <c r="E1" s="261"/>
      <c r="F1" s="261"/>
      <c r="G1" s="261"/>
    </row>
    <row r="2" spans="1:7" x14ac:dyDescent="0.2">
      <c r="A2" s="22"/>
      <c r="B2" s="22"/>
      <c r="C2" s="22"/>
      <c r="D2" s="22"/>
      <c r="E2" s="22"/>
      <c r="F2" s="22"/>
      <c r="G2" s="22"/>
    </row>
    <row r="3" spans="1:7" x14ac:dyDescent="0.2">
      <c r="A3" s="240" t="s">
        <v>70</v>
      </c>
      <c r="B3" s="261"/>
      <c r="C3" s="261"/>
      <c r="D3" s="261"/>
      <c r="E3" s="261"/>
      <c r="F3" s="261"/>
      <c r="G3" s="22"/>
    </row>
    <row r="4" spans="1:7" x14ac:dyDescent="0.2">
      <c r="A4" s="127"/>
      <c r="B4" s="100"/>
      <c r="C4" s="100"/>
      <c r="D4" s="100"/>
      <c r="E4" s="100"/>
      <c r="F4" s="100"/>
      <c r="G4" s="100"/>
    </row>
    <row r="5" spans="1:7" x14ac:dyDescent="0.2">
      <c r="A5" s="129" t="s">
        <v>62</v>
      </c>
      <c r="B5" s="22"/>
      <c r="C5" s="22"/>
      <c r="D5" s="175">
        <v>0</v>
      </c>
      <c r="E5" s="22"/>
      <c r="F5" s="22"/>
      <c r="G5" s="22"/>
    </row>
    <row r="6" spans="1:7" x14ac:dyDescent="0.2">
      <c r="A6" s="20"/>
      <c r="B6" s="22"/>
      <c r="C6" s="22"/>
      <c r="D6" s="22"/>
      <c r="E6" s="22"/>
      <c r="F6" s="22"/>
      <c r="G6" s="22"/>
    </row>
    <row r="7" spans="1:7" x14ac:dyDescent="0.2">
      <c r="A7" s="120" t="s">
        <v>184</v>
      </c>
      <c r="C7" s="25"/>
      <c r="D7" s="21"/>
      <c r="E7" s="21"/>
      <c r="F7" s="21"/>
      <c r="G7" s="22" t="s">
        <v>19</v>
      </c>
    </row>
    <row r="8" spans="1:7" x14ac:dyDescent="0.2">
      <c r="A8" s="23" t="s">
        <v>73</v>
      </c>
      <c r="B8" s="23"/>
      <c r="C8" s="24" t="s">
        <v>2</v>
      </c>
      <c r="D8" s="24" t="s">
        <v>21</v>
      </c>
      <c r="E8" s="24" t="s">
        <v>22</v>
      </c>
      <c r="F8" s="24" t="s">
        <v>12</v>
      </c>
      <c r="G8" s="24" t="s">
        <v>12</v>
      </c>
    </row>
    <row r="9" spans="1:7" x14ac:dyDescent="0.2">
      <c r="B9" s="130" t="s">
        <v>215</v>
      </c>
      <c r="C9" s="130">
        <v>0</v>
      </c>
      <c r="D9" s="130" t="s">
        <v>57</v>
      </c>
      <c r="E9" s="131">
        <v>0</v>
      </c>
      <c r="F9" s="30">
        <f>C9*E9</f>
        <v>0</v>
      </c>
      <c r="G9" s="30">
        <f>+F9*$D$5</f>
        <v>0</v>
      </c>
    </row>
    <row r="10" spans="1:7" x14ac:dyDescent="0.2">
      <c r="B10" s="130" t="s">
        <v>216</v>
      </c>
      <c r="C10" s="130">
        <v>0</v>
      </c>
      <c r="D10" s="130" t="s">
        <v>57</v>
      </c>
      <c r="E10" s="131">
        <v>0</v>
      </c>
      <c r="F10" s="30">
        <f t="shared" ref="F10:F16" si="0">C10*E10</f>
        <v>0</v>
      </c>
      <c r="G10" s="30">
        <f t="shared" ref="G10:G16" si="1">+F10*$D$5</f>
        <v>0</v>
      </c>
    </row>
    <row r="11" spans="1:7" x14ac:dyDescent="0.2">
      <c r="B11" s="130" t="s">
        <v>216</v>
      </c>
      <c r="C11" s="130">
        <v>0</v>
      </c>
      <c r="D11" s="130" t="s">
        <v>57</v>
      </c>
      <c r="E11" s="131">
        <v>0</v>
      </c>
      <c r="F11" s="30">
        <f t="shared" si="0"/>
        <v>0</v>
      </c>
      <c r="G11" s="30">
        <f t="shared" si="1"/>
        <v>0</v>
      </c>
    </row>
    <row r="12" spans="1:7" x14ac:dyDescent="0.2">
      <c r="B12" s="130" t="s">
        <v>216</v>
      </c>
      <c r="C12" s="130">
        <v>0</v>
      </c>
      <c r="D12" s="130" t="s">
        <v>57</v>
      </c>
      <c r="E12" s="131">
        <v>0</v>
      </c>
      <c r="F12" s="30">
        <f t="shared" si="0"/>
        <v>0</v>
      </c>
      <c r="G12" s="30">
        <f t="shared" si="1"/>
        <v>0</v>
      </c>
    </row>
    <row r="13" spans="1:7" x14ac:dyDescent="0.2">
      <c r="B13" s="130" t="s">
        <v>216</v>
      </c>
      <c r="C13" s="130">
        <v>0</v>
      </c>
      <c r="D13" s="130" t="s">
        <v>57</v>
      </c>
      <c r="E13" s="131">
        <v>0</v>
      </c>
      <c r="F13" s="30">
        <f t="shared" si="0"/>
        <v>0</v>
      </c>
      <c r="G13" s="30">
        <f t="shared" si="1"/>
        <v>0</v>
      </c>
    </row>
    <row r="14" spans="1:7" x14ac:dyDescent="0.2">
      <c r="B14" s="130" t="s">
        <v>216</v>
      </c>
      <c r="C14" s="130">
        <v>0</v>
      </c>
      <c r="D14" s="130" t="s">
        <v>57</v>
      </c>
      <c r="E14" s="131">
        <v>0</v>
      </c>
      <c r="F14" s="30">
        <f t="shared" si="0"/>
        <v>0</v>
      </c>
      <c r="G14" s="30">
        <f t="shared" si="1"/>
        <v>0</v>
      </c>
    </row>
    <row r="15" spans="1:7" x14ac:dyDescent="0.2">
      <c r="B15" s="130" t="s">
        <v>216</v>
      </c>
      <c r="C15" s="130">
        <v>0</v>
      </c>
      <c r="D15" s="130" t="s">
        <v>57</v>
      </c>
      <c r="E15" s="131">
        <v>0</v>
      </c>
      <c r="F15" s="30">
        <f t="shared" si="0"/>
        <v>0</v>
      </c>
      <c r="G15" s="30">
        <f t="shared" si="1"/>
        <v>0</v>
      </c>
    </row>
    <row r="16" spans="1:7" x14ac:dyDescent="0.2">
      <c r="B16" s="130" t="s">
        <v>216</v>
      </c>
      <c r="C16" s="130">
        <v>0</v>
      </c>
      <c r="D16" s="130" t="s">
        <v>57</v>
      </c>
      <c r="E16" s="131">
        <v>0</v>
      </c>
      <c r="F16" s="30">
        <f t="shared" si="0"/>
        <v>0</v>
      </c>
      <c r="G16" s="30">
        <f t="shared" si="1"/>
        <v>0</v>
      </c>
    </row>
    <row r="17" spans="1:11" x14ac:dyDescent="0.2">
      <c r="C17" s="22"/>
      <c r="D17" s="22"/>
      <c r="E17" s="22"/>
    </row>
    <row r="18" spans="1:11" x14ac:dyDescent="0.2">
      <c r="A18" s="17" t="s">
        <v>24</v>
      </c>
      <c r="C18" s="22"/>
      <c r="D18" s="22"/>
      <c r="E18" s="22"/>
      <c r="F18" s="30">
        <f>+SUM(F9:F16)</f>
        <v>0</v>
      </c>
      <c r="G18" s="30">
        <f>+SUM(G9:G16)</f>
        <v>0</v>
      </c>
    </row>
    <row r="19" spans="1:11" x14ac:dyDescent="0.2">
      <c r="C19" s="22"/>
      <c r="D19" s="22"/>
      <c r="E19" s="22"/>
      <c r="F19" s="30"/>
      <c r="G19" s="30"/>
    </row>
    <row r="20" spans="1:11" x14ac:dyDescent="0.2">
      <c r="C20" s="22"/>
      <c r="D20" s="22"/>
      <c r="E20" s="22"/>
      <c r="F20" s="30"/>
      <c r="G20" s="22" t="s">
        <v>19</v>
      </c>
    </row>
    <row r="21" spans="1:11" x14ac:dyDescent="0.2">
      <c r="A21" s="23" t="s">
        <v>25</v>
      </c>
      <c r="B21" s="23"/>
      <c r="C21" s="24" t="s">
        <v>2</v>
      </c>
      <c r="D21" s="24" t="s">
        <v>21</v>
      </c>
      <c r="E21" s="24" t="s">
        <v>22</v>
      </c>
      <c r="F21" s="24" t="s">
        <v>12</v>
      </c>
      <c r="G21" s="24" t="s">
        <v>12</v>
      </c>
    </row>
    <row r="22" spans="1:11" x14ac:dyDescent="0.2">
      <c r="A22" s="25"/>
      <c r="B22" s="25"/>
      <c r="C22" s="21"/>
      <c r="D22" s="21"/>
      <c r="E22" s="21"/>
      <c r="F22" s="25"/>
      <c r="G22" s="25"/>
      <c r="H22" s="25"/>
      <c r="I22" s="25"/>
      <c r="J22" s="25"/>
      <c r="K22" s="25"/>
    </row>
    <row r="23" spans="1:11" x14ac:dyDescent="0.2">
      <c r="A23" s="25" t="s">
        <v>217</v>
      </c>
      <c r="B23" s="25"/>
      <c r="C23" s="21"/>
      <c r="D23" s="21"/>
      <c r="E23" s="21"/>
      <c r="F23" s="25"/>
      <c r="G23" s="25"/>
      <c r="H23" s="25"/>
      <c r="I23" s="25"/>
      <c r="J23" s="25"/>
      <c r="K23" s="25"/>
    </row>
    <row r="24" spans="1:11" x14ac:dyDescent="0.2">
      <c r="A24" s="25"/>
      <c r="B24" s="130" t="s">
        <v>218</v>
      </c>
      <c r="C24" s="130">
        <v>0</v>
      </c>
      <c r="D24" s="130" t="s">
        <v>42</v>
      </c>
      <c r="E24" s="131">
        <v>0</v>
      </c>
      <c r="F24" s="30">
        <f t="shared" ref="F24:F29" si="2">C24*E24</f>
        <v>0</v>
      </c>
      <c r="G24" s="30">
        <f t="shared" ref="G24:G89" si="3">+F24*$D$5</f>
        <v>0</v>
      </c>
      <c r="H24" s="25"/>
      <c r="I24" s="25"/>
      <c r="J24" s="25"/>
      <c r="K24" s="25"/>
    </row>
    <row r="25" spans="1:11" x14ac:dyDescent="0.2">
      <c r="A25" s="25"/>
      <c r="B25" s="130" t="s">
        <v>219</v>
      </c>
      <c r="C25" s="130">
        <v>0</v>
      </c>
      <c r="D25" s="130" t="s">
        <v>42</v>
      </c>
      <c r="E25" s="131">
        <v>0</v>
      </c>
      <c r="F25" s="30">
        <f t="shared" si="2"/>
        <v>0</v>
      </c>
      <c r="G25" s="30">
        <f t="shared" si="3"/>
        <v>0</v>
      </c>
      <c r="H25" s="25"/>
      <c r="I25" s="25"/>
      <c r="J25" s="25"/>
      <c r="K25" s="25"/>
    </row>
    <row r="26" spans="1:11" x14ac:dyDescent="0.2">
      <c r="A26" s="25"/>
      <c r="B26" s="130" t="s">
        <v>220</v>
      </c>
      <c r="C26" s="130">
        <v>0</v>
      </c>
      <c r="D26" s="130" t="s">
        <v>42</v>
      </c>
      <c r="E26" s="131">
        <v>0</v>
      </c>
      <c r="F26" s="30">
        <f t="shared" si="2"/>
        <v>0</v>
      </c>
      <c r="G26" s="30">
        <f t="shared" si="3"/>
        <v>0</v>
      </c>
      <c r="H26" s="25"/>
      <c r="I26" s="25"/>
      <c r="J26" s="25"/>
      <c r="K26" s="25"/>
    </row>
    <row r="27" spans="1:11" x14ac:dyDescent="0.2">
      <c r="A27" s="25"/>
      <c r="B27" s="130" t="s">
        <v>221</v>
      </c>
      <c r="C27" s="130">
        <v>0</v>
      </c>
      <c r="D27" s="130" t="s">
        <v>42</v>
      </c>
      <c r="E27" s="131">
        <v>0</v>
      </c>
      <c r="F27" s="30">
        <f t="shared" si="2"/>
        <v>0</v>
      </c>
      <c r="G27" s="30">
        <f t="shared" si="3"/>
        <v>0</v>
      </c>
      <c r="H27" s="25"/>
      <c r="I27" s="25"/>
      <c r="J27" s="25"/>
      <c r="K27" s="25"/>
    </row>
    <row r="28" spans="1:11" x14ac:dyDescent="0.2">
      <c r="A28" s="25"/>
      <c r="B28" s="130" t="s">
        <v>222</v>
      </c>
      <c r="C28" s="130">
        <v>0</v>
      </c>
      <c r="D28" s="130" t="s">
        <v>42</v>
      </c>
      <c r="E28" s="131">
        <v>0</v>
      </c>
      <c r="F28" s="30">
        <f t="shared" si="2"/>
        <v>0</v>
      </c>
      <c r="G28" s="30">
        <f t="shared" si="3"/>
        <v>0</v>
      </c>
      <c r="H28" s="25"/>
      <c r="I28" s="25"/>
      <c r="J28" s="25"/>
      <c r="K28" s="25"/>
    </row>
    <row r="29" spans="1:11" x14ac:dyDescent="0.2">
      <c r="A29" s="25"/>
      <c r="B29" s="130" t="s">
        <v>223</v>
      </c>
      <c r="C29" s="130">
        <v>0</v>
      </c>
      <c r="D29" s="130" t="s">
        <v>42</v>
      </c>
      <c r="E29" s="131">
        <v>0</v>
      </c>
      <c r="F29" s="30">
        <f t="shared" si="2"/>
        <v>0</v>
      </c>
      <c r="G29" s="30">
        <f t="shared" si="3"/>
        <v>0</v>
      </c>
      <c r="H29" s="25"/>
      <c r="I29" s="25"/>
      <c r="J29" s="25"/>
      <c r="K29" s="25"/>
    </row>
    <row r="30" spans="1:11" x14ac:dyDescent="0.2">
      <c r="A30" s="25" t="s">
        <v>224</v>
      </c>
      <c r="B30" s="25"/>
      <c r="C30" s="21"/>
      <c r="D30" s="21"/>
      <c r="E30" s="21"/>
      <c r="F30" s="25"/>
      <c r="G30" s="25"/>
      <c r="H30" s="25"/>
      <c r="I30" s="25"/>
      <c r="J30" s="25"/>
      <c r="K30" s="25"/>
    </row>
    <row r="31" spans="1:11" x14ac:dyDescent="0.2">
      <c r="A31" s="25"/>
      <c r="B31" s="130" t="s">
        <v>28</v>
      </c>
      <c r="C31" s="130">
        <v>0</v>
      </c>
      <c r="D31" s="130" t="s">
        <v>79</v>
      </c>
      <c r="E31" s="131">
        <v>0</v>
      </c>
      <c r="F31" s="30">
        <f t="shared" ref="F31:F36" si="4">C31*E31</f>
        <v>0</v>
      </c>
      <c r="G31" s="30">
        <f t="shared" si="3"/>
        <v>0</v>
      </c>
      <c r="H31" s="25"/>
      <c r="I31" s="25"/>
      <c r="J31" s="25"/>
      <c r="K31" s="25"/>
    </row>
    <row r="32" spans="1:11" x14ac:dyDescent="0.2">
      <c r="A32" s="25"/>
      <c r="B32" s="130" t="s">
        <v>29</v>
      </c>
      <c r="C32" s="130">
        <v>0</v>
      </c>
      <c r="D32" s="130" t="s">
        <v>79</v>
      </c>
      <c r="E32" s="131">
        <v>0</v>
      </c>
      <c r="F32" s="30">
        <f t="shared" si="4"/>
        <v>0</v>
      </c>
      <c r="G32" s="30">
        <f t="shared" si="3"/>
        <v>0</v>
      </c>
      <c r="H32" s="25"/>
      <c r="I32" s="25"/>
      <c r="J32" s="25"/>
      <c r="K32" s="25"/>
    </row>
    <row r="33" spans="1:11" x14ac:dyDescent="0.2">
      <c r="A33" s="25"/>
      <c r="B33" s="130" t="s">
        <v>225</v>
      </c>
      <c r="C33" s="130">
        <v>0</v>
      </c>
      <c r="D33" s="130" t="s">
        <v>42</v>
      </c>
      <c r="E33" s="131">
        <v>0</v>
      </c>
      <c r="F33" s="30">
        <f t="shared" si="4"/>
        <v>0</v>
      </c>
      <c r="G33" s="30">
        <f t="shared" si="3"/>
        <v>0</v>
      </c>
      <c r="H33" s="25"/>
      <c r="I33" s="25"/>
      <c r="J33" s="25"/>
      <c r="K33" s="25"/>
    </row>
    <row r="34" spans="1:11" x14ac:dyDescent="0.2">
      <c r="A34" s="25"/>
      <c r="B34" s="130" t="s">
        <v>226</v>
      </c>
      <c r="C34" s="130">
        <v>0</v>
      </c>
      <c r="D34" s="130" t="s">
        <v>42</v>
      </c>
      <c r="E34" s="131">
        <v>0</v>
      </c>
      <c r="F34" s="30">
        <f t="shared" si="4"/>
        <v>0</v>
      </c>
      <c r="G34" s="30">
        <f t="shared" si="3"/>
        <v>0</v>
      </c>
      <c r="H34" s="25"/>
      <c r="I34" s="25"/>
      <c r="J34" s="25"/>
      <c r="K34" s="25"/>
    </row>
    <row r="35" spans="1:11" x14ac:dyDescent="0.2">
      <c r="A35" s="25"/>
      <c r="B35" s="130" t="s">
        <v>227</v>
      </c>
      <c r="C35" s="130">
        <v>0</v>
      </c>
      <c r="D35" s="130" t="s">
        <v>42</v>
      </c>
      <c r="E35" s="131">
        <v>0</v>
      </c>
      <c r="F35" s="30">
        <f t="shared" si="4"/>
        <v>0</v>
      </c>
      <c r="G35" s="30">
        <f t="shared" si="3"/>
        <v>0</v>
      </c>
      <c r="H35" s="25"/>
      <c r="I35" s="25"/>
      <c r="J35" s="25"/>
      <c r="K35" s="25"/>
    </row>
    <row r="36" spans="1:11" x14ac:dyDescent="0.2">
      <c r="A36" s="25"/>
      <c r="B36" s="130" t="s">
        <v>228</v>
      </c>
      <c r="C36" s="130">
        <v>0</v>
      </c>
      <c r="D36" s="130" t="s">
        <v>42</v>
      </c>
      <c r="E36" s="131">
        <v>0</v>
      </c>
      <c r="F36" s="30">
        <f t="shared" si="4"/>
        <v>0</v>
      </c>
      <c r="G36" s="30">
        <f t="shared" si="3"/>
        <v>0</v>
      </c>
      <c r="H36" s="25"/>
      <c r="I36" s="25"/>
      <c r="J36" s="25"/>
      <c r="K36" s="25"/>
    </row>
    <row r="37" spans="1:11" x14ac:dyDescent="0.2">
      <c r="A37" s="25" t="s">
        <v>13</v>
      </c>
      <c r="B37" s="25"/>
      <c r="C37" s="21"/>
      <c r="D37" s="21"/>
      <c r="E37" s="21"/>
      <c r="F37" s="25"/>
      <c r="G37" s="25"/>
      <c r="H37" s="25"/>
      <c r="I37" s="25"/>
      <c r="J37" s="25"/>
      <c r="K37" s="25"/>
    </row>
    <row r="38" spans="1:11" x14ac:dyDescent="0.2">
      <c r="A38" s="25"/>
      <c r="B38" s="130" t="s">
        <v>229</v>
      </c>
      <c r="C38" s="130">
        <v>0</v>
      </c>
      <c r="D38" s="130" t="s">
        <v>44</v>
      </c>
      <c r="E38" s="131">
        <v>0</v>
      </c>
      <c r="F38" s="30">
        <f t="shared" ref="F38:F43" si="5">C38*E38</f>
        <v>0</v>
      </c>
      <c r="G38" s="30">
        <f t="shared" si="3"/>
        <v>0</v>
      </c>
      <c r="H38" s="25"/>
      <c r="I38" s="25"/>
      <c r="J38" s="25"/>
      <c r="K38" s="25"/>
    </row>
    <row r="39" spans="1:11" x14ac:dyDescent="0.2">
      <c r="A39" s="25"/>
      <c r="B39" s="130" t="s">
        <v>230</v>
      </c>
      <c r="C39" s="130">
        <v>0</v>
      </c>
      <c r="D39" s="130" t="s">
        <v>44</v>
      </c>
      <c r="E39" s="131">
        <v>0</v>
      </c>
      <c r="F39" s="30">
        <f t="shared" si="5"/>
        <v>0</v>
      </c>
      <c r="G39" s="30">
        <f t="shared" si="3"/>
        <v>0</v>
      </c>
      <c r="H39" s="25"/>
      <c r="I39" s="25"/>
      <c r="J39" s="25"/>
      <c r="K39" s="25"/>
    </row>
    <row r="40" spans="1:11" x14ac:dyDescent="0.2">
      <c r="A40" s="25"/>
      <c r="B40" s="130" t="s">
        <v>231</v>
      </c>
      <c r="C40" s="130">
        <v>0</v>
      </c>
      <c r="D40" s="130" t="s">
        <v>44</v>
      </c>
      <c r="E40" s="131">
        <v>0</v>
      </c>
      <c r="F40" s="30">
        <f t="shared" si="5"/>
        <v>0</v>
      </c>
      <c r="G40" s="30">
        <f t="shared" si="3"/>
        <v>0</v>
      </c>
      <c r="H40" s="25"/>
      <c r="I40" s="25"/>
      <c r="J40" s="25"/>
      <c r="K40" s="25"/>
    </row>
    <row r="41" spans="1:11" x14ac:dyDescent="0.2">
      <c r="A41" s="25"/>
      <c r="B41" s="130" t="s">
        <v>232</v>
      </c>
      <c r="C41" s="130">
        <v>0</v>
      </c>
      <c r="D41" s="130" t="s">
        <v>44</v>
      </c>
      <c r="E41" s="131">
        <v>0</v>
      </c>
      <c r="F41" s="30">
        <f t="shared" si="5"/>
        <v>0</v>
      </c>
      <c r="G41" s="30">
        <f t="shared" si="3"/>
        <v>0</v>
      </c>
      <c r="H41" s="25"/>
      <c r="I41" s="25"/>
      <c r="J41" s="25"/>
      <c r="K41" s="25"/>
    </row>
    <row r="42" spans="1:11" x14ac:dyDescent="0.2">
      <c r="A42" s="25"/>
      <c r="B42" s="130" t="s">
        <v>233</v>
      </c>
      <c r="C42" s="130">
        <v>0</v>
      </c>
      <c r="D42" s="130" t="s">
        <v>44</v>
      </c>
      <c r="E42" s="131">
        <v>0</v>
      </c>
      <c r="F42" s="30">
        <f t="shared" si="5"/>
        <v>0</v>
      </c>
      <c r="G42" s="30">
        <f t="shared" si="3"/>
        <v>0</v>
      </c>
      <c r="H42" s="25"/>
      <c r="I42" s="25"/>
      <c r="J42" s="25"/>
      <c r="K42" s="25"/>
    </row>
    <row r="43" spans="1:11" x14ac:dyDescent="0.2">
      <c r="A43" s="25"/>
      <c r="B43" s="130" t="s">
        <v>136</v>
      </c>
      <c r="C43" s="130">
        <v>0</v>
      </c>
      <c r="D43" s="130" t="s">
        <v>44</v>
      </c>
      <c r="E43" s="131">
        <v>0</v>
      </c>
      <c r="F43" s="30">
        <f t="shared" si="5"/>
        <v>0</v>
      </c>
      <c r="G43" s="30">
        <f t="shared" si="3"/>
        <v>0</v>
      </c>
      <c r="H43" s="25"/>
      <c r="I43" s="25"/>
      <c r="J43" s="25"/>
      <c r="K43" s="25"/>
    </row>
    <row r="44" spans="1:11" x14ac:dyDescent="0.2">
      <c r="A44" s="25" t="s">
        <v>234</v>
      </c>
      <c r="B44" s="25"/>
      <c r="C44" s="21"/>
      <c r="D44" s="21"/>
      <c r="E44" s="21"/>
      <c r="F44" s="25"/>
      <c r="G44" s="25"/>
      <c r="H44" s="25"/>
      <c r="I44" s="25"/>
      <c r="J44" s="25"/>
      <c r="K44" s="25"/>
    </row>
    <row r="45" spans="1:11" x14ac:dyDescent="0.2">
      <c r="A45" s="25"/>
      <c r="B45" s="130" t="s">
        <v>1</v>
      </c>
      <c r="C45" s="130">
        <v>0</v>
      </c>
      <c r="D45" s="130" t="s">
        <v>82</v>
      </c>
      <c r="E45" s="131">
        <v>0</v>
      </c>
      <c r="F45" s="30">
        <f t="shared" ref="F45:F50" si="6">C45*E45</f>
        <v>0</v>
      </c>
      <c r="G45" s="30">
        <f t="shared" si="3"/>
        <v>0</v>
      </c>
      <c r="H45" s="25"/>
      <c r="I45" s="25"/>
      <c r="J45" s="25"/>
      <c r="K45" s="25"/>
    </row>
    <row r="46" spans="1:11" x14ac:dyDescent="0.2">
      <c r="A46" s="25"/>
      <c r="B46" s="130" t="s">
        <v>235</v>
      </c>
      <c r="C46" s="130">
        <v>0</v>
      </c>
      <c r="D46" s="130" t="s">
        <v>82</v>
      </c>
      <c r="E46" s="131">
        <v>0</v>
      </c>
      <c r="F46" s="30">
        <f t="shared" si="6"/>
        <v>0</v>
      </c>
      <c r="G46" s="30">
        <f t="shared" si="3"/>
        <v>0</v>
      </c>
      <c r="H46" s="25"/>
      <c r="I46" s="25"/>
      <c r="J46" s="25"/>
      <c r="K46" s="25"/>
    </row>
    <row r="47" spans="1:11" x14ac:dyDescent="0.2">
      <c r="A47" s="25"/>
      <c r="B47" s="130" t="s">
        <v>236</v>
      </c>
      <c r="C47" s="130">
        <v>0</v>
      </c>
      <c r="D47" s="130" t="s">
        <v>82</v>
      </c>
      <c r="E47" s="131">
        <v>0</v>
      </c>
      <c r="F47" s="30">
        <f t="shared" si="6"/>
        <v>0</v>
      </c>
      <c r="G47" s="30">
        <f t="shared" si="3"/>
        <v>0</v>
      </c>
      <c r="H47" s="25"/>
      <c r="I47" s="25"/>
      <c r="J47" s="25"/>
      <c r="K47" s="25"/>
    </row>
    <row r="48" spans="1:11" x14ac:dyDescent="0.2">
      <c r="A48" s="25"/>
      <c r="B48" s="130" t="s">
        <v>237</v>
      </c>
      <c r="C48" s="130">
        <v>0</v>
      </c>
      <c r="D48" s="130" t="s">
        <v>238</v>
      </c>
      <c r="E48" s="131">
        <v>0</v>
      </c>
      <c r="F48" s="30">
        <f t="shared" si="6"/>
        <v>0</v>
      </c>
      <c r="G48" s="30">
        <f t="shared" si="3"/>
        <v>0</v>
      </c>
      <c r="H48" s="25"/>
      <c r="I48" s="25"/>
      <c r="J48" s="25"/>
      <c r="K48" s="25"/>
    </row>
    <row r="49" spans="1:11" x14ac:dyDescent="0.2">
      <c r="A49" s="25"/>
      <c r="B49" s="130" t="s">
        <v>239</v>
      </c>
      <c r="C49" s="130">
        <v>0</v>
      </c>
      <c r="D49" s="130" t="s">
        <v>240</v>
      </c>
      <c r="E49" s="131">
        <v>0</v>
      </c>
      <c r="F49" s="30">
        <f t="shared" si="6"/>
        <v>0</v>
      </c>
      <c r="G49" s="30">
        <f t="shared" si="3"/>
        <v>0</v>
      </c>
      <c r="H49" s="25"/>
      <c r="I49" s="25"/>
      <c r="J49" s="25"/>
      <c r="K49" s="25"/>
    </row>
    <row r="50" spans="1:11" x14ac:dyDescent="0.2">
      <c r="A50" s="25"/>
      <c r="B50" s="130" t="s">
        <v>241</v>
      </c>
      <c r="C50" s="130">
        <v>0</v>
      </c>
      <c r="D50" s="130" t="s">
        <v>82</v>
      </c>
      <c r="E50" s="131">
        <v>0</v>
      </c>
      <c r="F50" s="30">
        <f t="shared" si="6"/>
        <v>0</v>
      </c>
      <c r="G50" s="30">
        <f t="shared" si="3"/>
        <v>0</v>
      </c>
      <c r="H50" s="25"/>
      <c r="I50" s="25"/>
      <c r="J50" s="25"/>
      <c r="K50" s="25"/>
    </row>
    <row r="51" spans="1:11" x14ac:dyDescent="0.2">
      <c r="A51" s="25" t="s">
        <v>242</v>
      </c>
      <c r="B51" s="25"/>
      <c r="C51" s="21"/>
      <c r="D51" s="21"/>
      <c r="E51" s="21"/>
      <c r="F51" s="25"/>
      <c r="G51" s="25"/>
      <c r="H51" s="25"/>
      <c r="I51" s="25"/>
      <c r="J51" s="25"/>
      <c r="K51" s="25"/>
    </row>
    <row r="52" spans="1:11" x14ac:dyDescent="0.2">
      <c r="A52" s="25"/>
      <c r="B52" s="130" t="s">
        <v>243</v>
      </c>
      <c r="C52" s="130">
        <v>0</v>
      </c>
      <c r="D52" s="130" t="s">
        <v>82</v>
      </c>
      <c r="E52" s="131">
        <v>0</v>
      </c>
      <c r="F52" s="30">
        <f t="shared" ref="F52:F59" si="7">C52*E52</f>
        <v>0</v>
      </c>
      <c r="G52" s="30">
        <f t="shared" si="3"/>
        <v>0</v>
      </c>
      <c r="H52" s="25"/>
      <c r="I52" s="25"/>
      <c r="J52" s="25"/>
      <c r="K52" s="25"/>
    </row>
    <row r="53" spans="1:11" x14ac:dyDescent="0.2">
      <c r="A53" s="25"/>
      <c r="B53" s="130" t="s">
        <v>244</v>
      </c>
      <c r="C53" s="130">
        <v>0</v>
      </c>
      <c r="D53" s="130" t="s">
        <v>82</v>
      </c>
      <c r="E53" s="131">
        <v>0</v>
      </c>
      <c r="F53" s="30">
        <f t="shared" si="7"/>
        <v>0</v>
      </c>
      <c r="G53" s="30">
        <f t="shared" si="3"/>
        <v>0</v>
      </c>
      <c r="H53" s="25"/>
      <c r="I53" s="25"/>
      <c r="J53" s="25"/>
      <c r="K53" s="25"/>
    </row>
    <row r="54" spans="1:11" x14ac:dyDescent="0.2">
      <c r="A54" s="25"/>
      <c r="B54" s="130" t="s">
        <v>245</v>
      </c>
      <c r="C54" s="130">
        <v>0</v>
      </c>
      <c r="D54" s="130" t="s">
        <v>82</v>
      </c>
      <c r="E54" s="131">
        <v>0</v>
      </c>
      <c r="F54" s="30">
        <f t="shared" si="7"/>
        <v>0</v>
      </c>
      <c r="G54" s="30">
        <f t="shared" si="3"/>
        <v>0</v>
      </c>
      <c r="H54" s="25"/>
      <c r="I54" s="25"/>
      <c r="J54" s="25"/>
      <c r="K54" s="25"/>
    </row>
    <row r="55" spans="1:11" x14ac:dyDescent="0.2">
      <c r="A55" s="25"/>
      <c r="B55" s="130" t="s">
        <v>246</v>
      </c>
      <c r="C55" s="130">
        <v>0</v>
      </c>
      <c r="D55" s="130" t="s">
        <v>82</v>
      </c>
      <c r="E55" s="131">
        <v>0</v>
      </c>
      <c r="F55" s="30">
        <f t="shared" si="7"/>
        <v>0</v>
      </c>
      <c r="G55" s="30">
        <f t="shared" si="3"/>
        <v>0</v>
      </c>
      <c r="H55" s="25"/>
      <c r="I55" s="25"/>
      <c r="J55" s="25"/>
      <c r="K55" s="25"/>
    </row>
    <row r="56" spans="1:11" x14ac:dyDescent="0.2">
      <c r="A56" s="25"/>
      <c r="B56" s="130" t="s">
        <v>247</v>
      </c>
      <c r="C56" s="130">
        <v>0</v>
      </c>
      <c r="D56" s="130" t="s">
        <v>82</v>
      </c>
      <c r="E56" s="131">
        <v>0</v>
      </c>
      <c r="F56" s="30">
        <f t="shared" si="7"/>
        <v>0</v>
      </c>
      <c r="G56" s="30">
        <f t="shared" si="3"/>
        <v>0</v>
      </c>
      <c r="H56" s="25"/>
      <c r="I56" s="25"/>
      <c r="J56" s="25"/>
      <c r="K56" s="25"/>
    </row>
    <row r="57" spans="1:11" x14ac:dyDescent="0.2">
      <c r="A57" s="25"/>
      <c r="B57" s="130" t="s">
        <v>248</v>
      </c>
      <c r="C57" s="130">
        <v>0</v>
      </c>
      <c r="D57" s="130" t="s">
        <v>135</v>
      </c>
      <c r="E57" s="131">
        <v>0</v>
      </c>
      <c r="F57" s="30">
        <f t="shared" si="7"/>
        <v>0</v>
      </c>
      <c r="G57" s="30">
        <f t="shared" si="3"/>
        <v>0</v>
      </c>
      <c r="H57" s="25"/>
      <c r="I57" s="25"/>
      <c r="J57" s="25"/>
      <c r="K57" s="25"/>
    </row>
    <row r="58" spans="1:11" x14ac:dyDescent="0.2">
      <c r="A58" s="25"/>
      <c r="B58" s="130" t="s">
        <v>249</v>
      </c>
      <c r="C58" s="130">
        <v>0</v>
      </c>
      <c r="D58" s="130" t="s">
        <v>82</v>
      </c>
      <c r="E58" s="131">
        <v>0</v>
      </c>
      <c r="F58" s="30">
        <f t="shared" si="7"/>
        <v>0</v>
      </c>
      <c r="G58" s="30">
        <f t="shared" si="3"/>
        <v>0</v>
      </c>
      <c r="H58" s="25"/>
      <c r="I58" s="25"/>
      <c r="J58" s="25"/>
      <c r="K58" s="25"/>
    </row>
    <row r="59" spans="1:11" x14ac:dyDescent="0.2">
      <c r="A59" s="25"/>
      <c r="B59" s="130" t="s">
        <v>250</v>
      </c>
      <c r="C59" s="130">
        <v>0</v>
      </c>
      <c r="D59" s="130" t="s">
        <v>82</v>
      </c>
      <c r="E59" s="131">
        <v>0</v>
      </c>
      <c r="F59" s="30">
        <f t="shared" si="7"/>
        <v>0</v>
      </c>
      <c r="G59" s="30">
        <f t="shared" si="3"/>
        <v>0</v>
      </c>
      <c r="H59" s="25"/>
      <c r="I59" s="25"/>
      <c r="J59" s="25"/>
      <c r="K59" s="25"/>
    </row>
    <row r="60" spans="1:11" x14ac:dyDescent="0.2">
      <c r="A60" s="25" t="s">
        <v>251</v>
      </c>
      <c r="B60" s="25"/>
      <c r="C60" s="21"/>
      <c r="D60" s="21"/>
      <c r="E60" s="21"/>
      <c r="F60" s="25"/>
      <c r="G60" s="25"/>
      <c r="H60" s="25"/>
      <c r="I60" s="25"/>
      <c r="J60" s="25"/>
      <c r="K60" s="25"/>
    </row>
    <row r="61" spans="1:11" x14ac:dyDescent="0.2">
      <c r="A61" s="25"/>
      <c r="B61" s="130" t="s">
        <v>252</v>
      </c>
      <c r="C61" s="130">
        <v>0</v>
      </c>
      <c r="D61" s="130" t="s">
        <v>253</v>
      </c>
      <c r="E61" s="131">
        <v>0</v>
      </c>
      <c r="F61" s="30">
        <f t="shared" ref="F61:F66" si="8">C61*E61</f>
        <v>0</v>
      </c>
      <c r="G61" s="30">
        <f t="shared" si="3"/>
        <v>0</v>
      </c>
      <c r="H61" s="25"/>
      <c r="I61" s="25"/>
      <c r="J61" s="25"/>
      <c r="K61" s="25"/>
    </row>
    <row r="62" spans="1:11" x14ac:dyDescent="0.2">
      <c r="A62" s="25"/>
      <c r="B62" s="130" t="s">
        <v>254</v>
      </c>
      <c r="C62" s="130">
        <v>0</v>
      </c>
      <c r="D62" s="130" t="s">
        <v>253</v>
      </c>
      <c r="E62" s="131">
        <v>0</v>
      </c>
      <c r="F62" s="30">
        <f t="shared" si="8"/>
        <v>0</v>
      </c>
      <c r="G62" s="30">
        <f t="shared" si="3"/>
        <v>0</v>
      </c>
      <c r="H62" s="25"/>
      <c r="I62" s="25"/>
      <c r="J62" s="25"/>
      <c r="K62" s="25"/>
    </row>
    <row r="63" spans="1:11" x14ac:dyDescent="0.2">
      <c r="A63" s="25"/>
      <c r="B63" s="130" t="s">
        <v>255</v>
      </c>
      <c r="C63" s="130">
        <v>0</v>
      </c>
      <c r="D63" s="130" t="s">
        <v>253</v>
      </c>
      <c r="E63" s="131">
        <v>0</v>
      </c>
      <c r="F63" s="30">
        <f t="shared" si="8"/>
        <v>0</v>
      </c>
      <c r="G63" s="30">
        <f t="shared" si="3"/>
        <v>0</v>
      </c>
      <c r="H63" s="25"/>
      <c r="I63" s="25"/>
      <c r="J63" s="25"/>
      <c r="K63" s="25"/>
    </row>
    <row r="64" spans="1:11" x14ac:dyDescent="0.2">
      <c r="A64" s="25"/>
      <c r="B64" s="130" t="s">
        <v>256</v>
      </c>
      <c r="C64" s="130">
        <v>0</v>
      </c>
      <c r="D64" s="130" t="s">
        <v>253</v>
      </c>
      <c r="E64" s="131">
        <v>0</v>
      </c>
      <c r="F64" s="30">
        <f t="shared" si="8"/>
        <v>0</v>
      </c>
      <c r="G64" s="30">
        <f t="shared" si="3"/>
        <v>0</v>
      </c>
      <c r="H64" s="25"/>
      <c r="I64" s="25"/>
      <c r="J64" s="25"/>
      <c r="K64" s="25"/>
    </row>
    <row r="65" spans="1:11" x14ac:dyDescent="0.2">
      <c r="A65" s="25"/>
      <c r="B65" s="130" t="s">
        <v>257</v>
      </c>
      <c r="C65" s="130">
        <v>0</v>
      </c>
      <c r="D65" s="130" t="s">
        <v>253</v>
      </c>
      <c r="E65" s="131">
        <v>0</v>
      </c>
      <c r="F65" s="30">
        <f t="shared" si="8"/>
        <v>0</v>
      </c>
      <c r="G65" s="30">
        <f t="shared" si="3"/>
        <v>0</v>
      </c>
      <c r="H65" s="25"/>
      <c r="I65" s="25"/>
      <c r="J65" s="25"/>
      <c r="K65" s="25"/>
    </row>
    <row r="66" spans="1:11" x14ac:dyDescent="0.2">
      <c r="A66" s="25"/>
      <c r="B66" s="130" t="s">
        <v>258</v>
      </c>
      <c r="C66" s="130">
        <v>0</v>
      </c>
      <c r="D66" s="130" t="s">
        <v>253</v>
      </c>
      <c r="E66" s="131">
        <v>0</v>
      </c>
      <c r="F66" s="30">
        <f t="shared" si="8"/>
        <v>0</v>
      </c>
      <c r="G66" s="30">
        <f t="shared" si="3"/>
        <v>0</v>
      </c>
      <c r="H66" s="25"/>
      <c r="I66" s="25"/>
      <c r="J66" s="25"/>
      <c r="K66" s="25"/>
    </row>
    <row r="67" spans="1:11" x14ac:dyDescent="0.2">
      <c r="A67" s="25" t="s">
        <v>59</v>
      </c>
      <c r="B67" s="25"/>
      <c r="C67" s="21"/>
      <c r="D67" s="21"/>
      <c r="E67" s="21"/>
      <c r="F67" s="25"/>
      <c r="G67" s="25"/>
      <c r="H67" s="25"/>
      <c r="I67" s="25"/>
      <c r="J67" s="25"/>
      <c r="K67" s="25"/>
    </row>
    <row r="68" spans="1:11" x14ac:dyDescent="0.2">
      <c r="A68" s="25"/>
      <c r="B68" s="130" t="s">
        <v>259</v>
      </c>
      <c r="C68" s="130">
        <v>0</v>
      </c>
      <c r="D68" s="130" t="s">
        <v>253</v>
      </c>
      <c r="E68" s="131">
        <v>0</v>
      </c>
      <c r="F68" s="30">
        <f t="shared" ref="F68:F73" si="9">C68*E68</f>
        <v>0</v>
      </c>
      <c r="G68" s="30">
        <f t="shared" si="3"/>
        <v>0</v>
      </c>
      <c r="H68" s="25"/>
      <c r="I68" s="25"/>
      <c r="J68" s="25"/>
      <c r="K68" s="25"/>
    </row>
    <row r="69" spans="1:11" x14ac:dyDescent="0.2">
      <c r="A69" s="25"/>
      <c r="B69" s="130" t="s">
        <v>260</v>
      </c>
      <c r="C69" s="130">
        <v>0</v>
      </c>
      <c r="D69" s="130" t="s">
        <v>253</v>
      </c>
      <c r="E69" s="131">
        <v>0</v>
      </c>
      <c r="F69" s="30">
        <f t="shared" si="9"/>
        <v>0</v>
      </c>
      <c r="G69" s="30">
        <f t="shared" si="3"/>
        <v>0</v>
      </c>
      <c r="H69" s="25"/>
      <c r="I69" s="25"/>
      <c r="J69" s="25"/>
      <c r="K69" s="25"/>
    </row>
    <row r="70" spans="1:11" x14ac:dyDescent="0.2">
      <c r="A70" s="25"/>
      <c r="B70" s="130" t="s">
        <v>261</v>
      </c>
      <c r="C70" s="130">
        <v>0</v>
      </c>
      <c r="D70" s="130" t="s">
        <v>253</v>
      </c>
      <c r="E70" s="131">
        <v>0</v>
      </c>
      <c r="F70" s="30">
        <f t="shared" si="9"/>
        <v>0</v>
      </c>
      <c r="G70" s="30">
        <f t="shared" si="3"/>
        <v>0</v>
      </c>
      <c r="H70" s="25"/>
      <c r="I70" s="25"/>
      <c r="J70" s="25"/>
      <c r="K70" s="25"/>
    </row>
    <row r="71" spans="1:11" x14ac:dyDescent="0.2">
      <c r="A71" s="25"/>
      <c r="B71" s="130" t="s">
        <v>262</v>
      </c>
      <c r="C71" s="130">
        <v>0</v>
      </c>
      <c r="D71" s="130" t="s">
        <v>253</v>
      </c>
      <c r="E71" s="131">
        <v>0</v>
      </c>
      <c r="F71" s="30">
        <f t="shared" si="9"/>
        <v>0</v>
      </c>
      <c r="G71" s="30">
        <f t="shared" si="3"/>
        <v>0</v>
      </c>
      <c r="H71" s="25"/>
      <c r="I71" s="25"/>
      <c r="J71" s="25"/>
      <c r="K71" s="25"/>
    </row>
    <row r="72" spans="1:11" x14ac:dyDescent="0.2">
      <c r="A72" s="25"/>
      <c r="B72" s="130" t="s">
        <v>263</v>
      </c>
      <c r="C72" s="130">
        <v>0</v>
      </c>
      <c r="D72" s="130" t="s">
        <v>253</v>
      </c>
      <c r="E72" s="131">
        <v>0</v>
      </c>
      <c r="F72" s="30">
        <f t="shared" si="9"/>
        <v>0</v>
      </c>
      <c r="G72" s="30">
        <f t="shared" si="3"/>
        <v>0</v>
      </c>
      <c r="H72" s="25"/>
      <c r="I72" s="25"/>
      <c r="J72" s="25"/>
      <c r="K72" s="25"/>
    </row>
    <row r="73" spans="1:11" x14ac:dyDescent="0.2">
      <c r="A73" s="25"/>
      <c r="B73" s="130" t="s">
        <v>264</v>
      </c>
      <c r="C73" s="130">
        <v>0</v>
      </c>
      <c r="D73" s="130" t="s">
        <v>253</v>
      </c>
      <c r="E73" s="131">
        <v>0</v>
      </c>
      <c r="F73" s="30">
        <f t="shared" si="9"/>
        <v>0</v>
      </c>
      <c r="G73" s="30">
        <f t="shared" si="3"/>
        <v>0</v>
      </c>
      <c r="H73" s="25"/>
      <c r="I73" s="25"/>
      <c r="J73" s="25"/>
      <c r="K73" s="25"/>
    </row>
    <row r="74" spans="1:11" x14ac:dyDescent="0.2">
      <c r="A74" s="25" t="s">
        <v>58</v>
      </c>
      <c r="B74" s="25"/>
      <c r="C74" s="21"/>
      <c r="D74" s="21"/>
      <c r="E74" s="21"/>
      <c r="F74" s="25"/>
      <c r="G74" s="25"/>
      <c r="H74" s="25"/>
      <c r="I74" s="25"/>
      <c r="J74" s="25"/>
      <c r="K74" s="25"/>
    </row>
    <row r="75" spans="1:11" x14ac:dyDescent="0.2">
      <c r="A75" s="25"/>
      <c r="B75" s="130" t="s">
        <v>265</v>
      </c>
      <c r="C75" s="130">
        <v>0</v>
      </c>
      <c r="D75" s="130" t="s">
        <v>253</v>
      </c>
      <c r="E75" s="131">
        <v>0</v>
      </c>
      <c r="F75" s="30">
        <f t="shared" ref="F75:F80" si="10">C75*E75</f>
        <v>0</v>
      </c>
      <c r="G75" s="30">
        <f t="shared" si="3"/>
        <v>0</v>
      </c>
      <c r="H75" s="25"/>
      <c r="I75" s="25"/>
      <c r="J75" s="25"/>
      <c r="K75" s="25"/>
    </row>
    <row r="76" spans="1:11" x14ac:dyDescent="0.2">
      <c r="A76" s="25"/>
      <c r="B76" s="130" t="s">
        <v>266</v>
      </c>
      <c r="C76" s="130">
        <v>0</v>
      </c>
      <c r="D76" s="130" t="s">
        <v>253</v>
      </c>
      <c r="E76" s="131">
        <v>0</v>
      </c>
      <c r="F76" s="30">
        <f t="shared" si="10"/>
        <v>0</v>
      </c>
      <c r="G76" s="30">
        <f t="shared" si="3"/>
        <v>0</v>
      </c>
      <c r="H76" s="25"/>
      <c r="I76" s="25"/>
      <c r="J76" s="25"/>
      <c r="K76" s="25"/>
    </row>
    <row r="77" spans="1:11" x14ac:dyDescent="0.2">
      <c r="A77" s="25"/>
      <c r="B77" s="130" t="s">
        <v>267</v>
      </c>
      <c r="C77" s="130">
        <v>0</v>
      </c>
      <c r="D77" s="130" t="s">
        <v>253</v>
      </c>
      <c r="E77" s="131">
        <v>0</v>
      </c>
      <c r="F77" s="30">
        <f t="shared" si="10"/>
        <v>0</v>
      </c>
      <c r="G77" s="30">
        <f t="shared" si="3"/>
        <v>0</v>
      </c>
      <c r="H77" s="25"/>
      <c r="I77" s="25"/>
      <c r="J77" s="25"/>
      <c r="K77" s="25"/>
    </row>
    <row r="78" spans="1:11" x14ac:dyDescent="0.2">
      <c r="A78" s="25"/>
      <c r="B78" s="130" t="s">
        <v>268</v>
      </c>
      <c r="C78" s="130">
        <v>0</v>
      </c>
      <c r="D78" s="130" t="s">
        <v>253</v>
      </c>
      <c r="E78" s="131">
        <v>0</v>
      </c>
      <c r="F78" s="30">
        <f t="shared" si="10"/>
        <v>0</v>
      </c>
      <c r="G78" s="30">
        <f t="shared" si="3"/>
        <v>0</v>
      </c>
      <c r="H78" s="25"/>
      <c r="I78" s="25"/>
      <c r="J78" s="25"/>
      <c r="K78" s="25"/>
    </row>
    <row r="79" spans="1:11" x14ac:dyDescent="0.2">
      <c r="A79" s="25"/>
      <c r="B79" s="130" t="s">
        <v>269</v>
      </c>
      <c r="C79" s="130">
        <v>0</v>
      </c>
      <c r="D79" s="130" t="s">
        <v>253</v>
      </c>
      <c r="E79" s="131">
        <v>0</v>
      </c>
      <c r="F79" s="30">
        <f t="shared" si="10"/>
        <v>0</v>
      </c>
      <c r="G79" s="30">
        <f t="shared" si="3"/>
        <v>0</v>
      </c>
      <c r="H79" s="25"/>
      <c r="I79" s="25"/>
      <c r="J79" s="25"/>
      <c r="K79" s="25"/>
    </row>
    <row r="80" spans="1:11" x14ac:dyDescent="0.2">
      <c r="A80" s="25"/>
      <c r="B80" s="130" t="s">
        <v>270</v>
      </c>
      <c r="C80" s="130">
        <v>0</v>
      </c>
      <c r="D80" s="130" t="s">
        <v>253</v>
      </c>
      <c r="E80" s="131">
        <v>0</v>
      </c>
      <c r="F80" s="30">
        <f t="shared" si="10"/>
        <v>0</v>
      </c>
      <c r="G80" s="30">
        <f t="shared" si="3"/>
        <v>0</v>
      </c>
      <c r="H80" s="25"/>
      <c r="I80" s="25"/>
      <c r="J80" s="25"/>
      <c r="K80" s="25"/>
    </row>
    <row r="81" spans="1:11" x14ac:dyDescent="0.2">
      <c r="A81" s="25" t="s">
        <v>60</v>
      </c>
      <c r="B81" s="25"/>
      <c r="C81" s="21"/>
      <c r="D81" s="21"/>
      <c r="E81" s="21"/>
      <c r="F81" s="25"/>
      <c r="G81" s="25"/>
      <c r="H81" s="25"/>
      <c r="I81" s="25"/>
      <c r="J81" s="25"/>
      <c r="K81" s="25"/>
    </row>
    <row r="82" spans="1:11" x14ac:dyDescent="0.2">
      <c r="A82" s="25"/>
      <c r="B82" s="130" t="s">
        <v>271</v>
      </c>
      <c r="C82" s="130">
        <v>0</v>
      </c>
      <c r="D82" s="130" t="s">
        <v>253</v>
      </c>
      <c r="E82" s="131">
        <v>0</v>
      </c>
      <c r="F82" s="30">
        <f t="shared" ref="F82:F87" si="11">C82*E82</f>
        <v>0</v>
      </c>
      <c r="G82" s="30">
        <f t="shared" si="3"/>
        <v>0</v>
      </c>
      <c r="H82" s="25"/>
      <c r="I82" s="25"/>
      <c r="J82" s="25"/>
      <c r="K82" s="25"/>
    </row>
    <row r="83" spans="1:11" x14ac:dyDescent="0.2">
      <c r="A83" s="25"/>
      <c r="B83" s="130" t="s">
        <v>272</v>
      </c>
      <c r="C83" s="130">
        <v>0</v>
      </c>
      <c r="D83" s="130" t="s">
        <v>253</v>
      </c>
      <c r="E83" s="131">
        <v>0</v>
      </c>
      <c r="F83" s="30">
        <f t="shared" si="11"/>
        <v>0</v>
      </c>
      <c r="G83" s="30">
        <f t="shared" si="3"/>
        <v>0</v>
      </c>
      <c r="H83" s="25"/>
      <c r="I83" s="25"/>
      <c r="J83" s="25"/>
      <c r="K83" s="25"/>
    </row>
    <row r="84" spans="1:11" x14ac:dyDescent="0.2">
      <c r="A84" s="25"/>
      <c r="B84" s="130" t="s">
        <v>273</v>
      </c>
      <c r="C84" s="130">
        <v>0</v>
      </c>
      <c r="D84" s="130" t="s">
        <v>253</v>
      </c>
      <c r="E84" s="131">
        <v>0</v>
      </c>
      <c r="F84" s="30">
        <f t="shared" si="11"/>
        <v>0</v>
      </c>
      <c r="G84" s="30">
        <f t="shared" si="3"/>
        <v>0</v>
      </c>
      <c r="H84" s="25"/>
      <c r="I84" s="25"/>
      <c r="J84" s="25"/>
      <c r="K84" s="25"/>
    </row>
    <row r="85" spans="1:11" x14ac:dyDescent="0.2">
      <c r="A85" s="25"/>
      <c r="B85" s="130" t="s">
        <v>274</v>
      </c>
      <c r="C85" s="130">
        <v>0</v>
      </c>
      <c r="D85" s="130" t="s">
        <v>253</v>
      </c>
      <c r="E85" s="131">
        <v>0</v>
      </c>
      <c r="F85" s="30">
        <f t="shared" si="11"/>
        <v>0</v>
      </c>
      <c r="G85" s="30">
        <f t="shared" si="3"/>
        <v>0</v>
      </c>
      <c r="H85" s="25"/>
      <c r="I85" s="25"/>
      <c r="J85" s="25"/>
      <c r="K85" s="25"/>
    </row>
    <row r="86" spans="1:11" x14ac:dyDescent="0.2">
      <c r="A86" s="25"/>
      <c r="B86" s="130" t="s">
        <v>275</v>
      </c>
      <c r="C86" s="130">
        <v>0</v>
      </c>
      <c r="D86" s="130" t="s">
        <v>253</v>
      </c>
      <c r="E86" s="131">
        <v>0</v>
      </c>
      <c r="F86" s="30">
        <f t="shared" si="11"/>
        <v>0</v>
      </c>
      <c r="G86" s="30">
        <f t="shared" si="3"/>
        <v>0</v>
      </c>
      <c r="H86" s="25"/>
      <c r="I86" s="25"/>
      <c r="J86" s="25"/>
      <c r="K86" s="25"/>
    </row>
    <row r="87" spans="1:11" x14ac:dyDescent="0.2">
      <c r="A87" s="25"/>
      <c r="B87" s="130" t="s">
        <v>276</v>
      </c>
      <c r="C87" s="130">
        <v>0</v>
      </c>
      <c r="D87" s="130" t="s">
        <v>253</v>
      </c>
      <c r="E87" s="131">
        <v>0</v>
      </c>
      <c r="F87" s="30">
        <f t="shared" si="11"/>
        <v>0</v>
      </c>
      <c r="G87" s="30">
        <f t="shared" si="3"/>
        <v>0</v>
      </c>
      <c r="H87" s="25"/>
      <c r="I87" s="25"/>
      <c r="J87" s="25"/>
      <c r="K87" s="25"/>
    </row>
    <row r="88" spans="1:11" x14ac:dyDescent="0.2">
      <c r="A88" s="25" t="s">
        <v>101</v>
      </c>
      <c r="B88" s="25"/>
      <c r="C88" s="21"/>
      <c r="D88" s="21"/>
      <c r="E88" s="21"/>
      <c r="F88" s="25"/>
      <c r="G88" s="25"/>
      <c r="H88" s="25"/>
      <c r="I88" s="25"/>
      <c r="J88" s="25"/>
      <c r="K88" s="25"/>
    </row>
    <row r="89" spans="1:11" x14ac:dyDescent="0.2">
      <c r="A89" s="25"/>
      <c r="B89" s="130" t="s">
        <v>277</v>
      </c>
      <c r="C89" s="130">
        <v>0</v>
      </c>
      <c r="D89" s="130" t="s">
        <v>253</v>
      </c>
      <c r="E89" s="131">
        <v>0</v>
      </c>
      <c r="F89" s="30">
        <f t="shared" ref="F89:F94" si="12">C89*E89</f>
        <v>0</v>
      </c>
      <c r="G89" s="30">
        <f t="shared" si="3"/>
        <v>0</v>
      </c>
      <c r="H89" s="25"/>
      <c r="I89" s="25"/>
      <c r="J89" s="25"/>
      <c r="K89" s="25"/>
    </row>
    <row r="90" spans="1:11" x14ac:dyDescent="0.2">
      <c r="A90" s="25"/>
      <c r="B90" s="130" t="s">
        <v>278</v>
      </c>
      <c r="C90" s="130">
        <v>0</v>
      </c>
      <c r="D90" s="130" t="s">
        <v>253</v>
      </c>
      <c r="E90" s="131">
        <v>0</v>
      </c>
      <c r="F90" s="30">
        <f t="shared" si="12"/>
        <v>0</v>
      </c>
      <c r="G90" s="30">
        <f>+F90*$D$5</f>
        <v>0</v>
      </c>
      <c r="H90" s="25"/>
      <c r="I90" s="25"/>
      <c r="J90" s="25"/>
      <c r="K90" s="25"/>
    </row>
    <row r="91" spans="1:11" x14ac:dyDescent="0.2">
      <c r="A91" s="25"/>
      <c r="B91" s="130" t="s">
        <v>279</v>
      </c>
      <c r="C91" s="130">
        <v>0</v>
      </c>
      <c r="D91" s="130" t="s">
        <v>253</v>
      </c>
      <c r="E91" s="131">
        <v>0</v>
      </c>
      <c r="F91" s="30">
        <f t="shared" si="12"/>
        <v>0</v>
      </c>
      <c r="G91" s="30">
        <f>+F91*$D$5</f>
        <v>0</v>
      </c>
      <c r="H91" s="25"/>
      <c r="I91" s="25"/>
      <c r="J91" s="25"/>
      <c r="K91" s="25"/>
    </row>
    <row r="92" spans="1:11" x14ac:dyDescent="0.2">
      <c r="A92" s="25"/>
      <c r="B92" s="130" t="s">
        <v>280</v>
      </c>
      <c r="C92" s="130">
        <v>0</v>
      </c>
      <c r="D92" s="130" t="s">
        <v>253</v>
      </c>
      <c r="E92" s="131">
        <v>0</v>
      </c>
      <c r="F92" s="30">
        <f t="shared" si="12"/>
        <v>0</v>
      </c>
      <c r="G92" s="30">
        <f>+F92*$D$5</f>
        <v>0</v>
      </c>
      <c r="H92" s="25"/>
      <c r="I92" s="25"/>
      <c r="J92" s="25"/>
      <c r="K92" s="25"/>
    </row>
    <row r="93" spans="1:11" x14ac:dyDescent="0.2">
      <c r="A93" s="25"/>
      <c r="B93" s="130" t="s">
        <v>281</v>
      </c>
      <c r="C93" s="130">
        <v>0</v>
      </c>
      <c r="D93" s="130" t="s">
        <v>253</v>
      </c>
      <c r="E93" s="131">
        <v>0</v>
      </c>
      <c r="F93" s="30">
        <f t="shared" si="12"/>
        <v>0</v>
      </c>
      <c r="G93" s="30">
        <f>+F93*$D$5</f>
        <v>0</v>
      </c>
      <c r="H93" s="25"/>
      <c r="I93" s="25"/>
      <c r="J93" s="25"/>
      <c r="K93" s="25"/>
    </row>
    <row r="94" spans="1:11" x14ac:dyDescent="0.2">
      <c r="A94" s="25"/>
      <c r="B94" s="130" t="s">
        <v>282</v>
      </c>
      <c r="C94" s="130">
        <v>0</v>
      </c>
      <c r="D94" s="130" t="s">
        <v>253</v>
      </c>
      <c r="E94" s="131">
        <v>0</v>
      </c>
      <c r="F94" s="30">
        <f t="shared" si="12"/>
        <v>0</v>
      </c>
      <c r="G94" s="30">
        <f>+F94*$D$5</f>
        <v>0</v>
      </c>
      <c r="H94" s="25"/>
      <c r="I94" s="25"/>
      <c r="J94" s="25"/>
      <c r="K94" s="25"/>
    </row>
    <row r="95" spans="1:11" x14ac:dyDescent="0.2">
      <c r="A95" s="25" t="s">
        <v>45</v>
      </c>
      <c r="B95" s="25"/>
      <c r="C95" s="21"/>
      <c r="D95" s="21"/>
      <c r="E95" s="21"/>
      <c r="F95" s="25"/>
      <c r="G95" s="25"/>
      <c r="H95" s="25"/>
      <c r="I95" s="25"/>
      <c r="J95" s="25"/>
      <c r="K95" s="25"/>
    </row>
    <row r="96" spans="1:11" x14ac:dyDescent="0.2">
      <c r="A96" s="25"/>
      <c r="B96" s="130" t="s">
        <v>283</v>
      </c>
      <c r="C96" s="130">
        <v>0</v>
      </c>
      <c r="D96" s="130" t="s">
        <v>42</v>
      </c>
      <c r="E96" s="131">
        <v>0</v>
      </c>
      <c r="F96" s="30">
        <f t="shared" ref="F96:F104" si="13">C96*E96</f>
        <v>0</v>
      </c>
      <c r="G96" s="30">
        <f t="shared" ref="G96:G114" si="14">+F96*$D$5</f>
        <v>0</v>
      </c>
      <c r="H96" s="25"/>
      <c r="I96" s="25"/>
      <c r="J96" s="25"/>
      <c r="K96" s="25"/>
    </row>
    <row r="97" spans="1:11" x14ac:dyDescent="0.2">
      <c r="A97" s="25"/>
      <c r="B97" s="130" t="s">
        <v>284</v>
      </c>
      <c r="C97" s="130">
        <v>0</v>
      </c>
      <c r="D97" s="130" t="s">
        <v>285</v>
      </c>
      <c r="E97" s="131">
        <v>0</v>
      </c>
      <c r="F97" s="30">
        <f t="shared" si="13"/>
        <v>0</v>
      </c>
      <c r="G97" s="30">
        <f t="shared" si="14"/>
        <v>0</v>
      </c>
      <c r="H97" s="25"/>
      <c r="I97" s="25"/>
      <c r="J97" s="25"/>
      <c r="K97" s="25"/>
    </row>
    <row r="98" spans="1:11" x14ac:dyDescent="0.2">
      <c r="A98" s="25"/>
      <c r="B98" s="130" t="s">
        <v>286</v>
      </c>
      <c r="C98" s="130">
        <v>0</v>
      </c>
      <c r="D98" s="130" t="s">
        <v>42</v>
      </c>
      <c r="E98" s="131">
        <v>0</v>
      </c>
      <c r="F98" s="30">
        <f t="shared" si="13"/>
        <v>0</v>
      </c>
      <c r="G98" s="30">
        <f t="shared" si="14"/>
        <v>0</v>
      </c>
      <c r="H98" s="25"/>
      <c r="I98" s="25"/>
      <c r="J98" s="25"/>
      <c r="K98" s="25"/>
    </row>
    <row r="99" spans="1:11" x14ac:dyDescent="0.2">
      <c r="A99" s="25"/>
      <c r="B99" s="130" t="s">
        <v>287</v>
      </c>
      <c r="C99" s="130">
        <v>0</v>
      </c>
      <c r="D99" s="130" t="s">
        <v>42</v>
      </c>
      <c r="E99" s="131">
        <v>0</v>
      </c>
      <c r="F99" s="30">
        <f t="shared" si="13"/>
        <v>0</v>
      </c>
      <c r="G99" s="30">
        <f t="shared" si="14"/>
        <v>0</v>
      </c>
      <c r="H99" s="25"/>
      <c r="I99" s="25"/>
      <c r="J99" s="25"/>
      <c r="K99" s="25"/>
    </row>
    <row r="100" spans="1:11" x14ac:dyDescent="0.2">
      <c r="A100" s="25"/>
      <c r="B100" s="130" t="s">
        <v>226</v>
      </c>
      <c r="C100" s="130">
        <v>0</v>
      </c>
      <c r="D100" s="130" t="s">
        <v>42</v>
      </c>
      <c r="E100" s="131">
        <v>0</v>
      </c>
      <c r="F100" s="30">
        <f t="shared" si="13"/>
        <v>0</v>
      </c>
      <c r="G100" s="30">
        <f t="shared" si="14"/>
        <v>0</v>
      </c>
      <c r="H100" s="25"/>
      <c r="I100" s="25"/>
      <c r="J100" s="25"/>
      <c r="K100" s="25"/>
    </row>
    <row r="101" spans="1:11" x14ac:dyDescent="0.2">
      <c r="A101" s="25"/>
      <c r="B101" s="130" t="s">
        <v>288</v>
      </c>
      <c r="C101" s="130">
        <v>0</v>
      </c>
      <c r="D101" s="130" t="s">
        <v>289</v>
      </c>
      <c r="E101" s="131">
        <v>0</v>
      </c>
      <c r="F101" s="30">
        <f t="shared" si="13"/>
        <v>0</v>
      </c>
      <c r="G101" s="30">
        <f t="shared" si="14"/>
        <v>0</v>
      </c>
      <c r="H101" s="25"/>
      <c r="I101" s="25"/>
      <c r="J101" s="25"/>
      <c r="K101" s="25"/>
    </row>
    <row r="102" spans="1:11" x14ac:dyDescent="0.2">
      <c r="A102" s="25"/>
      <c r="B102" s="130" t="s">
        <v>151</v>
      </c>
      <c r="C102" s="130">
        <v>0</v>
      </c>
      <c r="D102" s="130" t="s">
        <v>290</v>
      </c>
      <c r="E102" s="131">
        <v>0</v>
      </c>
      <c r="F102" s="30">
        <f t="shared" si="13"/>
        <v>0</v>
      </c>
      <c r="G102" s="30">
        <f t="shared" si="14"/>
        <v>0</v>
      </c>
      <c r="H102" s="25"/>
      <c r="I102" s="25"/>
      <c r="J102" s="25"/>
      <c r="K102" s="25"/>
    </row>
    <row r="103" spans="1:11" x14ac:dyDescent="0.2">
      <c r="A103" s="25"/>
      <c r="B103" s="130" t="s">
        <v>291</v>
      </c>
      <c r="C103" s="130">
        <v>0</v>
      </c>
      <c r="D103" s="130" t="s">
        <v>42</v>
      </c>
      <c r="E103" s="131">
        <v>0</v>
      </c>
      <c r="F103" s="30">
        <f t="shared" si="13"/>
        <v>0</v>
      </c>
      <c r="G103" s="30">
        <f t="shared" si="14"/>
        <v>0</v>
      </c>
      <c r="H103" s="25"/>
      <c r="I103" s="25"/>
      <c r="J103" s="25"/>
      <c r="K103" s="25"/>
    </row>
    <row r="104" spans="1:11" x14ac:dyDescent="0.2">
      <c r="A104" s="25"/>
      <c r="B104" s="130" t="s">
        <v>292</v>
      </c>
      <c r="C104" s="130">
        <v>0</v>
      </c>
      <c r="D104" s="130" t="s">
        <v>42</v>
      </c>
      <c r="E104" s="131">
        <v>0</v>
      </c>
      <c r="F104" s="30">
        <f t="shared" si="13"/>
        <v>0</v>
      </c>
      <c r="G104" s="30">
        <f t="shared" si="14"/>
        <v>0</v>
      </c>
      <c r="H104" s="25"/>
      <c r="I104" s="25"/>
      <c r="J104" s="25"/>
      <c r="K104" s="25"/>
    </row>
    <row r="105" spans="1:11" x14ac:dyDescent="0.2">
      <c r="A105" s="25" t="s">
        <v>293</v>
      </c>
      <c r="B105" s="25"/>
      <c r="C105" s="21"/>
      <c r="D105" s="21"/>
      <c r="E105" s="21"/>
      <c r="F105" s="25"/>
      <c r="G105" s="25"/>
      <c r="H105" s="25"/>
      <c r="I105" s="25"/>
      <c r="J105" s="25"/>
      <c r="K105" s="25"/>
    </row>
    <row r="106" spans="1:11" x14ac:dyDescent="0.2">
      <c r="A106" s="25"/>
      <c r="B106" s="130" t="s">
        <v>294</v>
      </c>
      <c r="C106" s="130">
        <v>0</v>
      </c>
      <c r="D106" s="130" t="s">
        <v>42</v>
      </c>
      <c r="E106" s="131">
        <v>0</v>
      </c>
      <c r="F106" s="30">
        <f t="shared" ref="F106:F114" si="15">C106*E106</f>
        <v>0</v>
      </c>
      <c r="G106" s="30">
        <f t="shared" si="14"/>
        <v>0</v>
      </c>
      <c r="H106" s="25"/>
      <c r="I106" s="25"/>
      <c r="J106" s="25"/>
      <c r="K106" s="25"/>
    </row>
    <row r="107" spans="1:11" x14ac:dyDescent="0.2">
      <c r="A107" s="25"/>
      <c r="B107" s="130" t="s">
        <v>295</v>
      </c>
      <c r="C107" s="130">
        <v>0</v>
      </c>
      <c r="D107" s="130" t="s">
        <v>296</v>
      </c>
      <c r="E107" s="131">
        <v>0</v>
      </c>
      <c r="F107" s="30">
        <f t="shared" si="15"/>
        <v>0</v>
      </c>
      <c r="G107" s="30">
        <f t="shared" si="14"/>
        <v>0</v>
      </c>
      <c r="H107" s="25"/>
      <c r="I107" s="25"/>
      <c r="J107" s="25"/>
      <c r="K107" s="25"/>
    </row>
    <row r="108" spans="1:11" x14ac:dyDescent="0.2">
      <c r="A108" s="25"/>
      <c r="B108" s="130" t="s">
        <v>297</v>
      </c>
      <c r="C108" s="130">
        <v>0</v>
      </c>
      <c r="D108" s="130" t="s">
        <v>296</v>
      </c>
      <c r="E108" s="131">
        <v>0</v>
      </c>
      <c r="F108" s="30">
        <f t="shared" si="15"/>
        <v>0</v>
      </c>
      <c r="G108" s="30">
        <f t="shared" si="14"/>
        <v>0</v>
      </c>
      <c r="H108" s="25"/>
      <c r="I108" s="25"/>
      <c r="J108" s="25"/>
      <c r="K108" s="25"/>
    </row>
    <row r="109" spans="1:11" x14ac:dyDescent="0.2">
      <c r="A109" s="25"/>
      <c r="B109" s="130" t="s">
        <v>298</v>
      </c>
      <c r="C109" s="130">
        <v>0</v>
      </c>
      <c r="D109" s="130" t="s">
        <v>296</v>
      </c>
      <c r="E109" s="131">
        <v>0</v>
      </c>
      <c r="F109" s="30">
        <f t="shared" si="15"/>
        <v>0</v>
      </c>
      <c r="G109" s="30">
        <f t="shared" si="14"/>
        <v>0</v>
      </c>
      <c r="H109" s="25"/>
      <c r="I109" s="25"/>
      <c r="J109" s="25"/>
      <c r="K109" s="25"/>
    </row>
    <row r="110" spans="1:11" x14ac:dyDescent="0.2">
      <c r="A110" s="25"/>
      <c r="B110" s="130" t="s">
        <v>299</v>
      </c>
      <c r="C110" s="130">
        <v>0</v>
      </c>
      <c r="D110" s="130" t="s">
        <v>296</v>
      </c>
      <c r="E110" s="131">
        <v>0</v>
      </c>
      <c r="F110" s="30">
        <f t="shared" si="15"/>
        <v>0</v>
      </c>
      <c r="G110" s="30">
        <f t="shared" si="14"/>
        <v>0</v>
      </c>
      <c r="H110" s="25"/>
      <c r="I110" s="25"/>
      <c r="J110" s="25"/>
      <c r="K110" s="25"/>
    </row>
    <row r="111" spans="1:11" x14ac:dyDescent="0.2">
      <c r="A111" s="25"/>
      <c r="B111" s="130" t="s">
        <v>300</v>
      </c>
      <c r="C111" s="130">
        <v>0</v>
      </c>
      <c r="D111" s="130" t="s">
        <v>296</v>
      </c>
      <c r="E111" s="131">
        <v>0</v>
      </c>
      <c r="F111" s="30">
        <f t="shared" si="15"/>
        <v>0</v>
      </c>
      <c r="G111" s="30">
        <f t="shared" si="14"/>
        <v>0</v>
      </c>
      <c r="H111" s="25"/>
      <c r="I111" s="25"/>
      <c r="J111" s="25"/>
      <c r="K111" s="25"/>
    </row>
    <row r="112" spans="1:11" x14ac:dyDescent="0.2">
      <c r="A112" s="25"/>
      <c r="B112" s="130" t="s">
        <v>301</v>
      </c>
      <c r="C112" s="130">
        <v>0</v>
      </c>
      <c r="D112" s="130" t="s">
        <v>296</v>
      </c>
      <c r="E112" s="131">
        <v>0</v>
      </c>
      <c r="F112" s="30">
        <f t="shared" si="15"/>
        <v>0</v>
      </c>
      <c r="G112" s="30">
        <f t="shared" si="14"/>
        <v>0</v>
      </c>
      <c r="H112" s="25"/>
      <c r="I112" s="25"/>
      <c r="J112" s="25"/>
      <c r="K112" s="25"/>
    </row>
    <row r="113" spans="1:11" x14ac:dyDescent="0.2">
      <c r="A113" s="25"/>
      <c r="B113" s="130" t="s">
        <v>302</v>
      </c>
      <c r="C113" s="130">
        <v>0</v>
      </c>
      <c r="D113" s="130" t="s">
        <v>296</v>
      </c>
      <c r="E113" s="131">
        <v>0</v>
      </c>
      <c r="F113" s="30">
        <f t="shared" si="15"/>
        <v>0</v>
      </c>
      <c r="G113" s="30">
        <f t="shared" si="14"/>
        <v>0</v>
      </c>
      <c r="H113" s="25"/>
      <c r="I113" s="25"/>
      <c r="J113" s="25"/>
      <c r="K113" s="25"/>
    </row>
    <row r="114" spans="1:11" x14ac:dyDescent="0.2">
      <c r="A114" s="25"/>
      <c r="B114" s="130" t="s">
        <v>303</v>
      </c>
      <c r="C114" s="130">
        <v>0</v>
      </c>
      <c r="D114" s="130" t="s">
        <v>296</v>
      </c>
      <c r="E114" s="131">
        <v>0</v>
      </c>
      <c r="F114" s="30">
        <f t="shared" si="15"/>
        <v>0</v>
      </c>
      <c r="G114" s="30">
        <f t="shared" si="14"/>
        <v>0</v>
      </c>
      <c r="H114" s="25"/>
      <c r="I114" s="25"/>
      <c r="J114" s="25"/>
      <c r="K114" s="25"/>
    </row>
    <row r="115" spans="1:11" x14ac:dyDescent="0.2">
      <c r="A115" s="30"/>
      <c r="B115" s="30"/>
      <c r="C115" s="30"/>
      <c r="D115" s="30"/>
      <c r="E115" s="30"/>
      <c r="F115" s="30"/>
      <c r="G115" s="30"/>
      <c r="H115" s="25"/>
      <c r="I115" s="25"/>
      <c r="J115" s="25"/>
      <c r="K115" s="25"/>
    </row>
    <row r="116" spans="1:11" x14ac:dyDescent="0.2">
      <c r="B116" s="17" t="s">
        <v>64</v>
      </c>
      <c r="C116" s="127"/>
      <c r="D116" s="127"/>
      <c r="E116" s="135">
        <v>0</v>
      </c>
      <c r="F116" s="30">
        <f>+SUM(F23:F115)/2*E116</f>
        <v>0</v>
      </c>
      <c r="G116" s="30">
        <f>+F116*$D$6</f>
        <v>0</v>
      </c>
    </row>
    <row r="117" spans="1:11" x14ac:dyDescent="0.2">
      <c r="C117" s="22"/>
      <c r="D117" s="22"/>
      <c r="E117" s="22"/>
      <c r="F117" s="30"/>
      <c r="G117" s="30"/>
    </row>
    <row r="118" spans="1:11" x14ac:dyDescent="0.2">
      <c r="A118" s="25" t="s">
        <v>33</v>
      </c>
      <c r="C118" s="22"/>
      <c r="D118" s="22"/>
      <c r="E118" s="22"/>
      <c r="F118" s="30">
        <f>+SUM(F23:F116)</f>
        <v>0</v>
      </c>
      <c r="G118" s="30">
        <f>+SUM(G23:G116)</f>
        <v>0</v>
      </c>
    </row>
    <row r="119" spans="1:11" x14ac:dyDescent="0.2">
      <c r="A119" s="25"/>
      <c r="C119" s="22"/>
      <c r="D119" s="22"/>
      <c r="E119" s="22"/>
    </row>
    <row r="120" spans="1:11" x14ac:dyDescent="0.2">
      <c r="A120" s="25" t="s">
        <v>63</v>
      </c>
      <c r="C120" s="22"/>
      <c r="D120" s="22"/>
      <c r="E120" s="22"/>
      <c r="F120" s="30">
        <f>+F18-F118</f>
        <v>0</v>
      </c>
      <c r="G120" s="30">
        <f>+G18-G118</f>
        <v>0</v>
      </c>
    </row>
    <row r="121" spans="1:11" x14ac:dyDescent="0.2">
      <c r="A121" s="25"/>
      <c r="C121" s="22"/>
      <c r="D121" s="22"/>
      <c r="E121" s="22"/>
      <c r="F121" s="30"/>
      <c r="G121" s="30"/>
    </row>
    <row r="122" spans="1:11" x14ac:dyDescent="0.2">
      <c r="A122" s="25"/>
      <c r="B122" s="17" t="s">
        <v>35</v>
      </c>
      <c r="C122" s="22"/>
      <c r="D122" s="22"/>
      <c r="E122" s="28">
        <f>+IF(C9=0,0,F118-SUM(F10:F16)/C9)</f>
        <v>0</v>
      </c>
      <c r="F122" s="22" t="str">
        <f>+D9</f>
        <v>Cwt,lb,etc</v>
      </c>
      <c r="G122" s="30"/>
    </row>
    <row r="123" spans="1:11" x14ac:dyDescent="0.2">
      <c r="A123" s="25"/>
      <c r="C123" s="22"/>
      <c r="D123" s="22"/>
      <c r="E123" s="22"/>
      <c r="F123" s="30"/>
      <c r="G123" s="30"/>
    </row>
    <row r="124" spans="1:11" x14ac:dyDescent="0.2">
      <c r="A124" s="25"/>
      <c r="C124" s="22"/>
      <c r="D124" s="22"/>
      <c r="E124" s="22"/>
      <c r="G124" s="22" t="s">
        <v>19</v>
      </c>
    </row>
    <row r="125" spans="1:11" x14ac:dyDescent="0.2">
      <c r="A125" s="23" t="s">
        <v>36</v>
      </c>
      <c r="B125" s="23"/>
      <c r="C125" s="24" t="s">
        <v>2</v>
      </c>
      <c r="D125" s="24" t="s">
        <v>21</v>
      </c>
      <c r="E125" s="24" t="s">
        <v>22</v>
      </c>
      <c r="F125" s="24" t="s">
        <v>12</v>
      </c>
      <c r="G125" s="24" t="s">
        <v>12</v>
      </c>
    </row>
    <row r="126" spans="1:11" x14ac:dyDescent="0.2">
      <c r="B126" s="17" t="s">
        <v>304</v>
      </c>
      <c r="C126" s="130">
        <v>1</v>
      </c>
      <c r="D126" s="130" t="s">
        <v>42</v>
      </c>
      <c r="E126" s="131">
        <v>0</v>
      </c>
      <c r="F126" s="30">
        <f>C126*E126</f>
        <v>0</v>
      </c>
      <c r="G126" s="30">
        <f t="shared" ref="G126:G137" si="16">+F126*$D$6</f>
        <v>0</v>
      </c>
    </row>
    <row r="127" spans="1:11" x14ac:dyDescent="0.2">
      <c r="B127" s="17" t="s">
        <v>90</v>
      </c>
      <c r="C127" s="130">
        <v>1</v>
      </c>
      <c r="D127" s="130" t="s">
        <v>42</v>
      </c>
      <c r="E127" s="131">
        <v>0</v>
      </c>
      <c r="F127" s="30">
        <f t="shared" ref="F127:F137" si="17">C127*E127</f>
        <v>0</v>
      </c>
      <c r="G127" s="30">
        <f t="shared" si="16"/>
        <v>0</v>
      </c>
    </row>
    <row r="128" spans="1:11" x14ac:dyDescent="0.2">
      <c r="B128" s="17" t="s">
        <v>88</v>
      </c>
      <c r="C128" s="130">
        <v>0</v>
      </c>
      <c r="D128" s="130" t="s">
        <v>328</v>
      </c>
      <c r="E128" s="131">
        <v>0</v>
      </c>
      <c r="F128" s="30">
        <f t="shared" si="17"/>
        <v>0</v>
      </c>
      <c r="G128" s="30">
        <f t="shared" si="16"/>
        <v>0</v>
      </c>
    </row>
    <row r="129" spans="1:7" x14ac:dyDescent="0.2">
      <c r="B129" s="17" t="s">
        <v>86</v>
      </c>
      <c r="C129" s="130">
        <v>1</v>
      </c>
      <c r="D129" s="130" t="s">
        <v>42</v>
      </c>
      <c r="E129" s="131">
        <v>0</v>
      </c>
      <c r="F129" s="30">
        <f t="shared" si="17"/>
        <v>0</v>
      </c>
      <c r="G129" s="30">
        <f t="shared" si="16"/>
        <v>0</v>
      </c>
    </row>
    <row r="130" spans="1:7" x14ac:dyDescent="0.2">
      <c r="B130" s="17" t="s">
        <v>206</v>
      </c>
      <c r="C130" s="130">
        <v>1</v>
      </c>
      <c r="D130" s="130" t="s">
        <v>42</v>
      </c>
      <c r="E130" s="131">
        <v>0</v>
      </c>
      <c r="F130" s="30">
        <f t="shared" si="17"/>
        <v>0</v>
      </c>
      <c r="G130" s="30">
        <f t="shared" si="16"/>
        <v>0</v>
      </c>
    </row>
    <row r="131" spans="1:7" x14ac:dyDescent="0.2">
      <c r="B131" s="17" t="s">
        <v>207</v>
      </c>
      <c r="C131" s="130">
        <v>0</v>
      </c>
      <c r="D131" s="130" t="s">
        <v>42</v>
      </c>
      <c r="E131" s="131">
        <v>0</v>
      </c>
      <c r="F131" s="30">
        <f t="shared" si="17"/>
        <v>0</v>
      </c>
      <c r="G131" s="30">
        <f t="shared" si="16"/>
        <v>0</v>
      </c>
    </row>
    <row r="132" spans="1:7" x14ac:dyDescent="0.2">
      <c r="B132" s="17" t="s">
        <v>156</v>
      </c>
      <c r="C132" s="130">
        <v>1</v>
      </c>
      <c r="D132" s="130" t="s">
        <v>305</v>
      </c>
      <c r="E132" s="131">
        <v>0</v>
      </c>
      <c r="F132" s="30">
        <f t="shared" si="17"/>
        <v>0</v>
      </c>
      <c r="G132" s="30">
        <f t="shared" si="16"/>
        <v>0</v>
      </c>
    </row>
    <row r="133" spans="1:7" x14ac:dyDescent="0.2">
      <c r="B133" s="134" t="s">
        <v>65</v>
      </c>
      <c r="C133" s="130">
        <v>0</v>
      </c>
      <c r="D133" s="130" t="s">
        <v>305</v>
      </c>
      <c r="E133" s="131">
        <v>0</v>
      </c>
      <c r="F133" s="30">
        <f t="shared" si="17"/>
        <v>0</v>
      </c>
      <c r="G133" s="30">
        <f t="shared" si="16"/>
        <v>0</v>
      </c>
    </row>
    <row r="134" spans="1:7" x14ac:dyDescent="0.2">
      <c r="B134" s="134" t="s">
        <v>65</v>
      </c>
      <c r="C134" s="130">
        <v>0</v>
      </c>
      <c r="D134" s="130" t="s">
        <v>305</v>
      </c>
      <c r="E134" s="131">
        <v>0</v>
      </c>
      <c r="F134" s="30">
        <f t="shared" si="17"/>
        <v>0</v>
      </c>
      <c r="G134" s="30">
        <f t="shared" si="16"/>
        <v>0</v>
      </c>
    </row>
    <row r="135" spans="1:7" x14ac:dyDescent="0.2">
      <c r="B135" s="134" t="s">
        <v>65</v>
      </c>
      <c r="C135" s="130">
        <v>0</v>
      </c>
      <c r="D135" s="130" t="s">
        <v>305</v>
      </c>
      <c r="E135" s="131">
        <v>0</v>
      </c>
      <c r="F135" s="30">
        <f t="shared" si="17"/>
        <v>0</v>
      </c>
      <c r="G135" s="30">
        <f t="shared" si="16"/>
        <v>0</v>
      </c>
    </row>
    <row r="136" spans="1:7" x14ac:dyDescent="0.2">
      <c r="B136" s="134" t="s">
        <v>65</v>
      </c>
      <c r="C136" s="130">
        <v>0</v>
      </c>
      <c r="D136" s="130" t="s">
        <v>305</v>
      </c>
      <c r="E136" s="131">
        <v>0</v>
      </c>
      <c r="F136" s="30">
        <f t="shared" si="17"/>
        <v>0</v>
      </c>
      <c r="G136" s="30">
        <f t="shared" si="16"/>
        <v>0</v>
      </c>
    </row>
    <row r="137" spans="1:7" x14ac:dyDescent="0.2">
      <c r="B137" s="134" t="s">
        <v>65</v>
      </c>
      <c r="C137" s="130">
        <v>0</v>
      </c>
      <c r="D137" s="130" t="s">
        <v>305</v>
      </c>
      <c r="E137" s="131">
        <v>0</v>
      </c>
      <c r="F137" s="30">
        <f t="shared" si="17"/>
        <v>0</v>
      </c>
      <c r="G137" s="30">
        <f t="shared" si="16"/>
        <v>0</v>
      </c>
    </row>
    <row r="138" spans="1:7" x14ac:dyDescent="0.2">
      <c r="C138" s="22"/>
    </row>
    <row r="139" spans="1:7" x14ac:dyDescent="0.2">
      <c r="A139" s="25"/>
      <c r="D139" s="17" t="s">
        <v>37</v>
      </c>
      <c r="F139" s="30">
        <f>+SUM(F126:F137)</f>
        <v>0</v>
      </c>
      <c r="G139" s="30">
        <f>+SUM(G126:G137)</f>
        <v>0</v>
      </c>
    </row>
    <row r="140" spans="1:7" x14ac:dyDescent="0.2">
      <c r="A140" s="25"/>
    </row>
    <row r="141" spans="1:7" x14ac:dyDescent="0.2">
      <c r="A141" s="25"/>
      <c r="D141" s="17" t="s">
        <v>52</v>
      </c>
      <c r="F141" s="30">
        <f>+F118+F139</f>
        <v>0</v>
      </c>
      <c r="G141" s="30">
        <f>+G118+G139</f>
        <v>0</v>
      </c>
    </row>
    <row r="142" spans="1:7" x14ac:dyDescent="0.2">
      <c r="A142" s="25"/>
    </row>
    <row r="143" spans="1:7" x14ac:dyDescent="0.2">
      <c r="A143" s="25"/>
      <c r="D143" s="17" t="s">
        <v>53</v>
      </c>
      <c r="F143" s="30">
        <f>+F18-F141</f>
        <v>0</v>
      </c>
      <c r="G143" s="30">
        <f>+G18-G141</f>
        <v>0</v>
      </c>
    </row>
    <row r="144" spans="1:7" x14ac:dyDescent="0.2">
      <c r="A144" s="25"/>
      <c r="F144" s="30"/>
      <c r="G144" s="30"/>
    </row>
    <row r="145" spans="1:9" x14ac:dyDescent="0.2">
      <c r="A145" s="25"/>
      <c r="B145" s="17" t="s">
        <v>208</v>
      </c>
      <c r="C145" s="22"/>
      <c r="D145" s="22"/>
      <c r="E145" s="28">
        <f>+IF(C9=0,0,F141-SUM(F10:F16)/C9)</f>
        <v>0</v>
      </c>
      <c r="F145" s="22" t="str">
        <f>+D9</f>
        <v>Cwt,lb,etc</v>
      </c>
      <c r="G145" s="30"/>
    </row>
    <row r="147" spans="1:9" ht="15.75" x14ac:dyDescent="0.25">
      <c r="B147" s="281" t="s">
        <v>306</v>
      </c>
      <c r="C147" s="263"/>
      <c r="D147" s="263"/>
      <c r="E147" s="263"/>
      <c r="F147" s="263"/>
      <c r="G147" s="263"/>
      <c r="H147" s="176"/>
      <c r="I147" s="176"/>
    </row>
    <row r="148" spans="1:9" x14ac:dyDescent="0.2">
      <c r="B148" s="176"/>
      <c r="C148" s="176"/>
      <c r="D148" s="176"/>
      <c r="E148" s="176" t="s">
        <v>329</v>
      </c>
      <c r="F148" s="176"/>
      <c r="G148" s="176" t="s">
        <v>329</v>
      </c>
    </row>
    <row r="149" spans="1:9" x14ac:dyDescent="0.2">
      <c r="B149" s="176" t="s">
        <v>80</v>
      </c>
      <c r="C149" s="176" t="s">
        <v>80</v>
      </c>
      <c r="D149" s="176"/>
      <c r="E149" s="176" t="s">
        <v>157</v>
      </c>
      <c r="F149" s="176"/>
      <c r="G149" s="176" t="s">
        <v>12</v>
      </c>
    </row>
    <row r="150" spans="1:9" x14ac:dyDescent="0.2">
      <c r="B150" s="176" t="s">
        <v>30</v>
      </c>
      <c r="C150" s="176" t="str">
        <f>+D9</f>
        <v>Cwt,lb,etc</v>
      </c>
      <c r="D150" s="176"/>
      <c r="E150" s="176" t="s">
        <v>98</v>
      </c>
      <c r="F150" s="176"/>
      <c r="G150" s="176" t="s">
        <v>98</v>
      </c>
    </row>
    <row r="151" spans="1:9" x14ac:dyDescent="0.2">
      <c r="B151" s="177">
        <v>0.75</v>
      </c>
      <c r="C151" s="178">
        <f>+$C$153*B151</f>
        <v>0</v>
      </c>
      <c r="D151" s="179"/>
      <c r="E151" s="179">
        <f>+IF(C151=0,0,($F$118-SUM($F$10:$F$16))/C151)</f>
        <v>0</v>
      </c>
      <c r="F151" s="179"/>
      <c r="G151" s="179">
        <f>+IF(C151=0,0,($F$141-SUM($F$10:$F$16))/C151)</f>
        <v>0</v>
      </c>
    </row>
    <row r="152" spans="1:9" x14ac:dyDescent="0.2">
      <c r="B152" s="180">
        <v>0.9</v>
      </c>
      <c r="C152" s="181">
        <f>+$C$153*B152</f>
        <v>0</v>
      </c>
      <c r="D152" s="182"/>
      <c r="E152" s="182">
        <f>+IF(C152=0,0,($F$118-SUM($F$10:$F$16))/C152)</f>
        <v>0</v>
      </c>
      <c r="F152" s="182"/>
      <c r="G152" s="182">
        <f>+IF(C152=0,0,($F$141-SUM($F$10:$F$16))/C152)</f>
        <v>0</v>
      </c>
    </row>
    <row r="153" spans="1:9" x14ac:dyDescent="0.2">
      <c r="B153" s="177">
        <v>1</v>
      </c>
      <c r="C153" s="178">
        <f>+C9</f>
        <v>0</v>
      </c>
      <c r="D153" s="179"/>
      <c r="E153" s="179">
        <f>+IF(C153=0,0,($F$118-SUM($F$10:$F$16))/C153)</f>
        <v>0</v>
      </c>
      <c r="F153" s="179"/>
      <c r="G153" s="179">
        <f>+IF(C153=0,0,($F$141-SUM($F$10:$F$16))/C153)</f>
        <v>0</v>
      </c>
    </row>
    <row r="154" spans="1:9" x14ac:dyDescent="0.2">
      <c r="B154" s="180">
        <v>1.1000000000000001</v>
      </c>
      <c r="C154" s="181">
        <v>0</v>
      </c>
      <c r="D154" s="182"/>
      <c r="E154" s="182">
        <f>+IF(C154=0,0,($F$118-SUM($F$10:$F$16))/C154)</f>
        <v>0</v>
      </c>
      <c r="F154" s="182"/>
      <c r="G154" s="182">
        <f>+IF(C154=0,0,($F$141-SUM($F$10:$F$16))/C154)</f>
        <v>0</v>
      </c>
    </row>
    <row r="155" spans="1:9" x14ac:dyDescent="0.2">
      <c r="B155" s="177">
        <v>1.25</v>
      </c>
      <c r="C155" s="178">
        <v>0</v>
      </c>
      <c r="D155" s="179"/>
      <c r="E155" s="179">
        <f>+IF(C155=0,0,($F$118-SUM($F$10:$F$16))/C155)</f>
        <v>0</v>
      </c>
      <c r="F155" s="179"/>
      <c r="G155" s="179">
        <f>+IF(C155=0,0,($F$141-SUM($F$10:$F$16))/C155)</f>
        <v>0</v>
      </c>
    </row>
  </sheetData>
  <mergeCells count="3">
    <mergeCell ref="A1:G1"/>
    <mergeCell ref="A3:F3"/>
    <mergeCell ref="B147:G147"/>
  </mergeCells>
  <pageMargins left="0.7" right="0.7" top="0.75" bottom="0.75" header="0.3" footer="0.3"/>
  <pageSetup orientation="portrait" r:id="rId1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241">
    <tabColor theme="3" tint="0.39997558519241921"/>
  </sheetPr>
  <dimension ref="A1:M47"/>
  <sheetViews>
    <sheetView zoomScaleNormal="90" workbookViewId="0">
      <pane xSplit="1" ySplit="4" topLeftCell="B5" activePane="bottomRight" state="frozen"/>
      <selection activeCell="B38" sqref="B38"/>
      <selection pane="topRight" activeCell="B38" sqref="B38"/>
      <selection pane="bottomLeft" activeCell="B38" sqref="B38"/>
      <selection pane="bottomRight" activeCell="A10" sqref="A10:XFD10"/>
    </sheetView>
  </sheetViews>
  <sheetFormatPr defaultColWidth="8.5703125" defaultRowHeight="12.75" x14ac:dyDescent="0.2"/>
  <cols>
    <col min="1" max="1" width="76.140625" customWidth="1"/>
    <col min="2" max="2" width="18.42578125" customWidth="1"/>
    <col min="3" max="3" width="20.42578125" customWidth="1"/>
    <col min="4" max="4" width="5.42578125" customWidth="1"/>
    <col min="5" max="6" width="14.5703125" customWidth="1"/>
    <col min="7" max="7" width="5.5703125" customWidth="1"/>
    <col min="8" max="8" width="14.5703125" customWidth="1"/>
    <col min="9" max="9" width="7.5703125" customWidth="1"/>
    <col min="10" max="11" width="14.5703125" customWidth="1"/>
  </cols>
  <sheetData>
    <row r="1" spans="1:13" x14ac:dyDescent="0.2">
      <c r="A1" s="3" t="s">
        <v>162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</row>
    <row r="2" spans="1:13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4.75" customHeight="1" x14ac:dyDescent="0.2">
      <c r="B3" s="285" t="s">
        <v>7</v>
      </c>
      <c r="C3" s="235"/>
      <c r="D3" s="26"/>
      <c r="E3" s="285" t="s">
        <v>6</v>
      </c>
      <c r="F3" s="235"/>
      <c r="G3" s="26"/>
      <c r="H3" s="285" t="s">
        <v>330</v>
      </c>
      <c r="I3" s="235"/>
      <c r="J3" s="235"/>
      <c r="K3" s="235"/>
    </row>
    <row r="4" spans="1:13" ht="18.75" customHeight="1" x14ac:dyDescent="0.2">
      <c r="B4" s="13" t="s">
        <v>81</v>
      </c>
      <c r="C4" s="29" t="s">
        <v>169</v>
      </c>
      <c r="D4" s="1"/>
      <c r="E4" s="1" t="s">
        <v>81</v>
      </c>
      <c r="F4" s="6" t="s">
        <v>169</v>
      </c>
      <c r="G4" s="6"/>
      <c r="H4" s="1" t="s">
        <v>4</v>
      </c>
      <c r="I4" s="13" t="s">
        <v>21</v>
      </c>
      <c r="J4" s="1" t="s">
        <v>81</v>
      </c>
      <c r="K4" s="6" t="s">
        <v>169</v>
      </c>
    </row>
    <row r="5" spans="1:13" ht="18.75" customHeight="1" x14ac:dyDescent="0.2">
      <c r="A5" s="14" t="s">
        <v>143</v>
      </c>
      <c r="B5" s="1"/>
      <c r="C5" s="6"/>
      <c r="D5" s="1"/>
      <c r="E5" s="1"/>
      <c r="F5" s="6"/>
      <c r="G5" s="6"/>
      <c r="H5" s="1"/>
      <c r="I5" s="13"/>
      <c r="J5" s="1"/>
      <c r="K5" s="6"/>
    </row>
    <row r="6" spans="1:13" ht="18.75" customHeight="1" x14ac:dyDescent="0.2">
      <c r="A6" s="14"/>
      <c r="B6" s="1"/>
      <c r="C6" s="6"/>
      <c r="D6" s="1"/>
      <c r="E6" s="1"/>
      <c r="F6" s="6"/>
      <c r="G6" s="6"/>
      <c r="H6" s="1"/>
      <c r="I6" s="13"/>
      <c r="J6" s="1"/>
      <c r="K6" s="6"/>
    </row>
    <row r="7" spans="1:13" ht="18.75" customHeight="1" x14ac:dyDescent="0.2">
      <c r="A7" s="3" t="str">
        <f>+AlfalfaDrylandEstablish!A3</f>
        <v>Dryland Alfalfa Establishment</v>
      </c>
      <c r="B7" s="14">
        <f>+AlfalfaDrylandEstablish!TotRet</f>
        <v>-306.88056200649635</v>
      </c>
      <c r="C7" s="14">
        <f>+AlfalfaDrylandEstablish!VarRet</f>
        <v>-255.30437317716471</v>
      </c>
      <c r="D7" s="1"/>
      <c r="E7" s="2">
        <f>+AlfalfaDrylandEstablish!TotExp</f>
        <v>306.88056200649635</v>
      </c>
      <c r="F7" s="2">
        <f>+AlfalfaDrylandEstablish!VarExp</f>
        <v>255.30437317716471</v>
      </c>
      <c r="G7" s="2"/>
      <c r="H7" s="2">
        <f>+AlfalfaDrylandEstablish!Price</f>
        <v>0</v>
      </c>
      <c r="I7" s="2" t="str">
        <f>+AlfalfaDrylandEstablish!Unit</f>
        <v/>
      </c>
      <c r="J7" s="5">
        <f t="shared" ref="J7:K13" si="0">+IF($H7=0,0,E7/$H7)</f>
        <v>0</v>
      </c>
      <c r="K7" s="5">
        <f t="shared" si="0"/>
        <v>0</v>
      </c>
    </row>
    <row r="8" spans="1:13" ht="18.75" customHeight="1" x14ac:dyDescent="0.2">
      <c r="A8" s="3" t="str">
        <f>CoastalEstab!A3</f>
        <v>Coastal Bermudagrass Establishment</v>
      </c>
      <c r="B8" s="14">
        <f>CoastalEstab!TotRet</f>
        <v>-243.84607983367914</v>
      </c>
      <c r="C8" s="14">
        <f>CoastalEstab!VarRet</f>
        <v>-234.10170619520946</v>
      </c>
      <c r="D8" s="1"/>
      <c r="E8" s="2">
        <f>CoastalEstab!TotExp</f>
        <v>243.84607983367914</v>
      </c>
      <c r="F8" s="2">
        <f>CoastalEstab!VarExp</f>
        <v>234.10170619520946</v>
      </c>
      <c r="G8" s="2"/>
      <c r="H8" s="2">
        <f>CoastalEstab!Price</f>
        <v>0</v>
      </c>
      <c r="I8" s="2" t="str">
        <f>CoastalEstab!Unit</f>
        <v/>
      </c>
      <c r="J8" s="5">
        <f>IF(H8=0,0,E8/H8)</f>
        <v>0</v>
      </c>
      <c r="K8" s="5">
        <f>IF(H8=0,0,F8/H8)</f>
        <v>0</v>
      </c>
    </row>
    <row r="9" spans="1:13" ht="18.75" customHeight="1" x14ac:dyDescent="0.2">
      <c r="A9" s="3" t="str">
        <f>+AlfalfaHayDryland!A3</f>
        <v>Dryland Alfalfa Hay</v>
      </c>
      <c r="B9" s="14">
        <f>+AlfalfaHayDryland!TotRet</f>
        <v>905.24607694349311</v>
      </c>
      <c r="C9" s="14">
        <f>+AlfalfaHayDryland!VarRet</f>
        <v>1041.4170769434932</v>
      </c>
      <c r="D9" s="1"/>
      <c r="E9" s="2">
        <f>+AlfalfaHayDryland!TotExp</f>
        <v>394.75392305650684</v>
      </c>
      <c r="F9" s="2">
        <f>+AlfalfaHayDryland!VarExp</f>
        <v>258.58292305650684</v>
      </c>
      <c r="G9" s="2"/>
      <c r="H9" s="2">
        <f>+AlfalfaHayDryland!Price</f>
        <v>400</v>
      </c>
      <c r="I9" s="2" t="str">
        <f>+AlfalfaHayDryland!Unit</f>
        <v>Ton</v>
      </c>
      <c r="J9" s="5">
        <f t="shared" si="0"/>
        <v>0.98688480764126707</v>
      </c>
      <c r="K9" s="5">
        <f t="shared" si="0"/>
        <v>0.64645730764126708</v>
      </c>
    </row>
    <row r="10" spans="1:13" ht="18.75" customHeight="1" x14ac:dyDescent="0.2">
      <c r="A10" s="3" t="str">
        <f>CoastalDryland!A3</f>
        <v>Coastal Bermudagrass Hay Dryland</v>
      </c>
      <c r="B10" s="14">
        <f>CoastalDryland!TotRet</f>
        <v>112.80966042038358</v>
      </c>
      <c r="C10" s="14">
        <f>CoastalDryland!VarRet</f>
        <v>300.05316042038356</v>
      </c>
      <c r="D10" s="1"/>
      <c r="E10" s="2">
        <f>CoastalDryland!TotExp</f>
        <v>667.19033957961642</v>
      </c>
      <c r="F10" s="2">
        <f>CoastalDryland!VarExp</f>
        <v>479.94683957961644</v>
      </c>
      <c r="G10" s="2"/>
      <c r="H10" s="2">
        <f>CoastalDryland!Price</f>
        <v>130</v>
      </c>
      <c r="I10" s="2" t="str">
        <f>CoastalDryland!Unit</f>
        <v>Round Bale</v>
      </c>
      <c r="J10" s="5">
        <f>IF(H10=0,0,E10/H10)</f>
        <v>5.1322333813816652</v>
      </c>
      <c r="K10" s="5">
        <f>IF(H10=0,0,F10/H10)</f>
        <v>3.6918987659970495</v>
      </c>
    </row>
    <row r="11" spans="1:13" ht="18.75" customHeight="1" x14ac:dyDescent="0.2">
      <c r="A11" s="3" t="str">
        <f>+AlfalfaIrrigatedEstablish!A3</f>
        <v>Irrigated Alfalfa Establishment</v>
      </c>
      <c r="B11" s="14">
        <f>+AlfalfaIrrigatedEstablish!TotRet</f>
        <v>-519.91947847038182</v>
      </c>
      <c r="C11" s="14">
        <f>+AlfalfaIrrigatedEstablish!VarRet</f>
        <v>-378.34328964105015</v>
      </c>
      <c r="D11" s="1"/>
      <c r="E11" s="2">
        <f>+AlfalfaIrrigatedEstablish!TotExp</f>
        <v>519.91947847038182</v>
      </c>
      <c r="F11" s="2">
        <f>+AlfalfaIrrigatedEstablish!VarExp</f>
        <v>378.34328964105015</v>
      </c>
      <c r="G11" s="2"/>
      <c r="H11" s="2">
        <f>+AlfalfaIrrigatedEstablish!Price</f>
        <v>0</v>
      </c>
      <c r="I11" s="2" t="str">
        <f>+AlfalfaIrrigatedEstablish!Unit</f>
        <v/>
      </c>
      <c r="J11" s="5">
        <f t="shared" si="0"/>
        <v>0</v>
      </c>
      <c r="K11" s="5">
        <f t="shared" si="0"/>
        <v>0</v>
      </c>
    </row>
    <row r="12" spans="1:13" ht="18.75" customHeight="1" x14ac:dyDescent="0.2">
      <c r="A12" s="3" t="str">
        <f>+AlfalfaHayIrrigated!A3</f>
        <v>Irrigated Alfalfa Hay</v>
      </c>
      <c r="B12" s="14">
        <f>+AlfalfaHayIrrigated!TotRet</f>
        <v>1803.7786621404109</v>
      </c>
      <c r="C12" s="14">
        <f>+AlfalfaHayIrrigated!VarRet</f>
        <v>2101.306912140411</v>
      </c>
      <c r="D12" s="1"/>
      <c r="E12" s="2">
        <f>+AlfalfaHayIrrigated!TotExp</f>
        <v>796.22133785958908</v>
      </c>
      <c r="F12" s="2">
        <f>+AlfalfaHayIrrigated!VarExp</f>
        <v>498.69308785958901</v>
      </c>
      <c r="G12" s="2"/>
      <c r="H12" s="2">
        <f>+AlfalfaHayIrrigated!Price</f>
        <v>400</v>
      </c>
      <c r="I12" s="2" t="str">
        <f>+AlfalfaHayIrrigated!Unit</f>
        <v>Ton</v>
      </c>
      <c r="J12" s="5">
        <f t="shared" si="0"/>
        <v>1.9905533446489727</v>
      </c>
      <c r="K12" s="5">
        <f t="shared" si="0"/>
        <v>1.2467327196489726</v>
      </c>
    </row>
    <row r="13" spans="1:13" ht="18.75" customHeight="1" x14ac:dyDescent="0.2">
      <c r="A13" s="3" t="str">
        <f>+SmallGrain!A3</f>
        <v>Small Grain Grazing</v>
      </c>
      <c r="B13" s="14">
        <f>+SmallGrain!TotRet</f>
        <v>-155.13791957874008</v>
      </c>
      <c r="C13" s="14">
        <f>+SmallGrain!VarRet</f>
        <v>-110.70358091385486</v>
      </c>
      <c r="D13" s="1"/>
      <c r="E13" s="2">
        <f>+SmallGrain!TotExp</f>
        <v>155.13791957874008</v>
      </c>
      <c r="F13" s="2">
        <f>+SmallGrain!VarExp</f>
        <v>110.70358091385486</v>
      </c>
      <c r="G13" s="2"/>
      <c r="H13" s="2">
        <f>+SmallGrain!Price</f>
        <v>0</v>
      </c>
      <c r="I13" s="2" t="str">
        <f>+SmallGrain!Unit</f>
        <v/>
      </c>
      <c r="J13" s="5">
        <f t="shared" si="0"/>
        <v>0</v>
      </c>
      <c r="K13" s="5">
        <f t="shared" si="0"/>
        <v>0</v>
      </c>
    </row>
    <row r="14" spans="1:13" ht="18.75" customHeight="1" x14ac:dyDescent="0.2">
      <c r="A14" s="3" t="str">
        <f>'SD Fescue'!A3</f>
        <v>Summer Dormant Fescue</v>
      </c>
      <c r="B14" s="14">
        <f>'SD Fescue'!TotRet</f>
        <v>-193.88768315345021</v>
      </c>
      <c r="C14" s="14">
        <f>'SD Fescue'!VarRet</f>
        <v>-152.69871812703471</v>
      </c>
      <c r="D14" s="1"/>
      <c r="E14" s="2">
        <f>'SD Fescue'!TotExp</f>
        <v>193.88768315345021</v>
      </c>
      <c r="F14" s="2">
        <f>'SD Fescue'!VarExp</f>
        <v>152.69871812703471</v>
      </c>
      <c r="G14" s="2"/>
      <c r="H14" s="2">
        <f>'SD Fescue'!Price</f>
        <v>0</v>
      </c>
      <c r="I14" s="2" t="str">
        <f>'SD Fescue'!Unit</f>
        <v/>
      </c>
      <c r="J14" s="5">
        <f>IF(H14=0,0,E14/H14)</f>
        <v>0</v>
      </c>
      <c r="K14" s="5">
        <f>IF(H14=0,0,F14/H14)</f>
        <v>0</v>
      </c>
    </row>
    <row r="15" spans="1:13" ht="18.75" customHeight="1" x14ac:dyDescent="0.2">
      <c r="B15" s="1"/>
      <c r="C15" s="1"/>
      <c r="D15" s="1"/>
      <c r="E15" s="1"/>
      <c r="F15" s="6"/>
      <c r="G15" s="6"/>
      <c r="H15" s="1"/>
      <c r="I15" s="13"/>
      <c r="J15" s="1"/>
      <c r="K15" s="6"/>
    </row>
    <row r="16" spans="1:13" ht="18.75" customHeight="1" x14ac:dyDescent="0.2">
      <c r="A16" s="14" t="s">
        <v>433</v>
      </c>
      <c r="B16" s="14"/>
      <c r="C16" s="14"/>
      <c r="D16" s="1"/>
      <c r="E16" s="1"/>
      <c r="F16" s="6"/>
      <c r="G16" s="6"/>
      <c r="H16" s="1"/>
      <c r="I16" s="1"/>
      <c r="J16" s="1"/>
      <c r="K16" s="6"/>
    </row>
    <row r="17" spans="1:11" ht="18.75" customHeight="1" x14ac:dyDescent="0.2">
      <c r="A17" s="14"/>
      <c r="B17" s="14"/>
      <c r="C17" s="14"/>
      <c r="D17" s="1"/>
      <c r="E17" s="1"/>
      <c r="F17" s="6"/>
      <c r="G17" s="6"/>
      <c r="H17" s="1"/>
      <c r="I17" s="1"/>
      <c r="J17" s="1"/>
      <c r="K17" s="6"/>
    </row>
    <row r="18" spans="1:11" ht="18.75" customHeight="1" x14ac:dyDescent="0.2">
      <c r="A18" s="3" t="str">
        <f>+CanolaDryland!A3</f>
        <v>Dryland Canola</v>
      </c>
      <c r="B18" s="14">
        <f>+CanolaDryland!TotRet</f>
        <v>-87.078977016259842</v>
      </c>
      <c r="C18" s="14">
        <f>+CanolaDryland!VarRet</f>
        <v>-39.643404124753914</v>
      </c>
      <c r="D18" s="1"/>
      <c r="E18" s="2">
        <f>+CanolaDryland!TotExp</f>
        <v>227.07897701625984</v>
      </c>
      <c r="F18" s="2">
        <f>+CanolaDryland!VarExp</f>
        <v>179.64340412475391</v>
      </c>
      <c r="G18" s="2"/>
      <c r="H18" s="2">
        <f>+CanolaDryland!Price</f>
        <v>0.14000000000000001</v>
      </c>
      <c r="I18" s="2" t="str">
        <f>+CanolaDryland!Unit</f>
        <v>Pound</v>
      </c>
      <c r="J18" s="5">
        <f>+IF($H18=0,0,E18/$H18)</f>
        <v>1621.9926929732844</v>
      </c>
      <c r="K18" s="5">
        <f>+IF($H18=0,0,F18/$H18)</f>
        <v>1283.1671723196707</v>
      </c>
    </row>
    <row r="19" spans="1:11" ht="18.75" customHeight="1" x14ac:dyDescent="0.2">
      <c r="A19" s="3" t="str">
        <f>+CottonDryland2X1!A3</f>
        <v>Dryland Cotton (2X1 Planting Pattern)</v>
      </c>
      <c r="B19" s="14">
        <f>+CottonDryland2X1!TotRet</f>
        <v>30.936000934631124</v>
      </c>
      <c r="C19" s="14">
        <f>+CottonDryland2X1!VarRet</f>
        <v>88.517228405171153</v>
      </c>
      <c r="D19" s="1"/>
      <c r="E19" s="2">
        <f>+CottonDryland2X1!TotExp</f>
        <v>293.13660632609492</v>
      </c>
      <c r="F19" s="2">
        <f>+CottonDryland2X1!VarExp</f>
        <v>235.55537885555489</v>
      </c>
      <c r="G19" s="2"/>
      <c r="H19" s="2">
        <f>+CottonDryland2X1!Price</f>
        <v>0.81</v>
      </c>
      <c r="I19" s="2" t="str">
        <f>+CottonDryland2X1!Unit</f>
        <v>Pound</v>
      </c>
      <c r="J19" s="5">
        <f>+IF($H19=0,0,E19/$H19)</f>
        <v>361.89704484703077</v>
      </c>
      <c r="K19" s="5">
        <f>+IF($H19=0,0,F19/$H19)</f>
        <v>290.80910969821588</v>
      </c>
    </row>
    <row r="20" spans="1:11" ht="18.75" customHeight="1" x14ac:dyDescent="0.2">
      <c r="A20" s="3" t="str">
        <f>+CottonDrylandSolid!A3</f>
        <v>Dryland Cotton (Solid 40" Rows)</v>
      </c>
      <c r="B20" s="14">
        <f>+CottonDrylandSolid!TotRet</f>
        <v>-73.756106252391362</v>
      </c>
      <c r="C20" s="14">
        <f>+CottonDrylandSolid!VarRet</f>
        <v>-0.10701841639172471</v>
      </c>
      <c r="D20" s="1"/>
      <c r="E20" s="2">
        <f>+CottonDrylandSolid!TotExp</f>
        <v>430.1561062523914</v>
      </c>
      <c r="F20" s="2">
        <f>+CottonDrylandSolid!VarExp</f>
        <v>356.50701841639176</v>
      </c>
      <c r="G20" s="2"/>
      <c r="H20" s="2">
        <f>+CottonDrylandSolid!Price</f>
        <v>0.81</v>
      </c>
      <c r="I20" s="2" t="str">
        <f>+CottonDrylandSolid!Unit</f>
        <v>Pound</v>
      </c>
      <c r="J20" s="5">
        <f t="shared" ref="J20:J32" si="1">+IF($H20=0,0,E20/$H20)</f>
        <v>531.05692129924864</v>
      </c>
      <c r="K20" s="5">
        <f t="shared" ref="K20:K32" si="2">+IF($H20=0,0,F20/$H20)</f>
        <v>440.13212150171819</v>
      </c>
    </row>
    <row r="21" spans="1:11" ht="18.75" customHeight="1" x14ac:dyDescent="0.2">
      <c r="A21" s="3" t="str">
        <f>'Red Till Irrig Cotton'!A3</f>
        <v xml:space="preserve">Cotton - Red Till Irrig </v>
      </c>
      <c r="B21" s="14">
        <f>'Red Till Irrig Cotton'!TotRet</f>
        <v>174.26527516064539</v>
      </c>
      <c r="C21" s="14">
        <f>'Red Till Irrig Cotton'!VarRet</f>
        <v>387.99676433084323</v>
      </c>
      <c r="D21" s="1"/>
      <c r="E21" s="2">
        <f>'Red Till Irrig Cotton'!TotExp</f>
        <v>852.00472483935459</v>
      </c>
      <c r="F21" s="2">
        <f>'Red Till Irrig Cotton'!VarExp</f>
        <v>638.27323566915675</v>
      </c>
      <c r="G21" s="2"/>
      <c r="H21" s="2">
        <f>'Red Till Irrig Cotton'!Price</f>
        <v>0.81</v>
      </c>
      <c r="I21" s="2" t="str">
        <f>'Red Till Irrig Cotton'!Unit</f>
        <v>Pound</v>
      </c>
      <c r="J21" s="5">
        <f t="shared" ref="J21:J30" si="3">IF(H21=0,0,E21/H21)</f>
        <v>1051.8576849868575</v>
      </c>
      <c r="K21" s="5">
        <f t="shared" ref="K21:K30" si="4">IF(H21=0,0,F21/H21)</f>
        <v>787.99164897426749</v>
      </c>
    </row>
    <row r="22" spans="1:11" ht="18.75" customHeight="1" x14ac:dyDescent="0.2">
      <c r="A22" s="3" t="str">
        <f>'Conv M Irrig Cotton'!A3</f>
        <v>Conventional Irrig Cotton</v>
      </c>
      <c r="B22" s="14">
        <f>'Conv M Irrig Cotton'!TotRet</f>
        <v>196.02597551402994</v>
      </c>
      <c r="C22" s="14">
        <f>'Conv M Irrig Cotton'!VarRet</f>
        <v>405.66614845248671</v>
      </c>
      <c r="D22" s="1"/>
      <c r="E22" s="2">
        <f>'Conv M Irrig Cotton'!TotExp</f>
        <v>866.69402448597009</v>
      </c>
      <c r="F22" s="2">
        <f>'Conv M Irrig Cotton'!VarExp</f>
        <v>657.05385154751332</v>
      </c>
      <c r="G22" s="2"/>
      <c r="H22" s="2">
        <f>'Conv M Irrig Cotton'!Price</f>
        <v>0.81</v>
      </c>
      <c r="I22" s="2" t="str">
        <f>'Conv M Irrig Cotton'!Unit</f>
        <v>Pound</v>
      </c>
      <c r="J22" s="5">
        <f t="shared" si="3"/>
        <v>1069.9926228221852</v>
      </c>
      <c r="K22" s="5">
        <f t="shared" si="4"/>
        <v>811.1775945031028</v>
      </c>
    </row>
    <row r="23" spans="1:11" ht="18.75" customHeight="1" x14ac:dyDescent="0.2">
      <c r="A23" s="3" t="str">
        <f>'Conv L Irrig Cotton'!A3</f>
        <v>Conventional Low Irrig Cotton</v>
      </c>
      <c r="B23" s="14">
        <f>'Conv L Irrig Cotton'!TotRet</f>
        <v>-0.35679722514794321</v>
      </c>
      <c r="C23" s="14">
        <f>'Conv L Irrig Cotton'!VarRet</f>
        <v>209.28337571330883</v>
      </c>
      <c r="D23" s="1"/>
      <c r="E23" s="2">
        <f>'Conv L Irrig Cotton'!TotExp</f>
        <v>885.01979722514807</v>
      </c>
      <c r="F23" s="2">
        <f>'Conv L Irrig Cotton'!VarExp</f>
        <v>675.3796242866913</v>
      </c>
      <c r="G23" s="2"/>
      <c r="H23" s="2">
        <f>'Conv L Irrig Cotton'!Price</f>
        <v>0.81</v>
      </c>
      <c r="I23" s="2" t="str">
        <f>'Conv L Irrig Cotton'!Unit</f>
        <v>Pound</v>
      </c>
      <c r="J23" s="5">
        <f t="shared" si="3"/>
        <v>1092.6170336112939</v>
      </c>
      <c r="K23" s="5">
        <f t="shared" si="4"/>
        <v>833.80200529221145</v>
      </c>
    </row>
    <row r="24" spans="1:11" ht="18.75" customHeight="1" x14ac:dyDescent="0.2">
      <c r="A24" s="3" t="str">
        <f>'Red Till L Irrig Cotton'!A3</f>
        <v>Red Till Irrig Low Cotton</v>
      </c>
      <c r="B24" s="14">
        <f>'Red Till L Irrig Cotton'!TotRet</f>
        <v>18.242116889960471</v>
      </c>
      <c r="C24" s="14">
        <f>'Red Till L Irrig Cotton'!VarRet</f>
        <v>231.97360606015832</v>
      </c>
      <c r="D24" s="1"/>
      <c r="E24" s="2">
        <f>'Red Till L Irrig Cotton'!TotExp</f>
        <v>893.96088311003962</v>
      </c>
      <c r="F24" s="2">
        <f>'Red Till L Irrig Cotton'!VarExp</f>
        <v>680.22939393984177</v>
      </c>
      <c r="G24" s="2"/>
      <c r="H24" s="2">
        <f>'Red Till L Irrig Cotton'!Price</f>
        <v>0.81</v>
      </c>
      <c r="I24" s="2" t="str">
        <f>'Red Till L Irrig Cotton'!Unit</f>
        <v>Pound</v>
      </c>
      <c r="J24" s="5">
        <f t="shared" si="3"/>
        <v>1103.6554112469623</v>
      </c>
      <c r="K24" s="5">
        <f t="shared" si="4"/>
        <v>839.78937523437253</v>
      </c>
    </row>
    <row r="25" spans="1:11" ht="18.75" customHeight="1" x14ac:dyDescent="0.2">
      <c r="A25" s="3" t="str">
        <f>'NT Irrig L Cotton'!A3</f>
        <v xml:space="preserve">NT Irrig L Cotton </v>
      </c>
      <c r="B25" s="14">
        <f>'NT Irrig L Cotton'!TotRet</f>
        <v>0.4466413276915091</v>
      </c>
      <c r="C25" s="14">
        <f>'NT Irrig L Cotton'!VarRet</f>
        <v>206.6578200676139</v>
      </c>
      <c r="D25" s="1"/>
      <c r="E25" s="2">
        <f>'NT Irrig L Cotton'!TotExp</f>
        <v>961.97635867230861</v>
      </c>
      <c r="F25" s="2">
        <f>'NT Irrig L Cotton'!VarExp</f>
        <v>755.76517993238622</v>
      </c>
      <c r="G25" s="2"/>
      <c r="H25" s="2">
        <f>'NT Irrig L Cotton'!Price</f>
        <v>0.81</v>
      </c>
      <c r="I25" s="2" t="str">
        <f>'NT Irrig L Cotton'!Unit</f>
        <v>Pound</v>
      </c>
      <c r="J25" s="5">
        <f t="shared" si="3"/>
        <v>1187.6251341633438</v>
      </c>
      <c r="K25" s="5">
        <f t="shared" si="4"/>
        <v>933.04343201529161</v>
      </c>
    </row>
    <row r="26" spans="1:11" ht="18.75" customHeight="1" x14ac:dyDescent="0.2">
      <c r="A26" s="3" t="str">
        <f>'NT Irrig M Cotton'!A3</f>
        <v>Cotton - No-Till Irrigated</v>
      </c>
      <c r="B26" s="14">
        <f>'NT Irrig M Cotton'!TotRet</f>
        <v>207.04627533536257</v>
      </c>
      <c r="C26" s="14">
        <f>'NT Irrig M Cotton'!VarRet</f>
        <v>413.25745407528495</v>
      </c>
      <c r="D26" s="1"/>
      <c r="E26" s="2">
        <f>'NT Irrig M Cotton'!TotExp</f>
        <v>930.19372466463744</v>
      </c>
      <c r="F26" s="2">
        <f>'NT Irrig M Cotton'!VarExp</f>
        <v>723.98254592471505</v>
      </c>
      <c r="G26" s="2"/>
      <c r="H26" s="2">
        <f>'NT Irrig M Cotton'!Price</f>
        <v>0.81</v>
      </c>
      <c r="I26" s="2" t="str">
        <f>'NT Irrig M Cotton'!Unit</f>
        <v>Pound</v>
      </c>
      <c r="J26" s="5">
        <f t="shared" si="3"/>
        <v>1148.3873144007869</v>
      </c>
      <c r="K26" s="5">
        <f t="shared" si="4"/>
        <v>893.80561225273459</v>
      </c>
    </row>
    <row r="27" spans="1:11" ht="18.75" customHeight="1" x14ac:dyDescent="0.2">
      <c r="A27" s="3" t="str">
        <f>'NT-CC2 Irr M Cotton'!A3</f>
        <v>Cotton NT - Cover Crop Wheat Irrig</v>
      </c>
      <c r="B27" s="14">
        <f>'NT-CC2 Irr M Cotton'!TotRet</f>
        <v>242.06707259054201</v>
      </c>
      <c r="C27" s="14">
        <f>'NT-CC2 Irr M Cotton'!VarRet</f>
        <v>464.90500708480931</v>
      </c>
      <c r="D27" s="1"/>
      <c r="E27" s="2">
        <f>'NT-CC2 Irr M Cotton'!TotExp</f>
        <v>915.422927409458</v>
      </c>
      <c r="F27" s="2">
        <f>'NT-CC2 Irr M Cotton'!VarExp</f>
        <v>692.5849929151907</v>
      </c>
      <c r="G27" s="2"/>
      <c r="H27" s="2">
        <f>'NT-CC2 Irr M Cotton'!Price</f>
        <v>0.81</v>
      </c>
      <c r="I27" s="2" t="str">
        <f>'NT-CC2 Irr M Cotton'!Unit</f>
        <v>Pound</v>
      </c>
      <c r="J27" s="5">
        <f>IF(H27=0,0,E27/H27)</f>
        <v>1130.1517622338986</v>
      </c>
      <c r="K27" s="5">
        <f>IF(H27=0,0,F27/H27)</f>
        <v>855.043201129865</v>
      </c>
    </row>
    <row r="28" spans="1:11" ht="18.75" customHeight="1" x14ac:dyDescent="0.2">
      <c r="A28" s="3" t="str">
        <f>'NT-CC Irrig M Cotton'!A3</f>
        <v>NT-Cover Crop Irrig M Cotton</v>
      </c>
      <c r="B28" s="14">
        <f>'NT-CC Irrig M Cotton'!TotRet</f>
        <v>189.27154245043516</v>
      </c>
      <c r="C28" s="14">
        <f>'NT-CC Irrig M Cotton'!VarRet</f>
        <v>318.00467721352629</v>
      </c>
      <c r="D28" s="1"/>
      <c r="E28" s="2">
        <f>'NT-CC Irrig M Cotton'!TotExp</f>
        <v>968.36145754956488</v>
      </c>
      <c r="F28" s="2">
        <f>'NT-CC Irrig M Cotton'!VarExp</f>
        <v>839.62832278647375</v>
      </c>
      <c r="G28" s="2"/>
      <c r="H28" s="2">
        <f>'NT-CC Irrig M Cotton'!Price</f>
        <v>0.81</v>
      </c>
      <c r="I28" s="2" t="str">
        <f>'NT-CC Irrig M Cotton'!Unit</f>
        <v>Pound</v>
      </c>
      <c r="J28" s="5">
        <f t="shared" si="3"/>
        <v>1195.5079722834134</v>
      </c>
      <c r="K28" s="5">
        <f t="shared" si="4"/>
        <v>1036.5781762795971</v>
      </c>
    </row>
    <row r="29" spans="1:11" ht="18.75" customHeight="1" x14ac:dyDescent="0.2">
      <c r="A29" s="3" t="str">
        <f>'NT-CC Irrig L Cotton'!A3</f>
        <v>NT-Cover Crop Irrig L Cotton</v>
      </c>
      <c r="B29" s="14">
        <f>'NT-CC Irrig L Cotton'!TotRet</f>
        <v>58.35707738578833</v>
      </c>
      <c r="C29" s="14">
        <f>'NT-CC Irrig L Cotton'!VarRet</f>
        <v>275.65275996194055</v>
      </c>
      <c r="D29" s="1"/>
      <c r="E29" s="2">
        <f>'NT-CC Irrig L Cotton'!TotExp</f>
        <v>954.28592261421181</v>
      </c>
      <c r="F29" s="2">
        <f>'NT-CC Irrig L Cotton'!VarExp</f>
        <v>736.9902400380596</v>
      </c>
      <c r="G29" s="2"/>
      <c r="H29" s="2">
        <f>'NT-CC Irrig L Cotton'!Price</f>
        <v>0.81</v>
      </c>
      <c r="I29" s="2" t="str">
        <f>'NT-CC Irrig L Cotton'!Unit</f>
        <v>Pound</v>
      </c>
      <c r="J29" s="5">
        <f t="shared" si="3"/>
        <v>1178.1307686595208</v>
      </c>
      <c r="K29" s="5">
        <f t="shared" si="4"/>
        <v>909.86449387414757</v>
      </c>
    </row>
    <row r="30" spans="1:11" ht="18.75" customHeight="1" x14ac:dyDescent="0.2">
      <c r="A30" s="3" t="str">
        <f>'No Till Dryland Cotton'!A3</f>
        <v xml:space="preserve">Cotton - No Till Dryland </v>
      </c>
      <c r="B30" s="14">
        <f>'No Till Dryland Cotton'!TotRet</f>
        <v>-35.926185613420841</v>
      </c>
      <c r="C30" s="14">
        <f>'No Till Dryland Cotton'!VarRet</f>
        <v>24.64012467369713</v>
      </c>
      <c r="D30" s="1"/>
      <c r="E30" s="2">
        <f>'No Till Dryland Cotton'!TotExp</f>
        <v>392.32618561342088</v>
      </c>
      <c r="F30" s="2">
        <f>'No Till Dryland Cotton'!VarExp</f>
        <v>331.7598753263029</v>
      </c>
      <c r="G30" s="2"/>
      <c r="H30" s="2">
        <f>'No Till Dryland Cotton'!Price</f>
        <v>0.81</v>
      </c>
      <c r="I30" s="2" t="str">
        <f>'No Till Dryland Cotton'!Unit</f>
        <v>Pound</v>
      </c>
      <c r="J30" s="5">
        <f t="shared" si="3"/>
        <v>484.35331557212453</v>
      </c>
      <c r="K30" s="5">
        <f t="shared" si="4"/>
        <v>409.58009299543568</v>
      </c>
    </row>
    <row r="31" spans="1:11" ht="18.75" customHeight="1" x14ac:dyDescent="0.2">
      <c r="A31" s="3" t="str">
        <f>+CottonIrrigated!A3</f>
        <v>Sprinkler Irrigated Cotton</v>
      </c>
      <c r="B31" s="14">
        <f>+CottonIrrigated!TotRet</f>
        <v>-5.0151029770087234</v>
      </c>
      <c r="C31" s="14">
        <f>+CottonIrrigated!VarRet</f>
        <v>167.34170824491275</v>
      </c>
      <c r="D31" s="1"/>
      <c r="E31" s="2">
        <f>+CottonIrrigated!TotExp</f>
        <v>845.15810297700875</v>
      </c>
      <c r="F31" s="2">
        <f>+CottonIrrigated!VarExp</f>
        <v>672.80129175508728</v>
      </c>
      <c r="G31" s="2"/>
      <c r="H31" s="2">
        <f>+CottonIrrigated!Price</f>
        <v>0.84</v>
      </c>
      <c r="I31" s="2" t="str">
        <f>+CottonIrrigated!Unit</f>
        <v>Pound</v>
      </c>
      <c r="J31" s="5">
        <f>+IF($H31=0,0,E31/$H31)</f>
        <v>1006.1405987821533</v>
      </c>
      <c r="K31" s="5">
        <f>+IF($H31=0,0,F31/$H31)</f>
        <v>800.95391875605628</v>
      </c>
    </row>
    <row r="32" spans="1:11" ht="18.75" customHeight="1" x14ac:dyDescent="0.2">
      <c r="A32" s="3" t="str">
        <f>+Peanuts!A3</f>
        <v>Irrigated Peanuts</v>
      </c>
      <c r="B32" s="14">
        <f>+Peanuts!TotRet</f>
        <v>128.44442977962035</v>
      </c>
      <c r="C32" s="14">
        <f>+Peanuts!VarRet</f>
        <v>526.12656955465388</v>
      </c>
      <c r="D32" s="2"/>
      <c r="E32" s="2">
        <f>+Peanuts!TotExp</f>
        <v>1071.5555702203796</v>
      </c>
      <c r="F32" s="2">
        <f>+Peanuts!VarExp</f>
        <v>673.87343044534612</v>
      </c>
      <c r="G32" s="2"/>
      <c r="H32" s="2">
        <f>+Peanuts!Price</f>
        <v>600</v>
      </c>
      <c r="I32" s="2" t="str">
        <f>+Peanuts!Unit</f>
        <v>Ton</v>
      </c>
      <c r="J32" s="5">
        <f t="shared" si="1"/>
        <v>1.7859259503672995</v>
      </c>
      <c r="K32" s="5">
        <f t="shared" si="2"/>
        <v>1.1231223840755769</v>
      </c>
    </row>
    <row r="33" spans="1:11" ht="18.75" customHeight="1" x14ac:dyDescent="0.2">
      <c r="A33" s="3" t="str">
        <f>+SorghumDryland!A3</f>
        <v>Dryland Sorghum</v>
      </c>
      <c r="B33" s="14">
        <f>+SorghumDryland!TotRet</f>
        <v>-1.2328916027289836</v>
      </c>
      <c r="C33" s="14">
        <f>+SorghumDryland!VarRet</f>
        <v>53.604445379345549</v>
      </c>
      <c r="D33" s="1"/>
      <c r="E33" s="2">
        <f>+SorghumDryland!TotExp</f>
        <v>231.932891602729</v>
      </c>
      <c r="F33" s="2">
        <f>+SorghumDryland!VarExp</f>
        <v>177.09555462065447</v>
      </c>
      <c r="G33" s="2"/>
      <c r="H33" s="2">
        <f>+SorghumDryland!Price</f>
        <v>7.69</v>
      </c>
      <c r="I33" s="2" t="str">
        <f>+SorghumDryland!Unit</f>
        <v>CWT</v>
      </c>
      <c r="J33" s="5">
        <f t="shared" ref="J33:K34" si="5">+IF($H33=0,0,E33/$H33)</f>
        <v>30.160324005556436</v>
      </c>
      <c r="K33" s="5">
        <f t="shared" si="5"/>
        <v>23.029330899955067</v>
      </c>
    </row>
    <row r="34" spans="1:11" ht="18.75" customHeight="1" x14ac:dyDescent="0.2">
      <c r="A34" s="3" t="str">
        <f>+WheatDryland!A3</f>
        <v>Dryland Wheat</v>
      </c>
      <c r="B34" s="14">
        <f>+WheatDryland!TotRet</f>
        <v>-9.901750765302296</v>
      </c>
      <c r="C34" s="14">
        <f>+WheatDryland!VarRet</f>
        <v>41.709424124227269</v>
      </c>
      <c r="D34" s="1"/>
      <c r="E34" s="2">
        <f>+WheatDryland!TotExp</f>
        <v>217.3017507653023</v>
      </c>
      <c r="F34" s="2">
        <f>+WheatDryland!VarExp</f>
        <v>165.69057587577274</v>
      </c>
      <c r="G34" s="2"/>
      <c r="H34" s="2">
        <f>+WheatDryland!Price</f>
        <v>5.0999999999999996</v>
      </c>
      <c r="I34" s="2" t="str">
        <f>+WheatDryland!Unit</f>
        <v>Bushel</v>
      </c>
      <c r="J34" s="5">
        <f t="shared" si="5"/>
        <v>42.608186424569084</v>
      </c>
      <c r="K34" s="5">
        <f t="shared" si="5"/>
        <v>32.488348210935833</v>
      </c>
    </row>
    <row r="35" spans="1:11" ht="18.75" customHeight="1" x14ac:dyDescent="0.2">
      <c r="A35" s="3" t="str">
        <f>'NoTill Wheat Dryland'!A3</f>
        <v>Dryland Wheat - No till</v>
      </c>
      <c r="B35" s="14">
        <f>'NoTill Wheat Dryland'!TotRet</f>
        <v>-11.734947012518433</v>
      </c>
      <c r="C35" s="14">
        <f>'NoTill Wheat Dryland'!VarRet</f>
        <v>54.721669620553172</v>
      </c>
      <c r="D35" s="1"/>
      <c r="E35" s="2">
        <f>'NoTill Wheat Dryland'!TotExp</f>
        <v>270.13494701251841</v>
      </c>
      <c r="F35" s="2">
        <f>'NoTill Wheat Dryland'!VarExp</f>
        <v>203.67833037944681</v>
      </c>
      <c r="G35" s="2"/>
      <c r="H35" s="2">
        <f>'NoTill Wheat Dryland'!Price</f>
        <v>5.0999999999999996</v>
      </c>
      <c r="I35" s="2" t="str">
        <f>'NoTill Wheat Dryland'!Unit</f>
        <v>Bushel</v>
      </c>
      <c r="J35" s="5">
        <f>IF(H35=0,0,E35/H35)</f>
        <v>52.967636669121262</v>
      </c>
      <c r="K35" s="5">
        <f>IF(H35=0,0,F35/H35)</f>
        <v>39.936927525381726</v>
      </c>
    </row>
    <row r="36" spans="1:11" ht="18.75" customHeight="1" x14ac:dyDescent="0.2">
      <c r="A36" s="3" t="str">
        <f>'Wheat Irrigated'!A3</f>
        <v>Irrigated Wheat</v>
      </c>
      <c r="B36" s="14">
        <f>'Wheat Irrigated'!TotRet</f>
        <v>-75.623975611199569</v>
      </c>
      <c r="C36" s="14">
        <f>'Wheat Irrigated'!VarRet</f>
        <v>68.884943256454733</v>
      </c>
      <c r="D36" s="1"/>
      <c r="E36" s="2">
        <f>'Wheat Irrigated'!TotExp</f>
        <v>453.87397561119957</v>
      </c>
      <c r="F36" s="2">
        <f>'Wheat Irrigated'!VarExp</f>
        <v>309.36505674354527</v>
      </c>
      <c r="G36" s="2"/>
      <c r="H36" s="2">
        <f>'Wheat Irrigated'!Price</f>
        <v>5.0999999999999996</v>
      </c>
      <c r="I36" s="2" t="str">
        <f>'Wheat Irrigated'!Unit</f>
        <v>Bushel</v>
      </c>
      <c r="J36" s="5">
        <f>IF(H36=0,0,E36/H36)</f>
        <v>88.994897178666591</v>
      </c>
      <c r="K36" s="5">
        <f>IF(H36=0,0,F36/H36)</f>
        <v>60.65981504775398</v>
      </c>
    </row>
    <row r="37" spans="1:11" ht="18.75" customHeight="1" x14ac:dyDescent="0.2">
      <c r="A37" s="3" t="str">
        <f>'OrganicWheat Year 3'!A3</f>
        <v>Organic wheat Y3</v>
      </c>
      <c r="B37" s="14">
        <f>'OrganicWheat Year 3'!TotRet</f>
        <v>116.23955027166278</v>
      </c>
      <c r="C37" s="14">
        <f>'OrganicWheat Year 3'!VarRet</f>
        <v>173.04550923778476</v>
      </c>
      <c r="D37" s="1"/>
      <c r="E37" s="2">
        <f>'OrganicWheat Year 3'!TotExp</f>
        <v>270.64585204384031</v>
      </c>
      <c r="F37" s="2">
        <f>'OrganicWheat Year 3'!VarExp</f>
        <v>213.83989307771833</v>
      </c>
      <c r="G37" s="2"/>
      <c r="H37" s="2">
        <f>'OrganicWheat Year 3'!Price</f>
        <v>13</v>
      </c>
      <c r="I37" s="2" t="str">
        <f>'OrganicWheat Year 3'!Unit</f>
        <v>Bushel</v>
      </c>
      <c r="J37" s="5">
        <f>IF(H37=0,0,E37/H37)</f>
        <v>20.818911695680022</v>
      </c>
      <c r="K37" s="5">
        <f>IF(H37=0,0,F37/H37)</f>
        <v>16.44922254443987</v>
      </c>
    </row>
    <row r="38" spans="1:11" ht="18.75" customHeight="1" x14ac:dyDescent="0.2">
      <c r="A38" s="3" t="str">
        <f>'Organic Summer HayCrop'!A3</f>
        <v>Organic summer Hay Crop</v>
      </c>
      <c r="B38" s="14">
        <f>'Organic Summer HayCrop'!TotRet</f>
        <v>-43.038669508292898</v>
      </c>
      <c r="C38" s="14">
        <f>'Organic Summer HayCrop'!VarRet</f>
        <v>2.4702861299944487</v>
      </c>
      <c r="D38" s="1"/>
      <c r="E38" s="2">
        <f>'Organic Summer HayCrop'!TotExp</f>
        <v>163.63866950829291</v>
      </c>
      <c r="F38" s="2">
        <f>'Organic Summer HayCrop'!VarExp</f>
        <v>118.12971387000556</v>
      </c>
      <c r="G38" s="2"/>
      <c r="H38" s="2">
        <f>'Organic Summer HayCrop'!Price</f>
        <v>90</v>
      </c>
      <c r="I38" s="2" t="str">
        <f>'Organic Summer HayCrop'!Unit</f>
        <v>Ton</v>
      </c>
      <c r="J38" s="5">
        <f>IF(H38=0,0,E38/H38)</f>
        <v>1.8182074389810323</v>
      </c>
      <c r="K38" s="5">
        <f>IF(H38=0,0,F38/H38)</f>
        <v>1.3125523763333951</v>
      </c>
    </row>
    <row r="39" spans="1:11" ht="18.75" customHeight="1" x14ac:dyDescent="0.2">
      <c r="A39" s="3" t="str">
        <f>OrganicDrylandWheat!A3</f>
        <v>Organic Wheat Y1</v>
      </c>
      <c r="B39" s="14">
        <f>OrganicDrylandWheat!TotRet</f>
        <v>139.49729335088986</v>
      </c>
      <c r="C39" s="14">
        <f>OrganicDrylandWheat!VarRet</f>
        <v>188.76389798673878</v>
      </c>
      <c r="D39" s="1"/>
      <c r="E39" s="2">
        <f>OrganicDrylandWheat!TotExp</f>
        <v>247.38810896461322</v>
      </c>
      <c r="F39" s="2">
        <f>OrganicDrylandWheat!VarExp</f>
        <v>198.1215043287643</v>
      </c>
      <c r="G39" s="2"/>
      <c r="H39" s="2">
        <f>OrganicDrylandWheat!Price</f>
        <v>13</v>
      </c>
      <c r="I39" s="2" t="str">
        <f>OrganicDrylandWheat!Unit</f>
        <v>Bushel</v>
      </c>
      <c r="J39" s="5">
        <f>IF(H39=0,0,E39/H39)</f>
        <v>19.029854535739478</v>
      </c>
      <c r="K39" s="5">
        <f>IF(H39=0,0,F39/H39)</f>
        <v>15.240115717597254</v>
      </c>
    </row>
    <row r="40" spans="1:11" ht="18.75" customHeight="1" x14ac:dyDescent="0.2">
      <c r="A40" s="3"/>
      <c r="B40" s="14"/>
      <c r="C40" s="14"/>
      <c r="D40" s="1"/>
      <c r="E40" s="2"/>
      <c r="F40" s="2"/>
      <c r="G40" s="2"/>
      <c r="H40" s="2"/>
      <c r="I40" s="2"/>
      <c r="J40" s="5"/>
      <c r="K40" s="5"/>
    </row>
    <row r="41" spans="1:11" ht="18.75" customHeight="1" x14ac:dyDescent="0.2">
      <c r="A41" s="14" t="s">
        <v>144</v>
      </c>
      <c r="B41" s="14"/>
      <c r="C41" s="14"/>
      <c r="D41" s="1"/>
      <c r="E41" s="2"/>
      <c r="F41" s="2"/>
      <c r="G41" s="2"/>
      <c r="H41" s="2"/>
      <c r="I41" s="2"/>
      <c r="J41" s="5"/>
      <c r="K41" s="5"/>
    </row>
    <row r="42" spans="1:11" ht="18.75" customHeight="1" x14ac:dyDescent="0.2">
      <c r="A42" s="14"/>
      <c r="B42" s="14"/>
      <c r="C42" s="14"/>
      <c r="D42" s="1"/>
      <c r="E42" s="2"/>
      <c r="F42" s="2"/>
      <c r="G42" s="2"/>
      <c r="H42" s="2"/>
      <c r="I42" s="2"/>
      <c r="J42" s="5"/>
      <c r="K42" s="5"/>
    </row>
    <row r="43" spans="1:11" ht="16.5" customHeight="1" x14ac:dyDescent="0.2">
      <c r="A43" s="15" t="str">
        <f>+CowCalf!A3</f>
        <v>Rolling Plains Cow-Calf Production</v>
      </c>
      <c r="B43" s="14">
        <f>+CowCalf!TotRet</f>
        <v>381.56286308320296</v>
      </c>
      <c r="C43" s="14">
        <f>+CowCalf!VarRet</f>
        <v>890.62967974986964</v>
      </c>
      <c r="E43" s="8">
        <f>+CowCalf!TotExp</f>
        <v>988.77313691679683</v>
      </c>
      <c r="F43" s="8">
        <f>+CowCalf!VarExp</f>
        <v>479.70632025013009</v>
      </c>
      <c r="G43" s="8"/>
      <c r="H43" s="8">
        <f>+CowCalf!Price</f>
        <v>318.21086956521737</v>
      </c>
      <c r="I43" s="8" t="str">
        <f>+CowCalf!Unit</f>
        <v>CWT</v>
      </c>
      <c r="J43" s="5">
        <f t="shared" ref="J43:K44" si="6">+IF($H43=0,0,E43/$H43)</f>
        <v>3.1072890070279251</v>
      </c>
      <c r="K43" s="5">
        <f t="shared" si="6"/>
        <v>1.5075107927820619</v>
      </c>
    </row>
    <row r="44" spans="1:11" ht="16.5" customHeight="1" x14ac:dyDescent="0.2">
      <c r="A44" s="15" t="str">
        <f>+StockersMar1!A3</f>
        <v>Stocker Calf Budget - Pull off Wheat March 1</v>
      </c>
      <c r="B44" s="14">
        <f>+StockersMar1!TotRet</f>
        <v>-60.255568742182732</v>
      </c>
      <c r="C44" s="14">
        <f>+StockersMar1!VarRet</f>
        <v>-22.259202075515987</v>
      </c>
      <c r="E44" s="8">
        <f>+StockersMar1!TotExp</f>
        <v>1963.2755687421829</v>
      </c>
      <c r="F44" s="8">
        <f>+StockersMar1!VarExp</f>
        <v>1925.2792020755162</v>
      </c>
      <c r="G44" s="8"/>
      <c r="H44" s="8">
        <f>+StockersMar1!Price</f>
        <v>280</v>
      </c>
      <c r="I44" s="8" t="str">
        <f>+StockersMar1!Unit</f>
        <v>CWT</v>
      </c>
      <c r="J44" s="5">
        <f t="shared" si="6"/>
        <v>7.0116984597935108</v>
      </c>
      <c r="K44" s="5">
        <f t="shared" si="6"/>
        <v>6.8759971502697006</v>
      </c>
    </row>
    <row r="45" spans="1:11" ht="16.5" customHeight="1" x14ac:dyDescent="0.2">
      <c r="A45" s="15" t="str">
        <f>+StockerGrazeOut!A3</f>
        <v>Stocker Calf Budget - Grazeout</v>
      </c>
      <c r="B45" s="14">
        <f>+StockerGrazeOut!TotRet</f>
        <v>-109.43876582168241</v>
      </c>
      <c r="C45" s="14">
        <f>+StockerGrazeOut!VarRet</f>
        <v>-59.775732488349149</v>
      </c>
      <c r="E45" s="8">
        <f>+StockerGrazeOut!TotExp</f>
        <v>2129.8517658216824</v>
      </c>
      <c r="F45" s="8">
        <f>+StockerGrazeOut!VarExp</f>
        <v>2080.1887324883492</v>
      </c>
      <c r="G45" s="8"/>
      <c r="H45" s="8">
        <f>+StockerGrazeOut!Price</f>
        <v>262</v>
      </c>
      <c r="I45" s="8" t="str">
        <f>+StockerGrazeOut!Unit</f>
        <v>CWT</v>
      </c>
      <c r="J45" s="5">
        <f>+IF($H45=0,0,E45/$H45)</f>
        <v>8.1292052130598567</v>
      </c>
      <c r="K45" s="5">
        <f>+IF($H45=0,0,F45/$H45)</f>
        <v>7.9396516507188899</v>
      </c>
    </row>
    <row r="46" spans="1:11" ht="16.5" customHeight="1" x14ac:dyDescent="0.2">
      <c r="A46" s="15"/>
      <c r="B46" s="14"/>
      <c r="C46" s="14"/>
      <c r="E46" s="8"/>
      <c r="F46" s="8"/>
      <c r="G46" s="8"/>
      <c r="H46" s="8"/>
      <c r="I46" s="8"/>
      <c r="J46" s="5"/>
      <c r="K46" s="5"/>
    </row>
    <row r="47" spans="1:11" ht="18.75" customHeight="1" x14ac:dyDescent="0.2">
      <c r="A47" s="3"/>
      <c r="B47" s="14"/>
      <c r="C47" s="14"/>
      <c r="E47" s="8"/>
      <c r="F47" s="8"/>
      <c r="G47" s="8"/>
      <c r="H47" s="2"/>
      <c r="I47" s="2"/>
      <c r="J47" s="5"/>
      <c r="K47" s="5"/>
    </row>
  </sheetData>
  <sheetProtection sheet="1" objects="1" scenarios="1"/>
  <mergeCells count="3">
    <mergeCell ref="H3:K3"/>
    <mergeCell ref="E3:F3"/>
    <mergeCell ref="B3:C3"/>
  </mergeCells>
  <phoneticPr fontId="0" type="noConversion"/>
  <conditionalFormatting sqref="A5:A6">
    <cfRule type="cellIs" dxfId="47" priority="11" stopIfTrue="1" operator="lessThan">
      <formula>$B$1</formula>
    </cfRule>
    <cfRule type="cellIs" dxfId="46" priority="12" stopIfTrue="1" operator="greaterThanOrEqual">
      <formula>$B$1</formula>
    </cfRule>
  </conditionalFormatting>
  <conditionalFormatting sqref="A41:A42">
    <cfRule type="cellIs" dxfId="45" priority="7" stopIfTrue="1" operator="lessThan">
      <formula>$B$1</formula>
    </cfRule>
    <cfRule type="cellIs" dxfId="44" priority="8" stopIfTrue="1" operator="greaterThanOrEqual">
      <formula>$B$1</formula>
    </cfRule>
  </conditionalFormatting>
  <conditionalFormatting sqref="A16:C17">
    <cfRule type="cellIs" dxfId="43" priority="5" stopIfTrue="1" operator="lessThan">
      <formula>$B$1</formula>
    </cfRule>
    <cfRule type="cellIs" dxfId="42" priority="6" stopIfTrue="1" operator="greaterThanOrEqual">
      <formula>$B$1</formula>
    </cfRule>
  </conditionalFormatting>
  <conditionalFormatting sqref="B7:C14">
    <cfRule type="cellIs" dxfId="41" priority="21" stopIfTrue="1" operator="lessThan">
      <formula>$B$1</formula>
    </cfRule>
    <cfRule type="cellIs" dxfId="40" priority="22" stopIfTrue="1" operator="greaterThanOrEqual">
      <formula>$B$1</formula>
    </cfRule>
  </conditionalFormatting>
  <conditionalFormatting sqref="B18:C47">
    <cfRule type="cellIs" dxfId="39" priority="49" stopIfTrue="1" operator="lessThan">
      <formula>$B$1</formula>
    </cfRule>
    <cfRule type="cellIs" dxfId="38" priority="50" stopIfTrue="1" operator="greaterThanOrEqual">
      <formula>$B$1</formula>
    </cfRule>
  </conditionalFormatting>
  <pageMargins left="0.75" right="0.75" top="1" bottom="1" header="0.5" footer="0.5"/>
  <pageSetup scale="85" fitToWidth="3" orientation="landscape" r:id="rId1"/>
  <headerFooter alignWithMargins="0">
    <oddHeader>&amp;RVersion 00.02.2012</oddHeader>
    <oddFooter>&amp;CTexas AgriLife Extension Service provides this software for educational use, solely on an “AS IS” basis and  assumes no liability for its use.</oddFooter>
  </headerFooter>
  <colBreaks count="2" manualBreakCount="2">
    <brk id="4" max="28" man="1"/>
    <brk id="7" max="28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242">
    <tabColor theme="3" tint="0.39997558519241921"/>
  </sheetPr>
  <dimension ref="A1:AB48"/>
  <sheetViews>
    <sheetView zoomScaleNormal="90" workbookViewId="0">
      <pane xSplit="1" ySplit="4" topLeftCell="B5" activePane="bottomRight" state="frozen"/>
      <selection activeCell="B38" sqref="B38"/>
      <selection pane="topRight" activeCell="B38" sqref="B38"/>
      <selection pane="bottomLeft" activeCell="B38" sqref="B38"/>
      <selection pane="bottomRight" activeCell="A10" sqref="A10:XFD10"/>
    </sheetView>
  </sheetViews>
  <sheetFormatPr defaultColWidth="8.5703125" defaultRowHeight="12.75" x14ac:dyDescent="0.2"/>
  <cols>
    <col min="1" max="1" width="76.140625" customWidth="1"/>
    <col min="2" max="3" width="18.42578125" customWidth="1"/>
    <col min="4" max="4" width="20.42578125" customWidth="1"/>
    <col min="5" max="5" width="5.42578125" customWidth="1"/>
    <col min="6" max="8" width="14.5703125" customWidth="1"/>
    <col min="9" max="9" width="5.5703125" customWidth="1"/>
    <col min="10" max="10" width="14.5703125" customWidth="1"/>
    <col min="11" max="11" width="7.5703125" customWidth="1"/>
    <col min="12" max="14" width="14.5703125" customWidth="1"/>
    <col min="16" max="17" width="18.42578125" customWidth="1"/>
    <col min="18" max="18" width="20.42578125" customWidth="1"/>
    <col min="19" max="19" width="5.42578125" customWidth="1"/>
    <col min="20" max="22" width="14.5703125" customWidth="1"/>
    <col min="23" max="23" width="5.5703125" customWidth="1"/>
    <col min="24" max="24" width="14.5703125" customWidth="1"/>
    <col min="25" max="25" width="7.5703125" customWidth="1"/>
    <col min="26" max="28" width="14.5703125" customWidth="1"/>
  </cols>
  <sheetData>
    <row r="1" spans="1:28" x14ac:dyDescent="0.2">
      <c r="A1" s="3" t="s">
        <v>163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</row>
    <row r="2" spans="1:28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24.75" customHeight="1" x14ac:dyDescent="0.2">
      <c r="A3" s="12" t="s">
        <v>164</v>
      </c>
      <c r="B3" s="285" t="s">
        <v>7</v>
      </c>
      <c r="C3" s="285"/>
      <c r="D3" s="235"/>
      <c r="E3" s="26"/>
      <c r="F3" s="285" t="s">
        <v>6</v>
      </c>
      <c r="G3" s="285"/>
      <c r="H3" s="235"/>
      <c r="I3" s="26"/>
      <c r="J3" s="285" t="s">
        <v>330</v>
      </c>
      <c r="K3" s="235"/>
      <c r="L3" s="235"/>
      <c r="M3" s="235"/>
      <c r="N3" s="235"/>
      <c r="P3" s="285" t="s">
        <v>165</v>
      </c>
      <c r="Q3" s="285"/>
      <c r="R3" s="235"/>
      <c r="S3" s="26"/>
      <c r="T3" s="285" t="s">
        <v>166</v>
      </c>
      <c r="U3" s="285"/>
      <c r="V3" s="235"/>
      <c r="W3" s="26"/>
      <c r="X3" s="285" t="s">
        <v>331</v>
      </c>
      <c r="Y3" s="235"/>
      <c r="Z3" s="235"/>
      <c r="AA3" s="235"/>
      <c r="AB3" s="235"/>
    </row>
    <row r="4" spans="1:28" ht="18.75" customHeight="1" x14ac:dyDescent="0.2">
      <c r="B4" s="1" t="s">
        <v>12</v>
      </c>
      <c r="C4" s="1" t="s">
        <v>9</v>
      </c>
      <c r="D4" s="29" t="s">
        <v>10</v>
      </c>
      <c r="E4" s="1"/>
      <c r="F4" s="1" t="s">
        <v>12</v>
      </c>
      <c r="G4" s="1" t="s">
        <v>9</v>
      </c>
      <c r="H4" s="6" t="s">
        <v>10</v>
      </c>
      <c r="I4" s="6"/>
      <c r="J4" s="1" t="s">
        <v>4</v>
      </c>
      <c r="K4" s="13" t="s">
        <v>21</v>
      </c>
      <c r="L4" s="1" t="s">
        <v>12</v>
      </c>
      <c r="M4" s="1" t="s">
        <v>9</v>
      </c>
      <c r="N4" s="6" t="s">
        <v>10</v>
      </c>
      <c r="P4" s="1" t="s">
        <v>12</v>
      </c>
      <c r="Q4" s="1" t="s">
        <v>9</v>
      </c>
      <c r="R4" s="29" t="s">
        <v>10</v>
      </c>
      <c r="S4" s="1"/>
      <c r="T4" s="1" t="s">
        <v>12</v>
      </c>
      <c r="U4" s="1" t="s">
        <v>9</v>
      </c>
      <c r="V4" s="6" t="s">
        <v>10</v>
      </c>
      <c r="W4" s="6"/>
      <c r="X4" s="1" t="s">
        <v>4</v>
      </c>
      <c r="Y4" s="13" t="s">
        <v>21</v>
      </c>
      <c r="Z4" s="1" t="s">
        <v>12</v>
      </c>
      <c r="AA4" s="1" t="s">
        <v>9</v>
      </c>
      <c r="AB4" s="6" t="s">
        <v>10</v>
      </c>
    </row>
    <row r="5" spans="1:28" ht="18.75" customHeight="1" x14ac:dyDescent="0.2">
      <c r="A5" s="14" t="s">
        <v>143</v>
      </c>
      <c r="B5" s="1"/>
      <c r="C5" s="1"/>
      <c r="D5" s="6"/>
      <c r="E5" s="1"/>
      <c r="F5" s="1"/>
      <c r="G5" s="1"/>
      <c r="H5" s="6"/>
      <c r="I5" s="6"/>
      <c r="J5" s="1"/>
      <c r="K5" s="13"/>
      <c r="L5" s="1"/>
      <c r="M5" s="1"/>
      <c r="N5" s="6"/>
      <c r="P5" s="1"/>
      <c r="Q5" s="1"/>
      <c r="R5" s="6"/>
      <c r="S5" s="1"/>
      <c r="T5" s="1"/>
      <c r="U5" s="1"/>
      <c r="V5" s="6"/>
      <c r="W5" s="6"/>
      <c r="X5" s="1"/>
      <c r="Y5" s="13"/>
      <c r="Z5" s="1"/>
      <c r="AA5" s="1"/>
      <c r="AB5" s="6"/>
    </row>
    <row r="6" spans="1:28" ht="18.75" customHeight="1" x14ac:dyDescent="0.2">
      <c r="A6" s="14"/>
      <c r="B6" s="1"/>
      <c r="C6" s="1"/>
      <c r="D6" s="6"/>
      <c r="E6" s="1"/>
      <c r="F6" s="1"/>
      <c r="G6" s="1"/>
      <c r="H6" s="6"/>
      <c r="I6" s="6"/>
      <c r="J6" s="1"/>
      <c r="K6" s="13"/>
      <c r="L6" s="1"/>
      <c r="M6" s="1"/>
      <c r="N6" s="6"/>
      <c r="P6" s="1"/>
      <c r="Q6" s="1"/>
      <c r="R6" s="6"/>
      <c r="S6" s="1"/>
      <c r="T6" s="1"/>
      <c r="U6" s="1"/>
      <c r="V6" s="6"/>
      <c r="W6" s="6"/>
      <c r="X6" s="1"/>
      <c r="Y6" s="13"/>
      <c r="Z6" s="1"/>
      <c r="AA6" s="1"/>
      <c r="AB6" s="6"/>
    </row>
    <row r="7" spans="1:28" ht="18.75" customHeight="1" x14ac:dyDescent="0.2">
      <c r="A7" s="3" t="str">
        <f>+AlfalfaDrylandEstablish!A3</f>
        <v>Dryland Alfalfa Establishment</v>
      </c>
      <c r="B7" s="14">
        <f>+AlfalfaDrylandEstablish!TotRet</f>
        <v>-306.88056200649635</v>
      </c>
      <c r="C7" s="14">
        <f>+AlfalfaDrylandEstablish!TTotRet</f>
        <v>-306.88056200649635</v>
      </c>
      <c r="D7" s="14">
        <f>+AlfalfaDrylandEstablish!LTotRet</f>
        <v>0</v>
      </c>
      <c r="E7" s="1"/>
      <c r="F7" s="2">
        <f>+AlfalfaDrylandEstablish!TotExp</f>
        <v>306.88056200649635</v>
      </c>
      <c r="G7" s="2">
        <f>+AlfalfaDrylandEstablish!TTotExp</f>
        <v>306.88056200649635</v>
      </c>
      <c r="H7" s="2">
        <f>+AlfalfaDrylandEstablish!LTotExp</f>
        <v>0</v>
      </c>
      <c r="I7" s="2"/>
      <c r="J7" s="2">
        <f>+AlfalfaDrylandEstablish!Price</f>
        <v>0</v>
      </c>
      <c r="K7" s="2" t="str">
        <f>+AlfalfaDrylandEstablish!Unit</f>
        <v/>
      </c>
      <c r="L7" s="5">
        <f t="shared" ref="L7:N9" si="0">+IF($J7=0,0,F7/$J7)</f>
        <v>0</v>
      </c>
      <c r="M7" s="5">
        <f t="shared" si="0"/>
        <v>0</v>
      </c>
      <c r="N7" s="5">
        <f t="shared" si="0"/>
        <v>0</v>
      </c>
      <c r="P7" s="14">
        <f>+AlfalfaDrylandEstablish!VarRet</f>
        <v>-255.30437317716471</v>
      </c>
      <c r="Q7" s="14">
        <f>+AlfalfaDrylandEstablish!TVarRet</f>
        <v>-255.30437317716471</v>
      </c>
      <c r="R7" s="14">
        <f>+AlfalfaDrylandEstablish!LVarRet</f>
        <v>0</v>
      </c>
      <c r="S7" s="1"/>
      <c r="T7" s="2">
        <f>+AlfalfaDrylandEstablish!VarExp</f>
        <v>255.30437317716471</v>
      </c>
      <c r="U7" s="2">
        <f>+AlfalfaDrylandEstablish!TVarExp</f>
        <v>255.30437317716471</v>
      </c>
      <c r="V7" s="2">
        <f>+AlfalfaDrylandEstablish!LVarExp</f>
        <v>0</v>
      </c>
      <c r="W7" s="2"/>
      <c r="X7" s="2">
        <f>+AlfalfaDrylandEstablish!Price</f>
        <v>0</v>
      </c>
      <c r="Y7" s="2" t="str">
        <f>+AlfalfaDrylandEstablish!Unit</f>
        <v/>
      </c>
      <c r="Z7" s="5">
        <f t="shared" ref="Z7:AB9" si="1">+IF($J7=0,0,T7/$J7)</f>
        <v>0</v>
      </c>
      <c r="AA7" s="5">
        <f t="shared" si="1"/>
        <v>0</v>
      </c>
      <c r="AB7" s="5">
        <f t="shared" si="1"/>
        <v>0</v>
      </c>
    </row>
    <row r="8" spans="1:28" ht="18.75" customHeight="1" x14ac:dyDescent="0.2">
      <c r="A8" s="3" t="str">
        <f>CoastalEstab!A3</f>
        <v>Coastal Bermudagrass Establishment</v>
      </c>
      <c r="B8" s="14">
        <f>CoastalEstab!TotRet</f>
        <v>-243.84607983367914</v>
      </c>
      <c r="C8" s="14">
        <f>CoastalEstab!TTotRet</f>
        <v>-243.84607983367914</v>
      </c>
      <c r="D8" s="14">
        <f>CoastalEstab!LTotRet</f>
        <v>0</v>
      </c>
      <c r="E8" s="1"/>
      <c r="F8" s="2">
        <f>CoastalEstab!TotExp</f>
        <v>243.84607983367914</v>
      </c>
      <c r="G8" s="2">
        <f>CoastalEstab!TTotExp</f>
        <v>243.84607983367914</v>
      </c>
      <c r="H8" s="2">
        <f>CoastalEstab!LTotExp</f>
        <v>0</v>
      </c>
      <c r="I8" s="2"/>
      <c r="J8" s="2">
        <f>CoastalEstab!Price</f>
        <v>0</v>
      </c>
      <c r="K8" s="2" t="str">
        <f>CoastalEstab!Unit</f>
        <v/>
      </c>
      <c r="L8" s="5">
        <f>IF(J8=0,0,F8/J8)</f>
        <v>0</v>
      </c>
      <c r="M8" s="5">
        <f>IF(J8=0,0,G8/J8)</f>
        <v>0</v>
      </c>
      <c r="N8" s="5">
        <f>IF(J8=0,0,H8/J8)</f>
        <v>0</v>
      </c>
      <c r="P8" s="14">
        <f>CoastalEstab!VarRet</f>
        <v>-234.10170619520946</v>
      </c>
      <c r="Q8" s="14">
        <f>CoastalEstab!TVarRet</f>
        <v>-234.10170619520946</v>
      </c>
      <c r="R8" s="14">
        <f>CoastalEstab!LVarRet</f>
        <v>0</v>
      </c>
      <c r="S8" s="1"/>
      <c r="T8" s="2">
        <f>CoastalEstab!VarExp</f>
        <v>234.10170619520946</v>
      </c>
      <c r="U8" s="2">
        <f>CoastalEstab!TVarExp</f>
        <v>234.10170619520946</v>
      </c>
      <c r="V8" s="2">
        <f>CoastalEstab!LVarExp</f>
        <v>0</v>
      </c>
      <c r="W8" s="2"/>
      <c r="X8" s="2">
        <f>CoastalEstab!Price</f>
        <v>0</v>
      </c>
      <c r="Y8" s="2" t="str">
        <f>CoastalEstab!Unit</f>
        <v/>
      </c>
      <c r="Z8" s="5">
        <f>IF(J8=0,0,T8/J8)</f>
        <v>0</v>
      </c>
      <c r="AA8" s="5">
        <f>IF(J8=0,0,U8/J8)</f>
        <v>0</v>
      </c>
      <c r="AB8" s="5">
        <f>IF(J8=0,0,V8/J8)</f>
        <v>0</v>
      </c>
    </row>
    <row r="9" spans="1:28" ht="18.75" customHeight="1" x14ac:dyDescent="0.2">
      <c r="A9" s="3" t="str">
        <f>+AlfalfaHayDryland!A3</f>
        <v>Dryland Alfalfa Hay</v>
      </c>
      <c r="B9" s="14">
        <f>+AlfalfaHayDryland!TotRet</f>
        <v>905.24607694349311</v>
      </c>
      <c r="C9" s="14">
        <f>+AlfalfaHayDryland!TTotRet</f>
        <v>905.24607694349311</v>
      </c>
      <c r="D9" s="14">
        <f>+AlfalfaHayDryland!LTotRet</f>
        <v>0</v>
      </c>
      <c r="E9" s="1"/>
      <c r="F9" s="2">
        <f>+AlfalfaHayDryland!TotExp</f>
        <v>394.75392305650684</v>
      </c>
      <c r="G9" s="2">
        <f>+AlfalfaHayDryland!TTotExp</f>
        <v>394.75392305650684</v>
      </c>
      <c r="H9" s="2">
        <f>+AlfalfaHayDryland!LTotExp</f>
        <v>0</v>
      </c>
      <c r="I9" s="2"/>
      <c r="J9" s="2">
        <f>+AlfalfaHayDryland!Price</f>
        <v>400</v>
      </c>
      <c r="K9" s="2" t="str">
        <f>+AlfalfaHayDryland!Unit</f>
        <v>Ton</v>
      </c>
      <c r="L9" s="5">
        <f t="shared" si="0"/>
        <v>0.98688480764126707</v>
      </c>
      <c r="M9" s="5">
        <f t="shared" si="0"/>
        <v>0.98688480764126707</v>
      </c>
      <c r="N9" s="5">
        <f t="shared" si="0"/>
        <v>0</v>
      </c>
      <c r="P9" s="14">
        <f>+AlfalfaHayDryland!VarRet</f>
        <v>1041.4170769434932</v>
      </c>
      <c r="Q9" s="14">
        <f>+AlfalfaHayDryland!TVarRet</f>
        <v>1041.4170769434932</v>
      </c>
      <c r="R9" s="14">
        <f>+AlfalfaHayDryland!LVarRet</f>
        <v>0</v>
      </c>
      <c r="S9" s="1"/>
      <c r="T9" s="2">
        <f>+AlfalfaHayDryland!VarExp</f>
        <v>258.58292305650684</v>
      </c>
      <c r="U9" s="2">
        <f>+AlfalfaHayDryland!TVarExp</f>
        <v>258.58292305650684</v>
      </c>
      <c r="V9" s="2">
        <f>+AlfalfaHayDryland!LVarExp</f>
        <v>0</v>
      </c>
      <c r="W9" s="2"/>
      <c r="X9" s="2">
        <f>+AlfalfaHayDryland!Price</f>
        <v>400</v>
      </c>
      <c r="Y9" s="2" t="str">
        <f>+AlfalfaHayDryland!Unit</f>
        <v>Ton</v>
      </c>
      <c r="Z9" s="5">
        <f t="shared" si="1"/>
        <v>0.64645730764126708</v>
      </c>
      <c r="AA9" s="5">
        <f t="shared" si="1"/>
        <v>0.64645730764126708</v>
      </c>
      <c r="AB9" s="5">
        <f t="shared" si="1"/>
        <v>0</v>
      </c>
    </row>
    <row r="10" spans="1:28" ht="18.75" customHeight="1" x14ac:dyDescent="0.2">
      <c r="A10" s="3" t="str">
        <f>CoastalDryland!A3</f>
        <v>Coastal Bermudagrass Hay Dryland</v>
      </c>
      <c r="B10" s="14">
        <f>CoastalDryland!TotRet</f>
        <v>112.80966042038358</v>
      </c>
      <c r="C10" s="14">
        <f>CoastalDryland!TTotRet</f>
        <v>112.80966042038358</v>
      </c>
      <c r="D10" s="14">
        <f>CoastalDryland!LTotRet</f>
        <v>0</v>
      </c>
      <c r="E10" s="1"/>
      <c r="F10" s="2">
        <f>CoastalDryland!TotExp</f>
        <v>667.19033957961642</v>
      </c>
      <c r="G10" s="2">
        <f>CoastalDryland!TTotExp</f>
        <v>667.19033957961642</v>
      </c>
      <c r="H10" s="2">
        <f>CoastalDryland!LTotExp</f>
        <v>0</v>
      </c>
      <c r="I10" s="2"/>
      <c r="J10" s="2">
        <f>CoastalDryland!Price</f>
        <v>130</v>
      </c>
      <c r="K10" s="2" t="str">
        <f>CoastalDryland!Unit</f>
        <v>Round Bale</v>
      </c>
      <c r="L10" s="5">
        <f>IF(J10=0,0,F10/J10)</f>
        <v>5.1322333813816652</v>
      </c>
      <c r="M10" s="5">
        <f>IF(J10=0,0,G10/J10)</f>
        <v>5.1322333813816652</v>
      </c>
      <c r="N10" s="5">
        <f>IF(J10=0,0,H10/J10)</f>
        <v>0</v>
      </c>
      <c r="P10" s="14">
        <f>CoastalDryland!VarRet</f>
        <v>300.05316042038356</v>
      </c>
      <c r="Q10" s="14">
        <f>CoastalDryland!TVarRet</f>
        <v>300.05316042038356</v>
      </c>
      <c r="R10" s="14">
        <f>CoastalDryland!LVarRet</f>
        <v>0</v>
      </c>
      <c r="S10" s="1"/>
      <c r="T10" s="2">
        <f>CoastalDryland!VarExp</f>
        <v>479.94683957961644</v>
      </c>
      <c r="U10" s="2">
        <f>CoastalDryland!TVarExp</f>
        <v>479.94683957961644</v>
      </c>
      <c r="V10" s="2">
        <f>CoastalDryland!LVarExp</f>
        <v>0</v>
      </c>
      <c r="W10" s="2"/>
      <c r="X10" s="2">
        <f>CoastalDryland!Price</f>
        <v>130</v>
      </c>
      <c r="Y10" s="2" t="str">
        <f>CoastalDryland!Unit</f>
        <v>Round Bale</v>
      </c>
      <c r="Z10" s="5">
        <f>IF(J10=0,0,T10/J10)</f>
        <v>3.6918987659970495</v>
      </c>
      <c r="AA10" s="5">
        <f>IF(J10=0,0,U10/J10)</f>
        <v>3.6918987659970495</v>
      </c>
      <c r="AB10" s="5">
        <f>IF(J10=0,0,V10/J10)</f>
        <v>0</v>
      </c>
    </row>
    <row r="11" spans="1:28" ht="18.75" customHeight="1" x14ac:dyDescent="0.2">
      <c r="A11" s="3" t="str">
        <f>+AlfalfaIrrigatedEstablish!A3</f>
        <v>Irrigated Alfalfa Establishment</v>
      </c>
      <c r="B11" s="14">
        <f>+AlfalfaIrrigatedEstablish!TotRet</f>
        <v>-519.91947847038182</v>
      </c>
      <c r="C11" s="14">
        <f>+AlfalfaIrrigatedEstablish!TTotRet</f>
        <v>-519.91947847038182</v>
      </c>
      <c r="D11" s="14">
        <f>+AlfalfaIrrigatedEstablish!LTotRet</f>
        <v>0</v>
      </c>
      <c r="E11" s="1"/>
      <c r="F11" s="2">
        <f>+AlfalfaIrrigatedEstablish!TotExp</f>
        <v>519.91947847038182</v>
      </c>
      <c r="G11" s="2">
        <f>+AlfalfaIrrigatedEstablish!TTotExp</f>
        <v>519.91947847038182</v>
      </c>
      <c r="H11" s="2">
        <f>+AlfalfaIrrigatedEstablish!LTotExp</f>
        <v>0</v>
      </c>
      <c r="I11" s="2"/>
      <c r="J11" s="2">
        <f>+AlfalfaIrrigatedEstablish!Price</f>
        <v>0</v>
      </c>
      <c r="K11" s="2" t="str">
        <f>+AlfalfaIrrigatedEstablish!Unit</f>
        <v/>
      </c>
      <c r="L11" s="5">
        <f t="shared" ref="L11:N13" si="2">+IF($J11=0,0,F11/$J11)</f>
        <v>0</v>
      </c>
      <c r="M11" s="5">
        <f t="shared" si="2"/>
        <v>0</v>
      </c>
      <c r="N11" s="5">
        <f t="shared" si="2"/>
        <v>0</v>
      </c>
      <c r="P11" s="14">
        <f>+AlfalfaIrrigatedEstablish!VarRet</f>
        <v>-378.34328964105015</v>
      </c>
      <c r="Q11" s="14">
        <f>+AlfalfaIrrigatedEstablish!TVarRet</f>
        <v>-378.34328964105015</v>
      </c>
      <c r="R11" s="14">
        <f>+AlfalfaIrrigatedEstablish!LVarRet</f>
        <v>0</v>
      </c>
      <c r="S11" s="1"/>
      <c r="T11" s="2">
        <f>+AlfalfaIrrigatedEstablish!VarExp</f>
        <v>378.34328964105015</v>
      </c>
      <c r="U11" s="2">
        <f>+AlfalfaIrrigatedEstablish!TVarExp</f>
        <v>378.34328964105015</v>
      </c>
      <c r="V11" s="2">
        <f>+AlfalfaIrrigatedEstablish!LVarExp</f>
        <v>0</v>
      </c>
      <c r="W11" s="2"/>
      <c r="X11" s="2">
        <f>+AlfalfaIrrigatedEstablish!Price</f>
        <v>0</v>
      </c>
      <c r="Y11" s="2" t="str">
        <f>+AlfalfaIrrigatedEstablish!Unit</f>
        <v/>
      </c>
      <c r="Z11" s="5">
        <f t="shared" ref="Z11:AB13" si="3">+IF($J11=0,0,T11/$J11)</f>
        <v>0</v>
      </c>
      <c r="AA11" s="5">
        <f t="shared" si="3"/>
        <v>0</v>
      </c>
      <c r="AB11" s="5">
        <f t="shared" si="3"/>
        <v>0</v>
      </c>
    </row>
    <row r="12" spans="1:28" ht="18.75" customHeight="1" x14ac:dyDescent="0.2">
      <c r="A12" s="3" t="str">
        <f>+AlfalfaHayIrrigated!A3</f>
        <v>Irrigated Alfalfa Hay</v>
      </c>
      <c r="B12" s="14">
        <f>+AlfalfaHayIrrigated!TotRet</f>
        <v>1803.7786621404109</v>
      </c>
      <c r="C12" s="14">
        <f>+AlfalfaHayIrrigated!TTotRet</f>
        <v>1803.7786621404109</v>
      </c>
      <c r="D12" s="14">
        <f>+AlfalfaHayIrrigated!LTotRet</f>
        <v>0</v>
      </c>
      <c r="E12" s="1"/>
      <c r="F12" s="2">
        <f>+AlfalfaHayIrrigated!TotExp</f>
        <v>796.22133785958908</v>
      </c>
      <c r="G12" s="2">
        <f>+AlfalfaHayIrrigated!TTotExp</f>
        <v>796.22133785958908</v>
      </c>
      <c r="H12" s="2">
        <f>+AlfalfaHayIrrigated!LTotExp</f>
        <v>0</v>
      </c>
      <c r="I12" s="2"/>
      <c r="J12" s="2">
        <f>+AlfalfaHayIrrigated!Price</f>
        <v>400</v>
      </c>
      <c r="K12" s="2" t="str">
        <f>+AlfalfaHayIrrigated!Unit</f>
        <v>Ton</v>
      </c>
      <c r="L12" s="5">
        <f t="shared" si="2"/>
        <v>1.9905533446489727</v>
      </c>
      <c r="M12" s="5">
        <f t="shared" si="2"/>
        <v>1.9905533446489727</v>
      </c>
      <c r="N12" s="5">
        <f t="shared" si="2"/>
        <v>0</v>
      </c>
      <c r="P12" s="14">
        <f>+AlfalfaHayIrrigated!VarRet</f>
        <v>2101.306912140411</v>
      </c>
      <c r="Q12" s="14">
        <f>+AlfalfaHayIrrigated!TVarRet</f>
        <v>2101.306912140411</v>
      </c>
      <c r="R12" s="14">
        <f>+AlfalfaHayIrrigated!LVarRet</f>
        <v>0</v>
      </c>
      <c r="S12" s="1"/>
      <c r="T12" s="2">
        <f>+AlfalfaHayIrrigated!VarExp</f>
        <v>498.69308785958901</v>
      </c>
      <c r="U12" s="2">
        <f>+AlfalfaHayIrrigated!TVarExp</f>
        <v>498.69308785958901</v>
      </c>
      <c r="V12" s="2">
        <f>+AlfalfaHayIrrigated!LVarExp</f>
        <v>0</v>
      </c>
      <c r="W12" s="2"/>
      <c r="X12" s="2">
        <f>+AlfalfaHayIrrigated!Price</f>
        <v>400</v>
      </c>
      <c r="Y12" s="2" t="str">
        <f>+AlfalfaHayIrrigated!Unit</f>
        <v>Ton</v>
      </c>
      <c r="Z12" s="5">
        <f t="shared" si="3"/>
        <v>1.2467327196489726</v>
      </c>
      <c r="AA12" s="5">
        <f t="shared" si="3"/>
        <v>1.2467327196489726</v>
      </c>
      <c r="AB12" s="5">
        <f t="shared" si="3"/>
        <v>0</v>
      </c>
    </row>
    <row r="13" spans="1:28" ht="18.75" customHeight="1" x14ac:dyDescent="0.2">
      <c r="A13" s="3" t="str">
        <f>+SmallGrain!A3</f>
        <v>Small Grain Grazing</v>
      </c>
      <c r="B13" s="14">
        <f>+SmallGrain!TotRet</f>
        <v>-155.13791957874008</v>
      </c>
      <c r="C13" s="14">
        <f>+SmallGrain!TTotRet</f>
        <v>-155.13791957874008</v>
      </c>
      <c r="D13" s="14">
        <f>+SmallGrain!LTotRet</f>
        <v>0</v>
      </c>
      <c r="E13" s="1"/>
      <c r="F13" s="2">
        <f>+SmallGrain!TotExp</f>
        <v>155.13791957874008</v>
      </c>
      <c r="G13" s="2">
        <f>+SmallGrain!TTotExp</f>
        <v>155.13791957874008</v>
      </c>
      <c r="H13" s="2">
        <f>+SmallGrain!LTotExp</f>
        <v>0</v>
      </c>
      <c r="I13" s="2"/>
      <c r="J13" s="2">
        <f>+SmallGrain!Price</f>
        <v>0</v>
      </c>
      <c r="K13" s="2" t="str">
        <f>+SmallGrain!Unit</f>
        <v/>
      </c>
      <c r="L13" s="5">
        <f t="shared" si="2"/>
        <v>0</v>
      </c>
      <c r="M13" s="5">
        <f t="shared" si="2"/>
        <v>0</v>
      </c>
      <c r="N13" s="5">
        <f t="shared" si="2"/>
        <v>0</v>
      </c>
      <c r="P13" s="14">
        <f>+SmallGrain!VarRet</f>
        <v>-110.70358091385486</v>
      </c>
      <c r="Q13" s="14">
        <f>+SmallGrain!TVarRet</f>
        <v>-110.70358091385486</v>
      </c>
      <c r="R13" s="14">
        <f>+SmallGrain!LVarRet</f>
        <v>0</v>
      </c>
      <c r="S13" s="1"/>
      <c r="T13" s="2">
        <f>+SmallGrain!VarExp</f>
        <v>110.70358091385486</v>
      </c>
      <c r="U13" s="2">
        <f>+SmallGrain!TVarExp</f>
        <v>110.70358091385486</v>
      </c>
      <c r="V13" s="2">
        <f>+SmallGrain!LVarExp</f>
        <v>0</v>
      </c>
      <c r="W13" s="2"/>
      <c r="X13" s="2">
        <f>+SmallGrain!Price</f>
        <v>0</v>
      </c>
      <c r="Y13" s="2" t="str">
        <f>+SmallGrain!Unit</f>
        <v/>
      </c>
      <c r="Z13" s="5">
        <f t="shared" si="3"/>
        <v>0</v>
      </c>
      <c r="AA13" s="5">
        <f t="shared" si="3"/>
        <v>0</v>
      </c>
      <c r="AB13" s="5">
        <f t="shared" si="3"/>
        <v>0</v>
      </c>
    </row>
    <row r="14" spans="1:28" ht="18.75" customHeight="1" x14ac:dyDescent="0.2">
      <c r="A14" s="3" t="str">
        <f>'SD Fescue'!A3</f>
        <v>Summer Dormant Fescue</v>
      </c>
      <c r="B14" s="14">
        <f>'SD Fescue'!TotRet</f>
        <v>-193.88768315345021</v>
      </c>
      <c r="C14" s="14">
        <f>'SD Fescue'!TTotRet</f>
        <v>-193.88768315345021</v>
      </c>
      <c r="D14" s="14">
        <f>'SD Fescue'!LTotRet</f>
        <v>0</v>
      </c>
      <c r="E14" s="1"/>
      <c r="F14" s="2">
        <f>'SD Fescue'!TotExp</f>
        <v>193.88768315345021</v>
      </c>
      <c r="G14" s="2">
        <f>'SD Fescue'!TTotExp</f>
        <v>193.88768315345021</v>
      </c>
      <c r="H14" s="2">
        <f>'SD Fescue'!LTotExp</f>
        <v>0</v>
      </c>
      <c r="I14" s="2"/>
      <c r="J14" s="2">
        <f>'SD Fescue'!Price</f>
        <v>0</v>
      </c>
      <c r="K14" s="2" t="str">
        <f>'SD Fescue'!Unit</f>
        <v/>
      </c>
      <c r="L14" s="5">
        <f>IF(J14=0,0,F14/J14)</f>
        <v>0</v>
      </c>
      <c r="M14" s="5">
        <f>IF(J14=0,0,G14/J14)</f>
        <v>0</v>
      </c>
      <c r="N14" s="5">
        <f>IF(J14=0,0,H14/J14)</f>
        <v>0</v>
      </c>
      <c r="P14" s="14">
        <f>'SD Fescue'!VarRet</f>
        <v>-152.69871812703471</v>
      </c>
      <c r="Q14" s="14">
        <f>'SD Fescue'!TVarRet</f>
        <v>-152.69871812703471</v>
      </c>
      <c r="R14" s="14">
        <f>'SD Fescue'!LVarRet</f>
        <v>0</v>
      </c>
      <c r="S14" s="1"/>
      <c r="T14" s="2">
        <f>'SD Fescue'!VarExp</f>
        <v>152.69871812703471</v>
      </c>
      <c r="U14" s="2">
        <f>'SD Fescue'!TVarExp</f>
        <v>152.69871812703471</v>
      </c>
      <c r="V14" s="2">
        <f>'SD Fescue'!LVarExp</f>
        <v>0</v>
      </c>
      <c r="W14" s="2"/>
      <c r="X14" s="2">
        <f>'SD Fescue'!Price</f>
        <v>0</v>
      </c>
      <c r="Y14" s="2" t="str">
        <f>'SD Fescue'!Unit</f>
        <v/>
      </c>
      <c r="Z14" s="5">
        <f>IF(J14=0,0,T14/J14)</f>
        <v>0</v>
      </c>
      <c r="AA14" s="5">
        <f>IF(J14=0,0,U14/J14)</f>
        <v>0</v>
      </c>
      <c r="AB14" s="5">
        <f>IF(J14=0,0,V14/J14)</f>
        <v>0</v>
      </c>
    </row>
    <row r="15" spans="1:28" ht="18.75" customHeight="1" x14ac:dyDescent="0.2">
      <c r="B15" s="1"/>
      <c r="C15" s="1"/>
      <c r="D15" s="1"/>
      <c r="E15" s="1"/>
      <c r="F15" s="1"/>
      <c r="G15" s="1"/>
      <c r="H15" s="1"/>
      <c r="I15" s="6"/>
      <c r="J15" s="1"/>
      <c r="K15" s="13"/>
      <c r="L15" s="1"/>
      <c r="M15" s="1"/>
      <c r="N15" s="6"/>
      <c r="P15" s="1"/>
      <c r="Q15" s="1"/>
      <c r="R15" s="1"/>
      <c r="S15" s="1"/>
      <c r="T15" s="1"/>
      <c r="U15" s="1"/>
      <c r="V15" s="1"/>
      <c r="W15" s="6"/>
      <c r="X15" s="1"/>
      <c r="Y15" s="13"/>
      <c r="Z15" s="1"/>
      <c r="AA15" s="1"/>
      <c r="AB15" s="6"/>
    </row>
    <row r="16" spans="1:28" ht="18.75" customHeight="1" x14ac:dyDescent="0.2">
      <c r="A16" s="14" t="s">
        <v>433</v>
      </c>
      <c r="B16" s="14"/>
      <c r="C16" s="14"/>
      <c r="D16" s="14"/>
      <c r="E16" s="1"/>
      <c r="F16" s="1"/>
      <c r="G16" s="1"/>
      <c r="H16" s="1"/>
      <c r="I16" s="6"/>
      <c r="J16" s="1"/>
      <c r="K16" s="1"/>
      <c r="L16" s="1"/>
      <c r="M16" s="1"/>
      <c r="N16" s="6"/>
      <c r="P16" s="14"/>
      <c r="Q16" s="14"/>
      <c r="R16" s="14"/>
      <c r="S16" s="1"/>
      <c r="T16" s="1"/>
      <c r="U16" s="1"/>
      <c r="V16" s="1"/>
      <c r="W16" s="6"/>
      <c r="X16" s="1"/>
      <c r="Y16" s="1"/>
      <c r="Z16" s="1"/>
      <c r="AA16" s="1"/>
      <c r="AB16" s="6"/>
    </row>
    <row r="17" spans="1:28" ht="18.75" customHeight="1" x14ac:dyDescent="0.2">
      <c r="A17" s="14"/>
      <c r="B17" s="14"/>
      <c r="C17" s="14"/>
      <c r="D17" s="14"/>
      <c r="E17" s="1"/>
      <c r="F17" s="1"/>
      <c r="G17" s="1"/>
      <c r="H17" s="1"/>
      <c r="I17" s="6"/>
      <c r="J17" s="1"/>
      <c r="K17" s="1"/>
      <c r="L17" s="1"/>
      <c r="M17" s="1"/>
      <c r="N17" s="6"/>
      <c r="P17" s="14"/>
      <c r="Q17" s="14"/>
      <c r="R17" s="14"/>
      <c r="S17" s="1"/>
      <c r="T17" s="1"/>
      <c r="U17" s="1"/>
      <c r="V17" s="1"/>
      <c r="W17" s="6"/>
      <c r="X17" s="1"/>
      <c r="Y17" s="1"/>
      <c r="Z17" s="1"/>
      <c r="AA17" s="1"/>
      <c r="AB17" s="6"/>
    </row>
    <row r="18" spans="1:28" ht="18.75" customHeight="1" x14ac:dyDescent="0.2">
      <c r="A18" s="3" t="str">
        <f>+CanolaDryland!A3</f>
        <v>Dryland Canola</v>
      </c>
      <c r="B18" s="14">
        <f>+CanolaDryland!TotRet</f>
        <v>-87.078977016259842</v>
      </c>
      <c r="C18" s="14">
        <f>+CanolaDryland!TTotRet</f>
        <v>-87.078977016259842</v>
      </c>
      <c r="D18" s="14">
        <f>+CanolaDryland!LTotRet</f>
        <v>0</v>
      </c>
      <c r="E18" s="1"/>
      <c r="F18" s="2">
        <f>+CanolaDryland!TotExp</f>
        <v>227.07897701625984</v>
      </c>
      <c r="G18" s="2">
        <f>+CanolaDryland!TTotExp</f>
        <v>227.07897701625984</v>
      </c>
      <c r="H18" s="2">
        <f>+CanolaDryland!LTotExp</f>
        <v>0</v>
      </c>
      <c r="I18" s="2"/>
      <c r="J18" s="2">
        <f>+CanolaDryland!Price</f>
        <v>0.14000000000000001</v>
      </c>
      <c r="K18" s="2" t="str">
        <f>+CanolaDryland!Unit</f>
        <v>Pound</v>
      </c>
      <c r="L18" s="5">
        <f t="shared" ref="L18:N19" si="4">+IF($J18=0,0,F18/$J18)</f>
        <v>1621.9926929732844</v>
      </c>
      <c r="M18" s="5">
        <f t="shared" si="4"/>
        <v>1621.9926929732844</v>
      </c>
      <c r="N18" s="5">
        <f t="shared" si="4"/>
        <v>0</v>
      </c>
      <c r="P18" s="14">
        <f>+CanolaDryland!VarRet</f>
        <v>-39.643404124753914</v>
      </c>
      <c r="Q18" s="14">
        <f>+CanolaDryland!TVarRet</f>
        <v>-39.643404124753914</v>
      </c>
      <c r="R18" s="14">
        <f>+CanolaDryland!LVarRet</f>
        <v>0</v>
      </c>
      <c r="S18" s="1"/>
      <c r="T18" s="2">
        <f>+CanolaDryland!VarExp</f>
        <v>179.64340412475391</v>
      </c>
      <c r="U18" s="2">
        <f>+CanolaDryland!TVarExp</f>
        <v>179.64340412475391</v>
      </c>
      <c r="V18" s="2">
        <f>+CanolaDryland!LVarExp</f>
        <v>0</v>
      </c>
      <c r="W18" s="2"/>
      <c r="X18" s="2">
        <f>+CanolaDryland!Price</f>
        <v>0.14000000000000001</v>
      </c>
      <c r="Y18" s="2" t="str">
        <f>+CanolaDryland!Unit</f>
        <v>Pound</v>
      </c>
      <c r="Z18" s="5">
        <f t="shared" ref="Z18:AB19" si="5">+IF($J18=0,0,T18/$J18)</f>
        <v>1283.1671723196707</v>
      </c>
      <c r="AA18" s="5">
        <f t="shared" si="5"/>
        <v>1283.1671723196707</v>
      </c>
      <c r="AB18" s="5">
        <f t="shared" si="5"/>
        <v>0</v>
      </c>
    </row>
    <row r="19" spans="1:28" ht="18.75" customHeight="1" x14ac:dyDescent="0.2">
      <c r="A19" s="3" t="str">
        <f>+CottonDryland2X1!A3</f>
        <v>Dryland Cotton (2X1 Planting Pattern)</v>
      </c>
      <c r="B19" s="14">
        <f>+CottonDryland2X1!TotRet</f>
        <v>30.936000934631124</v>
      </c>
      <c r="C19" s="14">
        <f>+CottonDryland2X1!TTotRet</f>
        <v>30.936000934631124</v>
      </c>
      <c r="D19" s="14">
        <f>+CottonDryland2X1!LTotRet</f>
        <v>0</v>
      </c>
      <c r="E19" s="1"/>
      <c r="F19" s="2">
        <f>+CottonDryland2X1!TotExp</f>
        <v>293.13660632609492</v>
      </c>
      <c r="G19" s="2">
        <f>+CottonDryland2X1!TTotExp</f>
        <v>293.13660632609492</v>
      </c>
      <c r="H19" s="2">
        <f>+CottonDryland2X1!LTotExp</f>
        <v>0</v>
      </c>
      <c r="I19" s="2"/>
      <c r="J19" s="2">
        <f>+CottonDryland2X1!Price</f>
        <v>0.81</v>
      </c>
      <c r="K19" s="2" t="str">
        <f>+CottonDryland2X1!Unit</f>
        <v>Pound</v>
      </c>
      <c r="L19" s="5">
        <f t="shared" si="4"/>
        <v>361.89704484703077</v>
      </c>
      <c r="M19" s="5">
        <f t="shared" si="4"/>
        <v>361.89704484703077</v>
      </c>
      <c r="N19" s="5">
        <f t="shared" si="4"/>
        <v>0</v>
      </c>
      <c r="P19" s="14">
        <f>+CottonDryland2X1!VarRet</f>
        <v>88.517228405171153</v>
      </c>
      <c r="Q19" s="14">
        <f>+CottonDryland2X1!TVarRet</f>
        <v>88.517228405171153</v>
      </c>
      <c r="R19" s="14">
        <f>+CottonDryland2X1!LVarRet</f>
        <v>0</v>
      </c>
      <c r="S19" s="1"/>
      <c r="T19" s="2">
        <f>+CottonDryland2X1!VarExp</f>
        <v>235.55537885555489</v>
      </c>
      <c r="U19" s="2">
        <f>+CottonDryland2X1!TVarExp</f>
        <v>235.55537885555489</v>
      </c>
      <c r="V19" s="2">
        <f>+CottonDryland2X1!LVarExp</f>
        <v>0</v>
      </c>
      <c r="W19" s="2"/>
      <c r="X19" s="2">
        <f>+CottonDryland2X1!Price</f>
        <v>0.81</v>
      </c>
      <c r="Y19" s="2" t="str">
        <f>+CottonDryland2X1!Unit</f>
        <v>Pound</v>
      </c>
      <c r="Z19" s="5">
        <f t="shared" si="5"/>
        <v>290.80910969821588</v>
      </c>
      <c r="AA19" s="5">
        <f t="shared" si="5"/>
        <v>290.80910969821588</v>
      </c>
      <c r="AB19" s="5">
        <f t="shared" si="5"/>
        <v>0</v>
      </c>
    </row>
    <row r="20" spans="1:28" ht="18.75" customHeight="1" x14ac:dyDescent="0.2">
      <c r="A20" s="3" t="str">
        <f>+CottonDrylandSolid!A3</f>
        <v>Dryland Cotton (Solid 40" Rows)</v>
      </c>
      <c r="B20" s="14">
        <f>+CottonDrylandSolid!TotRet</f>
        <v>-73.756106252391362</v>
      </c>
      <c r="C20" s="14">
        <f>+CottonDrylandSolid!TTotRet</f>
        <v>-73.756106252391362</v>
      </c>
      <c r="D20" s="14">
        <f>+CottonDrylandSolid!LTotRet</f>
        <v>0</v>
      </c>
      <c r="E20" s="1"/>
      <c r="F20" s="2">
        <f>+CottonDrylandSolid!TotExp</f>
        <v>430.1561062523914</v>
      </c>
      <c r="G20" s="2">
        <f>+CottonDrylandSolid!TTotExp</f>
        <v>430.1561062523914</v>
      </c>
      <c r="H20" s="2">
        <f>+CottonDrylandSolid!LTotExp</f>
        <v>0</v>
      </c>
      <c r="I20" s="2"/>
      <c r="J20" s="2">
        <f>+CottonDrylandSolid!Price</f>
        <v>0.81</v>
      </c>
      <c r="K20" s="2" t="str">
        <f>+CottonDrylandSolid!Unit</f>
        <v>Pound</v>
      </c>
      <c r="L20" s="5">
        <f t="shared" ref="L20:N32" si="6">+IF($J20=0,0,F20/$J20)</f>
        <v>531.05692129924864</v>
      </c>
      <c r="M20" s="5">
        <f t="shared" si="6"/>
        <v>531.05692129924864</v>
      </c>
      <c r="N20" s="5">
        <f t="shared" si="6"/>
        <v>0</v>
      </c>
      <c r="P20" s="14">
        <f>+CottonDrylandSolid!VarRet</f>
        <v>-0.10701841639172471</v>
      </c>
      <c r="Q20" s="14">
        <f>+CottonDrylandSolid!TVarRet</f>
        <v>-0.10701841639172471</v>
      </c>
      <c r="R20" s="14">
        <f>+CottonDrylandSolid!LVarRet</f>
        <v>0</v>
      </c>
      <c r="S20" s="1"/>
      <c r="T20" s="2">
        <f>+CottonDrylandSolid!VarExp</f>
        <v>356.50701841639176</v>
      </c>
      <c r="U20" s="2">
        <f>+CottonDrylandSolid!TVarExp</f>
        <v>356.50701841639176</v>
      </c>
      <c r="V20" s="2">
        <f>+CottonDrylandSolid!LVarExp</f>
        <v>0</v>
      </c>
      <c r="W20" s="2"/>
      <c r="X20" s="2">
        <f>+CottonDrylandSolid!Price</f>
        <v>0.81</v>
      </c>
      <c r="Y20" s="2" t="str">
        <f>+CottonDrylandSolid!Unit</f>
        <v>Pound</v>
      </c>
      <c r="Z20" s="5">
        <f t="shared" ref="Z20:AB32" si="7">+IF($J20=0,0,T20/$J20)</f>
        <v>440.13212150171819</v>
      </c>
      <c r="AA20" s="5">
        <f t="shared" si="7"/>
        <v>440.13212150171819</v>
      </c>
      <c r="AB20" s="5">
        <f t="shared" si="7"/>
        <v>0</v>
      </c>
    </row>
    <row r="21" spans="1:28" ht="18.75" customHeight="1" x14ac:dyDescent="0.2">
      <c r="A21" s="3" t="str">
        <f>'Red Till Irrig Cotton'!A3</f>
        <v xml:space="preserve">Cotton - Red Till Irrig </v>
      </c>
      <c r="B21" s="14">
        <f>'Red Till Irrig Cotton'!TotRet</f>
        <v>174.26527516064539</v>
      </c>
      <c r="C21" s="14">
        <f>'Red Till Irrig Cotton'!TTotRet</f>
        <v>174.26527516064539</v>
      </c>
      <c r="D21" s="14">
        <f>'Red Till Irrig Cotton'!LTotRet</f>
        <v>0</v>
      </c>
      <c r="E21" s="1"/>
      <c r="F21" s="2">
        <f>'Red Till Irrig Cotton'!TotExp</f>
        <v>852.00472483935459</v>
      </c>
      <c r="G21" s="2">
        <f>'Red Till Irrig Cotton'!TTotExp</f>
        <v>852.00472483935459</v>
      </c>
      <c r="H21" s="2">
        <f>'Red Till Irrig Cotton'!LTotExp</f>
        <v>0</v>
      </c>
      <c r="I21" s="2"/>
      <c r="J21" s="2">
        <f>'Red Till Irrig Cotton'!Price</f>
        <v>0.81</v>
      </c>
      <c r="K21" s="2" t="str">
        <f>'Red Till Irrig Cotton'!Unit</f>
        <v>Pound</v>
      </c>
      <c r="L21" s="5">
        <f t="shared" ref="L21:L30" si="8">IF(J21=0,0,F21/J21)</f>
        <v>1051.8576849868575</v>
      </c>
      <c r="M21" s="5">
        <f t="shared" ref="M21:M30" si="9">IF(J21=0,0,G21/J21)</f>
        <v>1051.8576849868575</v>
      </c>
      <c r="N21" s="5">
        <f t="shared" ref="N21:N30" si="10">IF(J21=0,0,H21/J21)</f>
        <v>0</v>
      </c>
      <c r="P21" s="14">
        <f>'Red Till Irrig Cotton'!VarRet</f>
        <v>387.99676433084323</v>
      </c>
      <c r="Q21" s="14">
        <f>'Red Till Irrig Cotton'!TVarRet</f>
        <v>387.99676433084323</v>
      </c>
      <c r="R21" s="14">
        <f>'Red Till Irrig Cotton'!LVarRet</f>
        <v>0</v>
      </c>
      <c r="S21" s="1"/>
      <c r="T21" s="2">
        <f>'Red Till Irrig Cotton'!VarExp</f>
        <v>638.27323566915675</v>
      </c>
      <c r="U21" s="2">
        <f>'Red Till Irrig Cotton'!TVarExp</f>
        <v>638.27323566915675</v>
      </c>
      <c r="V21" s="2">
        <f>'Red Till Irrig Cotton'!LVarExp</f>
        <v>0</v>
      </c>
      <c r="W21" s="2"/>
      <c r="X21" s="2">
        <f>'Red Till Irrig Cotton'!Price</f>
        <v>0.81</v>
      </c>
      <c r="Y21" s="2" t="str">
        <f>'Red Till Irrig Cotton'!Unit</f>
        <v>Pound</v>
      </c>
      <c r="Z21" s="5">
        <f t="shared" ref="Z21:Z30" si="11">IF(J21=0,0,T21/J21)</f>
        <v>787.99164897426749</v>
      </c>
      <c r="AA21" s="5">
        <f t="shared" ref="AA21:AA30" si="12">IF(J21=0,0,U21/J21)</f>
        <v>787.99164897426749</v>
      </c>
      <c r="AB21" s="5">
        <f t="shared" ref="AB21:AB30" si="13">IF(J21=0,0,V21/J21)</f>
        <v>0</v>
      </c>
    </row>
    <row r="22" spans="1:28" ht="18.75" customHeight="1" x14ac:dyDescent="0.2">
      <c r="A22" s="3" t="str">
        <f>'Conv M Irrig Cotton'!A3</f>
        <v>Conventional Irrig Cotton</v>
      </c>
      <c r="B22" s="14">
        <f>'Conv M Irrig Cotton'!TotRet</f>
        <v>196.02597551402994</v>
      </c>
      <c r="C22" s="14">
        <f>'Conv M Irrig Cotton'!TTotRet</f>
        <v>196.02597551402994</v>
      </c>
      <c r="D22" s="14">
        <f>'Conv M Irrig Cotton'!LTotRet</f>
        <v>0</v>
      </c>
      <c r="E22" s="1"/>
      <c r="F22" s="2">
        <f>'Conv M Irrig Cotton'!TotExp</f>
        <v>866.69402448597009</v>
      </c>
      <c r="G22" s="2">
        <f>'Conv M Irrig Cotton'!TTotExp</f>
        <v>866.69402448597009</v>
      </c>
      <c r="H22" s="2">
        <f>'Conv M Irrig Cotton'!LTotExp</f>
        <v>0</v>
      </c>
      <c r="I22" s="2"/>
      <c r="J22" s="2">
        <f>'Conv M Irrig Cotton'!Price</f>
        <v>0.81</v>
      </c>
      <c r="K22" s="2" t="str">
        <f>'Conv M Irrig Cotton'!Unit</f>
        <v>Pound</v>
      </c>
      <c r="L22" s="5">
        <f t="shared" si="8"/>
        <v>1069.9926228221852</v>
      </c>
      <c r="M22" s="5">
        <f t="shared" si="9"/>
        <v>1069.9926228221852</v>
      </c>
      <c r="N22" s="5">
        <f t="shared" si="10"/>
        <v>0</v>
      </c>
      <c r="P22" s="14">
        <f>'Conv M Irrig Cotton'!VarRet</f>
        <v>405.66614845248671</v>
      </c>
      <c r="Q22" s="14">
        <f>'Conv M Irrig Cotton'!TVarRet</f>
        <v>405.66614845248671</v>
      </c>
      <c r="R22" s="14">
        <f>'Conv M Irrig Cotton'!LVarRet</f>
        <v>0</v>
      </c>
      <c r="S22" s="1"/>
      <c r="T22" s="2">
        <f>'Conv M Irrig Cotton'!VarExp</f>
        <v>657.05385154751332</v>
      </c>
      <c r="U22" s="2">
        <f>'Conv M Irrig Cotton'!TVarExp</f>
        <v>657.05385154751332</v>
      </c>
      <c r="V22" s="2">
        <f>'Conv M Irrig Cotton'!LVarExp</f>
        <v>0</v>
      </c>
      <c r="W22" s="2"/>
      <c r="X22" s="2">
        <f>'Conv M Irrig Cotton'!Price</f>
        <v>0.81</v>
      </c>
      <c r="Y22" s="2" t="str">
        <f>'Conv M Irrig Cotton'!Unit</f>
        <v>Pound</v>
      </c>
      <c r="Z22" s="5">
        <f t="shared" si="11"/>
        <v>811.1775945031028</v>
      </c>
      <c r="AA22" s="5">
        <f t="shared" si="12"/>
        <v>811.1775945031028</v>
      </c>
      <c r="AB22" s="5">
        <f t="shared" si="13"/>
        <v>0</v>
      </c>
    </row>
    <row r="23" spans="1:28" ht="18.75" customHeight="1" x14ac:dyDescent="0.2">
      <c r="A23" s="3" t="str">
        <f>'Conv L Irrig Cotton'!A3</f>
        <v>Conventional Low Irrig Cotton</v>
      </c>
      <c r="B23" s="14">
        <f>'Conv L Irrig Cotton'!TotRet</f>
        <v>-0.35679722514794321</v>
      </c>
      <c r="C23" s="14">
        <f>'Conv L Irrig Cotton'!TTotRet</f>
        <v>-0.35679722514794321</v>
      </c>
      <c r="D23" s="14">
        <f>'Conv L Irrig Cotton'!LTotRet</f>
        <v>0</v>
      </c>
      <c r="E23" s="1"/>
      <c r="F23" s="2">
        <f>'Conv L Irrig Cotton'!TotExp</f>
        <v>885.01979722514807</v>
      </c>
      <c r="G23" s="2">
        <f>'Conv L Irrig Cotton'!TTotExp</f>
        <v>885.01979722514807</v>
      </c>
      <c r="H23" s="2">
        <f>'Conv L Irrig Cotton'!LTotExp</f>
        <v>0</v>
      </c>
      <c r="I23" s="2"/>
      <c r="J23" s="2">
        <f>'Conv L Irrig Cotton'!Price</f>
        <v>0.81</v>
      </c>
      <c r="K23" s="2" t="str">
        <f>'Conv L Irrig Cotton'!Unit</f>
        <v>Pound</v>
      </c>
      <c r="L23" s="5">
        <f t="shared" si="8"/>
        <v>1092.6170336112939</v>
      </c>
      <c r="M23" s="5">
        <f t="shared" si="9"/>
        <v>1092.6170336112939</v>
      </c>
      <c r="N23" s="5">
        <f t="shared" si="10"/>
        <v>0</v>
      </c>
      <c r="P23" s="14">
        <f>'Conv L Irrig Cotton'!VarRet</f>
        <v>209.28337571330883</v>
      </c>
      <c r="Q23" s="14">
        <f>'Conv L Irrig Cotton'!TVarRet</f>
        <v>209.28337571330883</v>
      </c>
      <c r="R23" s="14">
        <f>'Conv L Irrig Cotton'!LVarRet</f>
        <v>0</v>
      </c>
      <c r="S23" s="1"/>
      <c r="T23" s="2">
        <f>'Conv L Irrig Cotton'!VarExp</f>
        <v>675.3796242866913</v>
      </c>
      <c r="U23" s="2">
        <f>'Conv L Irrig Cotton'!TVarExp</f>
        <v>675.3796242866913</v>
      </c>
      <c r="V23" s="2">
        <f>'Conv L Irrig Cotton'!LVarExp</f>
        <v>0</v>
      </c>
      <c r="W23" s="2"/>
      <c r="X23" s="2">
        <f>'Conv L Irrig Cotton'!Price</f>
        <v>0.81</v>
      </c>
      <c r="Y23" s="2" t="str">
        <f>'Conv L Irrig Cotton'!Unit</f>
        <v>Pound</v>
      </c>
      <c r="Z23" s="5">
        <f t="shared" si="11"/>
        <v>833.80200529221145</v>
      </c>
      <c r="AA23" s="5">
        <f t="shared" si="12"/>
        <v>833.80200529221145</v>
      </c>
      <c r="AB23" s="5">
        <f t="shared" si="13"/>
        <v>0</v>
      </c>
    </row>
    <row r="24" spans="1:28" ht="18.75" customHeight="1" x14ac:dyDescent="0.2">
      <c r="A24" s="3" t="str">
        <f>'Red Till L Irrig Cotton'!A3</f>
        <v>Red Till Irrig Low Cotton</v>
      </c>
      <c r="B24" s="14">
        <f>'Red Till L Irrig Cotton'!TotRet</f>
        <v>18.242116889960471</v>
      </c>
      <c r="C24" s="14">
        <f>'Red Till L Irrig Cotton'!TTotRet</f>
        <v>18.242116889960471</v>
      </c>
      <c r="D24" s="14">
        <f>'Red Till L Irrig Cotton'!LTotRet</f>
        <v>0</v>
      </c>
      <c r="E24" s="1"/>
      <c r="F24" s="2">
        <f>'Red Till L Irrig Cotton'!TotExp</f>
        <v>893.96088311003962</v>
      </c>
      <c r="G24" s="2">
        <f>'Red Till L Irrig Cotton'!TTotExp</f>
        <v>893.96088311003962</v>
      </c>
      <c r="H24" s="2">
        <f>'Red Till L Irrig Cotton'!LTotExp</f>
        <v>0</v>
      </c>
      <c r="I24" s="2"/>
      <c r="J24" s="2">
        <f>'Red Till L Irrig Cotton'!Price</f>
        <v>0.81</v>
      </c>
      <c r="K24" s="2" t="str">
        <f>'Red Till L Irrig Cotton'!Unit</f>
        <v>Pound</v>
      </c>
      <c r="L24" s="5">
        <f t="shared" si="8"/>
        <v>1103.6554112469623</v>
      </c>
      <c r="M24" s="5">
        <f t="shared" si="9"/>
        <v>1103.6554112469623</v>
      </c>
      <c r="N24" s="5">
        <f t="shared" si="10"/>
        <v>0</v>
      </c>
      <c r="P24" s="14">
        <f>'Red Till L Irrig Cotton'!VarRet</f>
        <v>231.97360606015832</v>
      </c>
      <c r="Q24" s="14">
        <f>'Red Till L Irrig Cotton'!TVarRet</f>
        <v>231.97360606015832</v>
      </c>
      <c r="R24" s="14">
        <f>'Red Till L Irrig Cotton'!LVarRet</f>
        <v>0</v>
      </c>
      <c r="S24" s="1"/>
      <c r="T24" s="2">
        <f>'Red Till L Irrig Cotton'!VarExp</f>
        <v>680.22939393984177</v>
      </c>
      <c r="U24" s="2">
        <f>'Red Till L Irrig Cotton'!TVarExp</f>
        <v>680.22939393984177</v>
      </c>
      <c r="V24" s="2">
        <f>'Red Till L Irrig Cotton'!LVarExp</f>
        <v>0</v>
      </c>
      <c r="W24" s="2"/>
      <c r="X24" s="2">
        <f>'Red Till L Irrig Cotton'!Price</f>
        <v>0.81</v>
      </c>
      <c r="Y24" s="2" t="str">
        <f>'Red Till L Irrig Cotton'!Unit</f>
        <v>Pound</v>
      </c>
      <c r="Z24" s="5">
        <f t="shared" si="11"/>
        <v>839.78937523437253</v>
      </c>
      <c r="AA24" s="5">
        <f t="shared" si="12"/>
        <v>839.78937523437253</v>
      </c>
      <c r="AB24" s="5">
        <f t="shared" si="13"/>
        <v>0</v>
      </c>
    </row>
    <row r="25" spans="1:28" ht="18.75" customHeight="1" x14ac:dyDescent="0.2">
      <c r="A25" s="3" t="str">
        <f>'NT Irrig L Cotton'!A3</f>
        <v xml:space="preserve">NT Irrig L Cotton </v>
      </c>
      <c r="B25" s="14">
        <f>'NT Irrig L Cotton'!TotRet</f>
        <v>0.4466413276915091</v>
      </c>
      <c r="C25" s="14">
        <f>'NT Irrig L Cotton'!TTotRet</f>
        <v>0.4466413276915091</v>
      </c>
      <c r="D25" s="14">
        <f>'NT Irrig L Cotton'!LTotRet</f>
        <v>0</v>
      </c>
      <c r="E25" s="1"/>
      <c r="F25" s="2">
        <f>'NT Irrig L Cotton'!TotExp</f>
        <v>961.97635867230861</v>
      </c>
      <c r="G25" s="2">
        <f>'NT Irrig L Cotton'!TTotExp</f>
        <v>961.97635867230861</v>
      </c>
      <c r="H25" s="2">
        <f>'NT Irrig L Cotton'!LTotExp</f>
        <v>0</v>
      </c>
      <c r="I25" s="2"/>
      <c r="J25" s="2">
        <f>'NT Irrig L Cotton'!Price</f>
        <v>0.81</v>
      </c>
      <c r="K25" s="2" t="str">
        <f>'NT Irrig L Cotton'!Unit</f>
        <v>Pound</v>
      </c>
      <c r="L25" s="5">
        <f t="shared" si="8"/>
        <v>1187.6251341633438</v>
      </c>
      <c r="M25" s="5">
        <f t="shared" si="9"/>
        <v>1187.6251341633438</v>
      </c>
      <c r="N25" s="5">
        <f t="shared" si="10"/>
        <v>0</v>
      </c>
      <c r="P25" s="14">
        <f>'NT Irrig L Cotton'!VarRet</f>
        <v>206.6578200676139</v>
      </c>
      <c r="Q25" s="14">
        <f>'NT Irrig L Cotton'!TVarRet</f>
        <v>206.6578200676139</v>
      </c>
      <c r="R25" s="14">
        <f>'NT Irrig L Cotton'!LVarRet</f>
        <v>0</v>
      </c>
      <c r="S25" s="1"/>
      <c r="T25" s="2">
        <f>'NT Irrig L Cotton'!VarExp</f>
        <v>755.76517993238622</v>
      </c>
      <c r="U25" s="2">
        <f>'NT Irrig L Cotton'!TVarExp</f>
        <v>755.76517993238622</v>
      </c>
      <c r="V25" s="2">
        <f>'NT Irrig L Cotton'!LVarExp</f>
        <v>0</v>
      </c>
      <c r="W25" s="2"/>
      <c r="X25" s="2">
        <f>'NT Irrig L Cotton'!Price</f>
        <v>0.81</v>
      </c>
      <c r="Y25" s="2" t="str">
        <f>'NT Irrig L Cotton'!Unit</f>
        <v>Pound</v>
      </c>
      <c r="Z25" s="5">
        <f t="shared" si="11"/>
        <v>933.04343201529161</v>
      </c>
      <c r="AA25" s="5">
        <f t="shared" si="12"/>
        <v>933.04343201529161</v>
      </c>
      <c r="AB25" s="5">
        <f t="shared" si="13"/>
        <v>0</v>
      </c>
    </row>
    <row r="26" spans="1:28" ht="18.75" customHeight="1" x14ac:dyDescent="0.2">
      <c r="A26" s="3" t="str">
        <f>'NT Irrig M Cotton'!A3</f>
        <v>Cotton - No-Till Irrigated</v>
      </c>
      <c r="B26" s="14">
        <f>'NT Irrig M Cotton'!TotRet</f>
        <v>207.04627533536257</v>
      </c>
      <c r="C26" s="14">
        <f>'NT Irrig M Cotton'!TTotRet</f>
        <v>207.04627533536257</v>
      </c>
      <c r="D26" s="14">
        <f>'NT Irrig M Cotton'!LTotRet</f>
        <v>0</v>
      </c>
      <c r="E26" s="1"/>
      <c r="F26" s="2">
        <f>'NT Irrig M Cotton'!TotExp</f>
        <v>930.19372466463744</v>
      </c>
      <c r="G26" s="2">
        <f>'NT Irrig M Cotton'!TTotExp</f>
        <v>930.19372466463744</v>
      </c>
      <c r="H26" s="2">
        <f>'NT Irrig M Cotton'!LTotExp</f>
        <v>0</v>
      </c>
      <c r="I26" s="2"/>
      <c r="J26" s="2">
        <f>'NT Irrig M Cotton'!Price</f>
        <v>0.81</v>
      </c>
      <c r="K26" s="2" t="str">
        <f>'NT Irrig M Cotton'!Unit</f>
        <v>Pound</v>
      </c>
      <c r="L26" s="5">
        <f t="shared" si="8"/>
        <v>1148.3873144007869</v>
      </c>
      <c r="M26" s="5">
        <f t="shared" si="9"/>
        <v>1148.3873144007869</v>
      </c>
      <c r="N26" s="5">
        <f t="shared" si="10"/>
        <v>0</v>
      </c>
      <c r="P26" s="14">
        <f>'NT Irrig M Cotton'!VarRet</f>
        <v>413.25745407528495</v>
      </c>
      <c r="Q26" s="14">
        <f>'NT Irrig M Cotton'!TVarRet</f>
        <v>413.25745407528495</v>
      </c>
      <c r="R26" s="14">
        <f>'NT Irrig M Cotton'!LVarRet</f>
        <v>0</v>
      </c>
      <c r="S26" s="1"/>
      <c r="T26" s="2">
        <f>'NT Irrig M Cotton'!VarExp</f>
        <v>723.98254592471505</v>
      </c>
      <c r="U26" s="2">
        <f>'NT Irrig M Cotton'!TVarExp</f>
        <v>723.98254592471505</v>
      </c>
      <c r="V26" s="2">
        <f>'NT Irrig M Cotton'!LVarExp</f>
        <v>0</v>
      </c>
      <c r="W26" s="2"/>
      <c r="X26" s="2">
        <f>'NT Irrig M Cotton'!Price</f>
        <v>0.81</v>
      </c>
      <c r="Y26" s="2" t="str">
        <f>'NT Irrig M Cotton'!Unit</f>
        <v>Pound</v>
      </c>
      <c r="Z26" s="5">
        <f t="shared" si="11"/>
        <v>893.80561225273459</v>
      </c>
      <c r="AA26" s="5">
        <f t="shared" si="12"/>
        <v>893.80561225273459</v>
      </c>
      <c r="AB26" s="5">
        <f t="shared" si="13"/>
        <v>0</v>
      </c>
    </row>
    <row r="27" spans="1:28" ht="18.75" customHeight="1" x14ac:dyDescent="0.2">
      <c r="A27" s="3" t="str">
        <f>'NT-CC2 Irr M Cotton'!A3</f>
        <v>Cotton NT - Cover Crop Wheat Irrig</v>
      </c>
      <c r="B27" s="14">
        <f>'NT-CC2 Irr M Cotton'!TotRet</f>
        <v>242.06707259054201</v>
      </c>
      <c r="C27" s="14">
        <f>'NT-CC2 Irr M Cotton'!TTotRet</f>
        <v>242.06707259054201</v>
      </c>
      <c r="D27" s="14">
        <f>'NT-CC2 Irr M Cotton'!LTotRet</f>
        <v>0</v>
      </c>
      <c r="E27" s="1"/>
      <c r="F27" s="2">
        <f>'NT-CC2 Irr M Cotton'!TotExp</f>
        <v>915.422927409458</v>
      </c>
      <c r="G27" s="2">
        <f>'NT-CC2 Irr M Cotton'!TTotExp</f>
        <v>915.422927409458</v>
      </c>
      <c r="H27" s="2">
        <f>'NT-CC2 Irr M Cotton'!LTotExp</f>
        <v>0</v>
      </c>
      <c r="I27" s="2"/>
      <c r="J27" s="2">
        <f>'NT-CC2 Irr M Cotton'!Price</f>
        <v>0.81</v>
      </c>
      <c r="K27" s="2" t="str">
        <f>'NT-CC2 Irr M Cotton'!Unit</f>
        <v>Pound</v>
      </c>
      <c r="L27" s="5">
        <f>IF(J27=0,0,F27/J27)</f>
        <v>1130.1517622338986</v>
      </c>
      <c r="M27" s="5">
        <f>IF(J27=0,0,G27/J27)</f>
        <v>1130.1517622338986</v>
      </c>
      <c r="N27" s="5">
        <f>IF(J27=0,0,H27/J27)</f>
        <v>0</v>
      </c>
      <c r="P27" s="14">
        <f>'NT-CC2 Irr M Cotton'!VarRet</f>
        <v>464.90500708480931</v>
      </c>
      <c r="Q27" s="14">
        <f>'NT-CC2 Irr M Cotton'!TVarRet</f>
        <v>464.90500708480931</v>
      </c>
      <c r="R27" s="14">
        <f>'NT-CC2 Irr M Cotton'!LVarRet</f>
        <v>0</v>
      </c>
      <c r="S27" s="1"/>
      <c r="T27" s="2">
        <f>'NT-CC2 Irr M Cotton'!VarExp</f>
        <v>692.5849929151907</v>
      </c>
      <c r="U27" s="2">
        <f>'NT-CC2 Irr M Cotton'!TVarExp</f>
        <v>692.5849929151907</v>
      </c>
      <c r="V27" s="2">
        <f>'NT-CC2 Irr M Cotton'!LVarExp</f>
        <v>0</v>
      </c>
      <c r="W27" s="2"/>
      <c r="X27" s="2">
        <f>'NT-CC2 Irr M Cotton'!Price</f>
        <v>0.81</v>
      </c>
      <c r="Y27" s="2" t="str">
        <f>'NT-CC2 Irr M Cotton'!Unit</f>
        <v>Pound</v>
      </c>
      <c r="Z27" s="5">
        <f>IF(J27=0,0,T27/J27)</f>
        <v>855.043201129865</v>
      </c>
      <c r="AA27" s="5">
        <f>IF(J27=0,0,U27/J27)</f>
        <v>855.043201129865</v>
      </c>
      <c r="AB27" s="5">
        <f>IF(J27=0,0,V27/J27)</f>
        <v>0</v>
      </c>
    </row>
    <row r="28" spans="1:28" ht="18.75" customHeight="1" x14ac:dyDescent="0.2">
      <c r="A28" s="3" t="str">
        <f>'NT-CC Irrig M Cotton'!A3</f>
        <v>NT-Cover Crop Irrig M Cotton</v>
      </c>
      <c r="B28" s="14">
        <f>'NT-CC Irrig M Cotton'!TotRet</f>
        <v>189.27154245043516</v>
      </c>
      <c r="C28" s="14">
        <f>'NT-CC Irrig M Cotton'!TTotRet</f>
        <v>189.27154245043516</v>
      </c>
      <c r="D28" s="14">
        <f>'NT-CC Irrig M Cotton'!LTotRet</f>
        <v>0</v>
      </c>
      <c r="E28" s="1"/>
      <c r="F28" s="2">
        <f>'NT-CC Irrig M Cotton'!TotExp</f>
        <v>968.36145754956488</v>
      </c>
      <c r="G28" s="2">
        <f>'NT-CC Irrig M Cotton'!TTotExp</f>
        <v>968.36145754956488</v>
      </c>
      <c r="H28" s="2">
        <f>'NT-CC Irrig M Cotton'!LTotExp</f>
        <v>0</v>
      </c>
      <c r="I28" s="2"/>
      <c r="J28" s="2">
        <f>'NT-CC Irrig M Cotton'!Price</f>
        <v>0.81</v>
      </c>
      <c r="K28" s="2" t="str">
        <f>'NT-CC Irrig M Cotton'!Unit</f>
        <v>Pound</v>
      </c>
      <c r="L28" s="5">
        <f t="shared" si="8"/>
        <v>1195.5079722834134</v>
      </c>
      <c r="M28" s="5">
        <f t="shared" si="9"/>
        <v>1195.5079722834134</v>
      </c>
      <c r="N28" s="5">
        <f t="shared" si="10"/>
        <v>0</v>
      </c>
      <c r="P28" s="14">
        <f>'NT-CC Irrig M Cotton'!VarRet</f>
        <v>318.00467721352629</v>
      </c>
      <c r="Q28" s="14">
        <f>'NT-CC Irrig M Cotton'!TVarRet</f>
        <v>318.00467721352629</v>
      </c>
      <c r="R28" s="14">
        <f>'NT-CC Irrig M Cotton'!LVarRet</f>
        <v>0</v>
      </c>
      <c r="S28" s="1"/>
      <c r="T28" s="2">
        <f>'NT-CC Irrig M Cotton'!VarExp</f>
        <v>839.62832278647375</v>
      </c>
      <c r="U28" s="2">
        <f>'NT-CC Irrig M Cotton'!TVarExp</f>
        <v>839.62832278647375</v>
      </c>
      <c r="V28" s="2">
        <f>'NT-CC Irrig M Cotton'!LVarExp</f>
        <v>0</v>
      </c>
      <c r="W28" s="2"/>
      <c r="X28" s="2">
        <f>'NT-CC Irrig M Cotton'!Price</f>
        <v>0.81</v>
      </c>
      <c r="Y28" s="2" t="str">
        <f>'NT-CC Irrig M Cotton'!Unit</f>
        <v>Pound</v>
      </c>
      <c r="Z28" s="5">
        <f t="shared" si="11"/>
        <v>1036.5781762795971</v>
      </c>
      <c r="AA28" s="5">
        <f t="shared" si="12"/>
        <v>1036.5781762795971</v>
      </c>
      <c r="AB28" s="5">
        <f t="shared" si="13"/>
        <v>0</v>
      </c>
    </row>
    <row r="29" spans="1:28" ht="18.75" customHeight="1" x14ac:dyDescent="0.2">
      <c r="A29" s="3" t="str">
        <f>'NT-CC Irrig L Cotton'!A3</f>
        <v>NT-Cover Crop Irrig L Cotton</v>
      </c>
      <c r="B29" s="14">
        <f>'NT-CC Irrig L Cotton'!TotRet</f>
        <v>58.35707738578833</v>
      </c>
      <c r="C29" s="14">
        <f>'NT-CC Irrig L Cotton'!TTotRet</f>
        <v>58.35707738578833</v>
      </c>
      <c r="D29" s="14">
        <f>'NT-CC Irrig L Cotton'!LTotRet</f>
        <v>0</v>
      </c>
      <c r="E29" s="1"/>
      <c r="F29" s="2">
        <f>'NT-CC Irrig L Cotton'!TotExp</f>
        <v>954.28592261421181</v>
      </c>
      <c r="G29" s="2">
        <f>'NT-CC Irrig L Cotton'!TTotExp</f>
        <v>954.28592261421181</v>
      </c>
      <c r="H29" s="2">
        <f>'NT-CC Irrig L Cotton'!LTotExp</f>
        <v>0</v>
      </c>
      <c r="I29" s="2"/>
      <c r="J29" s="2">
        <f>'NT-CC Irrig L Cotton'!Price</f>
        <v>0.81</v>
      </c>
      <c r="K29" s="2" t="str">
        <f>'NT-CC Irrig L Cotton'!Unit</f>
        <v>Pound</v>
      </c>
      <c r="L29" s="5">
        <f t="shared" si="8"/>
        <v>1178.1307686595208</v>
      </c>
      <c r="M29" s="5">
        <f t="shared" si="9"/>
        <v>1178.1307686595208</v>
      </c>
      <c r="N29" s="5">
        <f t="shared" si="10"/>
        <v>0</v>
      </c>
      <c r="P29" s="14">
        <f>'NT-CC Irrig L Cotton'!VarRet</f>
        <v>275.65275996194055</v>
      </c>
      <c r="Q29" s="14">
        <f>'NT-CC Irrig L Cotton'!TVarRet</f>
        <v>275.65275996194055</v>
      </c>
      <c r="R29" s="14">
        <f>'NT-CC Irrig L Cotton'!LVarRet</f>
        <v>0</v>
      </c>
      <c r="S29" s="1"/>
      <c r="T29" s="2">
        <f>'NT-CC Irrig L Cotton'!VarExp</f>
        <v>736.9902400380596</v>
      </c>
      <c r="U29" s="2">
        <f>'NT-CC Irrig L Cotton'!TVarExp</f>
        <v>736.9902400380596</v>
      </c>
      <c r="V29" s="2">
        <f>'NT-CC Irrig L Cotton'!LVarExp</f>
        <v>0</v>
      </c>
      <c r="W29" s="2"/>
      <c r="X29" s="2">
        <f>'NT-CC Irrig L Cotton'!Price</f>
        <v>0.81</v>
      </c>
      <c r="Y29" s="2" t="str">
        <f>'NT-CC Irrig L Cotton'!Unit</f>
        <v>Pound</v>
      </c>
      <c r="Z29" s="5">
        <f t="shared" si="11"/>
        <v>909.86449387414757</v>
      </c>
      <c r="AA29" s="5">
        <f t="shared" si="12"/>
        <v>909.86449387414757</v>
      </c>
      <c r="AB29" s="5">
        <f t="shared" si="13"/>
        <v>0</v>
      </c>
    </row>
    <row r="30" spans="1:28" ht="18.75" customHeight="1" x14ac:dyDescent="0.2">
      <c r="A30" s="3" t="str">
        <f>'No Till Dryland Cotton'!A3</f>
        <v xml:space="preserve">Cotton - No Till Dryland </v>
      </c>
      <c r="B30" s="14">
        <f>'No Till Dryland Cotton'!TotRet</f>
        <v>-35.926185613420841</v>
      </c>
      <c r="C30" s="14">
        <f>'No Till Dryland Cotton'!TTotRet</f>
        <v>-35.926185613420841</v>
      </c>
      <c r="D30" s="14">
        <f>'No Till Dryland Cotton'!LTotRet</f>
        <v>0</v>
      </c>
      <c r="E30" s="1"/>
      <c r="F30" s="2">
        <f>'No Till Dryland Cotton'!TotExp</f>
        <v>392.32618561342088</v>
      </c>
      <c r="G30" s="2">
        <f>'No Till Dryland Cotton'!TTotExp</f>
        <v>392.32618561342088</v>
      </c>
      <c r="H30" s="2">
        <f>'No Till Dryland Cotton'!LTotExp</f>
        <v>0</v>
      </c>
      <c r="I30" s="2"/>
      <c r="J30" s="2">
        <f>'No Till Dryland Cotton'!Price</f>
        <v>0.81</v>
      </c>
      <c r="K30" s="2" t="str">
        <f>'No Till Dryland Cotton'!Unit</f>
        <v>Pound</v>
      </c>
      <c r="L30" s="5">
        <f t="shared" si="8"/>
        <v>484.35331557212453</v>
      </c>
      <c r="M30" s="5">
        <f t="shared" si="9"/>
        <v>484.35331557212453</v>
      </c>
      <c r="N30" s="5">
        <f t="shared" si="10"/>
        <v>0</v>
      </c>
      <c r="P30" s="14">
        <f>'No Till Dryland Cotton'!VarRet</f>
        <v>24.64012467369713</v>
      </c>
      <c r="Q30" s="14">
        <f>'No Till Dryland Cotton'!TVarRet</f>
        <v>24.64012467369713</v>
      </c>
      <c r="R30" s="14">
        <f>'No Till Dryland Cotton'!LVarRet</f>
        <v>0</v>
      </c>
      <c r="S30" s="1"/>
      <c r="T30" s="2">
        <f>'No Till Dryland Cotton'!VarExp</f>
        <v>331.7598753263029</v>
      </c>
      <c r="U30" s="2">
        <f>'No Till Dryland Cotton'!TVarExp</f>
        <v>331.7598753263029</v>
      </c>
      <c r="V30" s="2">
        <f>'No Till Dryland Cotton'!LVarExp</f>
        <v>0</v>
      </c>
      <c r="W30" s="2"/>
      <c r="X30" s="2">
        <f>'No Till Dryland Cotton'!Price</f>
        <v>0.81</v>
      </c>
      <c r="Y30" s="2" t="str">
        <f>'No Till Dryland Cotton'!Unit</f>
        <v>Pound</v>
      </c>
      <c r="Z30" s="5">
        <f t="shared" si="11"/>
        <v>409.58009299543568</v>
      </c>
      <c r="AA30" s="5">
        <f t="shared" si="12"/>
        <v>409.58009299543568</v>
      </c>
      <c r="AB30" s="5">
        <f t="shared" si="13"/>
        <v>0</v>
      </c>
    </row>
    <row r="31" spans="1:28" ht="18.75" customHeight="1" x14ac:dyDescent="0.2">
      <c r="A31" s="3" t="str">
        <f>+CottonIrrigated!A3</f>
        <v>Sprinkler Irrigated Cotton</v>
      </c>
      <c r="B31" s="14">
        <f>+CottonIrrigated!TotRet</f>
        <v>-5.0151029770087234</v>
      </c>
      <c r="C31" s="14">
        <f>+CottonIrrigated!TTotRet</f>
        <v>-5.0151029770087234</v>
      </c>
      <c r="D31" s="14">
        <f>+CottonIrrigated!LTotRet</f>
        <v>0</v>
      </c>
      <c r="E31" s="1"/>
      <c r="F31" s="2">
        <f>+CottonIrrigated!TotExp</f>
        <v>845.15810297700875</v>
      </c>
      <c r="G31" s="2">
        <f>+CottonIrrigated!TTotExp</f>
        <v>845.15810297700875</v>
      </c>
      <c r="H31" s="2">
        <f>+CottonIrrigated!LTotExp</f>
        <v>0</v>
      </c>
      <c r="I31" s="2"/>
      <c r="J31" s="2">
        <f>+CottonIrrigated!Price</f>
        <v>0.84</v>
      </c>
      <c r="K31" s="2" t="str">
        <f>+CottonIrrigated!Unit</f>
        <v>Pound</v>
      </c>
      <c r="L31" s="5">
        <f>+IF($J31=0,0,F31/$J31)</f>
        <v>1006.1405987821533</v>
      </c>
      <c r="M31" s="5">
        <f>+IF($J31=0,0,G31/$J31)</f>
        <v>1006.1405987821533</v>
      </c>
      <c r="N31" s="5">
        <f>+IF($J31=0,0,H31/$J31)</f>
        <v>0</v>
      </c>
      <c r="P31" s="14">
        <f>+CottonIrrigated!VarRet</f>
        <v>167.34170824491275</v>
      </c>
      <c r="Q31" s="14">
        <f>+CottonIrrigated!TVarRet</f>
        <v>167.34170824491275</v>
      </c>
      <c r="R31" s="14">
        <f>+CottonIrrigated!LVarRet</f>
        <v>0</v>
      </c>
      <c r="S31" s="1"/>
      <c r="T31" s="2">
        <f>+CottonIrrigated!VarExp</f>
        <v>672.80129175508728</v>
      </c>
      <c r="U31" s="2">
        <f>+CottonIrrigated!TVarExp</f>
        <v>672.80129175508728</v>
      </c>
      <c r="V31" s="2">
        <f>+CottonIrrigated!LVarExp</f>
        <v>0</v>
      </c>
      <c r="W31" s="2"/>
      <c r="X31" s="2">
        <f>+CottonIrrigated!Price</f>
        <v>0.84</v>
      </c>
      <c r="Y31" s="2" t="str">
        <f>+CottonIrrigated!Unit</f>
        <v>Pound</v>
      </c>
      <c r="Z31" s="5">
        <f>+IF($J31=0,0,T31/$J31)</f>
        <v>800.95391875605628</v>
      </c>
      <c r="AA31" s="5">
        <f>+IF($J31=0,0,U31/$J31)</f>
        <v>800.95391875605628</v>
      </c>
      <c r="AB31" s="5">
        <f>+IF($J31=0,0,V31/$J31)</f>
        <v>0</v>
      </c>
    </row>
    <row r="32" spans="1:28" ht="18.75" customHeight="1" x14ac:dyDescent="0.2">
      <c r="A32" s="3" t="str">
        <f>+Peanuts!A3</f>
        <v>Irrigated Peanuts</v>
      </c>
      <c r="B32" s="14">
        <f>+Peanuts!TotRet</f>
        <v>128.44442977962035</v>
      </c>
      <c r="C32" s="14">
        <f>+Peanuts!TTotRet</f>
        <v>128.44442977962035</v>
      </c>
      <c r="D32" s="14">
        <f>+Peanuts!LTotRet</f>
        <v>0</v>
      </c>
      <c r="E32" s="2"/>
      <c r="F32" s="2">
        <f>+Peanuts!TotExp</f>
        <v>1071.5555702203796</v>
      </c>
      <c r="G32" s="2">
        <f>+Peanuts!TTotExp</f>
        <v>1071.5555702203796</v>
      </c>
      <c r="H32" s="2">
        <f>+Peanuts!LTotExp</f>
        <v>0</v>
      </c>
      <c r="I32" s="2"/>
      <c r="J32" s="2">
        <f>+Peanuts!Price</f>
        <v>600</v>
      </c>
      <c r="K32" s="2" t="str">
        <f>+Peanuts!Unit</f>
        <v>Ton</v>
      </c>
      <c r="L32" s="5">
        <f t="shared" si="6"/>
        <v>1.7859259503672995</v>
      </c>
      <c r="M32" s="5">
        <f t="shared" si="6"/>
        <v>1.7859259503672995</v>
      </c>
      <c r="N32" s="5">
        <f t="shared" si="6"/>
        <v>0</v>
      </c>
      <c r="P32" s="14">
        <f>+Peanuts!VarRet</f>
        <v>526.12656955465388</v>
      </c>
      <c r="Q32" s="14">
        <f>+Peanuts!TVarRet</f>
        <v>526.12656955465388</v>
      </c>
      <c r="R32" s="14">
        <f>+Peanuts!LVarRet</f>
        <v>0</v>
      </c>
      <c r="S32" s="2"/>
      <c r="T32" s="2">
        <f>+Peanuts!VarExp</f>
        <v>673.87343044534612</v>
      </c>
      <c r="U32" s="2">
        <f>+Peanuts!TVarExp</f>
        <v>673.87343044534612</v>
      </c>
      <c r="V32" s="2">
        <f>+Peanuts!LVarExp</f>
        <v>0</v>
      </c>
      <c r="W32" s="2"/>
      <c r="X32" s="2">
        <f>+Peanuts!Price</f>
        <v>600</v>
      </c>
      <c r="Y32" s="2" t="str">
        <f>+Peanuts!Unit</f>
        <v>Ton</v>
      </c>
      <c r="Z32" s="5">
        <f t="shared" si="7"/>
        <v>1.1231223840755769</v>
      </c>
      <c r="AA32" s="5">
        <f t="shared" si="7"/>
        <v>1.1231223840755769</v>
      </c>
      <c r="AB32" s="5">
        <f t="shared" si="7"/>
        <v>0</v>
      </c>
    </row>
    <row r="33" spans="1:28" ht="18.75" customHeight="1" x14ac:dyDescent="0.2">
      <c r="A33" s="3" t="str">
        <f>+SorghumDryland!A3</f>
        <v>Dryland Sorghum</v>
      </c>
      <c r="B33" s="14">
        <f>+SorghumDryland!TotRet</f>
        <v>-1.2328916027289836</v>
      </c>
      <c r="C33" s="14">
        <f>+SorghumDryland!TTotRet</f>
        <v>-1.2328916027289836</v>
      </c>
      <c r="D33" s="14">
        <f>+SorghumDryland!LTotRet</f>
        <v>0</v>
      </c>
      <c r="E33" s="1"/>
      <c r="F33" s="2">
        <f>+SorghumDryland!TotExp</f>
        <v>231.932891602729</v>
      </c>
      <c r="G33" s="2">
        <f>+SorghumDryland!TTotExp</f>
        <v>231.932891602729</v>
      </c>
      <c r="H33" s="2">
        <f>+SorghumDryland!LTotExp</f>
        <v>0</v>
      </c>
      <c r="I33" s="2"/>
      <c r="J33" s="2">
        <f>+SorghumDryland!Price</f>
        <v>7.69</v>
      </c>
      <c r="K33" s="2" t="str">
        <f>+SorghumDryland!Unit</f>
        <v>CWT</v>
      </c>
      <c r="L33" s="5">
        <f t="shared" ref="L33:N34" si="14">+IF($J33=0,0,F33/$J33)</f>
        <v>30.160324005556436</v>
      </c>
      <c r="M33" s="5">
        <f t="shared" si="14"/>
        <v>30.160324005556436</v>
      </c>
      <c r="N33" s="5">
        <f t="shared" si="14"/>
        <v>0</v>
      </c>
      <c r="P33" s="14">
        <f>+SorghumDryland!VarRet</f>
        <v>53.604445379345549</v>
      </c>
      <c r="Q33" s="14">
        <f>+SorghumDryland!TVarRet</f>
        <v>53.604445379345549</v>
      </c>
      <c r="R33" s="14">
        <f>+SorghumDryland!LVarRet</f>
        <v>0</v>
      </c>
      <c r="S33" s="1"/>
      <c r="T33" s="2">
        <f>+SorghumDryland!VarExp</f>
        <v>177.09555462065447</v>
      </c>
      <c r="U33" s="2">
        <f>+SorghumDryland!TVarExp</f>
        <v>177.09555462065447</v>
      </c>
      <c r="V33" s="2">
        <f>+SorghumDryland!LVarExp</f>
        <v>0</v>
      </c>
      <c r="W33" s="2"/>
      <c r="X33" s="2">
        <f>+SorghumDryland!Price</f>
        <v>7.69</v>
      </c>
      <c r="Y33" s="2" t="str">
        <f>+SorghumDryland!Unit</f>
        <v>CWT</v>
      </c>
      <c r="Z33" s="5">
        <f t="shared" ref="Z33:AB34" si="15">+IF($J33=0,0,T33/$J33)</f>
        <v>23.029330899955067</v>
      </c>
      <c r="AA33" s="5">
        <f t="shared" si="15"/>
        <v>23.029330899955067</v>
      </c>
      <c r="AB33" s="5">
        <f t="shared" si="15"/>
        <v>0</v>
      </c>
    </row>
    <row r="34" spans="1:28" ht="18.75" customHeight="1" x14ac:dyDescent="0.2">
      <c r="A34" s="3" t="str">
        <f>+WheatDryland!A3</f>
        <v>Dryland Wheat</v>
      </c>
      <c r="B34" s="14">
        <f>+WheatDryland!TotRet</f>
        <v>-9.901750765302296</v>
      </c>
      <c r="C34" s="14">
        <f>+WheatDryland!TTotRet</f>
        <v>-9.901750765302296</v>
      </c>
      <c r="D34" s="14">
        <f>+WheatDryland!LTotRet</f>
        <v>0</v>
      </c>
      <c r="E34" s="1"/>
      <c r="F34" s="2">
        <f>+WheatDryland!TotExp</f>
        <v>217.3017507653023</v>
      </c>
      <c r="G34" s="2">
        <f>+WheatDryland!TTotExp</f>
        <v>217.3017507653023</v>
      </c>
      <c r="H34" s="2">
        <f>+WheatDryland!LTotExp</f>
        <v>0</v>
      </c>
      <c r="I34" s="2"/>
      <c r="J34" s="2">
        <f>+WheatDryland!Price</f>
        <v>5.0999999999999996</v>
      </c>
      <c r="K34" s="2" t="str">
        <f>+WheatDryland!Unit</f>
        <v>Bushel</v>
      </c>
      <c r="L34" s="5">
        <f t="shared" si="14"/>
        <v>42.608186424569084</v>
      </c>
      <c r="M34" s="5">
        <f t="shared" si="14"/>
        <v>42.608186424569084</v>
      </c>
      <c r="N34" s="5">
        <f t="shared" si="14"/>
        <v>0</v>
      </c>
      <c r="P34" s="14">
        <f>+WheatDryland!VarRet</f>
        <v>41.709424124227269</v>
      </c>
      <c r="Q34" s="14">
        <f>+WheatDryland!TVarRet</f>
        <v>41.709424124227269</v>
      </c>
      <c r="R34" s="14">
        <f>+WheatDryland!LVarRet</f>
        <v>0</v>
      </c>
      <c r="S34" s="1"/>
      <c r="T34" s="2">
        <f>+WheatDryland!VarExp</f>
        <v>165.69057587577274</v>
      </c>
      <c r="U34" s="2">
        <f>+WheatDryland!TVarExp</f>
        <v>165.69057587577274</v>
      </c>
      <c r="V34" s="2">
        <f>+WheatDryland!LVarExp</f>
        <v>0</v>
      </c>
      <c r="W34" s="2"/>
      <c r="X34" s="2">
        <f>+WheatDryland!Price</f>
        <v>5.0999999999999996</v>
      </c>
      <c r="Y34" s="2" t="str">
        <f>+WheatDryland!Unit</f>
        <v>Bushel</v>
      </c>
      <c r="Z34" s="5">
        <f t="shared" si="15"/>
        <v>32.488348210935833</v>
      </c>
      <c r="AA34" s="5">
        <f t="shared" si="15"/>
        <v>32.488348210935833</v>
      </c>
      <c r="AB34" s="5">
        <f t="shared" si="15"/>
        <v>0</v>
      </c>
    </row>
    <row r="35" spans="1:28" ht="18.75" customHeight="1" x14ac:dyDescent="0.2">
      <c r="A35" s="3" t="str">
        <f>'NoTill Wheat Dryland'!A3</f>
        <v>Dryland Wheat - No till</v>
      </c>
      <c r="B35" s="14">
        <f>'NoTill Wheat Dryland'!TotRet</f>
        <v>-11.734947012518433</v>
      </c>
      <c r="C35" s="14">
        <f>'NoTill Wheat Dryland'!TTotRet</f>
        <v>-11.734947012518433</v>
      </c>
      <c r="D35" s="14">
        <f>'NoTill Wheat Dryland'!LTotRet</f>
        <v>0</v>
      </c>
      <c r="E35" s="1"/>
      <c r="F35" s="2">
        <f>'NoTill Wheat Dryland'!TotExp</f>
        <v>270.13494701251841</v>
      </c>
      <c r="G35" s="2">
        <f>'NoTill Wheat Dryland'!TTotExp</f>
        <v>270.13494701251841</v>
      </c>
      <c r="H35" s="2">
        <f>'NoTill Wheat Dryland'!LTotExp</f>
        <v>0</v>
      </c>
      <c r="I35" s="2"/>
      <c r="J35" s="2">
        <f>'NoTill Wheat Dryland'!Price</f>
        <v>5.0999999999999996</v>
      </c>
      <c r="K35" s="2" t="str">
        <f>'NoTill Wheat Dryland'!Unit</f>
        <v>Bushel</v>
      </c>
      <c r="L35" s="5">
        <f>IF(J35=0,0,F35/J35)</f>
        <v>52.967636669121262</v>
      </c>
      <c r="M35" s="5">
        <f>IF(J35=0,0,G35/J35)</f>
        <v>52.967636669121262</v>
      </c>
      <c r="N35" s="5">
        <f>IF(J35=0,0,H35/J35)</f>
        <v>0</v>
      </c>
      <c r="P35" s="14">
        <f>'NoTill Wheat Dryland'!VarRet</f>
        <v>54.721669620553172</v>
      </c>
      <c r="Q35" s="14">
        <f>'NoTill Wheat Dryland'!TVarRet</f>
        <v>54.721669620553172</v>
      </c>
      <c r="R35" s="14">
        <f>'NoTill Wheat Dryland'!LVarRet</f>
        <v>0</v>
      </c>
      <c r="S35" s="1"/>
      <c r="T35" s="2">
        <f>'NoTill Wheat Dryland'!VarExp</f>
        <v>203.67833037944681</v>
      </c>
      <c r="U35" s="2">
        <f>'NoTill Wheat Dryland'!TVarExp</f>
        <v>203.67833037944681</v>
      </c>
      <c r="V35" s="2">
        <f>'NoTill Wheat Dryland'!LVarExp</f>
        <v>0</v>
      </c>
      <c r="W35" s="2"/>
      <c r="X35" s="2">
        <f>'NoTill Wheat Dryland'!Price</f>
        <v>5.0999999999999996</v>
      </c>
      <c r="Y35" s="2" t="str">
        <f>'NoTill Wheat Dryland'!Unit</f>
        <v>Bushel</v>
      </c>
      <c r="Z35" s="5">
        <f>IF(J35=0,0,T35/J35)</f>
        <v>39.936927525381726</v>
      </c>
      <c r="AA35" s="5">
        <f>IF(J35=0,0,U35/J35)</f>
        <v>39.936927525381726</v>
      </c>
      <c r="AB35" s="5">
        <f>IF(J35=0,0,V35/J35)</f>
        <v>0</v>
      </c>
    </row>
    <row r="36" spans="1:28" ht="18.75" customHeight="1" x14ac:dyDescent="0.2">
      <c r="A36" s="3" t="str">
        <f>'Wheat Irrigated'!A3</f>
        <v>Irrigated Wheat</v>
      </c>
      <c r="B36" s="14">
        <f>'Wheat Irrigated'!TotRet</f>
        <v>-75.623975611199569</v>
      </c>
      <c r="C36" s="14">
        <f>'Wheat Irrigated'!TTotRet</f>
        <v>-75.623975611199569</v>
      </c>
      <c r="D36" s="14">
        <f>'Wheat Irrigated'!LTotRet</f>
        <v>0</v>
      </c>
      <c r="E36" s="1"/>
      <c r="F36" s="2">
        <f>'Wheat Irrigated'!TotExp</f>
        <v>453.87397561119957</v>
      </c>
      <c r="G36" s="2">
        <f>'Wheat Irrigated'!TTotExp</f>
        <v>453.87397561119957</v>
      </c>
      <c r="H36" s="2">
        <f>'Wheat Irrigated'!LTotExp</f>
        <v>0</v>
      </c>
      <c r="I36" s="2"/>
      <c r="J36" s="2">
        <f>'Wheat Irrigated'!Price</f>
        <v>5.0999999999999996</v>
      </c>
      <c r="K36" s="2" t="str">
        <f>'Wheat Irrigated'!Unit</f>
        <v>Bushel</v>
      </c>
      <c r="L36" s="5">
        <f>IF(J36=0,0,F36/J36)</f>
        <v>88.994897178666591</v>
      </c>
      <c r="M36" s="5">
        <f>IF(J36=0,0,G36/J36)</f>
        <v>88.994897178666591</v>
      </c>
      <c r="N36" s="5">
        <f>IF(J36=0,0,H36/J36)</f>
        <v>0</v>
      </c>
      <c r="P36" s="14">
        <f>'Wheat Irrigated'!VarRet</f>
        <v>68.884943256454733</v>
      </c>
      <c r="Q36" s="14">
        <f>'Wheat Irrigated'!TVarRet</f>
        <v>68.884943256454733</v>
      </c>
      <c r="R36" s="14">
        <f>'Wheat Irrigated'!LVarRet</f>
        <v>0</v>
      </c>
      <c r="S36" s="1"/>
      <c r="T36" s="2">
        <f>'Wheat Irrigated'!VarExp</f>
        <v>309.36505674354527</v>
      </c>
      <c r="U36" s="2">
        <f>'Wheat Irrigated'!TVarExp</f>
        <v>309.36505674354527</v>
      </c>
      <c r="V36" s="2">
        <f>'Wheat Irrigated'!LVarExp</f>
        <v>0</v>
      </c>
      <c r="W36" s="2"/>
      <c r="X36" s="2">
        <f>'Wheat Irrigated'!Price</f>
        <v>5.0999999999999996</v>
      </c>
      <c r="Y36" s="2" t="str">
        <f>'Wheat Irrigated'!Unit</f>
        <v>Bushel</v>
      </c>
      <c r="Z36" s="5">
        <f>IF(J36=0,0,T36/J36)</f>
        <v>60.65981504775398</v>
      </c>
      <c r="AA36" s="5">
        <f>IF(J36=0,0,U36/J36)</f>
        <v>60.65981504775398</v>
      </c>
      <c r="AB36" s="5">
        <f>IF(J36=0,0,V36/J36)</f>
        <v>0</v>
      </c>
    </row>
    <row r="37" spans="1:28" ht="18.75" customHeight="1" x14ac:dyDescent="0.2">
      <c r="A37" s="3" t="str">
        <f>'OrganicWheat Year 3'!A3</f>
        <v>Organic wheat Y3</v>
      </c>
      <c r="B37" s="14">
        <f>'OrganicWheat Year 3'!TotRet</f>
        <v>116.23955027166278</v>
      </c>
      <c r="C37" s="14">
        <f>'OrganicWheat Year 3'!TTotRet</f>
        <v>116.23955027166278</v>
      </c>
      <c r="D37" s="14">
        <f>'OrganicWheat Year 3'!LTotRet</f>
        <v>0</v>
      </c>
      <c r="E37" s="1"/>
      <c r="F37" s="2">
        <f>'OrganicWheat Year 3'!TotExp</f>
        <v>270.64585204384031</v>
      </c>
      <c r="G37" s="2">
        <f>'OrganicWheat Year 3'!TTotExp</f>
        <v>270.64585204384031</v>
      </c>
      <c r="H37" s="2">
        <f>'OrganicWheat Year 3'!LTotExp</f>
        <v>0</v>
      </c>
      <c r="I37" s="2"/>
      <c r="J37" s="2">
        <f>'OrganicWheat Year 3'!Price</f>
        <v>13</v>
      </c>
      <c r="K37" s="2" t="str">
        <f>'OrganicWheat Year 3'!Unit</f>
        <v>Bushel</v>
      </c>
      <c r="L37" s="5">
        <f>IF(J37=0,0,F37/J37)</f>
        <v>20.818911695680022</v>
      </c>
      <c r="M37" s="5">
        <f>IF(J37=0,0,G37/J37)</f>
        <v>20.818911695680022</v>
      </c>
      <c r="N37" s="5">
        <f>IF(J37=0,0,H37/J37)</f>
        <v>0</v>
      </c>
      <c r="P37" s="14">
        <f>'OrganicWheat Year 3'!VarRet</f>
        <v>173.04550923778476</v>
      </c>
      <c r="Q37" s="14">
        <f>'OrganicWheat Year 3'!TVarRet</f>
        <v>173.04550923778476</v>
      </c>
      <c r="R37" s="14">
        <f>'OrganicWheat Year 3'!LVarRet</f>
        <v>0</v>
      </c>
      <c r="S37" s="1"/>
      <c r="T37" s="2">
        <f>'OrganicWheat Year 3'!VarExp</f>
        <v>213.83989307771833</v>
      </c>
      <c r="U37" s="2">
        <f>'OrganicWheat Year 3'!TVarExp</f>
        <v>213.83989307771833</v>
      </c>
      <c r="V37" s="2">
        <f>'OrganicWheat Year 3'!LVarExp</f>
        <v>0</v>
      </c>
      <c r="W37" s="2"/>
      <c r="X37" s="2">
        <f>'OrganicWheat Year 3'!Price</f>
        <v>13</v>
      </c>
      <c r="Y37" s="2" t="str">
        <f>'OrganicWheat Year 3'!Unit</f>
        <v>Bushel</v>
      </c>
      <c r="Z37" s="5">
        <f>IF(J37=0,0,T37/J37)</f>
        <v>16.44922254443987</v>
      </c>
      <c r="AA37" s="5">
        <f>IF(J37=0,0,U37/J37)</f>
        <v>16.44922254443987</v>
      </c>
      <c r="AB37" s="5">
        <f>IF(J37=0,0,V37/J37)</f>
        <v>0</v>
      </c>
    </row>
    <row r="38" spans="1:28" ht="18.75" customHeight="1" x14ac:dyDescent="0.2">
      <c r="A38" s="3" t="str">
        <f>'Organic Summer HayCrop'!A3</f>
        <v>Organic summer Hay Crop</v>
      </c>
      <c r="B38" s="14">
        <f>'Organic Summer HayCrop'!TotRet</f>
        <v>-43.038669508292898</v>
      </c>
      <c r="C38" s="14">
        <f>'Organic Summer HayCrop'!TTotRet</f>
        <v>-43.038669508292898</v>
      </c>
      <c r="D38" s="14">
        <f>'Organic Summer HayCrop'!LTotRet</f>
        <v>0</v>
      </c>
      <c r="E38" s="1"/>
      <c r="F38" s="2">
        <f>'Organic Summer HayCrop'!TotExp</f>
        <v>163.63866950829291</v>
      </c>
      <c r="G38" s="2">
        <f>'Organic Summer HayCrop'!TTotExp</f>
        <v>163.63866950829291</v>
      </c>
      <c r="H38" s="2">
        <f>'Organic Summer HayCrop'!LTotExp</f>
        <v>0</v>
      </c>
      <c r="I38" s="2"/>
      <c r="J38" s="2">
        <f>'Organic Summer HayCrop'!Price</f>
        <v>90</v>
      </c>
      <c r="K38" s="2" t="str">
        <f>'Organic Summer HayCrop'!Unit</f>
        <v>Ton</v>
      </c>
      <c r="L38" s="5">
        <f>IF(J38=0,0,F38/J38)</f>
        <v>1.8182074389810323</v>
      </c>
      <c r="M38" s="5">
        <f>IF(J38=0,0,G38/J38)</f>
        <v>1.8182074389810323</v>
      </c>
      <c r="N38" s="5">
        <f>IF(J38=0,0,H38/J38)</f>
        <v>0</v>
      </c>
      <c r="P38" s="14">
        <f>'Organic Summer HayCrop'!VarRet</f>
        <v>2.4702861299944487</v>
      </c>
      <c r="Q38" s="14">
        <f>'Organic Summer HayCrop'!TVarRet</f>
        <v>2.4702861299944487</v>
      </c>
      <c r="R38" s="14">
        <f>'Organic Summer HayCrop'!LVarRet</f>
        <v>0</v>
      </c>
      <c r="S38" s="1"/>
      <c r="T38" s="2">
        <f>'Organic Summer HayCrop'!VarExp</f>
        <v>118.12971387000556</v>
      </c>
      <c r="U38" s="2">
        <f>'Organic Summer HayCrop'!TVarExp</f>
        <v>118.12971387000556</v>
      </c>
      <c r="V38" s="2">
        <f>'Organic Summer HayCrop'!LVarExp</f>
        <v>0</v>
      </c>
      <c r="W38" s="2"/>
      <c r="X38" s="2">
        <f>'Organic Summer HayCrop'!Price</f>
        <v>90</v>
      </c>
      <c r="Y38" s="2" t="str">
        <f>'Organic Summer HayCrop'!Unit</f>
        <v>Ton</v>
      </c>
      <c r="Z38" s="5">
        <f>IF(J38=0,0,T38/J38)</f>
        <v>1.3125523763333951</v>
      </c>
      <c r="AA38" s="5">
        <f>IF(J38=0,0,U38/J38)</f>
        <v>1.3125523763333951</v>
      </c>
      <c r="AB38" s="5">
        <f>IF(J38=0,0,V38/J38)</f>
        <v>0</v>
      </c>
    </row>
    <row r="39" spans="1:28" ht="18.75" customHeight="1" x14ac:dyDescent="0.2">
      <c r="A39" s="3" t="str">
        <f>OrganicDrylandWheat!A3</f>
        <v>Organic Wheat Y1</v>
      </c>
      <c r="B39" s="14">
        <f>OrganicDrylandWheat!TotRet</f>
        <v>139.49729335088986</v>
      </c>
      <c r="C39" s="14">
        <f>OrganicDrylandWheat!TTotRet</f>
        <v>139.49729335088986</v>
      </c>
      <c r="D39" s="14">
        <f>OrganicDrylandWheat!LTotRet</f>
        <v>0</v>
      </c>
      <c r="E39" s="1"/>
      <c r="F39" s="2">
        <f>OrganicDrylandWheat!TotExp</f>
        <v>247.38810896461322</v>
      </c>
      <c r="G39" s="2">
        <f>OrganicDrylandWheat!TTotExp</f>
        <v>247.38810896461322</v>
      </c>
      <c r="H39" s="2">
        <f>OrganicDrylandWheat!LTotExp</f>
        <v>0</v>
      </c>
      <c r="I39" s="2"/>
      <c r="J39" s="2">
        <f>OrganicDrylandWheat!Price</f>
        <v>13</v>
      </c>
      <c r="K39" s="2" t="str">
        <f>OrganicDrylandWheat!Unit</f>
        <v>Bushel</v>
      </c>
      <c r="L39" s="5">
        <f>IF(J39=0,0,F39/J39)</f>
        <v>19.029854535739478</v>
      </c>
      <c r="M39" s="5">
        <f>IF(J39=0,0,G39/J39)</f>
        <v>19.029854535739478</v>
      </c>
      <c r="N39" s="5">
        <f>IF(J39=0,0,H39/J39)</f>
        <v>0</v>
      </c>
      <c r="P39" s="14">
        <f>OrganicDrylandWheat!VarRet</f>
        <v>188.76389798673878</v>
      </c>
      <c r="Q39" s="14">
        <f>OrganicDrylandWheat!TVarRet</f>
        <v>188.76389798673878</v>
      </c>
      <c r="R39" s="14">
        <f>OrganicDrylandWheat!LVarRet</f>
        <v>0</v>
      </c>
      <c r="S39" s="1"/>
      <c r="T39" s="2">
        <f>OrganicDrylandWheat!VarExp</f>
        <v>198.1215043287643</v>
      </c>
      <c r="U39" s="2">
        <f>OrganicDrylandWheat!TVarExp</f>
        <v>198.1215043287643</v>
      </c>
      <c r="V39" s="2">
        <f>OrganicDrylandWheat!LVarExp</f>
        <v>0</v>
      </c>
      <c r="W39" s="2"/>
      <c r="X39" s="2">
        <f>OrganicDrylandWheat!Price</f>
        <v>13</v>
      </c>
      <c r="Y39" s="2" t="str">
        <f>OrganicDrylandWheat!Unit</f>
        <v>Bushel</v>
      </c>
      <c r="Z39" s="5">
        <f>IF(J39=0,0,T39/J39)</f>
        <v>15.240115717597254</v>
      </c>
      <c r="AA39" s="5">
        <f>IF(J39=0,0,U39/J39)</f>
        <v>15.240115717597254</v>
      </c>
      <c r="AB39" s="5">
        <f>IF(J39=0,0,V39/J39)</f>
        <v>0</v>
      </c>
    </row>
    <row r="40" spans="1:28" ht="18.75" customHeight="1" x14ac:dyDescent="0.2">
      <c r="A40" s="3"/>
      <c r="B40" s="14"/>
      <c r="C40" s="14"/>
      <c r="D40" s="14"/>
      <c r="E40" s="1"/>
      <c r="F40" s="2"/>
      <c r="G40" s="2"/>
      <c r="H40" s="2"/>
      <c r="I40" s="2"/>
      <c r="J40" s="2"/>
      <c r="K40" s="2"/>
      <c r="L40" s="5"/>
      <c r="M40" s="5"/>
      <c r="N40" s="5"/>
      <c r="P40" s="14"/>
      <c r="Q40" s="14"/>
      <c r="R40" s="14"/>
      <c r="S40" s="1"/>
      <c r="T40" s="2"/>
      <c r="U40" s="2"/>
      <c r="V40" s="2"/>
      <c r="W40" s="2"/>
      <c r="X40" s="2"/>
      <c r="Y40" s="2"/>
      <c r="Z40" s="5"/>
      <c r="AA40" s="5"/>
      <c r="AB40" s="5"/>
    </row>
    <row r="41" spans="1:28" ht="18.75" customHeight="1" x14ac:dyDescent="0.2">
      <c r="A41" s="14" t="s">
        <v>144</v>
      </c>
      <c r="B41" s="14"/>
      <c r="C41" s="14"/>
      <c r="D41" s="14"/>
      <c r="E41" s="1"/>
      <c r="F41" s="2"/>
      <c r="G41" s="2"/>
      <c r="H41" s="2"/>
      <c r="I41" s="2"/>
      <c r="J41" s="2"/>
      <c r="K41" s="2"/>
      <c r="L41" s="5"/>
      <c r="M41" s="5"/>
      <c r="N41" s="5"/>
      <c r="P41" s="14"/>
      <c r="Q41" s="14"/>
      <c r="R41" s="14"/>
      <c r="S41" s="1"/>
      <c r="T41" s="2"/>
      <c r="U41" s="2"/>
      <c r="V41" s="2"/>
      <c r="W41" s="2"/>
      <c r="X41" s="2"/>
      <c r="Y41" s="2"/>
      <c r="Z41" s="5"/>
      <c r="AA41" s="5"/>
      <c r="AB41" s="5"/>
    </row>
    <row r="42" spans="1:28" ht="18.75" customHeight="1" x14ac:dyDescent="0.2">
      <c r="A42" s="14"/>
      <c r="B42" s="14"/>
      <c r="C42" s="14"/>
      <c r="D42" s="14"/>
      <c r="E42" s="1"/>
      <c r="F42" s="2"/>
      <c r="G42" s="2"/>
      <c r="H42" s="2"/>
      <c r="I42" s="2"/>
      <c r="J42" s="2"/>
      <c r="K42" s="2"/>
      <c r="L42" s="5"/>
      <c r="M42" s="5"/>
      <c r="N42" s="5"/>
      <c r="P42" s="14"/>
      <c r="Q42" s="14"/>
      <c r="R42" s="14"/>
      <c r="S42" s="1"/>
      <c r="T42" s="2"/>
      <c r="U42" s="2"/>
      <c r="V42" s="2"/>
      <c r="W42" s="2"/>
      <c r="X42" s="2"/>
      <c r="Y42" s="2"/>
      <c r="Z42" s="5"/>
      <c r="AA42" s="5"/>
      <c r="AB42" s="5"/>
    </row>
    <row r="43" spans="1:28" ht="16.5" customHeight="1" x14ac:dyDescent="0.2">
      <c r="A43" s="15" t="str">
        <f>+CowCalf!A3</f>
        <v>Rolling Plains Cow-Calf Production</v>
      </c>
      <c r="B43" s="14">
        <f>+CowCalf!TotRet</f>
        <v>381.56286308320296</v>
      </c>
      <c r="C43" s="14"/>
      <c r="D43" s="14"/>
      <c r="F43" s="8">
        <f>+CowCalf!TotExp</f>
        <v>988.77313691679683</v>
      </c>
      <c r="G43" s="8"/>
      <c r="H43" s="8"/>
      <c r="I43" s="8"/>
      <c r="J43" s="8">
        <f>+CowCalf!Price</f>
        <v>318.21086956521737</v>
      </c>
      <c r="K43" s="8" t="str">
        <f>+CowCalf!Unit</f>
        <v>CWT</v>
      </c>
      <c r="L43" s="5">
        <f>+IF($J43=0,0,F43/$J43)</f>
        <v>3.1072890070279251</v>
      </c>
      <c r="M43" s="5"/>
      <c r="N43" s="5"/>
      <c r="P43" s="14">
        <f>+CowCalf!VarRet</f>
        <v>890.62967974986964</v>
      </c>
      <c r="Q43" s="14"/>
      <c r="R43" s="14"/>
      <c r="T43" s="8">
        <f>+CowCalf!VarExp</f>
        <v>479.70632025013009</v>
      </c>
      <c r="U43" s="8"/>
      <c r="V43" s="8"/>
      <c r="W43" s="8"/>
      <c r="X43" s="8">
        <f>+CowCalf!Price</f>
        <v>318.21086956521737</v>
      </c>
      <c r="Y43" s="8" t="str">
        <f>+CowCalf!Unit</f>
        <v>CWT</v>
      </c>
      <c r="Z43" s="5">
        <f>+IF($J43=0,0,T43/$J43)</f>
        <v>1.5075107927820619</v>
      </c>
      <c r="AA43" s="5"/>
      <c r="AB43" s="5"/>
    </row>
    <row r="44" spans="1:28" ht="16.5" customHeight="1" x14ac:dyDescent="0.2">
      <c r="A44" s="15" t="str">
        <f>+StockersMar1!A3</f>
        <v>Stocker Calf Budget - Pull off Wheat March 1</v>
      </c>
      <c r="B44" s="14">
        <f>+StockersMar1!TotRet</f>
        <v>-60.255568742182732</v>
      </c>
      <c r="C44" s="14"/>
      <c r="D44" s="14"/>
      <c r="F44" s="8">
        <f>+StockersMar1!TotExp</f>
        <v>1963.2755687421829</v>
      </c>
      <c r="G44" s="8"/>
      <c r="H44" s="8"/>
      <c r="I44" s="8"/>
      <c r="J44" s="8">
        <f>+StockersMar1!Price</f>
        <v>280</v>
      </c>
      <c r="K44" s="8" t="str">
        <f>+StockersMar1!Unit</f>
        <v>CWT</v>
      </c>
      <c r="L44" s="5">
        <f>+IF($J44=0,0,F44/$J44)</f>
        <v>7.0116984597935108</v>
      </c>
      <c r="M44" s="5"/>
      <c r="N44" s="5"/>
      <c r="P44" s="14">
        <f>+StockersMar1!VarRet</f>
        <v>-22.259202075515987</v>
      </c>
      <c r="Q44" s="14"/>
      <c r="R44" s="14"/>
      <c r="T44" s="8">
        <f>+StockersMar1!VarExp</f>
        <v>1925.2792020755162</v>
      </c>
      <c r="U44" s="8"/>
      <c r="V44" s="8"/>
      <c r="W44" s="8"/>
      <c r="X44" s="8">
        <f>+StockersMar1!Price</f>
        <v>280</v>
      </c>
      <c r="Y44" s="8" t="str">
        <f>+StockersMar1!Unit</f>
        <v>CWT</v>
      </c>
      <c r="Z44" s="5">
        <f>+IF($J44=0,0,T44/$J44)</f>
        <v>6.8759971502697006</v>
      </c>
      <c r="AA44" s="5"/>
      <c r="AB44" s="5"/>
    </row>
    <row r="45" spans="1:28" ht="16.5" customHeight="1" x14ac:dyDescent="0.2">
      <c r="A45" s="15" t="str">
        <f>+StockerGrazeOut!A3</f>
        <v>Stocker Calf Budget - Grazeout</v>
      </c>
      <c r="B45" s="14">
        <f>+StockerGrazeOut!TotRet</f>
        <v>-109.43876582168241</v>
      </c>
      <c r="C45" s="14"/>
      <c r="D45" s="14"/>
      <c r="F45" s="8">
        <f>+StockerGrazeOut!TotExp</f>
        <v>2129.8517658216824</v>
      </c>
      <c r="G45" s="8"/>
      <c r="H45" s="8"/>
      <c r="I45" s="8"/>
      <c r="J45" s="8">
        <f>+StockerGrazeOut!Price</f>
        <v>262</v>
      </c>
      <c r="K45" s="8" t="str">
        <f>+StockerGrazeOut!Unit</f>
        <v>CWT</v>
      </c>
      <c r="L45" s="5">
        <f>+IF($J45=0,0,F45/$J45)</f>
        <v>8.1292052130598567</v>
      </c>
      <c r="M45" s="5"/>
      <c r="N45" s="5"/>
      <c r="P45" s="14">
        <f>+StockerGrazeOut!VarRet</f>
        <v>-59.775732488349149</v>
      </c>
      <c r="Q45" s="14"/>
      <c r="R45" s="14"/>
      <c r="T45" s="8">
        <f>+StockerGrazeOut!VarExp</f>
        <v>2080.1887324883492</v>
      </c>
      <c r="U45" s="8"/>
      <c r="V45" s="8"/>
      <c r="W45" s="8"/>
      <c r="X45" s="8">
        <f>+StockerGrazeOut!Price</f>
        <v>262</v>
      </c>
      <c r="Y45" s="8" t="str">
        <f>+StockerGrazeOut!Unit</f>
        <v>CWT</v>
      </c>
      <c r="Z45" s="5">
        <f>+IF($J45=0,0,T45/$J45)</f>
        <v>7.9396516507188899</v>
      </c>
      <c r="AA45" s="5"/>
      <c r="AB45" s="5"/>
    </row>
    <row r="46" spans="1:28" ht="16.5" customHeight="1" x14ac:dyDescent="0.2">
      <c r="A46" s="15"/>
      <c r="B46" s="14"/>
      <c r="C46" s="14"/>
      <c r="D46" s="14"/>
      <c r="F46" s="8"/>
      <c r="G46" s="8"/>
      <c r="H46" s="8"/>
      <c r="I46" s="8"/>
      <c r="J46" s="8"/>
      <c r="K46" s="8"/>
      <c r="L46" s="5"/>
      <c r="M46" s="5"/>
      <c r="N46" s="5"/>
      <c r="P46" s="14"/>
      <c r="Q46" s="14"/>
      <c r="R46" s="14"/>
      <c r="T46" s="8"/>
      <c r="U46" s="8"/>
      <c r="V46" s="8"/>
      <c r="W46" s="8"/>
      <c r="X46" s="8"/>
      <c r="Y46" s="8"/>
      <c r="Z46" s="5"/>
      <c r="AA46" s="5"/>
      <c r="AB46" s="5"/>
    </row>
    <row r="47" spans="1:28" ht="16.5" customHeight="1" x14ac:dyDescent="0.2">
      <c r="A47" s="15"/>
      <c r="B47" s="14"/>
      <c r="C47" s="14"/>
      <c r="D47" s="14"/>
      <c r="F47" s="8"/>
      <c r="G47" s="8"/>
      <c r="H47" s="8"/>
      <c r="I47" s="8"/>
      <c r="J47" s="8"/>
      <c r="K47" s="8"/>
      <c r="L47" s="5"/>
      <c r="M47" s="5"/>
      <c r="N47" s="5"/>
      <c r="P47" s="14"/>
      <c r="Q47" s="14"/>
      <c r="R47" s="14"/>
      <c r="T47" s="8"/>
      <c r="U47" s="8"/>
      <c r="V47" s="8"/>
      <c r="W47" s="8"/>
      <c r="X47" s="8"/>
      <c r="Y47" s="8"/>
      <c r="Z47" s="5"/>
      <c r="AA47" s="5"/>
      <c r="AB47" s="5"/>
    </row>
    <row r="48" spans="1:28" ht="18.75" customHeight="1" x14ac:dyDescent="0.2">
      <c r="A48" s="3"/>
      <c r="B48" s="14"/>
      <c r="C48" s="14"/>
      <c r="D48" s="14"/>
      <c r="F48" s="8"/>
      <c r="G48" s="8"/>
      <c r="H48" s="8"/>
      <c r="I48" s="8"/>
      <c r="J48" s="2"/>
      <c r="K48" s="2"/>
      <c r="L48" s="5"/>
      <c r="M48" s="5"/>
      <c r="N48" s="5"/>
      <c r="P48" s="14"/>
      <c r="Q48" s="14"/>
      <c r="R48" s="14"/>
      <c r="T48" s="8"/>
      <c r="U48" s="8"/>
      <c r="V48" s="8"/>
      <c r="W48" s="8"/>
      <c r="X48" s="2"/>
      <c r="Y48" s="2"/>
      <c r="Z48" s="5"/>
      <c r="AA48" s="5"/>
      <c r="AB48" s="5"/>
    </row>
  </sheetData>
  <sheetProtection sheet="1" objects="1" scenarios="1"/>
  <mergeCells count="6">
    <mergeCell ref="X3:AB3"/>
    <mergeCell ref="B3:D3"/>
    <mergeCell ref="F3:H3"/>
    <mergeCell ref="J3:N3"/>
    <mergeCell ref="P3:R3"/>
    <mergeCell ref="T3:V3"/>
  </mergeCells>
  <conditionalFormatting sqref="A5:A6">
    <cfRule type="cellIs" dxfId="37" priority="15" stopIfTrue="1" operator="lessThan">
      <formula>$B$1</formula>
    </cfRule>
    <cfRule type="cellIs" dxfId="36" priority="16" stopIfTrue="1" operator="greaterThanOrEqual">
      <formula>$B$1</formula>
    </cfRule>
  </conditionalFormatting>
  <conditionalFormatting sqref="A16:A17">
    <cfRule type="cellIs" dxfId="35" priority="13" stopIfTrue="1" operator="lessThan">
      <formula>$B$1</formula>
    </cfRule>
    <cfRule type="cellIs" dxfId="34" priority="14" stopIfTrue="1" operator="greaterThanOrEqual">
      <formula>$B$1</formula>
    </cfRule>
  </conditionalFormatting>
  <conditionalFormatting sqref="A41:A42">
    <cfRule type="cellIs" dxfId="33" priority="11" stopIfTrue="1" operator="lessThan">
      <formula>$B$1</formula>
    </cfRule>
    <cfRule type="cellIs" dxfId="32" priority="12" stopIfTrue="1" operator="greaterThanOrEqual">
      <formula>$B$1</formula>
    </cfRule>
  </conditionalFormatting>
  <conditionalFormatting sqref="B7:D14 B16:D48">
    <cfRule type="cellIs" dxfId="31" priority="19" stopIfTrue="1" operator="lessThan">
      <formula>$B$1</formula>
    </cfRule>
    <cfRule type="cellIs" dxfId="30" priority="20" stopIfTrue="1" operator="greaterThanOrEqual">
      <formula>$B$1</formula>
    </cfRule>
  </conditionalFormatting>
  <conditionalFormatting sqref="P7:R14 P16:R48">
    <cfRule type="cellIs" dxfId="29" priority="3" stopIfTrue="1" operator="lessThan">
      <formula>$B$1</formula>
    </cfRule>
    <cfRule type="cellIs" dxfId="28" priority="4" stopIfTrue="1" operator="greaterThanOrEqual">
      <formula>$B$1</formula>
    </cfRule>
  </conditionalFormatting>
  <pageMargins left="0.75" right="0.75" top="1" bottom="1" header="0.5" footer="0.5"/>
  <pageSetup scale="85" fitToWidth="3" orientation="landscape" r:id="rId1"/>
  <headerFooter alignWithMargins="0">
    <oddHeader>&amp;RVersion 00.02.2012</oddHeader>
    <oddFooter>&amp;CTexas AgriLife Extension Service provides this software for educational use, solely on an “AS IS” basis and  assumes no liability for its use.</oddFooter>
  </headerFooter>
  <colBreaks count="2" manualBreakCount="2">
    <brk id="5" max="28" man="1"/>
    <brk id="9" max="2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01716-013F-4B0B-8F14-57ACDB1EBBF8}">
  <sheetPr codeName="Sheet185">
    <tabColor rgb="FF92D050"/>
    <pageSetUpPr fitToPage="1"/>
  </sheetPr>
  <dimension ref="A1:S92"/>
  <sheetViews>
    <sheetView showGridLines="0" workbookViewId="0">
      <selection activeCell="C27" sqref="C2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478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116">
        <v>100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483</v>
      </c>
      <c r="R9" s="189" t="str">
        <f>"(" &amp; E7 &amp; " acres)"</f>
        <v>( acres)</v>
      </c>
      <c r="S9" s="12"/>
    </row>
    <row r="10" spans="1:19" x14ac:dyDescent="0.2">
      <c r="A10" s="25"/>
      <c r="B10" s="102">
        <v>0</v>
      </c>
      <c r="C10" s="25"/>
      <c r="D10" s="50">
        <v>0</v>
      </c>
      <c r="E10" s="130"/>
      <c r="F10" s="224" t="s">
        <v>458</v>
      </c>
      <c r="G10" s="31">
        <v>0</v>
      </c>
      <c r="H10" s="131"/>
      <c r="I10" s="35">
        <v>0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0</v>
      </c>
      <c r="P10" s="200">
        <f t="shared" ref="P10:P12" si="2">+J10-N10</f>
        <v>0</v>
      </c>
      <c r="Q10" s="35">
        <v>0</v>
      </c>
      <c r="R10" s="200">
        <f t="shared" ref="R10:R12" si="3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si="2"/>
        <v>0</v>
      </c>
      <c r="Q11" s="35">
        <v>0</v>
      </c>
      <c r="R11" s="200">
        <f t="shared" si="3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2"/>
        <v>0</v>
      </c>
      <c r="Q12" s="42">
        <v>0</v>
      </c>
      <c r="R12" s="182">
        <f t="shared" si="3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0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0</v>
      </c>
      <c r="P13" s="201">
        <f>SUM(P10:P12)</f>
        <v>0</v>
      </c>
      <c r="Q13" s="36">
        <v>0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342</v>
      </c>
      <c r="D18" s="25">
        <v>46</v>
      </c>
      <c r="E18" s="130"/>
      <c r="F18" s="224" t="s">
        <v>82</v>
      </c>
      <c r="G18" s="41">
        <v>0.53800000000000003</v>
      </c>
      <c r="H18" s="131"/>
      <c r="I18" s="35">
        <v>24.748000000000001</v>
      </c>
      <c r="J18" s="200">
        <f t="shared" ref="J18:J30" si="4">E18*H18</f>
        <v>0</v>
      </c>
      <c r="K18" s="223">
        <v>0</v>
      </c>
      <c r="L18" s="212"/>
      <c r="M18" s="35">
        <v>0</v>
      </c>
      <c r="N18" s="200">
        <f t="shared" ref="N18:N30" si="5">J18*L18</f>
        <v>0</v>
      </c>
      <c r="O18" s="35">
        <v>24.748000000000001</v>
      </c>
      <c r="P18" s="200">
        <f t="shared" ref="P18:P30" si="6">+J18-N18</f>
        <v>0</v>
      </c>
      <c r="Q18" s="35">
        <v>2474.8000000000002</v>
      </c>
      <c r="R18" s="200">
        <f t="shared" ref="R18:R30" si="7">+J18*E$7</f>
        <v>0</v>
      </c>
    </row>
    <row r="19" spans="1:18" x14ac:dyDescent="0.2">
      <c r="A19" s="25"/>
      <c r="B19" s="25" t="s">
        <v>458</v>
      </c>
      <c r="C19" s="25" t="s">
        <v>378</v>
      </c>
      <c r="D19" s="25">
        <v>50</v>
      </c>
      <c r="E19" s="130"/>
      <c r="F19" s="224" t="s">
        <v>82</v>
      </c>
      <c r="G19" s="41">
        <v>0.56999999999999995</v>
      </c>
      <c r="H19" s="131"/>
      <c r="I19" s="35">
        <v>28.499999999999996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28.499999999999996</v>
      </c>
      <c r="P19" s="200">
        <f t="shared" si="6"/>
        <v>0</v>
      </c>
      <c r="Q19" s="35">
        <v>2849.9999999999995</v>
      </c>
      <c r="R19" s="200">
        <f t="shared" si="7"/>
        <v>0</v>
      </c>
    </row>
    <row r="20" spans="1:18" x14ac:dyDescent="0.2">
      <c r="A20" s="25"/>
      <c r="B20" s="25" t="s">
        <v>458</v>
      </c>
      <c r="C20" s="25" t="s">
        <v>400</v>
      </c>
      <c r="D20" s="25">
        <v>25</v>
      </c>
      <c r="E20" s="130"/>
      <c r="F20" s="224" t="s">
        <v>82</v>
      </c>
      <c r="G20" s="41">
        <v>0.44167000000000001</v>
      </c>
      <c r="H20" s="131"/>
      <c r="I20" s="35">
        <v>11.04175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11.04175</v>
      </c>
      <c r="P20" s="200">
        <f t="shared" si="6"/>
        <v>0</v>
      </c>
      <c r="Q20" s="35">
        <v>1104.175</v>
      </c>
      <c r="R20" s="200">
        <f t="shared" si="7"/>
        <v>0</v>
      </c>
    </row>
    <row r="21" spans="1:18" x14ac:dyDescent="0.2">
      <c r="A21" s="25"/>
      <c r="B21" s="25" t="s">
        <v>49</v>
      </c>
      <c r="C21" s="25"/>
      <c r="D21" s="25"/>
      <c r="E21" s="25"/>
      <c r="F21" s="25"/>
      <c r="G21" s="25"/>
      <c r="H21" s="25"/>
      <c r="I21" s="25"/>
      <c r="J21" s="25"/>
      <c r="K21" s="223"/>
      <c r="L21" s="25"/>
      <c r="M21" s="25"/>
      <c r="N21" s="25"/>
      <c r="O21" s="25"/>
      <c r="P21" s="25"/>
      <c r="Q21" s="25"/>
      <c r="R21" s="25"/>
    </row>
    <row r="22" spans="1:18" x14ac:dyDescent="0.2">
      <c r="A22" s="25"/>
      <c r="B22" s="25" t="s">
        <v>458</v>
      </c>
      <c r="C22" s="25" t="s">
        <v>177</v>
      </c>
      <c r="D22" s="25">
        <v>1</v>
      </c>
      <c r="E22" s="130"/>
      <c r="F22" s="224" t="s">
        <v>42</v>
      </c>
      <c r="G22" s="41">
        <v>5.5</v>
      </c>
      <c r="H22" s="131"/>
      <c r="I22" s="35">
        <v>5.5</v>
      </c>
      <c r="J22" s="200">
        <f t="shared" si="4"/>
        <v>0</v>
      </c>
      <c r="K22" s="223">
        <v>0</v>
      </c>
      <c r="L22" s="212"/>
      <c r="M22" s="35">
        <v>0</v>
      </c>
      <c r="N22" s="200">
        <f t="shared" si="5"/>
        <v>0</v>
      </c>
      <c r="O22" s="35">
        <v>5.5</v>
      </c>
      <c r="P22" s="200">
        <f t="shared" si="6"/>
        <v>0</v>
      </c>
      <c r="Q22" s="35">
        <v>550</v>
      </c>
      <c r="R22" s="200">
        <f t="shared" si="7"/>
        <v>0</v>
      </c>
    </row>
    <row r="23" spans="1:18" x14ac:dyDescent="0.2">
      <c r="A23" s="25"/>
      <c r="B23" s="25" t="s">
        <v>458</v>
      </c>
      <c r="C23" s="25" t="s">
        <v>403</v>
      </c>
      <c r="D23" s="25">
        <v>1</v>
      </c>
      <c r="E23" s="130"/>
      <c r="F23" s="224" t="s">
        <v>316</v>
      </c>
      <c r="G23" s="41">
        <v>2.81</v>
      </c>
      <c r="H23" s="131"/>
      <c r="I23" s="35">
        <v>2.81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2.81</v>
      </c>
      <c r="P23" s="200">
        <f t="shared" si="6"/>
        <v>0</v>
      </c>
      <c r="Q23" s="35">
        <v>281</v>
      </c>
      <c r="R23" s="200">
        <f t="shared" si="7"/>
        <v>0</v>
      </c>
    </row>
    <row r="24" spans="1:18" x14ac:dyDescent="0.2">
      <c r="A24" s="25"/>
      <c r="B24" s="25" t="s">
        <v>1</v>
      </c>
      <c r="C24" s="25"/>
      <c r="D24" s="25"/>
      <c r="E24" s="25"/>
      <c r="F24" s="25"/>
      <c r="G24" s="25"/>
      <c r="H24" s="25"/>
      <c r="I24" s="25"/>
      <c r="J24" s="25"/>
      <c r="K24" s="223"/>
      <c r="L24" s="25"/>
      <c r="M24" s="25"/>
      <c r="N24" s="25"/>
      <c r="O24" s="25"/>
      <c r="P24" s="25"/>
      <c r="Q24" s="25"/>
      <c r="R24" s="25"/>
    </row>
    <row r="25" spans="1:18" x14ac:dyDescent="0.2">
      <c r="A25" s="25"/>
      <c r="B25" s="25" t="s">
        <v>458</v>
      </c>
      <c r="C25" s="25" t="s">
        <v>477</v>
      </c>
      <c r="D25" s="25">
        <v>30</v>
      </c>
      <c r="E25" s="130"/>
      <c r="F25" s="224" t="s">
        <v>83</v>
      </c>
      <c r="G25" s="41">
        <v>1.5</v>
      </c>
      <c r="H25" s="131"/>
      <c r="I25" s="35">
        <v>45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45</v>
      </c>
      <c r="P25" s="200">
        <f t="shared" si="6"/>
        <v>0</v>
      </c>
      <c r="Q25" s="35">
        <v>4500</v>
      </c>
      <c r="R25" s="200">
        <f t="shared" si="7"/>
        <v>0</v>
      </c>
    </row>
    <row r="26" spans="1:18" x14ac:dyDescent="0.2">
      <c r="A26" s="25"/>
      <c r="B26" s="25" t="s">
        <v>50</v>
      </c>
      <c r="C26" s="25"/>
      <c r="D26" s="25"/>
      <c r="E26" s="25"/>
      <c r="F26" s="25"/>
      <c r="G26" s="25"/>
      <c r="H26" s="25"/>
      <c r="I26" s="25"/>
      <c r="J26" s="25"/>
      <c r="K26" s="223"/>
      <c r="L26" s="25"/>
      <c r="M26" s="25"/>
      <c r="N26" s="25"/>
      <c r="O26" s="25"/>
      <c r="P26" s="25"/>
      <c r="Q26" s="25"/>
      <c r="R26" s="25"/>
    </row>
    <row r="27" spans="1:18" x14ac:dyDescent="0.2">
      <c r="A27" s="25"/>
      <c r="B27" s="25" t="s">
        <v>458</v>
      </c>
      <c r="C27" s="25" t="s">
        <v>476</v>
      </c>
      <c r="D27" s="25">
        <v>1</v>
      </c>
      <c r="E27" s="130"/>
      <c r="F27" s="224" t="s">
        <v>42</v>
      </c>
      <c r="G27" s="41">
        <v>85</v>
      </c>
      <c r="H27" s="131"/>
      <c r="I27" s="35">
        <v>85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85</v>
      </c>
      <c r="P27" s="200">
        <f t="shared" si="6"/>
        <v>0</v>
      </c>
      <c r="Q27" s="35">
        <v>8500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176</v>
      </c>
      <c r="D28" s="25">
        <v>1</v>
      </c>
      <c r="E28" s="130"/>
      <c r="F28" s="224" t="s">
        <v>42</v>
      </c>
      <c r="G28" s="41">
        <v>5</v>
      </c>
      <c r="H28" s="131"/>
      <c r="I28" s="35">
        <v>5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5</v>
      </c>
      <c r="P28" s="200">
        <f t="shared" si="6"/>
        <v>0</v>
      </c>
      <c r="Q28" s="35">
        <v>500</v>
      </c>
      <c r="R28" s="200">
        <f t="shared" si="7"/>
        <v>0</v>
      </c>
    </row>
    <row r="29" spans="1:18" x14ac:dyDescent="0.2">
      <c r="A29" s="25"/>
      <c r="B29" s="131"/>
      <c r="C29" s="131"/>
      <c r="D29" s="25">
        <v>0</v>
      </c>
      <c r="E29" s="130"/>
      <c r="F29" s="224"/>
      <c r="G29" s="41">
        <v>0</v>
      </c>
      <c r="H29" s="131"/>
      <c r="I29" s="35">
        <v>0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0</v>
      </c>
      <c r="P29" s="200">
        <f t="shared" si="6"/>
        <v>0</v>
      </c>
      <c r="Q29" s="35">
        <v>0</v>
      </c>
      <c r="R29" s="200">
        <f t="shared" si="7"/>
        <v>0</v>
      </c>
    </row>
    <row r="30" spans="1:18" x14ac:dyDescent="0.2">
      <c r="A30" s="25"/>
      <c r="B30" s="131"/>
      <c r="C30" s="131"/>
      <c r="D30" s="25">
        <v>0</v>
      </c>
      <c r="E30" s="130"/>
      <c r="F30" s="224"/>
      <c r="G30" s="41">
        <v>0</v>
      </c>
      <c r="H30" s="131"/>
      <c r="I30" s="35">
        <v>0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0</v>
      </c>
      <c r="P30" s="200">
        <f t="shared" si="6"/>
        <v>0</v>
      </c>
      <c r="Q30" s="35">
        <v>0</v>
      </c>
      <c r="R30" s="200">
        <f t="shared" si="7"/>
        <v>0</v>
      </c>
    </row>
    <row r="31" spans="1:18" x14ac:dyDescent="0.2">
      <c r="A31" s="25"/>
      <c r="B31" s="131"/>
      <c r="C31" s="131"/>
      <c r="D31" s="25">
        <v>0</v>
      </c>
      <c r="E31" s="130"/>
      <c r="F31" s="224"/>
      <c r="G31" s="41">
        <v>0</v>
      </c>
      <c r="H31" s="131"/>
      <c r="I31" s="35">
        <v>0</v>
      </c>
      <c r="J31" s="200">
        <f>E31*H31</f>
        <v>0</v>
      </c>
      <c r="K31" s="223">
        <v>0</v>
      </c>
      <c r="L31" s="212"/>
      <c r="M31" s="35">
        <v>0</v>
      </c>
      <c r="N31" s="200">
        <f>J31*L31</f>
        <v>0</v>
      </c>
      <c r="O31" s="35">
        <v>0</v>
      </c>
      <c r="P31" s="200">
        <f>+J31-N31</f>
        <v>0</v>
      </c>
      <c r="Q31" s="35">
        <v>0</v>
      </c>
      <c r="R31" s="200">
        <f>+J31*E$7</f>
        <v>0</v>
      </c>
    </row>
    <row r="32" spans="1:18" x14ac:dyDescent="0.2">
      <c r="A32" s="25"/>
      <c r="B32" s="25" t="s">
        <v>106</v>
      </c>
      <c r="C32" s="25"/>
      <c r="D32" s="25"/>
      <c r="E32" s="104"/>
      <c r="H32" s="104"/>
      <c r="I32" s="121"/>
      <c r="J32" s="104"/>
      <c r="K32" s="223"/>
      <c r="L32" s="104"/>
      <c r="N32" s="104"/>
      <c r="P32" s="104"/>
      <c r="R32" s="104"/>
    </row>
    <row r="33" spans="1:18" x14ac:dyDescent="0.2">
      <c r="A33" s="25"/>
      <c r="B33" s="25"/>
      <c r="C33" s="25" t="s">
        <v>103</v>
      </c>
      <c r="D33" s="25">
        <v>0.05</v>
      </c>
      <c r="E33" s="130"/>
      <c r="F33" s="224" t="s">
        <v>44</v>
      </c>
      <c r="G33" s="41">
        <v>15</v>
      </c>
      <c r="H33" s="131"/>
      <c r="I33" s="35">
        <v>0.75</v>
      </c>
      <c r="J33" s="200">
        <f>E33*H33</f>
        <v>0</v>
      </c>
      <c r="K33" s="223">
        <v>0</v>
      </c>
      <c r="L33" s="212"/>
      <c r="M33" s="35">
        <v>0</v>
      </c>
      <c r="N33" s="200">
        <f>J33*L33</f>
        <v>0</v>
      </c>
      <c r="O33" s="35">
        <v>0.75</v>
      </c>
      <c r="P33" s="200">
        <f>+J33-N33</f>
        <v>0</v>
      </c>
      <c r="Q33" s="35">
        <v>75</v>
      </c>
      <c r="R33" s="200">
        <f>+J33*E$7</f>
        <v>0</v>
      </c>
    </row>
    <row r="34" spans="1:18" x14ac:dyDescent="0.2">
      <c r="A34" s="25"/>
      <c r="B34" s="25"/>
      <c r="C34" s="25" t="s">
        <v>105</v>
      </c>
      <c r="D34" s="25">
        <v>0.06</v>
      </c>
      <c r="E34" s="130"/>
      <c r="F34" s="224" t="s">
        <v>44</v>
      </c>
      <c r="G34" s="41">
        <v>15</v>
      </c>
      <c r="H34" s="131"/>
      <c r="I34" s="35">
        <v>0.89999999999999991</v>
      </c>
      <c r="J34" s="200">
        <f>E34*H34</f>
        <v>0</v>
      </c>
      <c r="K34" s="223">
        <v>0</v>
      </c>
      <c r="L34" s="212"/>
      <c r="M34" s="35">
        <v>0</v>
      </c>
      <c r="N34" s="200">
        <f>J34*L34</f>
        <v>0</v>
      </c>
      <c r="O34" s="35">
        <v>0.89999999999999991</v>
      </c>
      <c r="P34" s="200">
        <f>+J34-N34</f>
        <v>0</v>
      </c>
      <c r="Q34" s="35">
        <v>89.999999999999986</v>
      </c>
      <c r="R34" s="200">
        <f>+J34*E$7</f>
        <v>0</v>
      </c>
    </row>
    <row r="35" spans="1:18" x14ac:dyDescent="0.2">
      <c r="A35" s="25"/>
      <c r="B35" s="25"/>
      <c r="C35" s="25"/>
      <c r="D35" s="25"/>
      <c r="E35" s="207"/>
      <c r="F35" s="21"/>
      <c r="G35" s="41"/>
      <c r="H35" s="196"/>
      <c r="I35" s="35"/>
      <c r="J35" s="182"/>
      <c r="K35" s="223"/>
      <c r="L35" s="196"/>
      <c r="M35" s="35"/>
      <c r="N35" s="182"/>
      <c r="O35" s="35"/>
      <c r="P35" s="182"/>
      <c r="Q35" s="35"/>
      <c r="R35" s="182"/>
    </row>
    <row r="36" spans="1:18" x14ac:dyDescent="0.2">
      <c r="A36" s="25"/>
      <c r="B36" s="25" t="s">
        <v>51</v>
      </c>
      <c r="C36" s="25"/>
      <c r="D36" s="25"/>
      <c r="E36" s="207"/>
      <c r="F36" s="21"/>
      <c r="G36" s="41"/>
      <c r="H36" s="196"/>
      <c r="I36" s="184"/>
      <c r="J36" s="182"/>
      <c r="K36" s="223"/>
      <c r="L36" s="196"/>
      <c r="M36" s="35"/>
      <c r="N36" s="182"/>
      <c r="O36" s="35"/>
      <c r="P36" s="182"/>
      <c r="Q36" s="35"/>
      <c r="R36" s="182"/>
    </row>
    <row r="37" spans="1:18" x14ac:dyDescent="0.2">
      <c r="A37" s="25"/>
      <c r="B37" s="25"/>
      <c r="C37" s="25" t="s">
        <v>102</v>
      </c>
      <c r="D37" s="25">
        <v>1</v>
      </c>
      <c r="E37" s="130"/>
      <c r="F37" s="224" t="s">
        <v>42</v>
      </c>
      <c r="G37" s="41">
        <v>0</v>
      </c>
      <c r="H37" s="131"/>
      <c r="I37" s="35">
        <v>0</v>
      </c>
      <c r="J37" s="200">
        <f>E37*H37</f>
        <v>0</v>
      </c>
      <c r="K37" s="223">
        <v>0</v>
      </c>
      <c r="L37" s="212"/>
      <c r="M37" s="35">
        <v>0</v>
      </c>
      <c r="N37" s="200">
        <f>J37*L37</f>
        <v>0</v>
      </c>
      <c r="O37" s="35">
        <v>0</v>
      </c>
      <c r="P37" s="200">
        <f>+J37-N37</f>
        <v>0</v>
      </c>
      <c r="Q37" s="35">
        <v>0</v>
      </c>
      <c r="R37" s="200">
        <f>+J37*E$7</f>
        <v>0</v>
      </c>
    </row>
    <row r="38" spans="1:18" x14ac:dyDescent="0.2">
      <c r="A38" s="25"/>
      <c r="B38" s="25"/>
      <c r="C38" s="25" t="s">
        <v>103</v>
      </c>
      <c r="D38" s="25">
        <v>0.34</v>
      </c>
      <c r="E38" s="130"/>
      <c r="F38" s="224" t="s">
        <v>79</v>
      </c>
      <c r="G38" s="41">
        <v>3.0190000000000001</v>
      </c>
      <c r="H38" s="131"/>
      <c r="I38" s="35">
        <v>1.0264600000000002</v>
      </c>
      <c r="J38" s="200">
        <f>E38*H38</f>
        <v>0</v>
      </c>
      <c r="K38" s="223">
        <v>0</v>
      </c>
      <c r="L38" s="212"/>
      <c r="M38" s="35">
        <v>0</v>
      </c>
      <c r="N38" s="200">
        <f>J38*L38</f>
        <v>0</v>
      </c>
      <c r="O38" s="35">
        <v>1.0264600000000002</v>
      </c>
      <c r="P38" s="200">
        <f>+J38-N38</f>
        <v>0</v>
      </c>
      <c r="Q38" s="35">
        <v>102.64600000000002</v>
      </c>
      <c r="R38" s="200">
        <f>+J38*E$7</f>
        <v>0</v>
      </c>
    </row>
    <row r="39" spans="1:18" x14ac:dyDescent="0.2">
      <c r="A39" s="25"/>
      <c r="B39" s="25"/>
      <c r="C39" s="25"/>
      <c r="D39" s="25"/>
      <c r="E39" s="207"/>
      <c r="F39" s="21"/>
      <c r="G39" s="41"/>
      <c r="H39" s="196"/>
      <c r="I39" s="35"/>
      <c r="J39" s="182"/>
      <c r="K39" s="223"/>
      <c r="L39" s="196"/>
      <c r="M39" s="35"/>
      <c r="N39" s="182"/>
      <c r="O39" s="35"/>
      <c r="P39" s="182"/>
      <c r="Q39" s="35"/>
      <c r="R39" s="182"/>
    </row>
    <row r="40" spans="1:18" x14ac:dyDescent="0.2">
      <c r="A40" s="25"/>
      <c r="B40" s="25" t="s">
        <v>29</v>
      </c>
      <c r="C40" s="25"/>
      <c r="D40" s="25"/>
      <c r="E40" s="207"/>
      <c r="F40" s="21"/>
      <c r="G40" s="41"/>
      <c r="H40" s="196"/>
      <c r="I40" s="184"/>
      <c r="J40" s="182"/>
      <c r="K40" s="223"/>
      <c r="L40" s="196"/>
      <c r="M40" s="35"/>
      <c r="N40" s="182"/>
      <c r="O40" s="35"/>
      <c r="P40" s="182"/>
      <c r="Q40" s="35"/>
      <c r="R40" s="182"/>
    </row>
    <row r="41" spans="1:18" x14ac:dyDescent="0.2">
      <c r="A41" s="25"/>
      <c r="B41" s="25"/>
      <c r="C41" s="25" t="s">
        <v>102</v>
      </c>
      <c r="D41" s="25">
        <v>1</v>
      </c>
      <c r="E41" s="130"/>
      <c r="F41" s="224" t="s">
        <v>42</v>
      </c>
      <c r="G41" s="41">
        <v>9</v>
      </c>
      <c r="H41" s="131"/>
      <c r="I41" s="35">
        <v>9</v>
      </c>
      <c r="J41" s="200">
        <f>E41*H41</f>
        <v>0</v>
      </c>
      <c r="K41" s="223">
        <v>0</v>
      </c>
      <c r="L41" s="212"/>
      <c r="M41" s="35">
        <v>0</v>
      </c>
      <c r="N41" s="200">
        <f>J41*L41</f>
        <v>0</v>
      </c>
      <c r="O41" s="35">
        <v>9</v>
      </c>
      <c r="P41" s="200">
        <f>+J41-N41</f>
        <v>0</v>
      </c>
      <c r="Q41" s="35">
        <v>900</v>
      </c>
      <c r="R41" s="200">
        <f>+J41*E$7</f>
        <v>0</v>
      </c>
    </row>
    <row r="42" spans="1:18" x14ac:dyDescent="0.2">
      <c r="A42" s="25"/>
      <c r="B42" s="25"/>
      <c r="C42" s="25" t="s">
        <v>103</v>
      </c>
      <c r="D42" s="25">
        <v>0</v>
      </c>
      <c r="E42" s="130"/>
      <c r="F42" s="224" t="s">
        <v>79</v>
      </c>
      <c r="G42" s="41">
        <v>3.09</v>
      </c>
      <c r="H42" s="131"/>
      <c r="I42" s="35">
        <v>0</v>
      </c>
      <c r="J42" s="200">
        <f>E42*H42</f>
        <v>0</v>
      </c>
      <c r="K42" s="223">
        <v>0</v>
      </c>
      <c r="L42" s="212"/>
      <c r="M42" s="35">
        <v>0</v>
      </c>
      <c r="N42" s="200">
        <f>J42*L42</f>
        <v>0</v>
      </c>
      <c r="O42" s="35">
        <v>0</v>
      </c>
      <c r="P42" s="200">
        <f>+J42-N42</f>
        <v>0</v>
      </c>
      <c r="Q42" s="35">
        <v>0</v>
      </c>
      <c r="R42" s="200">
        <f>+J42*E$7</f>
        <v>0</v>
      </c>
    </row>
    <row r="43" spans="1:18" x14ac:dyDescent="0.2">
      <c r="A43" s="25"/>
      <c r="B43" s="25"/>
      <c r="C43" s="25"/>
      <c r="D43" s="25"/>
      <c r="E43" s="207"/>
      <c r="F43" s="21"/>
      <c r="G43" s="41"/>
      <c r="H43" s="196"/>
      <c r="I43" s="35"/>
      <c r="J43" s="182"/>
      <c r="K43" s="223"/>
      <c r="L43" s="196"/>
      <c r="M43" s="35"/>
      <c r="N43" s="182"/>
      <c r="O43" s="35"/>
      <c r="P43" s="182"/>
      <c r="Q43" s="35"/>
      <c r="R43" s="182"/>
    </row>
    <row r="44" spans="1:18" x14ac:dyDescent="0.2">
      <c r="A44" s="25"/>
      <c r="B44" s="25" t="s">
        <v>47</v>
      </c>
      <c r="C44" s="25"/>
      <c r="D44" s="25"/>
      <c r="E44" s="207"/>
      <c r="F44" s="21"/>
      <c r="G44" s="41"/>
      <c r="H44" s="197"/>
      <c r="I44" s="184"/>
      <c r="J44" s="182"/>
      <c r="K44" s="223"/>
      <c r="L44" s="197"/>
      <c r="M44" s="35"/>
      <c r="N44" s="182"/>
      <c r="O44" s="35"/>
      <c r="P44" s="182"/>
      <c r="Q44" s="35"/>
      <c r="R44" s="182"/>
    </row>
    <row r="45" spans="1:18" x14ac:dyDescent="0.2">
      <c r="A45" s="25"/>
      <c r="B45" s="25"/>
      <c r="C45" s="25" t="s">
        <v>102</v>
      </c>
      <c r="D45" s="25">
        <v>1</v>
      </c>
      <c r="E45" s="130"/>
      <c r="F45" s="224" t="s">
        <v>42</v>
      </c>
      <c r="G45" s="41">
        <v>3</v>
      </c>
      <c r="H45" s="131"/>
      <c r="I45" s="35">
        <v>3</v>
      </c>
      <c r="J45" s="200">
        <f t="shared" ref="J45:J50" si="8">E45*H45</f>
        <v>0</v>
      </c>
      <c r="K45" s="223">
        <v>0</v>
      </c>
      <c r="L45" s="212"/>
      <c r="M45" s="35">
        <v>0</v>
      </c>
      <c r="N45" s="200">
        <f t="shared" ref="N45:N50" si="9">J45*L45</f>
        <v>0</v>
      </c>
      <c r="O45" s="35">
        <v>3</v>
      </c>
      <c r="P45" s="200">
        <f t="shared" ref="P45:P50" si="10">+J45-N45</f>
        <v>0</v>
      </c>
      <c r="Q45" s="35">
        <v>300</v>
      </c>
      <c r="R45" s="200">
        <f t="shared" ref="R45:R50" si="11">+J45*E$7</f>
        <v>0</v>
      </c>
    </row>
    <row r="46" spans="1:18" x14ac:dyDescent="0.2">
      <c r="A46" s="25"/>
      <c r="B46" s="25"/>
      <c r="C46" s="25" t="s">
        <v>46</v>
      </c>
      <c r="D46" s="25">
        <v>1</v>
      </c>
      <c r="E46" s="130"/>
      <c r="F46" s="224" t="s">
        <v>42</v>
      </c>
      <c r="G46" s="41">
        <v>0</v>
      </c>
      <c r="H46" s="131"/>
      <c r="I46" s="35">
        <v>0</v>
      </c>
      <c r="J46" s="200">
        <f t="shared" si="8"/>
        <v>0</v>
      </c>
      <c r="K46" s="223">
        <v>0</v>
      </c>
      <c r="L46" s="212"/>
      <c r="M46" s="35">
        <v>0</v>
      </c>
      <c r="N46" s="200">
        <f t="shared" si="9"/>
        <v>0</v>
      </c>
      <c r="O46" s="35">
        <v>0</v>
      </c>
      <c r="P46" s="200">
        <f t="shared" si="10"/>
        <v>0</v>
      </c>
      <c r="Q46" s="35">
        <v>0</v>
      </c>
      <c r="R46" s="200">
        <f t="shared" si="11"/>
        <v>0</v>
      </c>
    </row>
    <row r="47" spans="1:18" x14ac:dyDescent="0.2">
      <c r="A47" s="25"/>
      <c r="B47" s="25"/>
      <c r="C47" s="25" t="s">
        <v>103</v>
      </c>
      <c r="D47" s="25">
        <v>1</v>
      </c>
      <c r="E47" s="130"/>
      <c r="F47" s="224" t="s">
        <v>42</v>
      </c>
      <c r="G47" s="41">
        <v>0.69588395447596385</v>
      </c>
      <c r="H47" s="131"/>
      <c r="I47" s="35">
        <v>0.69588395447596385</v>
      </c>
      <c r="J47" s="200">
        <f t="shared" si="8"/>
        <v>0</v>
      </c>
      <c r="K47" s="223">
        <v>0</v>
      </c>
      <c r="L47" s="212"/>
      <c r="M47" s="35">
        <v>0</v>
      </c>
      <c r="N47" s="200">
        <f t="shared" si="9"/>
        <v>0</v>
      </c>
      <c r="O47" s="35">
        <v>0.69588395447596385</v>
      </c>
      <c r="P47" s="200">
        <f t="shared" si="10"/>
        <v>0</v>
      </c>
      <c r="Q47" s="35">
        <v>69.588395447596383</v>
      </c>
      <c r="R47" s="200">
        <f t="shared" si="11"/>
        <v>0</v>
      </c>
    </row>
    <row r="48" spans="1:18" x14ac:dyDescent="0.2">
      <c r="A48" s="25"/>
      <c r="B48" s="25"/>
      <c r="C48" s="25" t="s">
        <v>5</v>
      </c>
      <c r="D48" s="25">
        <v>1</v>
      </c>
      <c r="E48" s="130"/>
      <c r="F48" s="224" t="s">
        <v>42</v>
      </c>
      <c r="G48" s="41">
        <v>1.2042226819923372</v>
      </c>
      <c r="H48" s="131"/>
      <c r="I48" s="35">
        <v>1.2042226819923372</v>
      </c>
      <c r="J48" s="200">
        <f t="shared" si="8"/>
        <v>0</v>
      </c>
      <c r="K48" s="223">
        <v>0</v>
      </c>
      <c r="L48" s="212"/>
      <c r="M48" s="35">
        <v>0</v>
      </c>
      <c r="N48" s="200">
        <f t="shared" si="9"/>
        <v>0</v>
      </c>
      <c r="O48" s="35">
        <v>1.2042226819923372</v>
      </c>
      <c r="P48" s="200">
        <f t="shared" si="10"/>
        <v>0</v>
      </c>
      <c r="Q48" s="35">
        <v>120.42226819923371</v>
      </c>
      <c r="R48" s="200">
        <f t="shared" si="11"/>
        <v>0</v>
      </c>
    </row>
    <row r="49" spans="1:18" x14ac:dyDescent="0.2">
      <c r="A49" s="25"/>
      <c r="B49" s="131"/>
      <c r="C49" s="131"/>
      <c r="D49" s="25"/>
      <c r="E49" s="130"/>
      <c r="F49" s="224"/>
      <c r="G49" s="41"/>
      <c r="H49" s="131"/>
      <c r="I49" s="35">
        <v>0</v>
      </c>
      <c r="J49" s="200">
        <f t="shared" si="8"/>
        <v>0</v>
      </c>
      <c r="K49" s="223">
        <v>0</v>
      </c>
      <c r="L49" s="212"/>
      <c r="M49" s="35">
        <v>0</v>
      </c>
      <c r="N49" s="200">
        <f t="shared" si="9"/>
        <v>0</v>
      </c>
      <c r="O49" s="35">
        <v>0</v>
      </c>
      <c r="P49" s="200">
        <f t="shared" si="10"/>
        <v>0</v>
      </c>
      <c r="Q49" s="35">
        <v>0</v>
      </c>
      <c r="R49" s="200">
        <f t="shared" si="11"/>
        <v>0</v>
      </c>
    </row>
    <row r="50" spans="1:18" x14ac:dyDescent="0.2">
      <c r="A50" s="25"/>
      <c r="B50" s="131"/>
      <c r="C50" s="131"/>
      <c r="D50" s="25"/>
      <c r="E50" s="130"/>
      <c r="F50" s="224"/>
      <c r="G50" s="41"/>
      <c r="H50" s="131"/>
      <c r="I50" s="35">
        <v>0</v>
      </c>
      <c r="J50" s="200">
        <f t="shared" si="8"/>
        <v>0</v>
      </c>
      <c r="K50" s="223">
        <v>0</v>
      </c>
      <c r="L50" s="212"/>
      <c r="M50" s="35">
        <v>0</v>
      </c>
      <c r="N50" s="200">
        <f t="shared" si="9"/>
        <v>0</v>
      </c>
      <c r="O50" s="35">
        <v>0</v>
      </c>
      <c r="P50" s="200">
        <f t="shared" si="10"/>
        <v>0</v>
      </c>
      <c r="Q50" s="35">
        <v>0</v>
      </c>
      <c r="R50" s="200">
        <f t="shared" si="11"/>
        <v>0</v>
      </c>
    </row>
    <row r="51" spans="1:18" ht="13.5" thickBot="1" x14ac:dyDescent="0.25">
      <c r="A51" s="25"/>
      <c r="B51" s="25" t="s">
        <v>32</v>
      </c>
      <c r="C51" s="25"/>
      <c r="D51" s="25"/>
      <c r="E51" s="195"/>
      <c r="F51" s="21"/>
      <c r="G51" s="39">
        <v>0.09</v>
      </c>
      <c r="H51" s="213"/>
      <c r="I51" s="42">
        <v>9.9253895587411556</v>
      </c>
      <c r="J51" s="200">
        <f>+SUM(J17:J50)/2*H51</f>
        <v>0</v>
      </c>
      <c r="K51" s="86"/>
      <c r="L51" s="135"/>
      <c r="M51" s="42">
        <v>0</v>
      </c>
      <c r="N51" s="200">
        <f>+SUM(N17:N50)/2*L51</f>
        <v>0</v>
      </c>
      <c r="O51" s="42">
        <v>9.9253895587411556</v>
      </c>
      <c r="P51" s="200">
        <f>+SUM(P17:P50)/2*L51</f>
        <v>0</v>
      </c>
      <c r="Q51" s="42">
        <v>992.53895587411557</v>
      </c>
      <c r="R51" s="182">
        <f>+J51*E$7</f>
        <v>0</v>
      </c>
    </row>
    <row r="52" spans="1:18" ht="13.5" thickBot="1" x14ac:dyDescent="0.25">
      <c r="A52" s="25" t="s">
        <v>33</v>
      </c>
      <c r="B52" s="25"/>
      <c r="C52" s="25"/>
      <c r="D52" s="25"/>
      <c r="E52" s="198"/>
      <c r="F52" s="25"/>
      <c r="G52" s="25"/>
      <c r="H52" s="195"/>
      <c r="I52" s="87">
        <v>234.10170619520946</v>
      </c>
      <c r="J52" s="202">
        <f>SUM(J18:J51)</f>
        <v>0</v>
      </c>
      <c r="K52" s="35"/>
      <c r="L52" s="193"/>
      <c r="M52" s="87">
        <v>0</v>
      </c>
      <c r="N52" s="202">
        <f>SUM(N18:N51)</f>
        <v>0</v>
      </c>
      <c r="O52" s="87">
        <v>234.10170619520946</v>
      </c>
      <c r="P52" s="202">
        <f>SUM(P18:P51)</f>
        <v>0</v>
      </c>
      <c r="Q52" s="87">
        <v>23410.170619520944</v>
      </c>
      <c r="R52" s="202">
        <f>SUM(R18:R51)</f>
        <v>0</v>
      </c>
    </row>
    <row r="53" spans="1:18" ht="13.5" thickTop="1" x14ac:dyDescent="0.2">
      <c r="A53" s="25" t="s">
        <v>34</v>
      </c>
      <c r="B53" s="25"/>
      <c r="C53" s="25"/>
      <c r="D53" s="25"/>
      <c r="E53" s="198"/>
      <c r="F53" s="25"/>
      <c r="G53" s="25"/>
      <c r="H53" s="195"/>
      <c r="I53" s="35">
        <v>-234.10170619520946</v>
      </c>
      <c r="J53" s="200">
        <f>+J13-J52</f>
        <v>0</v>
      </c>
      <c r="K53" s="35"/>
      <c r="L53" s="193"/>
      <c r="M53" s="35">
        <v>0</v>
      </c>
      <c r="N53" s="200">
        <f>+N13-N52</f>
        <v>0</v>
      </c>
      <c r="O53" s="35">
        <v>-234.10170619520946</v>
      </c>
      <c r="P53" s="200">
        <f>+P13-P52</f>
        <v>0</v>
      </c>
      <c r="Q53" s="35">
        <v>-23410.170619520944</v>
      </c>
      <c r="R53" s="200">
        <f>+R13-R52</f>
        <v>0</v>
      </c>
    </row>
    <row r="54" spans="1:18" x14ac:dyDescent="0.2">
      <c r="A54" s="25"/>
      <c r="B54" s="25" t="s">
        <v>35</v>
      </c>
      <c r="C54" s="25"/>
      <c r="D54" s="25"/>
      <c r="E54" s="208"/>
      <c r="F54" s="17"/>
      <c r="G54" s="40" t="s">
        <v>308</v>
      </c>
      <c r="H54" s="208" t="str">
        <f>IF(E10=0,"n/a",(YVarExp-(YTotExp+YTotRet-J10))/E10)</f>
        <v>n/a</v>
      </c>
      <c r="I54" s="25" t="s">
        <v>458</v>
      </c>
      <c r="J54" s="182"/>
      <c r="K54" s="25"/>
      <c r="L54" s="195"/>
      <c r="M54" s="25"/>
      <c r="N54" s="182"/>
      <c r="O54" s="25"/>
      <c r="P54" s="182"/>
      <c r="Q54" s="25"/>
      <c r="R54" s="182"/>
    </row>
    <row r="55" spans="1:18" x14ac:dyDescent="0.2">
      <c r="A55" s="25"/>
      <c r="B55" s="25"/>
      <c r="C55" s="25"/>
      <c r="D55" s="25"/>
      <c r="E55" s="176"/>
      <c r="F55" s="25"/>
      <c r="G55" s="25"/>
      <c r="H55" s="209"/>
      <c r="I55" s="25"/>
      <c r="J55" s="182"/>
      <c r="K55" s="25"/>
      <c r="L55" s="195"/>
      <c r="M55" s="25"/>
      <c r="N55" s="182"/>
      <c r="O55" s="25"/>
      <c r="P55" s="182"/>
      <c r="Q55" s="22" t="s">
        <v>19</v>
      </c>
      <c r="R55" s="182" t="s">
        <v>19</v>
      </c>
    </row>
    <row r="56" spans="1:18" x14ac:dyDescent="0.2">
      <c r="A56" s="23" t="s">
        <v>36</v>
      </c>
      <c r="B56" s="23"/>
      <c r="C56" s="23"/>
      <c r="D56" s="24" t="s">
        <v>2</v>
      </c>
      <c r="E56" s="194" t="s">
        <v>2</v>
      </c>
      <c r="F56" s="24" t="s">
        <v>21</v>
      </c>
      <c r="G56" s="24" t="s">
        <v>22</v>
      </c>
      <c r="H56" s="194" t="s">
        <v>22</v>
      </c>
      <c r="I56" s="24"/>
      <c r="J56" s="194" t="s">
        <v>12</v>
      </c>
      <c r="K56" s="24" t="s">
        <v>11</v>
      </c>
      <c r="L56" s="194" t="s">
        <v>11</v>
      </c>
      <c r="M56" s="24" t="s">
        <v>10</v>
      </c>
      <c r="N56" s="194" t="s">
        <v>10</v>
      </c>
      <c r="O56" s="24" t="s">
        <v>9</v>
      </c>
      <c r="P56" s="194" t="s">
        <v>9</v>
      </c>
      <c r="Q56" s="24" t="s">
        <v>12</v>
      </c>
      <c r="R56" s="206" t="s">
        <v>12</v>
      </c>
    </row>
    <row r="57" spans="1:18" x14ac:dyDescent="0.2">
      <c r="A57" s="25"/>
      <c r="B57" s="25" t="s">
        <v>104</v>
      </c>
      <c r="C57" s="25"/>
      <c r="D57" s="25"/>
      <c r="E57" s="176"/>
      <c r="F57" s="25"/>
      <c r="G57" s="25"/>
      <c r="H57" s="209"/>
      <c r="I57" s="184"/>
      <c r="J57" s="182"/>
      <c r="K57" s="223"/>
      <c r="L57" s="195"/>
      <c r="M57" s="25"/>
      <c r="N57" s="182"/>
      <c r="O57" s="25"/>
      <c r="P57" s="182"/>
      <c r="Q57" s="25"/>
      <c r="R57" s="182"/>
    </row>
    <row r="58" spans="1:18" x14ac:dyDescent="0.2">
      <c r="A58" s="25"/>
      <c r="B58" s="25"/>
      <c r="C58" s="25" t="s">
        <v>102</v>
      </c>
      <c r="D58" s="25">
        <v>1</v>
      </c>
      <c r="E58" s="130"/>
      <c r="F58" s="224" t="s">
        <v>42</v>
      </c>
      <c r="G58" s="41">
        <v>4.165</v>
      </c>
      <c r="H58" s="131"/>
      <c r="I58" s="35">
        <v>4.165</v>
      </c>
      <c r="J58" s="200">
        <f t="shared" ref="J58:J60" si="12">E58*H58</f>
        <v>0</v>
      </c>
      <c r="K58" s="223">
        <v>0</v>
      </c>
      <c r="L58" s="212"/>
      <c r="M58" s="35">
        <v>0</v>
      </c>
      <c r="N58" s="200">
        <f>J58*L58</f>
        <v>0</v>
      </c>
      <c r="O58" s="35">
        <v>4.165</v>
      </c>
      <c r="P58" s="200">
        <f t="shared" ref="P58:P60" si="13">+J58-N58</f>
        <v>0</v>
      </c>
      <c r="Q58" s="35">
        <v>416.5</v>
      </c>
      <c r="R58" s="200">
        <f t="shared" ref="R58:R60" si="14">+J58*E$7</f>
        <v>0</v>
      </c>
    </row>
    <row r="59" spans="1:18" x14ac:dyDescent="0.2">
      <c r="A59" s="25"/>
      <c r="B59" s="25"/>
      <c r="C59" s="25" t="s">
        <v>103</v>
      </c>
      <c r="D59" s="25">
        <v>1</v>
      </c>
      <c r="E59" s="130"/>
      <c r="F59" s="224" t="s">
        <v>42</v>
      </c>
      <c r="G59" s="41">
        <v>0.7190800862918294</v>
      </c>
      <c r="H59" s="131"/>
      <c r="I59" s="35">
        <v>0.7190800862918294</v>
      </c>
      <c r="J59" s="200">
        <f t="shared" si="12"/>
        <v>0</v>
      </c>
      <c r="K59" s="223">
        <v>0</v>
      </c>
      <c r="L59" s="212"/>
      <c r="M59" s="35">
        <v>0</v>
      </c>
      <c r="N59" s="200">
        <f>J59*L59</f>
        <v>0</v>
      </c>
      <c r="O59" s="35">
        <v>0.7190800862918294</v>
      </c>
      <c r="P59" s="200">
        <f t="shared" si="13"/>
        <v>0</v>
      </c>
      <c r="Q59" s="35">
        <v>71.908008629182945</v>
      </c>
      <c r="R59" s="200">
        <f t="shared" si="14"/>
        <v>0</v>
      </c>
    </row>
    <row r="60" spans="1:18" x14ac:dyDescent="0.2">
      <c r="A60" s="25"/>
      <c r="B60" s="25"/>
      <c r="C60" s="25" t="s">
        <v>5</v>
      </c>
      <c r="D60" s="25">
        <v>1</v>
      </c>
      <c r="E60" s="130"/>
      <c r="F60" s="224" t="s">
        <v>42</v>
      </c>
      <c r="G60" s="41">
        <v>1.5482863054187193</v>
      </c>
      <c r="H60" s="131"/>
      <c r="I60" s="35">
        <v>1.5482863054187193</v>
      </c>
      <c r="J60" s="200">
        <f t="shared" si="12"/>
        <v>0</v>
      </c>
      <c r="K60" s="223">
        <v>0</v>
      </c>
      <c r="L60" s="212"/>
      <c r="M60" s="35">
        <v>0</v>
      </c>
      <c r="N60" s="200">
        <f>J60*L60</f>
        <v>0</v>
      </c>
      <c r="O60" s="35">
        <v>1.5482863054187193</v>
      </c>
      <c r="P60" s="200">
        <f t="shared" si="13"/>
        <v>0</v>
      </c>
      <c r="Q60" s="35">
        <v>154.82863054187192</v>
      </c>
      <c r="R60" s="200">
        <f t="shared" si="14"/>
        <v>0</v>
      </c>
    </row>
    <row r="61" spans="1:18" x14ac:dyDescent="0.2">
      <c r="A61" s="25"/>
      <c r="B61" s="25" t="s">
        <v>88</v>
      </c>
      <c r="C61" s="25"/>
      <c r="D61" s="25"/>
      <c r="E61" s="195"/>
      <c r="F61" s="21"/>
      <c r="G61" s="41"/>
      <c r="H61" s="195"/>
      <c r="I61" s="184"/>
      <c r="J61" s="182"/>
      <c r="K61" s="223"/>
      <c r="L61" s="195"/>
      <c r="M61" s="35"/>
      <c r="N61" s="182"/>
      <c r="O61" s="35"/>
      <c r="P61" s="182"/>
      <c r="Q61" s="35"/>
      <c r="R61" s="182"/>
    </row>
    <row r="62" spans="1:18" x14ac:dyDescent="0.2">
      <c r="A62" s="25"/>
      <c r="B62" s="25"/>
      <c r="C62" s="25" t="s">
        <v>102</v>
      </c>
      <c r="D62" s="41">
        <v>29.175000000000001</v>
      </c>
      <c r="E62" s="130"/>
      <c r="F62" s="224" t="s">
        <v>99</v>
      </c>
      <c r="G62" s="39">
        <v>0.08</v>
      </c>
      <c r="H62" s="213"/>
      <c r="I62" s="35">
        <v>2.3340000000000001</v>
      </c>
      <c r="J62" s="200">
        <f t="shared" ref="J62:J71" si="15">E62*H62</f>
        <v>0</v>
      </c>
      <c r="K62" s="223">
        <v>0</v>
      </c>
      <c r="L62" s="212"/>
      <c r="M62" s="35">
        <v>0</v>
      </c>
      <c r="N62" s="200">
        <f>J62*L62</f>
        <v>0</v>
      </c>
      <c r="O62" s="35">
        <v>2.3340000000000001</v>
      </c>
      <c r="P62" s="200">
        <f t="shared" ref="P62:P64" si="16">+J62-N62</f>
        <v>0</v>
      </c>
      <c r="Q62" s="35">
        <v>233.4</v>
      </c>
      <c r="R62" s="200">
        <f t="shared" ref="R62:R64" si="17">+J62*E$7</f>
        <v>0</v>
      </c>
    </row>
    <row r="63" spans="1:18" x14ac:dyDescent="0.2">
      <c r="A63" s="25"/>
      <c r="B63" s="25"/>
      <c r="C63" s="25" t="s">
        <v>103</v>
      </c>
      <c r="D63" s="41">
        <v>5.6018658335315079</v>
      </c>
      <c r="E63" s="130"/>
      <c r="F63" s="224" t="s">
        <v>99</v>
      </c>
      <c r="G63" s="39">
        <v>0.08</v>
      </c>
      <c r="H63" s="213"/>
      <c r="I63" s="35">
        <v>0.44814926668252064</v>
      </c>
      <c r="J63" s="200">
        <f t="shared" si="15"/>
        <v>0</v>
      </c>
      <c r="K63" s="223">
        <v>0</v>
      </c>
      <c r="L63" s="212"/>
      <c r="M63" s="35">
        <v>0</v>
      </c>
      <c r="N63" s="200">
        <f>J63*L63</f>
        <v>0</v>
      </c>
      <c r="O63" s="35">
        <v>0.44814926668252064</v>
      </c>
      <c r="P63" s="200">
        <f t="shared" si="16"/>
        <v>0</v>
      </c>
      <c r="Q63" s="35">
        <v>44.814926668252063</v>
      </c>
      <c r="R63" s="200">
        <f t="shared" si="17"/>
        <v>0</v>
      </c>
    </row>
    <row r="64" spans="1:18" x14ac:dyDescent="0.2">
      <c r="A64" s="25"/>
      <c r="B64" s="25"/>
      <c r="C64" s="25" t="s">
        <v>5</v>
      </c>
      <c r="D64" s="41">
        <v>6.6232247509578546</v>
      </c>
      <c r="E64" s="130"/>
      <c r="F64" s="224" t="s">
        <v>99</v>
      </c>
      <c r="G64" s="39">
        <v>0.08</v>
      </c>
      <c r="H64" s="213"/>
      <c r="I64" s="35">
        <v>0.52985798007662832</v>
      </c>
      <c r="J64" s="200">
        <f t="shared" si="15"/>
        <v>0</v>
      </c>
      <c r="K64" s="223">
        <v>0</v>
      </c>
      <c r="L64" s="212"/>
      <c r="M64" s="35">
        <v>0</v>
      </c>
      <c r="N64" s="200">
        <f>J64*L64</f>
        <v>0</v>
      </c>
      <c r="O64" s="35">
        <v>0.52985798007662832</v>
      </c>
      <c r="P64" s="200">
        <f t="shared" si="16"/>
        <v>0</v>
      </c>
      <c r="Q64" s="35">
        <v>52.985798007662829</v>
      </c>
      <c r="R64" s="200">
        <f t="shared" si="17"/>
        <v>0</v>
      </c>
    </row>
    <row r="65" spans="1:18" x14ac:dyDescent="0.2">
      <c r="A65" s="25"/>
      <c r="B65" s="25" t="s">
        <v>156</v>
      </c>
      <c r="C65" s="25"/>
      <c r="D65" s="25">
        <v>1</v>
      </c>
      <c r="E65" s="130"/>
      <c r="F65" s="224" t="s">
        <v>42</v>
      </c>
      <c r="G65" s="41">
        <v>0</v>
      </c>
      <c r="H65" s="131"/>
      <c r="I65" s="35">
        <v>0</v>
      </c>
      <c r="J65" s="200">
        <f t="shared" si="15"/>
        <v>0</v>
      </c>
      <c r="K65" s="223">
        <v>0</v>
      </c>
      <c r="L65" s="212"/>
      <c r="M65" s="35">
        <v>0</v>
      </c>
      <c r="N65" s="200">
        <f t="shared" ref="N65:N72" si="18">J65*L65</f>
        <v>0</v>
      </c>
      <c r="O65" s="35">
        <v>0</v>
      </c>
      <c r="P65" s="200">
        <f t="shared" ref="P65:P72" si="19">+J65-N65</f>
        <v>0</v>
      </c>
      <c r="Q65" s="35">
        <v>0</v>
      </c>
      <c r="R65" s="200">
        <f t="shared" ref="R65:R72" si="20">+J65*E$7</f>
        <v>0</v>
      </c>
    </row>
    <row r="66" spans="1:18" x14ac:dyDescent="0.2">
      <c r="A66" s="25"/>
      <c r="B66" s="25" t="s">
        <v>152</v>
      </c>
      <c r="C66" s="25"/>
      <c r="D66" s="25">
        <v>1</v>
      </c>
      <c r="E66" s="130"/>
      <c r="F66" s="224" t="s">
        <v>42</v>
      </c>
      <c r="G66" s="41">
        <v>0</v>
      </c>
      <c r="H66" s="131"/>
      <c r="I66" s="35">
        <v>0</v>
      </c>
      <c r="J66" s="200">
        <f t="shared" si="15"/>
        <v>0</v>
      </c>
      <c r="K66" s="223">
        <v>0</v>
      </c>
      <c r="L66" s="212"/>
      <c r="M66" s="35">
        <v>0</v>
      </c>
      <c r="N66" s="200">
        <f t="shared" si="18"/>
        <v>0</v>
      </c>
      <c r="O66" s="35">
        <v>0</v>
      </c>
      <c r="P66" s="200">
        <f t="shared" si="19"/>
        <v>0</v>
      </c>
      <c r="Q66" s="35">
        <v>0</v>
      </c>
      <c r="R66" s="200">
        <f t="shared" si="20"/>
        <v>0</v>
      </c>
    </row>
    <row r="67" spans="1:18" x14ac:dyDescent="0.2">
      <c r="A67" s="25"/>
      <c r="B67" s="25" t="s">
        <v>137</v>
      </c>
      <c r="C67" s="25"/>
      <c r="D67" s="25">
        <v>1</v>
      </c>
      <c r="E67" s="130"/>
      <c r="F67" s="224" t="s">
        <v>42</v>
      </c>
      <c r="G67" s="41">
        <v>0</v>
      </c>
      <c r="H67" s="131"/>
      <c r="I67" s="35">
        <v>0</v>
      </c>
      <c r="J67" s="200">
        <f t="shared" si="15"/>
        <v>0</v>
      </c>
      <c r="K67" s="223">
        <v>0</v>
      </c>
      <c r="L67" s="212"/>
      <c r="M67" s="35">
        <v>0</v>
      </c>
      <c r="N67" s="200">
        <f t="shared" si="18"/>
        <v>0</v>
      </c>
      <c r="O67" s="35">
        <v>0</v>
      </c>
      <c r="P67" s="200">
        <f t="shared" si="19"/>
        <v>0</v>
      </c>
      <c r="Q67" s="35">
        <v>0</v>
      </c>
      <c r="R67" s="200">
        <f t="shared" si="20"/>
        <v>0</v>
      </c>
    </row>
    <row r="68" spans="1:18" x14ac:dyDescent="0.2">
      <c r="A68" s="25"/>
      <c r="B68" s="25" t="s">
        <v>138</v>
      </c>
      <c r="C68" s="25"/>
      <c r="D68" s="25">
        <v>1</v>
      </c>
      <c r="E68" s="130"/>
      <c r="F68" s="224" t="s">
        <v>42</v>
      </c>
      <c r="G68" s="41">
        <v>0</v>
      </c>
      <c r="H68" s="131"/>
      <c r="I68" s="35">
        <v>0</v>
      </c>
      <c r="J68" s="200">
        <f t="shared" si="15"/>
        <v>0</v>
      </c>
      <c r="K68" s="223">
        <v>0</v>
      </c>
      <c r="L68" s="212"/>
      <c r="M68" s="35">
        <v>0</v>
      </c>
      <c r="N68" s="200">
        <f t="shared" si="18"/>
        <v>0</v>
      </c>
      <c r="O68" s="35">
        <v>0</v>
      </c>
      <c r="P68" s="200">
        <f t="shared" si="19"/>
        <v>0</v>
      </c>
      <c r="Q68" s="35">
        <v>0</v>
      </c>
      <c r="R68" s="200">
        <f t="shared" si="20"/>
        <v>0</v>
      </c>
    </row>
    <row r="69" spans="1:18" x14ac:dyDescent="0.2">
      <c r="A69" s="25"/>
      <c r="B69" s="25" t="s">
        <v>159</v>
      </c>
      <c r="C69" s="25"/>
      <c r="D69" s="25">
        <v>1</v>
      </c>
      <c r="E69" s="130"/>
      <c r="F69" s="224" t="s">
        <v>42</v>
      </c>
      <c r="G69" s="41">
        <v>0</v>
      </c>
      <c r="H69" s="131"/>
      <c r="I69" s="35">
        <v>0</v>
      </c>
      <c r="J69" s="200">
        <f t="shared" si="15"/>
        <v>0</v>
      </c>
      <c r="K69" s="223">
        <v>0</v>
      </c>
      <c r="L69" s="212"/>
      <c r="M69" s="35">
        <v>0</v>
      </c>
      <c r="N69" s="200">
        <f t="shared" si="18"/>
        <v>0</v>
      </c>
      <c r="O69" s="35">
        <v>0</v>
      </c>
      <c r="P69" s="200">
        <f t="shared" si="19"/>
        <v>0</v>
      </c>
      <c r="Q69" s="35">
        <v>0</v>
      </c>
      <c r="R69" s="200">
        <f t="shared" si="20"/>
        <v>0</v>
      </c>
    </row>
    <row r="70" spans="1:18" x14ac:dyDescent="0.2">
      <c r="A70" s="25"/>
      <c r="B70" s="25" t="s">
        <v>160</v>
      </c>
      <c r="C70" s="25"/>
      <c r="D70" s="25">
        <v>1</v>
      </c>
      <c r="E70" s="130"/>
      <c r="F70" s="224" t="s">
        <v>42</v>
      </c>
      <c r="G70" s="41">
        <v>0</v>
      </c>
      <c r="H70" s="131"/>
      <c r="I70" s="35">
        <v>0</v>
      </c>
      <c r="J70" s="200">
        <f t="shared" si="15"/>
        <v>0</v>
      </c>
      <c r="K70" s="223">
        <v>0</v>
      </c>
      <c r="L70" s="212"/>
      <c r="M70" s="35">
        <v>0</v>
      </c>
      <c r="N70" s="200">
        <f t="shared" si="18"/>
        <v>0</v>
      </c>
      <c r="O70" s="35">
        <v>0</v>
      </c>
      <c r="P70" s="200">
        <f t="shared" si="19"/>
        <v>0</v>
      </c>
      <c r="Q70" s="35">
        <v>0</v>
      </c>
      <c r="R70" s="200">
        <f t="shared" si="20"/>
        <v>0</v>
      </c>
    </row>
    <row r="71" spans="1:18" x14ac:dyDescent="0.2">
      <c r="A71" s="25"/>
      <c r="B71" s="131"/>
      <c r="C71" s="131"/>
      <c r="D71" s="25">
        <v>1</v>
      </c>
      <c r="E71" s="130"/>
      <c r="F71" s="224"/>
      <c r="G71" s="41">
        <v>0</v>
      </c>
      <c r="H71" s="131"/>
      <c r="I71" s="35">
        <v>0</v>
      </c>
      <c r="J71" s="200">
        <f t="shared" si="15"/>
        <v>0</v>
      </c>
      <c r="K71" s="223">
        <v>0</v>
      </c>
      <c r="L71" s="212"/>
      <c r="M71" s="35">
        <v>0</v>
      </c>
      <c r="N71" s="200">
        <f t="shared" si="18"/>
        <v>0</v>
      </c>
      <c r="O71" s="35">
        <v>0</v>
      </c>
      <c r="P71" s="200">
        <f t="shared" si="19"/>
        <v>0</v>
      </c>
      <c r="Q71" s="35">
        <v>0</v>
      </c>
      <c r="R71" s="200">
        <f t="shared" si="20"/>
        <v>0</v>
      </c>
    </row>
    <row r="72" spans="1:18" ht="13.5" thickBot="1" x14ac:dyDescent="0.25">
      <c r="A72" s="25"/>
      <c r="B72" s="131"/>
      <c r="C72" s="131"/>
      <c r="D72" s="25">
        <v>1</v>
      </c>
      <c r="E72" s="130"/>
      <c r="F72" s="224"/>
      <c r="G72" s="41">
        <v>0</v>
      </c>
      <c r="H72" s="131"/>
      <c r="I72" s="35">
        <v>0</v>
      </c>
      <c r="J72" s="200">
        <f t="shared" ref="J72" si="21">E72*H72</f>
        <v>0</v>
      </c>
      <c r="K72" s="223">
        <v>0</v>
      </c>
      <c r="L72" s="212"/>
      <c r="M72" s="35">
        <v>0</v>
      </c>
      <c r="N72" s="200">
        <f t="shared" si="18"/>
        <v>0</v>
      </c>
      <c r="O72" s="35">
        <v>0</v>
      </c>
      <c r="P72" s="200">
        <f t="shared" si="19"/>
        <v>0</v>
      </c>
      <c r="Q72" s="35">
        <v>0</v>
      </c>
      <c r="R72" s="200">
        <f t="shared" si="20"/>
        <v>0</v>
      </c>
    </row>
    <row r="73" spans="1:18" ht="13.5" thickBot="1" x14ac:dyDescent="0.25">
      <c r="A73" s="25" t="s">
        <v>37</v>
      </c>
      <c r="B73" s="25"/>
      <c r="C73" s="25"/>
      <c r="D73" s="25"/>
      <c r="E73" s="195"/>
      <c r="F73" s="25"/>
      <c r="G73" s="25"/>
      <c r="H73" s="195"/>
      <c r="I73" s="118">
        <v>9.7443736384696962</v>
      </c>
      <c r="J73" s="202">
        <f>+SUM(J58:J72)</f>
        <v>0</v>
      </c>
      <c r="K73" s="35"/>
      <c r="L73" s="193"/>
      <c r="M73" s="118">
        <v>0</v>
      </c>
      <c r="N73" s="202">
        <f>+SUM(N58:N72)</f>
        <v>0</v>
      </c>
      <c r="O73" s="118">
        <v>9.7443736384696962</v>
      </c>
      <c r="P73" s="202">
        <f>+SUM(P58:P72)</f>
        <v>0</v>
      </c>
      <c r="Q73" s="118">
        <v>974.43736384696979</v>
      </c>
      <c r="R73" s="202">
        <f>+SUM(R58:R72)</f>
        <v>0</v>
      </c>
    </row>
    <row r="74" spans="1:18" ht="14.25" thickTop="1" thickBot="1" x14ac:dyDescent="0.25">
      <c r="A74" s="25" t="s">
        <v>52</v>
      </c>
      <c r="B74" s="25"/>
      <c r="C74" s="25"/>
      <c r="D74" s="25"/>
      <c r="E74" s="195"/>
      <c r="F74" s="25"/>
      <c r="G74" s="25"/>
      <c r="H74" s="195"/>
      <c r="I74" s="87">
        <v>243.84607983367914</v>
      </c>
      <c r="J74" s="203">
        <f>+J52+J73</f>
        <v>0</v>
      </c>
      <c r="K74" s="35"/>
      <c r="L74" s="193"/>
      <c r="M74" s="87">
        <v>0</v>
      </c>
      <c r="N74" s="203">
        <f>+N52+N73</f>
        <v>0</v>
      </c>
      <c r="O74" s="87">
        <v>243.84607983367914</v>
      </c>
      <c r="P74" s="203">
        <f>+P52+P73</f>
        <v>0</v>
      </c>
      <c r="Q74" s="87">
        <v>24384.607983367914</v>
      </c>
      <c r="R74" s="203">
        <f>+R52+R73</f>
        <v>0</v>
      </c>
    </row>
    <row r="75" spans="1:18" ht="13.5" thickTop="1" x14ac:dyDescent="0.2">
      <c r="A75" s="25"/>
      <c r="B75" s="25"/>
      <c r="C75" s="25"/>
      <c r="D75" s="25"/>
      <c r="E75" s="195"/>
      <c r="F75" s="25"/>
      <c r="G75" s="25"/>
      <c r="H75" s="195"/>
      <c r="I75" s="35"/>
      <c r="J75" s="182"/>
      <c r="K75" s="35"/>
      <c r="L75" s="193"/>
      <c r="M75" s="35"/>
      <c r="N75" s="182"/>
      <c r="O75" s="35"/>
      <c r="P75" s="182"/>
      <c r="Q75" s="35"/>
      <c r="R75" s="182"/>
    </row>
    <row r="76" spans="1:18" x14ac:dyDescent="0.2">
      <c r="A76" s="25" t="s">
        <v>153</v>
      </c>
      <c r="B76" s="25"/>
      <c r="C76" s="25"/>
      <c r="D76" s="25"/>
      <c r="E76" s="195"/>
      <c r="F76" s="25"/>
      <c r="G76" s="25"/>
      <c r="H76" s="195"/>
      <c r="I76" s="35">
        <v>-243.84607983367914</v>
      </c>
      <c r="J76" s="200">
        <f>+J13-J74</f>
        <v>0</v>
      </c>
      <c r="K76" s="35"/>
      <c r="L76" s="193"/>
      <c r="M76" s="35">
        <v>0</v>
      </c>
      <c r="N76" s="200">
        <f>+N13-N74</f>
        <v>0</v>
      </c>
      <c r="O76" s="35">
        <v>-243.84607983367914</v>
      </c>
      <c r="P76" s="200">
        <f>+P13-P74</f>
        <v>0</v>
      </c>
      <c r="Q76" s="35">
        <v>-24384.607983367914</v>
      </c>
      <c r="R76" s="200">
        <f>+R13-R74</f>
        <v>0</v>
      </c>
    </row>
    <row r="77" spans="1:18" x14ac:dyDescent="0.2">
      <c r="A77" s="25"/>
      <c r="B77" s="25"/>
      <c r="C77" s="25"/>
      <c r="D77" s="25"/>
      <c r="E77" s="195"/>
      <c r="F77" s="25"/>
      <c r="G77" s="25"/>
      <c r="H77" s="195"/>
      <c r="I77" s="35"/>
      <c r="J77" s="204"/>
      <c r="K77" s="35"/>
      <c r="L77" s="193"/>
      <c r="M77" s="35"/>
      <c r="N77" s="193"/>
      <c r="O77" s="35"/>
      <c r="P77" s="193"/>
      <c r="Q77" s="35"/>
      <c r="R77" s="204"/>
    </row>
    <row r="78" spans="1:18" ht="13.5" thickBot="1" x14ac:dyDescent="0.25">
      <c r="A78" s="44" t="s">
        <v>38</v>
      </c>
      <c r="B78" s="44"/>
      <c r="C78" s="44"/>
      <c r="D78" s="44"/>
      <c r="E78" s="199"/>
      <c r="F78" s="44"/>
      <c r="G78" s="45" t="s">
        <v>308</v>
      </c>
      <c r="H78" s="210" t="str">
        <f>IF(E10=0,"n/a",(YTotExp-(YTotExp+YTotRet-J10))/E10)</f>
        <v>n/a</v>
      </c>
      <c r="I78" s="44" t="s">
        <v>458</v>
      </c>
      <c r="J78" s="205"/>
      <c r="K78" s="44"/>
      <c r="L78" s="199"/>
      <c r="M78" s="44"/>
      <c r="N78" s="199"/>
      <c r="O78" s="44"/>
      <c r="P78" s="199"/>
      <c r="Q78" s="44"/>
      <c r="R78" s="205"/>
    </row>
    <row r="79" spans="1:18" ht="13.5" thickTop="1" x14ac:dyDescent="0.2"/>
    <row r="80" spans="1:18" s="17" customFormat="1" ht="15.75" x14ac:dyDescent="0.25">
      <c r="A80"/>
      <c r="B80" s="88"/>
      <c r="C80" s="89"/>
      <c r="D80" s="234" t="s">
        <v>113</v>
      </c>
      <c r="E80" s="235"/>
      <c r="F80" s="235"/>
      <c r="G80" s="235"/>
      <c r="H80" s="235"/>
      <c r="I80" s="235"/>
      <c r="J80" s="99"/>
      <c r="K80" s="99"/>
      <c r="M80"/>
      <c r="N80"/>
    </row>
    <row r="81" spans="1:18" s="17" customFormat="1" ht="15.75" x14ac:dyDescent="0.25">
      <c r="A81"/>
      <c r="B81" s="19" t="s">
        <v>114</v>
      </c>
      <c r="C81" s="19" t="s">
        <v>114</v>
      </c>
      <c r="D81" s="123" t="s">
        <v>170</v>
      </c>
      <c r="E81" s="18"/>
      <c r="F81" s="18"/>
      <c r="G81" s="123" t="s">
        <v>170</v>
      </c>
      <c r="H81" s="18"/>
      <c r="I81" s="18"/>
      <c r="J81" s="18"/>
      <c r="K81" s="18"/>
      <c r="M81"/>
      <c r="N81"/>
    </row>
    <row r="82" spans="1:18" s="17" customFormat="1" x14ac:dyDescent="0.2">
      <c r="A82"/>
      <c r="B82" s="19" t="s">
        <v>80</v>
      </c>
      <c r="C82" s="19" t="s">
        <v>80</v>
      </c>
      <c r="D82" s="123" t="s">
        <v>157</v>
      </c>
      <c r="E82" s="119"/>
      <c r="F82" s="119"/>
      <c r="G82" s="123" t="s">
        <v>12</v>
      </c>
      <c r="H82" s="119"/>
      <c r="I82" s="119"/>
      <c r="J82" s="119"/>
      <c r="K82" s="119"/>
      <c r="M82"/>
      <c r="N82"/>
    </row>
    <row r="83" spans="1:18" s="17" customFormat="1" x14ac:dyDescent="0.2">
      <c r="A83"/>
      <c r="B83" s="19" t="s">
        <v>30</v>
      </c>
      <c r="C83" s="99" t="s">
        <v>458</v>
      </c>
      <c r="D83" s="123" t="s">
        <v>98</v>
      </c>
      <c r="E83" s="119"/>
      <c r="F83" s="119"/>
      <c r="G83" s="123" t="s">
        <v>98</v>
      </c>
      <c r="H83" s="19"/>
      <c r="I83" s="19"/>
      <c r="J83" s="19"/>
      <c r="K83" s="19"/>
      <c r="M83"/>
      <c r="N83"/>
    </row>
    <row r="84" spans="1:18" s="17" customFormat="1" x14ac:dyDescent="0.2">
      <c r="A84"/>
      <c r="B84" s="90">
        <v>0.75</v>
      </c>
      <c r="C84" s="91">
        <v>0</v>
      </c>
      <c r="D84" s="92">
        <v>0</v>
      </c>
      <c r="E84" s="93"/>
      <c r="F84" s="94"/>
      <c r="G84" s="92">
        <v>0</v>
      </c>
      <c r="H84" s="93"/>
      <c r="I84" s="93"/>
      <c r="M84"/>
      <c r="N84"/>
    </row>
    <row r="85" spans="1:18" s="17" customFormat="1" x14ac:dyDescent="0.2">
      <c r="A85"/>
      <c r="B85" s="95">
        <v>0.9</v>
      </c>
      <c r="C85" s="96">
        <v>0</v>
      </c>
      <c r="D85" s="97">
        <v>0</v>
      </c>
      <c r="E85" s="83"/>
      <c r="F85" s="98"/>
      <c r="G85" s="97">
        <v>0</v>
      </c>
      <c r="H85" s="83"/>
      <c r="I85" s="83"/>
      <c r="M85"/>
      <c r="N85"/>
    </row>
    <row r="86" spans="1:18" s="17" customFormat="1" x14ac:dyDescent="0.2">
      <c r="A86"/>
      <c r="B86" s="90">
        <v>1</v>
      </c>
      <c r="C86" s="91">
        <v>0</v>
      </c>
      <c r="D86" s="92">
        <v>0</v>
      </c>
      <c r="E86" s="93"/>
      <c r="F86" s="94"/>
      <c r="G86" s="92">
        <v>0</v>
      </c>
      <c r="H86" s="93"/>
      <c r="I86" s="93"/>
      <c r="M86"/>
      <c r="N86"/>
    </row>
    <row r="87" spans="1:18" s="17" customFormat="1" x14ac:dyDescent="0.2">
      <c r="A87"/>
      <c r="B87" s="95">
        <v>1.1000000000000001</v>
      </c>
      <c r="C87" s="96">
        <v>0</v>
      </c>
      <c r="D87" s="97">
        <v>0</v>
      </c>
      <c r="E87" s="83"/>
      <c r="F87" s="98"/>
      <c r="G87" s="97">
        <v>0</v>
      </c>
      <c r="H87" s="83"/>
      <c r="I87" s="83"/>
      <c r="M87"/>
      <c r="N87"/>
    </row>
    <row r="88" spans="1:18" s="17" customFormat="1" x14ac:dyDescent="0.2">
      <c r="A88"/>
      <c r="B88" s="90">
        <v>1.25</v>
      </c>
      <c r="C88" s="91">
        <v>0</v>
      </c>
      <c r="D88" s="92">
        <v>0</v>
      </c>
      <c r="E88" s="93"/>
      <c r="F88" s="94"/>
      <c r="G88" s="92">
        <v>0</v>
      </c>
      <c r="H88" s="93"/>
      <c r="I88" s="93"/>
      <c r="M88"/>
      <c r="N88"/>
    </row>
    <row r="89" spans="1:18" s="17" customFormat="1" x14ac:dyDescent="0.2">
      <c r="A89"/>
      <c r="M89"/>
      <c r="N89"/>
    </row>
    <row r="90" spans="1:18" x14ac:dyDescent="0.2">
      <c r="A90" s="25" t="s">
        <v>434</v>
      </c>
      <c r="B90" s="17"/>
      <c r="C90" s="17"/>
      <c r="D90" s="17"/>
      <c r="E90" s="17"/>
      <c r="F90" s="17"/>
      <c r="G90" s="17"/>
      <c r="H90" s="17"/>
      <c r="I90" s="17"/>
      <c r="J90" s="28"/>
      <c r="K90" s="17"/>
      <c r="L90" s="17"/>
      <c r="M90" s="17"/>
      <c r="N90" s="17"/>
      <c r="O90" s="17"/>
      <c r="P90" s="17"/>
      <c r="Q90" s="17"/>
    </row>
    <row r="91" spans="1:18" x14ac:dyDescent="0.2">
      <c r="A91" s="17"/>
      <c r="B91" s="17"/>
      <c r="C91" s="17"/>
      <c r="D91" s="17"/>
      <c r="E91" s="17"/>
      <c r="F91" s="17"/>
      <c r="G91" s="17"/>
      <c r="H91" s="17"/>
      <c r="I91" s="17"/>
      <c r="J91" s="28"/>
      <c r="K91" s="17"/>
      <c r="L91" s="17"/>
      <c r="M91" s="17"/>
      <c r="N91" s="17"/>
      <c r="O91" s="17"/>
      <c r="P91" s="17"/>
      <c r="Q91" s="17"/>
    </row>
    <row r="92" spans="1:18" ht="26.25" customHeight="1" x14ac:dyDescent="0.2">
      <c r="A92" s="236" t="s">
        <v>140</v>
      </c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219"/>
      <c r="N92" s="219"/>
      <c r="O92" s="219"/>
      <c r="P92" s="219"/>
      <c r="Q92" s="219"/>
      <c r="R92" s="219"/>
    </row>
  </sheetData>
  <sheetProtection sheet="1" objects="1" scenarios="1"/>
  <mergeCells count="6">
    <mergeCell ref="D80:I80"/>
    <mergeCell ref="A92:L92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243">
    <tabColor theme="3" tint="0.39997558519241921"/>
  </sheetPr>
  <dimension ref="A1:N50"/>
  <sheetViews>
    <sheetView zoomScaleNormal="90" workbookViewId="0">
      <pane xSplit="1" ySplit="4" topLeftCell="B27" activePane="bottomRight" state="frozen"/>
      <selection activeCell="B38" sqref="B38"/>
      <selection pane="topRight" activeCell="B38" sqref="B38"/>
      <selection pane="bottomLeft" activeCell="B38" sqref="B38"/>
      <selection pane="bottomRight" activeCell="I43" sqref="I43"/>
    </sheetView>
  </sheetViews>
  <sheetFormatPr defaultColWidth="8.5703125" defaultRowHeight="12.75" x14ac:dyDescent="0.2"/>
  <cols>
    <col min="1" max="1" width="76.140625" customWidth="1"/>
    <col min="2" max="2" width="12.140625" customWidth="1"/>
    <col min="3" max="3" width="18.42578125" customWidth="1"/>
    <col min="4" max="4" width="20.42578125" customWidth="1"/>
    <col min="5" max="5" width="5.42578125" customWidth="1"/>
    <col min="6" max="7" width="14.5703125" customWidth="1"/>
    <col min="8" max="8" width="5.5703125" customWidth="1"/>
    <col min="9" max="9" width="14.5703125" customWidth="1"/>
    <col min="10" max="10" width="7.5703125" customWidth="1"/>
    <col min="11" max="12" width="14.5703125" customWidth="1"/>
  </cols>
  <sheetData>
    <row r="1" spans="1:14" x14ac:dyDescent="0.2">
      <c r="A1" s="3" t="s">
        <v>167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</row>
    <row r="2" spans="1:14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4.75" customHeight="1" x14ac:dyDescent="0.2">
      <c r="B3" s="26" t="s">
        <v>181</v>
      </c>
      <c r="C3" s="285" t="s">
        <v>7</v>
      </c>
      <c r="D3" s="235"/>
      <c r="E3" s="26"/>
      <c r="F3" s="285" t="s">
        <v>6</v>
      </c>
      <c r="G3" s="235"/>
      <c r="H3" s="26"/>
      <c r="I3" s="285" t="s">
        <v>330</v>
      </c>
      <c r="J3" s="235"/>
      <c r="K3" s="235"/>
      <c r="L3" s="235"/>
    </row>
    <row r="4" spans="1:14" ht="31.35" customHeight="1" x14ac:dyDescent="0.2">
      <c r="B4" s="126" t="s">
        <v>182</v>
      </c>
      <c r="C4" s="13" t="s">
        <v>81</v>
      </c>
      <c r="D4" s="29" t="s">
        <v>169</v>
      </c>
      <c r="E4" s="1"/>
      <c r="F4" s="1" t="s">
        <v>81</v>
      </c>
      <c r="G4" s="6" t="s">
        <v>169</v>
      </c>
      <c r="H4" s="6"/>
      <c r="I4" s="1" t="s">
        <v>4</v>
      </c>
      <c r="J4" s="13" t="s">
        <v>21</v>
      </c>
      <c r="K4" s="1" t="s">
        <v>81</v>
      </c>
      <c r="L4" s="6" t="s">
        <v>169</v>
      </c>
    </row>
    <row r="5" spans="1:14" ht="18.75" customHeight="1" x14ac:dyDescent="0.2">
      <c r="A5" s="14" t="s">
        <v>143</v>
      </c>
      <c r="B5" s="14"/>
      <c r="C5" s="1"/>
      <c r="D5" s="6"/>
      <c r="E5" s="1"/>
      <c r="F5" s="1"/>
      <c r="G5" s="6"/>
      <c r="H5" s="6"/>
      <c r="I5" s="1"/>
      <c r="J5" s="13"/>
      <c r="K5" s="1"/>
      <c r="L5" s="6"/>
    </row>
    <row r="6" spans="1:14" ht="18.75" customHeight="1" x14ac:dyDescent="0.2">
      <c r="A6" s="14"/>
      <c r="B6" s="14"/>
      <c r="C6" s="1"/>
      <c r="D6" s="6"/>
      <c r="E6" s="1"/>
      <c r="F6" s="1"/>
      <c r="G6" s="6"/>
      <c r="H6" s="6"/>
      <c r="I6" s="1"/>
      <c r="J6" s="13"/>
      <c r="K6" s="1"/>
      <c r="L6" s="6"/>
    </row>
    <row r="7" spans="1:14" ht="18.75" customHeight="1" x14ac:dyDescent="0.2">
      <c r="A7" s="3" t="str">
        <f>+AlfalfaDrylandEstablish!A3</f>
        <v>Dryland Alfalfa Establishment</v>
      </c>
      <c r="B7" s="3">
        <f>+AlfalfaDrylandEstablish!E7</f>
        <v>0</v>
      </c>
      <c r="C7" s="14">
        <f>+AlfalfaDrylandEstablish!YTotRet</f>
        <v>0</v>
      </c>
      <c r="D7" s="14">
        <f>+AlfalfaDrylandEstablish!YVarRet</f>
        <v>0</v>
      </c>
      <c r="E7" s="1"/>
      <c r="F7" s="2">
        <f>+AlfalfaDrylandEstablish!YTotExp</f>
        <v>0</v>
      </c>
      <c r="G7" s="2">
        <f>+AlfalfaDrylandEstablish!YVarExp</f>
        <v>0</v>
      </c>
      <c r="H7" s="2"/>
      <c r="I7" s="2">
        <f>+AlfalfaDrylandEstablish!YPrice</f>
        <v>0</v>
      </c>
      <c r="J7" s="2" t="str">
        <f>+AlfalfaDrylandEstablish!Unit</f>
        <v/>
      </c>
      <c r="K7" s="5">
        <f t="shared" ref="K7:L13" si="0">+IF($I7=0,0,F7/$I7)</f>
        <v>0</v>
      </c>
      <c r="L7" s="5">
        <f t="shared" si="0"/>
        <v>0</v>
      </c>
    </row>
    <row r="8" spans="1:14" ht="18.75" customHeight="1" x14ac:dyDescent="0.2">
      <c r="A8" s="3" t="str">
        <f>CoastalEstab!A3</f>
        <v>Coastal Bermudagrass Establishment</v>
      </c>
      <c r="B8" s="3">
        <f>CoastalEstab!E7</f>
        <v>0</v>
      </c>
      <c r="C8" s="14">
        <f>CoastalEstab!YTotRet</f>
        <v>0</v>
      </c>
      <c r="D8" s="14">
        <f>CoastalEstab!YVarRet</f>
        <v>0</v>
      </c>
      <c r="E8" s="1"/>
      <c r="F8" s="2">
        <f>CoastalEstab!YTotExp</f>
        <v>0</v>
      </c>
      <c r="G8" s="2">
        <f>CoastalEstab!YVarExp</f>
        <v>0</v>
      </c>
      <c r="H8" s="2"/>
      <c r="I8" s="2">
        <f>CoastalEstab!YPrice</f>
        <v>0</v>
      </c>
      <c r="J8" s="2" t="str">
        <f>CoastalEstab!Unit</f>
        <v/>
      </c>
      <c r="K8" s="5">
        <f>IF(I8=0,0,F8/I8)</f>
        <v>0</v>
      </c>
      <c r="L8" s="5">
        <f>IF(I8=0,0,G8/I8)</f>
        <v>0</v>
      </c>
    </row>
    <row r="9" spans="1:14" ht="18.75" customHeight="1" x14ac:dyDescent="0.2">
      <c r="A9" s="3" t="str">
        <f>+AlfalfaHayDryland!A3</f>
        <v>Dryland Alfalfa Hay</v>
      </c>
      <c r="B9" s="3">
        <f>+AlfalfaHayDryland!E7</f>
        <v>0</v>
      </c>
      <c r="C9" s="14">
        <f>+AlfalfaHayDryland!YTotRet</f>
        <v>0</v>
      </c>
      <c r="D9" s="14">
        <f>+AlfalfaHayDryland!YVarRet</f>
        <v>0</v>
      </c>
      <c r="E9" s="1"/>
      <c r="F9" s="2">
        <f>+AlfalfaHayDryland!YTotExp</f>
        <v>0</v>
      </c>
      <c r="G9" s="2">
        <f>+AlfalfaHayDryland!YVarExp</f>
        <v>0</v>
      </c>
      <c r="H9" s="2"/>
      <c r="I9" s="2">
        <f>+AlfalfaHayDryland!YPrice</f>
        <v>0</v>
      </c>
      <c r="J9" s="2" t="str">
        <f>+AlfalfaHayDryland!Unit</f>
        <v>Ton</v>
      </c>
      <c r="K9" s="5">
        <f t="shared" si="0"/>
        <v>0</v>
      </c>
      <c r="L9" s="5">
        <f t="shared" si="0"/>
        <v>0</v>
      </c>
    </row>
    <row r="10" spans="1:14" ht="18.75" customHeight="1" x14ac:dyDescent="0.2">
      <c r="A10" s="3" t="str">
        <f>CoastalDryland!A3</f>
        <v>Coastal Bermudagrass Hay Dryland</v>
      </c>
      <c r="B10" s="3">
        <f>CoastalDryland!E7</f>
        <v>0</v>
      </c>
      <c r="C10" s="14">
        <f>CoastalDryland!YTotRet</f>
        <v>0</v>
      </c>
      <c r="D10" s="14">
        <f>CoastalDryland!YVarRet</f>
        <v>0</v>
      </c>
      <c r="E10" s="1"/>
      <c r="F10" s="2">
        <f>CoastalDryland!YTotExp</f>
        <v>0</v>
      </c>
      <c r="G10" s="2">
        <f>CoastalDryland!YVarExp</f>
        <v>0</v>
      </c>
      <c r="H10" s="2"/>
      <c r="I10" s="2">
        <f>CoastalDryland!YPrice</f>
        <v>0</v>
      </c>
      <c r="J10" s="2" t="str">
        <f>CoastalDryland!Unit</f>
        <v>Round Bale</v>
      </c>
      <c r="K10" s="5">
        <f>IF(I10=0,0,F10/I10)</f>
        <v>0</v>
      </c>
      <c r="L10" s="5">
        <f>IF(I10=0,0,G10/I10)</f>
        <v>0</v>
      </c>
    </row>
    <row r="11" spans="1:14" ht="18.75" customHeight="1" x14ac:dyDescent="0.2">
      <c r="A11" s="3" t="str">
        <f>+AlfalfaIrrigatedEstablish!A3</f>
        <v>Irrigated Alfalfa Establishment</v>
      </c>
      <c r="B11" s="3">
        <f>+AlfalfaIrrigatedEstablish!E7</f>
        <v>0</v>
      </c>
      <c r="C11" s="14">
        <f>+AlfalfaIrrigatedEstablish!YTotRet</f>
        <v>0</v>
      </c>
      <c r="D11" s="14">
        <f>+AlfalfaIrrigatedEstablish!YVarRet</f>
        <v>0</v>
      </c>
      <c r="E11" s="1"/>
      <c r="F11" s="2">
        <f>+AlfalfaIrrigatedEstablish!YTotExp</f>
        <v>0</v>
      </c>
      <c r="G11" s="2">
        <f>+AlfalfaIrrigatedEstablish!YVarExp</f>
        <v>0</v>
      </c>
      <c r="H11" s="2"/>
      <c r="I11" s="2">
        <f>+AlfalfaIrrigatedEstablish!YPrice</f>
        <v>0</v>
      </c>
      <c r="J11" s="2" t="str">
        <f>+AlfalfaIrrigatedEstablish!Unit</f>
        <v/>
      </c>
      <c r="K11" s="5">
        <f t="shared" si="0"/>
        <v>0</v>
      </c>
      <c r="L11" s="5">
        <f t="shared" si="0"/>
        <v>0</v>
      </c>
    </row>
    <row r="12" spans="1:14" ht="18.75" customHeight="1" x14ac:dyDescent="0.2">
      <c r="A12" s="3" t="str">
        <f>+AlfalfaHayIrrigated!A3</f>
        <v>Irrigated Alfalfa Hay</v>
      </c>
      <c r="B12" s="3">
        <f>+AlfalfaHayIrrigated!E7</f>
        <v>0</v>
      </c>
      <c r="C12" s="14">
        <f>+AlfalfaHayIrrigated!YTotRet</f>
        <v>0</v>
      </c>
      <c r="D12" s="14">
        <f>+AlfalfaHayIrrigated!YVarRet</f>
        <v>0</v>
      </c>
      <c r="E12" s="1"/>
      <c r="F12" s="2">
        <f>+AlfalfaHayIrrigated!YTotExp</f>
        <v>0</v>
      </c>
      <c r="G12" s="2">
        <f>+AlfalfaHayIrrigated!YVarExp</f>
        <v>0</v>
      </c>
      <c r="H12" s="2"/>
      <c r="I12" s="2">
        <f>+AlfalfaHayIrrigated!YPrice</f>
        <v>0</v>
      </c>
      <c r="J12" s="2" t="str">
        <f>+AlfalfaHayIrrigated!Unit</f>
        <v>Ton</v>
      </c>
      <c r="K12" s="5">
        <f t="shared" si="0"/>
        <v>0</v>
      </c>
      <c r="L12" s="5">
        <f t="shared" si="0"/>
        <v>0</v>
      </c>
    </row>
    <row r="13" spans="1:14" ht="18.75" customHeight="1" x14ac:dyDescent="0.2">
      <c r="A13" s="3" t="str">
        <f>+SmallGrain!A3</f>
        <v>Small Grain Grazing</v>
      </c>
      <c r="B13" s="3">
        <f>+SmallGrain!E7</f>
        <v>0</v>
      </c>
      <c r="C13" s="14">
        <f>+SmallGrain!YTotRet</f>
        <v>0</v>
      </c>
      <c r="D13" s="14">
        <f>+SmallGrain!YVarRet</f>
        <v>0</v>
      </c>
      <c r="E13" s="1"/>
      <c r="F13" s="2">
        <f>+SmallGrain!YTotExp</f>
        <v>0</v>
      </c>
      <c r="G13" s="2">
        <f>+SmallGrain!YVarExp</f>
        <v>0</v>
      </c>
      <c r="H13" s="2"/>
      <c r="I13" s="2">
        <f>+SmallGrain!YPrice</f>
        <v>0</v>
      </c>
      <c r="J13" s="2" t="str">
        <f>+SmallGrain!Unit</f>
        <v/>
      </c>
      <c r="K13" s="5">
        <f t="shared" si="0"/>
        <v>0</v>
      </c>
      <c r="L13" s="5">
        <f t="shared" si="0"/>
        <v>0</v>
      </c>
    </row>
    <row r="14" spans="1:14" ht="18.75" customHeight="1" x14ac:dyDescent="0.2">
      <c r="A14" s="3" t="str">
        <f>'SD Fescue'!A3</f>
        <v>Summer Dormant Fescue</v>
      </c>
      <c r="B14" s="3">
        <f>'SD Fescue'!E7</f>
        <v>0</v>
      </c>
      <c r="C14" s="14">
        <f>'SD Fescue'!YTotRet</f>
        <v>0</v>
      </c>
      <c r="D14" s="14">
        <f>'SD Fescue'!YVarRet</f>
        <v>0</v>
      </c>
      <c r="E14" s="1"/>
      <c r="F14" s="2">
        <f>'SD Fescue'!YTotExp</f>
        <v>0</v>
      </c>
      <c r="G14" s="2">
        <f>'SD Fescue'!YVarExp</f>
        <v>0</v>
      </c>
      <c r="H14" s="2"/>
      <c r="I14" s="2">
        <f>'SD Fescue'!YPrice</f>
        <v>0</v>
      </c>
      <c r="J14" s="2" t="str">
        <f>'SD Fescue'!Unit</f>
        <v/>
      </c>
      <c r="K14" s="5">
        <f>IF(I14=0,0,F14/I14)</f>
        <v>0</v>
      </c>
      <c r="L14" s="5">
        <f>IF(I14=0,0,G14/I14)</f>
        <v>0</v>
      </c>
    </row>
    <row r="15" spans="1:14" ht="18.75" customHeight="1" x14ac:dyDescent="0.2">
      <c r="C15" s="1"/>
      <c r="D15" s="1"/>
      <c r="E15" s="1"/>
      <c r="F15" s="1"/>
      <c r="G15" s="6"/>
      <c r="H15" s="6"/>
      <c r="I15" s="1"/>
      <c r="J15" s="13"/>
      <c r="K15" s="1"/>
      <c r="L15" s="6"/>
    </row>
    <row r="16" spans="1:14" ht="18.75" customHeight="1" x14ac:dyDescent="0.2">
      <c r="A16" s="14" t="s">
        <v>433</v>
      </c>
      <c r="B16" s="14"/>
      <c r="C16" s="14"/>
      <c r="D16" s="14"/>
      <c r="E16" s="1"/>
      <c r="F16" s="1"/>
      <c r="G16" s="6"/>
      <c r="H16" s="6"/>
      <c r="I16" s="1"/>
      <c r="J16" s="1"/>
      <c r="K16" s="1"/>
      <c r="L16" s="6"/>
    </row>
    <row r="17" spans="1:12" ht="18.75" customHeight="1" x14ac:dyDescent="0.2">
      <c r="A17" s="14"/>
      <c r="B17" s="14"/>
      <c r="C17" s="14"/>
      <c r="D17" s="14"/>
      <c r="E17" s="1"/>
      <c r="F17" s="1"/>
      <c r="G17" s="6"/>
      <c r="H17" s="6"/>
      <c r="I17" s="1"/>
      <c r="J17" s="1"/>
      <c r="K17" s="1"/>
      <c r="L17" s="6"/>
    </row>
    <row r="18" spans="1:12" ht="18.75" customHeight="1" x14ac:dyDescent="0.2">
      <c r="A18" s="3" t="str">
        <f>+CanolaDryland!A3</f>
        <v>Dryland Canola</v>
      </c>
      <c r="B18" s="3">
        <f>+CanolaDryland!E7</f>
        <v>0</v>
      </c>
      <c r="C18" s="14">
        <f>+CanolaDryland!YTotRet</f>
        <v>0</v>
      </c>
      <c r="D18" s="14">
        <f>+CanolaDryland!YVarRet</f>
        <v>0</v>
      </c>
      <c r="E18" s="1"/>
      <c r="F18" s="2">
        <f>+CanolaDryland!YTotExp</f>
        <v>0</v>
      </c>
      <c r="G18" s="2">
        <f>+CanolaDryland!YVarExp</f>
        <v>0</v>
      </c>
      <c r="H18" s="2"/>
      <c r="I18" s="2">
        <f>+CanolaDryland!YPrice</f>
        <v>0</v>
      </c>
      <c r="J18" s="2" t="str">
        <f>+CanolaDryland!Unit</f>
        <v>Pound</v>
      </c>
      <c r="K18" s="5">
        <f>+IF($I18=0,0,F18/$I18)</f>
        <v>0</v>
      </c>
      <c r="L18" s="5">
        <f>+IF($I18=0,0,G18/$I18)</f>
        <v>0</v>
      </c>
    </row>
    <row r="19" spans="1:12" ht="18.75" customHeight="1" x14ac:dyDescent="0.2">
      <c r="A19" s="3" t="str">
        <f>+CottonDryland2X1!A3</f>
        <v>Dryland Cotton (2X1 Planting Pattern)</v>
      </c>
      <c r="B19" s="3">
        <f>+CottonDryland2X1!E7</f>
        <v>0</v>
      </c>
      <c r="C19" s="14">
        <f>+CottonDryland2X1!YTotRet</f>
        <v>0</v>
      </c>
      <c r="D19" s="14">
        <f>+CottonDryland2X1!YVarRet</f>
        <v>0</v>
      </c>
      <c r="E19" s="1"/>
      <c r="F19" s="2">
        <f>+CottonDryland2X1!YTotExp</f>
        <v>0</v>
      </c>
      <c r="G19" s="2">
        <f>+CottonDryland2X1!YVarExp</f>
        <v>0</v>
      </c>
      <c r="H19" s="2"/>
      <c r="I19" s="2">
        <f>+CottonDryland2X1!YPrice</f>
        <v>0</v>
      </c>
      <c r="J19" s="2" t="str">
        <f>+CottonDryland2X1!Unit</f>
        <v>Pound</v>
      </c>
      <c r="K19" s="5">
        <f>+IF($I19=0,0,F19/$I19)</f>
        <v>0</v>
      </c>
      <c r="L19" s="5">
        <f>+IF($I19=0,0,G19/$I19)</f>
        <v>0</v>
      </c>
    </row>
    <row r="20" spans="1:12" ht="18.75" customHeight="1" x14ac:dyDescent="0.2">
      <c r="A20" s="3" t="str">
        <f>+CottonDrylandSolid!A3</f>
        <v>Dryland Cotton (Solid 40" Rows)</v>
      </c>
      <c r="B20" s="3">
        <f>+CottonDrylandSolid!E7</f>
        <v>0</v>
      </c>
      <c r="C20" s="14">
        <f>+CottonDrylandSolid!YTotRet</f>
        <v>0</v>
      </c>
      <c r="D20" s="14">
        <f>+CottonDrylandSolid!YVarRet</f>
        <v>0</v>
      </c>
      <c r="E20" s="1"/>
      <c r="F20" s="2">
        <f>+CottonDrylandSolid!YTotExp</f>
        <v>0</v>
      </c>
      <c r="G20" s="2">
        <f>+CottonDrylandSolid!YVarExp</f>
        <v>0</v>
      </c>
      <c r="H20" s="2"/>
      <c r="I20" s="2">
        <f>+CottonDrylandSolid!YPrice</f>
        <v>0</v>
      </c>
      <c r="J20" s="2" t="str">
        <f>+CottonDrylandSolid!Unit</f>
        <v>Pound</v>
      </c>
      <c r="K20" s="5">
        <f t="shared" ref="K20:K32" si="1">+IF($I20=0,0,F20/$I20)</f>
        <v>0</v>
      </c>
      <c r="L20" s="5">
        <f t="shared" ref="L20:L32" si="2">+IF($I20=0,0,G20/$I20)</f>
        <v>0</v>
      </c>
    </row>
    <row r="21" spans="1:12" ht="18.75" customHeight="1" x14ac:dyDescent="0.2">
      <c r="A21" s="3" t="str">
        <f>'Red Till Irrig Cotton'!A3</f>
        <v xml:space="preserve">Cotton - Red Till Irrig </v>
      </c>
      <c r="B21" s="3">
        <f>'Red Till Irrig Cotton'!E7</f>
        <v>0</v>
      </c>
      <c r="C21" s="14">
        <f>'Red Till Irrig Cotton'!YTotRet</f>
        <v>0</v>
      </c>
      <c r="D21" s="14">
        <f>'Red Till Irrig Cotton'!YVarRet</f>
        <v>0</v>
      </c>
      <c r="E21" s="1"/>
      <c r="F21" s="2">
        <f>'Red Till Irrig Cotton'!YTotExp</f>
        <v>0</v>
      </c>
      <c r="G21" s="2">
        <f>'Red Till Irrig Cotton'!YVarExp</f>
        <v>0</v>
      </c>
      <c r="H21" s="2"/>
      <c r="I21" s="2">
        <f>'Red Till Irrig Cotton'!YPrice</f>
        <v>0</v>
      </c>
      <c r="J21" s="2" t="str">
        <f>'Red Till Irrig Cotton'!Unit</f>
        <v>Pound</v>
      </c>
      <c r="K21" s="5">
        <f t="shared" ref="K21:K30" si="3">IF(I21=0,0,F21/I21)</f>
        <v>0</v>
      </c>
      <c r="L21" s="5">
        <f t="shared" ref="L21:L30" si="4">IF(I21=0,0,G21/I21)</f>
        <v>0</v>
      </c>
    </row>
    <row r="22" spans="1:12" ht="18.75" customHeight="1" x14ac:dyDescent="0.2">
      <c r="A22" s="3" t="str">
        <f>'Conv M Irrig Cotton'!A3</f>
        <v>Conventional Irrig Cotton</v>
      </c>
      <c r="B22" s="3">
        <f>'Conv M Irrig Cotton'!E7</f>
        <v>0</v>
      </c>
      <c r="C22" s="14">
        <f>'Conv M Irrig Cotton'!YTotRet</f>
        <v>0</v>
      </c>
      <c r="D22" s="14">
        <f>'Conv M Irrig Cotton'!YVarRet</f>
        <v>0</v>
      </c>
      <c r="E22" s="1"/>
      <c r="F22" s="2">
        <f>'Conv M Irrig Cotton'!YTotExp</f>
        <v>0</v>
      </c>
      <c r="G22" s="2">
        <f>'Conv M Irrig Cotton'!YVarExp</f>
        <v>0</v>
      </c>
      <c r="H22" s="2"/>
      <c r="I22" s="2">
        <f>'Conv M Irrig Cotton'!YPrice</f>
        <v>0</v>
      </c>
      <c r="J22" s="2" t="str">
        <f>'Conv M Irrig Cotton'!Unit</f>
        <v>Pound</v>
      </c>
      <c r="K22" s="5">
        <f t="shared" si="3"/>
        <v>0</v>
      </c>
      <c r="L22" s="5">
        <f t="shared" si="4"/>
        <v>0</v>
      </c>
    </row>
    <row r="23" spans="1:12" ht="18.75" customHeight="1" x14ac:dyDescent="0.2">
      <c r="A23" s="3" t="str">
        <f>'Conv L Irrig Cotton'!A3</f>
        <v>Conventional Low Irrig Cotton</v>
      </c>
      <c r="B23" s="3">
        <f>'Conv L Irrig Cotton'!E7</f>
        <v>0</v>
      </c>
      <c r="C23" s="14">
        <f>'Conv L Irrig Cotton'!YTotRet</f>
        <v>0</v>
      </c>
      <c r="D23" s="14">
        <f>'Conv L Irrig Cotton'!YVarRet</f>
        <v>0</v>
      </c>
      <c r="E23" s="1"/>
      <c r="F23" s="2">
        <f>'Conv L Irrig Cotton'!YTotExp</f>
        <v>0</v>
      </c>
      <c r="G23" s="2">
        <f>'Conv L Irrig Cotton'!YVarExp</f>
        <v>0</v>
      </c>
      <c r="H23" s="2"/>
      <c r="I23" s="2">
        <f>'Conv L Irrig Cotton'!YPrice</f>
        <v>0</v>
      </c>
      <c r="J23" s="2" t="str">
        <f>'Conv L Irrig Cotton'!Unit</f>
        <v>Pound</v>
      </c>
      <c r="K23" s="5">
        <f t="shared" si="3"/>
        <v>0</v>
      </c>
      <c r="L23" s="5">
        <f t="shared" si="4"/>
        <v>0</v>
      </c>
    </row>
    <row r="24" spans="1:12" ht="18.75" customHeight="1" x14ac:dyDescent="0.2">
      <c r="A24" s="3" t="str">
        <f>'Red Till L Irrig Cotton'!A3</f>
        <v>Red Till Irrig Low Cotton</v>
      </c>
      <c r="B24" s="3">
        <f>'Red Till L Irrig Cotton'!E7</f>
        <v>0</v>
      </c>
      <c r="C24" s="14">
        <f>'Red Till L Irrig Cotton'!YTotRet</f>
        <v>0</v>
      </c>
      <c r="D24" s="14">
        <f>'Red Till L Irrig Cotton'!YVarRet</f>
        <v>0</v>
      </c>
      <c r="E24" s="1"/>
      <c r="F24" s="2">
        <f>'Red Till L Irrig Cotton'!YTotExp</f>
        <v>0</v>
      </c>
      <c r="G24" s="2">
        <f>'Red Till L Irrig Cotton'!YVarExp</f>
        <v>0</v>
      </c>
      <c r="H24" s="2"/>
      <c r="I24" s="2">
        <f>'Red Till L Irrig Cotton'!YPrice</f>
        <v>0</v>
      </c>
      <c r="J24" s="2" t="str">
        <f>'Red Till L Irrig Cotton'!Unit</f>
        <v>Pound</v>
      </c>
      <c r="K24" s="5">
        <f t="shared" si="3"/>
        <v>0</v>
      </c>
      <c r="L24" s="5">
        <f t="shared" si="4"/>
        <v>0</v>
      </c>
    </row>
    <row r="25" spans="1:12" ht="18.75" customHeight="1" x14ac:dyDescent="0.2">
      <c r="A25" s="3" t="str">
        <f>'NT Irrig L Cotton'!A3</f>
        <v xml:space="preserve">NT Irrig L Cotton </v>
      </c>
      <c r="B25" s="3">
        <f>'NT Irrig L Cotton'!E7</f>
        <v>0</v>
      </c>
      <c r="C25" s="14">
        <f>'NT Irrig L Cotton'!YTotRet</f>
        <v>0</v>
      </c>
      <c r="D25" s="14">
        <f>'NT Irrig L Cotton'!YVarRet</f>
        <v>0</v>
      </c>
      <c r="E25" s="1"/>
      <c r="F25" s="2">
        <f>'NT Irrig L Cotton'!YTotExp</f>
        <v>0</v>
      </c>
      <c r="G25" s="2">
        <f>'NT Irrig L Cotton'!YVarExp</f>
        <v>0</v>
      </c>
      <c r="H25" s="2"/>
      <c r="I25" s="2">
        <f>'NT Irrig L Cotton'!YPrice</f>
        <v>0</v>
      </c>
      <c r="J25" s="2" t="str">
        <f>'NT Irrig L Cotton'!Unit</f>
        <v>Pound</v>
      </c>
      <c r="K25" s="5">
        <f t="shared" si="3"/>
        <v>0</v>
      </c>
      <c r="L25" s="5">
        <f t="shared" si="4"/>
        <v>0</v>
      </c>
    </row>
    <row r="26" spans="1:12" ht="18.75" customHeight="1" x14ac:dyDescent="0.2">
      <c r="A26" s="3" t="str">
        <f>'NT Irrig M Cotton'!A3</f>
        <v>Cotton - No-Till Irrigated</v>
      </c>
      <c r="B26" s="3">
        <f>'NT Irrig M Cotton'!E7</f>
        <v>0</v>
      </c>
      <c r="C26" s="14">
        <f>'NT Irrig M Cotton'!YTotRet</f>
        <v>0</v>
      </c>
      <c r="D26" s="14">
        <f>'NT Irrig M Cotton'!YVarRet</f>
        <v>0</v>
      </c>
      <c r="E26" s="1"/>
      <c r="F26" s="2">
        <f>'NT Irrig M Cotton'!YTotExp</f>
        <v>0</v>
      </c>
      <c r="G26" s="2">
        <f>'NT Irrig M Cotton'!YVarExp</f>
        <v>0</v>
      </c>
      <c r="H26" s="2"/>
      <c r="I26" s="2">
        <f>'NT Irrig M Cotton'!YPrice</f>
        <v>0</v>
      </c>
      <c r="J26" s="2" t="str">
        <f>'NT Irrig M Cotton'!Unit</f>
        <v>Pound</v>
      </c>
      <c r="K26" s="5">
        <f t="shared" si="3"/>
        <v>0</v>
      </c>
      <c r="L26" s="5">
        <f t="shared" si="4"/>
        <v>0</v>
      </c>
    </row>
    <row r="27" spans="1:12" ht="18.75" customHeight="1" x14ac:dyDescent="0.2">
      <c r="A27" s="3" t="str">
        <f>'NT-CC2 Irr M Cotton'!A3</f>
        <v>Cotton NT - Cover Crop Wheat Irrig</v>
      </c>
      <c r="B27" s="3">
        <f>'NT-CC2 Irr M Cotton'!E7</f>
        <v>0</v>
      </c>
      <c r="C27" s="14">
        <f>'NT-CC2 Irr M Cotton'!YTotRet</f>
        <v>0</v>
      </c>
      <c r="D27" s="14">
        <f>'NT-CC2 Irr M Cotton'!YVarRet</f>
        <v>0</v>
      </c>
      <c r="E27" s="1"/>
      <c r="F27" s="2">
        <f>'NT-CC2 Irr M Cotton'!YTotExp</f>
        <v>0</v>
      </c>
      <c r="G27" s="2">
        <f>'NT-CC2 Irr M Cotton'!YVarExp</f>
        <v>0</v>
      </c>
      <c r="H27" s="2"/>
      <c r="I27" s="2">
        <f>'NT-CC2 Irr M Cotton'!YPrice</f>
        <v>0</v>
      </c>
      <c r="J27" s="2" t="str">
        <f>'NT-CC2 Irr M Cotton'!Unit</f>
        <v>Pound</v>
      </c>
      <c r="K27" s="5">
        <f>IF(I27=0,0,F27/I27)</f>
        <v>0</v>
      </c>
      <c r="L27" s="5">
        <f>IF(I27=0,0,G27/I27)</f>
        <v>0</v>
      </c>
    </row>
    <row r="28" spans="1:12" ht="18.75" customHeight="1" x14ac:dyDescent="0.2">
      <c r="A28" s="3" t="str">
        <f>'NT-CC Irrig M Cotton'!A3</f>
        <v>NT-Cover Crop Irrig M Cotton</v>
      </c>
      <c r="B28" s="3">
        <f>'NT-CC Irrig M Cotton'!E7</f>
        <v>0</v>
      </c>
      <c r="C28" s="14">
        <f>'NT-CC Irrig M Cotton'!YTotRet</f>
        <v>0</v>
      </c>
      <c r="D28" s="14">
        <f>'NT-CC Irrig M Cotton'!YVarRet</f>
        <v>0</v>
      </c>
      <c r="E28" s="1"/>
      <c r="F28" s="2">
        <f>'NT-CC Irrig M Cotton'!YTotExp</f>
        <v>0</v>
      </c>
      <c r="G28" s="2">
        <f>'NT-CC Irrig M Cotton'!YVarExp</f>
        <v>0</v>
      </c>
      <c r="H28" s="2"/>
      <c r="I28" s="2">
        <f>'NT-CC Irrig M Cotton'!YPrice</f>
        <v>0</v>
      </c>
      <c r="J28" s="2" t="str">
        <f>'NT-CC Irrig M Cotton'!Unit</f>
        <v>Pound</v>
      </c>
      <c r="K28" s="5">
        <f t="shared" si="3"/>
        <v>0</v>
      </c>
      <c r="L28" s="5">
        <f t="shared" si="4"/>
        <v>0</v>
      </c>
    </row>
    <row r="29" spans="1:12" ht="18.75" customHeight="1" x14ac:dyDescent="0.2">
      <c r="A29" s="3" t="str">
        <f>'NT-CC Irrig L Cotton'!A3</f>
        <v>NT-Cover Crop Irrig L Cotton</v>
      </c>
      <c r="B29" s="3">
        <f>'NT-CC Irrig L Cotton'!E7</f>
        <v>0</v>
      </c>
      <c r="C29" s="14">
        <f>'NT-CC Irrig L Cotton'!YTotRet</f>
        <v>0</v>
      </c>
      <c r="D29" s="14">
        <f>'NT-CC Irrig L Cotton'!YVarRet</f>
        <v>0</v>
      </c>
      <c r="E29" s="1"/>
      <c r="F29" s="2">
        <f>'NT-CC Irrig L Cotton'!YTotExp</f>
        <v>0</v>
      </c>
      <c r="G29" s="2">
        <f>'NT-CC Irrig L Cotton'!YVarExp</f>
        <v>0</v>
      </c>
      <c r="H29" s="2"/>
      <c r="I29" s="2">
        <f>'NT-CC Irrig L Cotton'!YPrice</f>
        <v>0</v>
      </c>
      <c r="J29" s="2" t="str">
        <f>'NT-CC Irrig L Cotton'!Unit</f>
        <v>Pound</v>
      </c>
      <c r="K29" s="5">
        <f t="shared" si="3"/>
        <v>0</v>
      </c>
      <c r="L29" s="5">
        <f t="shared" si="4"/>
        <v>0</v>
      </c>
    </row>
    <row r="30" spans="1:12" ht="18.75" customHeight="1" x14ac:dyDescent="0.2">
      <c r="A30" s="3" t="str">
        <f>'No Till Dryland Cotton'!A3</f>
        <v xml:space="preserve">Cotton - No Till Dryland </v>
      </c>
      <c r="B30" s="3">
        <f>'No Till Dryland Cotton'!E7</f>
        <v>0</v>
      </c>
      <c r="C30" s="14">
        <f>'No Till Dryland Cotton'!YTotRet</f>
        <v>0</v>
      </c>
      <c r="D30" s="14">
        <f>'No Till Dryland Cotton'!YVarRet</f>
        <v>0</v>
      </c>
      <c r="E30" s="1"/>
      <c r="F30" s="2">
        <f>'No Till Dryland Cotton'!YTotExp</f>
        <v>0</v>
      </c>
      <c r="G30" s="2">
        <f>'No Till Dryland Cotton'!YVarExp</f>
        <v>0</v>
      </c>
      <c r="H30" s="2"/>
      <c r="I30" s="2">
        <f>'No Till Dryland Cotton'!YPrice</f>
        <v>0</v>
      </c>
      <c r="J30" s="2" t="str">
        <f>'No Till Dryland Cotton'!Unit</f>
        <v>Pound</v>
      </c>
      <c r="K30" s="5">
        <f t="shared" si="3"/>
        <v>0</v>
      </c>
      <c r="L30" s="5">
        <f t="shared" si="4"/>
        <v>0</v>
      </c>
    </row>
    <row r="31" spans="1:12" ht="18.75" customHeight="1" x14ac:dyDescent="0.2">
      <c r="A31" s="3" t="str">
        <f>+CottonIrrigated!A3</f>
        <v>Sprinkler Irrigated Cotton</v>
      </c>
      <c r="B31" s="3">
        <f>+CottonIrrigated!E7</f>
        <v>0</v>
      </c>
      <c r="C31" s="14">
        <f>+CottonIrrigated!YTotRet</f>
        <v>0</v>
      </c>
      <c r="D31" s="14">
        <f>+CottonIrrigated!YVarRet</f>
        <v>0</v>
      </c>
      <c r="E31" s="1"/>
      <c r="F31" s="2">
        <f>+CottonIrrigated!YTotExp</f>
        <v>0</v>
      </c>
      <c r="G31" s="2">
        <f>+CottonIrrigated!YVarExp</f>
        <v>0</v>
      </c>
      <c r="H31" s="2"/>
      <c r="I31" s="2">
        <f>+CottonIrrigated!YPrice</f>
        <v>0</v>
      </c>
      <c r="J31" s="2" t="str">
        <f>+CottonIrrigated!Unit</f>
        <v>Pound</v>
      </c>
      <c r="K31" s="5">
        <f>+IF($I31=0,0,F31/$I31)</f>
        <v>0</v>
      </c>
      <c r="L31" s="5">
        <f>+IF($I31=0,0,G31/$I31)</f>
        <v>0</v>
      </c>
    </row>
    <row r="32" spans="1:12" ht="18.75" customHeight="1" x14ac:dyDescent="0.2">
      <c r="A32" s="3" t="str">
        <f>+Peanuts!A3</f>
        <v>Irrigated Peanuts</v>
      </c>
      <c r="B32" s="3">
        <f>+Peanuts!E7</f>
        <v>0</v>
      </c>
      <c r="C32" s="14">
        <f>+Peanuts!YTotRet</f>
        <v>0</v>
      </c>
      <c r="D32" s="14">
        <f>+Peanuts!YVarRet</f>
        <v>0</v>
      </c>
      <c r="E32" s="2"/>
      <c r="F32" s="2">
        <f>+Peanuts!YTotExp</f>
        <v>0</v>
      </c>
      <c r="G32" s="2">
        <f>+Peanuts!YVarExp</f>
        <v>0</v>
      </c>
      <c r="H32" s="2"/>
      <c r="I32" s="2">
        <f>+Peanuts!YPrice</f>
        <v>0</v>
      </c>
      <c r="J32" s="2" t="str">
        <f>+Peanuts!Unit</f>
        <v>Ton</v>
      </c>
      <c r="K32" s="5">
        <f t="shared" si="1"/>
        <v>0</v>
      </c>
      <c r="L32" s="5">
        <f t="shared" si="2"/>
        <v>0</v>
      </c>
    </row>
    <row r="33" spans="1:12" ht="18.75" customHeight="1" x14ac:dyDescent="0.2">
      <c r="A33" s="3" t="str">
        <f>+SorghumDryland!A3</f>
        <v>Dryland Sorghum</v>
      </c>
      <c r="B33" s="3">
        <f>+SorghumDryland!E7</f>
        <v>0</v>
      </c>
      <c r="C33" s="14">
        <f>+SorghumDryland!YTotRet</f>
        <v>0</v>
      </c>
      <c r="D33" s="14">
        <f>+SorghumDryland!YVarRet</f>
        <v>0</v>
      </c>
      <c r="E33" s="1"/>
      <c r="F33" s="2">
        <f>+SorghumDryland!YTotExp</f>
        <v>0</v>
      </c>
      <c r="G33" s="2">
        <f>+SorghumDryland!YVarExp</f>
        <v>0</v>
      </c>
      <c r="H33" s="2"/>
      <c r="I33" s="2">
        <f>+SorghumDryland!YPrice</f>
        <v>0</v>
      </c>
      <c r="J33" s="2" t="str">
        <f>+SorghumDryland!Unit</f>
        <v>CWT</v>
      </c>
      <c r="K33" s="5">
        <f t="shared" ref="K33:L34" si="5">+IF($I33=0,0,F33/$I33)</f>
        <v>0</v>
      </c>
      <c r="L33" s="5">
        <f t="shared" si="5"/>
        <v>0</v>
      </c>
    </row>
    <row r="34" spans="1:12" ht="18.75" customHeight="1" x14ac:dyDescent="0.2">
      <c r="A34" s="3" t="str">
        <f>+WheatDryland!A3</f>
        <v>Dryland Wheat</v>
      </c>
      <c r="B34" s="3">
        <f>+WheatDryland!E7</f>
        <v>0</v>
      </c>
      <c r="C34" s="14">
        <f>+WheatDryland!YTotRet</f>
        <v>0</v>
      </c>
      <c r="D34" s="14">
        <f>+WheatDryland!YVarRet</f>
        <v>0</v>
      </c>
      <c r="E34" s="1"/>
      <c r="F34" s="2">
        <f>+WheatDryland!YTotExp</f>
        <v>0</v>
      </c>
      <c r="G34" s="2">
        <f>+WheatDryland!YVarExp</f>
        <v>0</v>
      </c>
      <c r="H34" s="2"/>
      <c r="I34" s="2">
        <f>+WheatDryland!YPrice</f>
        <v>0</v>
      </c>
      <c r="J34" s="2" t="str">
        <f>+WheatDryland!Unit</f>
        <v>Bushel</v>
      </c>
      <c r="K34" s="5">
        <f t="shared" si="5"/>
        <v>0</v>
      </c>
      <c r="L34" s="5">
        <f t="shared" si="5"/>
        <v>0</v>
      </c>
    </row>
    <row r="35" spans="1:12" ht="18.75" customHeight="1" x14ac:dyDescent="0.2">
      <c r="A35" s="3" t="str">
        <f>'NoTill Wheat Dryland'!A3</f>
        <v>Dryland Wheat - No till</v>
      </c>
      <c r="B35" s="3">
        <f>'NoTill Wheat Dryland'!E7</f>
        <v>0</v>
      </c>
      <c r="C35" s="14">
        <f>'NoTill Wheat Dryland'!YTotRet</f>
        <v>0</v>
      </c>
      <c r="D35" s="14">
        <f>'NoTill Wheat Dryland'!YVarRet</f>
        <v>0</v>
      </c>
      <c r="E35" s="1"/>
      <c r="F35" s="2">
        <f>'NoTill Wheat Dryland'!YTotExp</f>
        <v>0</v>
      </c>
      <c r="G35" s="2">
        <f>'NoTill Wheat Dryland'!YVarExp</f>
        <v>0</v>
      </c>
      <c r="H35" s="2"/>
      <c r="I35" s="2">
        <f>'NoTill Wheat Dryland'!YPrice</f>
        <v>0</v>
      </c>
      <c r="J35" s="2" t="str">
        <f>'NoTill Wheat Dryland'!Unit</f>
        <v>Bushel</v>
      </c>
      <c r="K35" s="5">
        <f>IF(I35=0,0,F35/I35)</f>
        <v>0</v>
      </c>
      <c r="L35" s="5">
        <f>IF(I35=0,0,G35/I35)</f>
        <v>0</v>
      </c>
    </row>
    <row r="36" spans="1:12" ht="18.75" customHeight="1" x14ac:dyDescent="0.2">
      <c r="A36" s="3" t="str">
        <f>'Wheat Irrigated'!A3</f>
        <v>Irrigated Wheat</v>
      </c>
      <c r="B36" s="3">
        <f>'Wheat Irrigated'!E7</f>
        <v>0</v>
      </c>
      <c r="C36" s="14">
        <f>'Wheat Irrigated'!YTotRet</f>
        <v>0</v>
      </c>
      <c r="D36" s="14">
        <f>'Wheat Irrigated'!YVarRet</f>
        <v>0</v>
      </c>
      <c r="E36" s="1"/>
      <c r="F36" s="2">
        <f>'Wheat Irrigated'!YTotExp</f>
        <v>0</v>
      </c>
      <c r="G36" s="2">
        <f>'Wheat Irrigated'!YVarExp</f>
        <v>0</v>
      </c>
      <c r="H36" s="2"/>
      <c r="I36" s="2">
        <f>'Wheat Irrigated'!YPrice</f>
        <v>0</v>
      </c>
      <c r="J36" s="2" t="str">
        <f>'Wheat Irrigated'!Unit</f>
        <v>Bushel</v>
      </c>
      <c r="K36" s="5">
        <f>IF(I36=0,0,F36/I36)</f>
        <v>0</v>
      </c>
      <c r="L36" s="5">
        <f>IF(I36=0,0,G36/I36)</f>
        <v>0</v>
      </c>
    </row>
    <row r="37" spans="1:12" ht="18.75" customHeight="1" x14ac:dyDescent="0.2">
      <c r="A37" s="3" t="str">
        <f>'OrganicWheat Year 3'!A3</f>
        <v>Organic wheat Y3</v>
      </c>
      <c r="B37" s="3">
        <f>'OrganicWheat Year 3'!E7</f>
        <v>0</v>
      </c>
      <c r="C37" s="14">
        <f>'OrganicWheat Year 3'!YTotRet</f>
        <v>0</v>
      </c>
      <c r="D37" s="14">
        <f>'OrganicWheat Year 3'!YVarRet</f>
        <v>0</v>
      </c>
      <c r="E37" s="1"/>
      <c r="F37" s="2">
        <f>'OrganicWheat Year 3'!YTotExp</f>
        <v>0</v>
      </c>
      <c r="G37" s="2">
        <f>'OrganicWheat Year 3'!YVarExp</f>
        <v>0</v>
      </c>
      <c r="H37" s="2"/>
      <c r="I37" s="2">
        <f>'OrganicWheat Year 3'!YPrice</f>
        <v>0</v>
      </c>
      <c r="J37" s="2" t="str">
        <f>'OrganicWheat Year 3'!Unit</f>
        <v>Bushel</v>
      </c>
      <c r="K37" s="5">
        <f>IF(I37=0,0,F37/I37)</f>
        <v>0</v>
      </c>
      <c r="L37" s="5">
        <f>IF(I37=0,0,G37/I37)</f>
        <v>0</v>
      </c>
    </row>
    <row r="38" spans="1:12" ht="18.75" customHeight="1" x14ac:dyDescent="0.2">
      <c r="A38" s="3" t="str">
        <f>'Organic Summer HayCrop'!A3</f>
        <v>Organic summer Hay Crop</v>
      </c>
      <c r="B38" s="3">
        <f>'Organic Summer HayCrop'!E7</f>
        <v>0</v>
      </c>
      <c r="C38" s="14">
        <f>'Organic Summer HayCrop'!YTotRet</f>
        <v>0</v>
      </c>
      <c r="D38" s="14">
        <f>'Organic Summer HayCrop'!YVarRet</f>
        <v>0</v>
      </c>
      <c r="E38" s="1"/>
      <c r="F38" s="2">
        <f>'Organic Summer HayCrop'!YTotExp</f>
        <v>0</v>
      </c>
      <c r="G38" s="2">
        <f>'Organic Summer HayCrop'!YVarExp</f>
        <v>0</v>
      </c>
      <c r="H38" s="2"/>
      <c r="I38" s="2">
        <f>'Organic Summer HayCrop'!YPrice</f>
        <v>0</v>
      </c>
      <c r="J38" s="2" t="str">
        <f>'Organic Summer HayCrop'!Unit</f>
        <v>Ton</v>
      </c>
      <c r="K38" s="5">
        <f>IF(I38=0,0,F38/I38)</f>
        <v>0</v>
      </c>
      <c r="L38" s="5">
        <f>IF(I38=0,0,G38/I38)</f>
        <v>0</v>
      </c>
    </row>
    <row r="39" spans="1:12" ht="18.75" customHeight="1" x14ac:dyDescent="0.2">
      <c r="A39" s="3" t="str">
        <f>OrganicDrylandWheat!A3</f>
        <v>Organic Wheat Y1</v>
      </c>
      <c r="B39" s="3">
        <f>OrganicDrylandWheat!E7</f>
        <v>0</v>
      </c>
      <c r="C39" s="14">
        <f>OrganicDrylandWheat!YTotRet</f>
        <v>0</v>
      </c>
      <c r="D39" s="14">
        <f>OrganicDrylandWheat!YVarRet</f>
        <v>0</v>
      </c>
      <c r="E39" s="1"/>
      <c r="F39" s="2">
        <f>OrganicDrylandWheat!YTotExp</f>
        <v>0</v>
      </c>
      <c r="G39" s="2">
        <f>OrganicDrylandWheat!YVarExp</f>
        <v>0</v>
      </c>
      <c r="H39" s="2"/>
      <c r="I39" s="2">
        <f>OrganicDrylandWheat!YPrice</f>
        <v>0</v>
      </c>
      <c r="J39" s="2" t="str">
        <f>OrganicDrylandWheat!Unit</f>
        <v>Bushel</v>
      </c>
      <c r="K39" s="5">
        <f>IF(I39=0,0,F39/I39)</f>
        <v>0</v>
      </c>
      <c r="L39" s="5">
        <f>IF(I39=0,0,G39/I39)</f>
        <v>0</v>
      </c>
    </row>
    <row r="40" spans="1:12" ht="18.75" customHeight="1" x14ac:dyDescent="0.2">
      <c r="A40" s="3"/>
      <c r="B40" s="3"/>
      <c r="C40" s="14"/>
      <c r="D40" s="14"/>
      <c r="E40" s="1"/>
      <c r="F40" s="2"/>
      <c r="G40" s="2"/>
      <c r="H40" s="2"/>
      <c r="I40" s="2"/>
      <c r="J40" s="2"/>
      <c r="K40" s="5"/>
      <c r="L40" s="5"/>
    </row>
    <row r="41" spans="1:12" ht="18.75" customHeight="1" x14ac:dyDescent="0.2">
      <c r="A41" s="14" t="s">
        <v>144</v>
      </c>
      <c r="B41" s="14"/>
      <c r="C41" s="14"/>
      <c r="D41" s="14"/>
      <c r="E41" s="1"/>
      <c r="F41" s="2"/>
      <c r="G41" s="2"/>
      <c r="H41" s="2"/>
      <c r="I41" s="2"/>
      <c r="J41" s="2"/>
      <c r="K41" s="5"/>
      <c r="L41" s="5"/>
    </row>
    <row r="42" spans="1:12" ht="18.75" customHeight="1" x14ac:dyDescent="0.2">
      <c r="A42" s="14"/>
      <c r="B42" s="14"/>
      <c r="C42" s="14"/>
      <c r="D42" s="14"/>
      <c r="E42" s="1"/>
      <c r="F42" s="2"/>
      <c r="G42" s="2"/>
      <c r="H42" s="2"/>
      <c r="I42" s="2"/>
      <c r="J42" s="2"/>
      <c r="K42" s="5"/>
      <c r="L42" s="5"/>
    </row>
    <row r="43" spans="1:12" ht="16.5" customHeight="1" x14ac:dyDescent="0.2">
      <c r="A43" s="15" t="str">
        <f>+CowCalf!A3</f>
        <v>Rolling Plains Cow-Calf Production</v>
      </c>
      <c r="B43" s="3">
        <f>+CowCalf!E7</f>
        <v>0</v>
      </c>
      <c r="C43" s="14">
        <f>+CowCalf!YTotRet</f>
        <v>0</v>
      </c>
      <c r="D43" s="14">
        <f>+CowCalf!YVarRet</f>
        <v>0</v>
      </c>
      <c r="F43" s="8">
        <f>+CowCalf!YTotExp</f>
        <v>0</v>
      </c>
      <c r="G43" s="8">
        <f>+CowCalf!YVarExp</f>
        <v>0</v>
      </c>
      <c r="H43" s="8"/>
      <c r="I43" s="8" t="e">
        <f>+CowCalf!YPrice</f>
        <v>#NAME?</v>
      </c>
      <c r="J43" s="8" t="str">
        <f>+CowCalf!Unit</f>
        <v>CWT</v>
      </c>
      <c r="K43" s="5" t="e">
        <f t="shared" ref="K43:L44" si="6">+IF($I43=0,0,F43/$I43)</f>
        <v>#NAME?</v>
      </c>
      <c r="L43" s="5" t="e">
        <f t="shared" si="6"/>
        <v>#NAME?</v>
      </c>
    </row>
    <row r="44" spans="1:12" ht="16.5" customHeight="1" x14ac:dyDescent="0.2">
      <c r="A44" s="15" t="str">
        <f>+StockersMar1!A3</f>
        <v>Stocker Calf Budget - Pull off Wheat March 1</v>
      </c>
      <c r="B44" s="3">
        <f>+StockersMar1!E7</f>
        <v>0</v>
      </c>
      <c r="C44" s="14">
        <f>+StockersMar1!YTotRet</f>
        <v>0</v>
      </c>
      <c r="D44" s="14">
        <f>+StockersMar1!YVarRet</f>
        <v>0</v>
      </c>
      <c r="F44" s="8">
        <f>+StockersMar1!YTotExp</f>
        <v>0</v>
      </c>
      <c r="G44" s="8">
        <f>+StockersMar1!YVarExp</f>
        <v>0</v>
      </c>
      <c r="H44" s="8"/>
      <c r="I44" s="8">
        <f>+StockersMar1!YPrice</f>
        <v>0</v>
      </c>
      <c r="J44" s="8" t="str">
        <f>+StockersMar1!Unit</f>
        <v>CWT</v>
      </c>
      <c r="K44" s="5">
        <f t="shared" si="6"/>
        <v>0</v>
      </c>
      <c r="L44" s="5">
        <f t="shared" si="6"/>
        <v>0</v>
      </c>
    </row>
    <row r="45" spans="1:12" ht="16.5" customHeight="1" x14ac:dyDescent="0.2">
      <c r="A45" s="15" t="str">
        <f>+StockerGrazeOut!A3</f>
        <v>Stocker Calf Budget - Grazeout</v>
      </c>
      <c r="B45" s="3">
        <f>+StockerGrazeOut!E7</f>
        <v>0</v>
      </c>
      <c r="C45" s="14">
        <f>+StockerGrazeOut!YTotRet</f>
        <v>0</v>
      </c>
      <c r="D45" s="14">
        <f>+StockerGrazeOut!YVarRet</f>
        <v>0</v>
      </c>
      <c r="F45" s="8">
        <f>+StockerGrazeOut!YTotExp</f>
        <v>0</v>
      </c>
      <c r="G45" s="8">
        <f>+StockerGrazeOut!YVarExp</f>
        <v>0</v>
      </c>
      <c r="H45" s="8"/>
      <c r="I45" s="8">
        <f>+StockerGrazeOut!YPrice</f>
        <v>0</v>
      </c>
      <c r="J45" s="8" t="str">
        <f>+StockerGrazeOut!Unit</f>
        <v>CWT</v>
      </c>
      <c r="K45" s="5">
        <f>+IF($I45=0,0,F45/$I45)</f>
        <v>0</v>
      </c>
      <c r="L45" s="5">
        <f>+IF($I45=0,0,G45/$I45)</f>
        <v>0</v>
      </c>
    </row>
    <row r="46" spans="1:12" ht="16.5" customHeight="1" x14ac:dyDescent="0.2">
      <c r="A46" s="15"/>
      <c r="B46" s="15"/>
      <c r="C46" s="14"/>
      <c r="D46" s="14"/>
      <c r="F46" s="8"/>
      <c r="G46" s="8"/>
      <c r="H46" s="8"/>
      <c r="I46" s="8"/>
      <c r="J46" s="8"/>
      <c r="K46" s="5"/>
      <c r="L46" s="5"/>
    </row>
    <row r="47" spans="1:12" ht="18.75" customHeight="1" x14ac:dyDescent="0.2">
      <c r="A47" s="14" t="s">
        <v>312</v>
      </c>
      <c r="B47" s="14"/>
      <c r="C47" s="14"/>
      <c r="D47" s="14"/>
      <c r="E47" s="1"/>
      <c r="F47" s="2"/>
      <c r="G47" s="2"/>
      <c r="H47" s="2"/>
      <c r="I47" s="2"/>
      <c r="J47" s="2"/>
      <c r="K47" s="5"/>
      <c r="L47" s="5"/>
    </row>
    <row r="48" spans="1:12" ht="18.75" customHeight="1" x14ac:dyDescent="0.2">
      <c r="A48" s="14"/>
      <c r="B48" s="14"/>
      <c r="C48" s="14"/>
      <c r="D48" s="14"/>
      <c r="E48" s="1"/>
      <c r="F48" s="2"/>
      <c r="G48" s="2"/>
      <c r="H48" s="2"/>
      <c r="I48" s="2"/>
      <c r="J48" s="2"/>
      <c r="K48" s="5"/>
      <c r="L48" s="5"/>
    </row>
    <row r="49" spans="1:12" ht="16.5" customHeight="1" x14ac:dyDescent="0.2">
      <c r="A49" s="15" t="str">
        <f>+'Livestock Budget'!A3</f>
        <v>Livestock Budget</v>
      </c>
      <c r="B49" s="3">
        <f>+'Livestock Budget'!D5</f>
        <v>0</v>
      </c>
      <c r="C49" s="14">
        <f>+'Livestock Budget'!YTotRet</f>
        <v>0</v>
      </c>
      <c r="D49" s="14">
        <f>+'Livestock Budget'!YVarRet</f>
        <v>0</v>
      </c>
      <c r="F49" s="8">
        <f>+'Livestock Budget'!YTotExp</f>
        <v>0</v>
      </c>
      <c r="G49" s="8">
        <f>+'Livestock Budget'!YVarExp</f>
        <v>0</v>
      </c>
      <c r="H49" s="8"/>
      <c r="I49" s="8">
        <f>+'Livestock Budget'!YPrice</f>
        <v>0</v>
      </c>
      <c r="J49" s="8" t="str">
        <f>+'Livestock Budget'!Unit</f>
        <v>CWT</v>
      </c>
      <c r="K49" s="5">
        <f>+IF($I49=0,0,F49/$I49)</f>
        <v>0</v>
      </c>
      <c r="L49" s="5">
        <f>+IF($I49=0,0,G49/$I49)</f>
        <v>0</v>
      </c>
    </row>
    <row r="50" spans="1:12" ht="16.5" customHeight="1" x14ac:dyDescent="0.2">
      <c r="A50" s="15" t="str">
        <f>+'Crop Budget'!A3</f>
        <v>Crop Enterprise</v>
      </c>
      <c r="B50" s="183">
        <f>+'Crop Budget'!D5</f>
        <v>0</v>
      </c>
      <c r="C50" s="14">
        <f>+'Crop Budget'!YTotRet</f>
        <v>0</v>
      </c>
      <c r="D50" s="14">
        <f>+'Crop Budget'!YVarRet</f>
        <v>0</v>
      </c>
      <c r="F50" s="8">
        <f>+'Crop Budget'!YTotExp</f>
        <v>0</v>
      </c>
      <c r="G50" s="8">
        <f>+'Crop Budget'!YVarExp</f>
        <v>0</v>
      </c>
      <c r="H50" s="8"/>
      <c r="I50" s="8">
        <f>+'Crop Budget'!YPrice</f>
        <v>0</v>
      </c>
      <c r="J50" s="8" t="str">
        <f>+'Crop Budget'!Unit</f>
        <v>Cwt,lb,etc</v>
      </c>
      <c r="K50" s="5">
        <f>+IF($I50=0,0,F50/$I50)</f>
        <v>0</v>
      </c>
      <c r="L50" s="5">
        <f>+IF($I50=0,0,G50/$I50)</f>
        <v>0</v>
      </c>
    </row>
  </sheetData>
  <sheetProtection sheet="1" objects="1" scenarios="1"/>
  <mergeCells count="3">
    <mergeCell ref="C3:D3"/>
    <mergeCell ref="F3:G3"/>
    <mergeCell ref="I3:L3"/>
  </mergeCells>
  <conditionalFormatting sqref="A5:B6">
    <cfRule type="cellIs" dxfId="27" priority="13" stopIfTrue="1" operator="lessThan">
      <formula>$C$1</formula>
    </cfRule>
    <cfRule type="cellIs" dxfId="26" priority="14" stopIfTrue="1" operator="greaterThanOrEqual">
      <formula>$C$1</formula>
    </cfRule>
  </conditionalFormatting>
  <conditionalFormatting sqref="A41:B42">
    <cfRule type="cellIs" dxfId="25" priority="9" stopIfTrue="1" operator="lessThan">
      <formula>$C$1</formula>
    </cfRule>
    <cfRule type="cellIs" dxfId="24" priority="10" stopIfTrue="1" operator="greaterThanOrEqual">
      <formula>$C$1</formula>
    </cfRule>
  </conditionalFormatting>
  <conditionalFormatting sqref="A47:B48">
    <cfRule type="cellIs" dxfId="23" priority="3" stopIfTrue="1" operator="lessThan">
      <formula>$C$1</formula>
    </cfRule>
    <cfRule type="cellIs" dxfId="22" priority="4" stopIfTrue="1" operator="greaterThanOrEqual">
      <formula>$C$1</formula>
    </cfRule>
  </conditionalFormatting>
  <conditionalFormatting sqref="A16:D17">
    <cfRule type="cellIs" dxfId="21" priority="7" stopIfTrue="1" operator="lessThan">
      <formula>$C$1</formula>
    </cfRule>
    <cfRule type="cellIs" dxfId="20" priority="8" stopIfTrue="1" operator="greaterThanOrEqual">
      <formula>$C$1</formula>
    </cfRule>
  </conditionalFormatting>
  <conditionalFormatting sqref="C7:D14">
    <cfRule type="cellIs" dxfId="19" priority="17" stopIfTrue="1" operator="lessThan">
      <formula>$C$1</formula>
    </cfRule>
    <cfRule type="cellIs" dxfId="18" priority="18" stopIfTrue="1" operator="greaterThanOrEqual">
      <formula>$C$1</formula>
    </cfRule>
  </conditionalFormatting>
  <conditionalFormatting sqref="C18:D50">
    <cfRule type="cellIs" dxfId="17" priority="1" stopIfTrue="1" operator="lessThan">
      <formula>$C$1</formula>
    </cfRule>
    <cfRule type="cellIs" dxfId="16" priority="2" stopIfTrue="1" operator="greaterThanOrEqual">
      <formula>$C$1</formula>
    </cfRule>
  </conditionalFormatting>
  <pageMargins left="0.75" right="0.75" top="1" bottom="1" header="0.5" footer="0.5"/>
  <pageSetup scale="85" fitToWidth="3" orientation="landscape" r:id="rId1"/>
  <headerFooter alignWithMargins="0">
    <oddHeader>&amp;RVersion 00.02.2012</oddHeader>
    <oddFooter>&amp;CTexas AgriLife Extension Service provides this software for educational use, solely on an “AS IS” basis and  assumes no liability for its use.</oddFooter>
  </headerFooter>
  <colBreaks count="2" manualBreakCount="2">
    <brk id="5" max="28" man="1"/>
    <brk id="8" max="28" man="1"/>
  </col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244">
    <tabColor theme="3" tint="0.39997558519241921"/>
  </sheetPr>
  <dimension ref="A1:AC65"/>
  <sheetViews>
    <sheetView zoomScaleNormal="90" workbookViewId="0">
      <pane xSplit="1" ySplit="4" topLeftCell="B5" activePane="bottomRight" state="frozen"/>
      <selection activeCell="B38" sqref="B38"/>
      <selection pane="topRight" activeCell="B38" sqref="B38"/>
      <selection pane="bottomLeft" activeCell="B38" sqref="B38"/>
      <selection pane="bottomRight" activeCell="A10" sqref="A10:XFD10"/>
    </sheetView>
  </sheetViews>
  <sheetFormatPr defaultColWidth="8.5703125" defaultRowHeight="12.75" x14ac:dyDescent="0.2"/>
  <cols>
    <col min="1" max="1" width="76.140625" customWidth="1"/>
    <col min="2" max="2" width="11.5703125" customWidth="1"/>
    <col min="3" max="4" width="18.42578125" customWidth="1"/>
    <col min="5" max="5" width="20.42578125" customWidth="1"/>
    <col min="6" max="6" width="5.42578125" customWidth="1"/>
    <col min="7" max="9" width="14.5703125" customWidth="1"/>
    <col min="10" max="10" width="5.5703125" customWidth="1"/>
    <col min="11" max="11" width="14.5703125" customWidth="1"/>
    <col min="12" max="12" width="7.5703125" customWidth="1"/>
    <col min="13" max="15" width="14.5703125" customWidth="1"/>
    <col min="17" max="18" width="18.42578125" customWidth="1"/>
    <col min="19" max="19" width="20.42578125" customWidth="1"/>
    <col min="20" max="20" width="5.42578125" customWidth="1"/>
    <col min="21" max="23" width="14.5703125" customWidth="1"/>
    <col min="24" max="24" width="5.5703125" customWidth="1"/>
    <col min="25" max="25" width="14.5703125" customWidth="1"/>
    <col min="26" max="26" width="7.5703125" customWidth="1"/>
    <col min="27" max="29" width="14.5703125" customWidth="1"/>
  </cols>
  <sheetData>
    <row r="1" spans="1:29" x14ac:dyDescent="0.2">
      <c r="A1" s="3" t="s">
        <v>168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</row>
    <row r="2" spans="1:29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9" ht="24.75" customHeight="1" x14ac:dyDescent="0.2">
      <c r="A3" s="12" t="s">
        <v>164</v>
      </c>
      <c r="B3" s="26" t="s">
        <v>181</v>
      </c>
      <c r="C3" s="285" t="s">
        <v>7</v>
      </c>
      <c r="D3" s="285"/>
      <c r="E3" s="235"/>
      <c r="F3" s="26"/>
      <c r="G3" s="285" t="s">
        <v>6</v>
      </c>
      <c r="H3" s="285"/>
      <c r="I3" s="235"/>
      <c r="J3" s="26"/>
      <c r="K3" s="285" t="s">
        <v>330</v>
      </c>
      <c r="L3" s="235"/>
      <c r="M3" s="235"/>
      <c r="N3" s="235"/>
      <c r="O3" s="235"/>
      <c r="Q3" s="285" t="s">
        <v>165</v>
      </c>
      <c r="R3" s="285"/>
      <c r="S3" s="235"/>
      <c r="T3" s="26"/>
      <c r="U3" s="285" t="s">
        <v>166</v>
      </c>
      <c r="V3" s="285"/>
      <c r="W3" s="235"/>
      <c r="X3" s="26"/>
      <c r="Y3" s="285" t="s">
        <v>331</v>
      </c>
      <c r="Z3" s="235"/>
      <c r="AA3" s="235"/>
      <c r="AB3" s="235"/>
      <c r="AC3" s="235"/>
    </row>
    <row r="4" spans="1:29" ht="31.35" customHeight="1" x14ac:dyDescent="0.2">
      <c r="B4" s="126" t="s">
        <v>182</v>
      </c>
      <c r="C4" s="1" t="s">
        <v>12</v>
      </c>
      <c r="D4" s="1" t="s">
        <v>9</v>
      </c>
      <c r="E4" s="29" t="s">
        <v>10</v>
      </c>
      <c r="F4" s="1"/>
      <c r="G4" s="1" t="s">
        <v>12</v>
      </c>
      <c r="H4" s="1" t="s">
        <v>9</v>
      </c>
      <c r="I4" s="6" t="s">
        <v>10</v>
      </c>
      <c r="J4" s="6"/>
      <c r="K4" s="1" t="s">
        <v>4</v>
      </c>
      <c r="L4" s="13" t="s">
        <v>21</v>
      </c>
      <c r="M4" s="1" t="s">
        <v>12</v>
      </c>
      <c r="N4" s="1" t="s">
        <v>9</v>
      </c>
      <c r="O4" s="6" t="s">
        <v>10</v>
      </c>
      <c r="Q4" s="1" t="s">
        <v>12</v>
      </c>
      <c r="R4" s="1" t="s">
        <v>9</v>
      </c>
      <c r="S4" s="29" t="s">
        <v>10</v>
      </c>
      <c r="T4" s="1"/>
      <c r="U4" s="1" t="s">
        <v>12</v>
      </c>
      <c r="V4" s="1" t="s">
        <v>9</v>
      </c>
      <c r="W4" s="6" t="s">
        <v>10</v>
      </c>
      <c r="X4" s="6"/>
      <c r="Y4" s="1" t="s">
        <v>4</v>
      </c>
      <c r="Z4" s="13" t="s">
        <v>21</v>
      </c>
      <c r="AA4" s="1" t="s">
        <v>12</v>
      </c>
      <c r="AB4" s="1" t="s">
        <v>9</v>
      </c>
      <c r="AC4" s="6" t="s">
        <v>10</v>
      </c>
    </row>
    <row r="5" spans="1:29" ht="18.75" customHeight="1" x14ac:dyDescent="0.2">
      <c r="A5" s="14" t="s">
        <v>143</v>
      </c>
      <c r="B5" s="14"/>
      <c r="C5" s="1"/>
      <c r="D5" s="1"/>
      <c r="E5" s="6"/>
      <c r="F5" s="1"/>
      <c r="G5" s="1"/>
      <c r="H5" s="1"/>
      <c r="I5" s="6"/>
      <c r="J5" s="6"/>
      <c r="K5" s="1"/>
      <c r="L5" s="13"/>
      <c r="M5" s="1"/>
      <c r="N5" s="1"/>
      <c r="O5" s="6"/>
      <c r="Q5" s="1"/>
      <c r="R5" s="1"/>
      <c r="S5" s="6"/>
      <c r="T5" s="1"/>
      <c r="U5" s="1"/>
      <c r="V5" s="1"/>
      <c r="W5" s="6"/>
      <c r="X5" s="6"/>
      <c r="Y5" s="1"/>
      <c r="Z5" s="13"/>
      <c r="AA5" s="1"/>
      <c r="AB5" s="1"/>
      <c r="AC5" s="6"/>
    </row>
    <row r="6" spans="1:29" ht="18.75" customHeight="1" x14ac:dyDescent="0.2">
      <c r="A6" s="14"/>
      <c r="B6" s="14"/>
      <c r="C6" s="1"/>
      <c r="D6" s="1"/>
      <c r="E6" s="6"/>
      <c r="F6" s="1"/>
      <c r="G6" s="1"/>
      <c r="H6" s="1"/>
      <c r="I6" s="6"/>
      <c r="J6" s="6"/>
      <c r="K6" s="1"/>
      <c r="L6" s="13"/>
      <c r="M6" s="1"/>
      <c r="N6" s="1"/>
      <c r="O6" s="6"/>
      <c r="Q6" s="1"/>
      <c r="R6" s="1"/>
      <c r="S6" s="6"/>
      <c r="T6" s="1"/>
      <c r="U6" s="1"/>
      <c r="V6" s="1"/>
      <c r="W6" s="6"/>
      <c r="X6" s="6"/>
      <c r="Y6" s="1"/>
      <c r="Z6" s="13"/>
      <c r="AA6" s="1"/>
      <c r="AB6" s="1"/>
      <c r="AC6" s="6"/>
    </row>
    <row r="7" spans="1:29" ht="18.75" customHeight="1" x14ac:dyDescent="0.2">
      <c r="A7" s="3" t="str">
        <f>+AlfalfaDrylandEstablish!A3</f>
        <v>Dryland Alfalfa Establishment</v>
      </c>
      <c r="B7" s="3">
        <f>+AlfalfaDrylandEstablish!E7</f>
        <v>0</v>
      </c>
      <c r="C7" s="14">
        <f>+AlfalfaDrylandEstablish!YTotRet</f>
        <v>0</v>
      </c>
      <c r="D7" s="14">
        <f>+AlfalfaDrylandEstablish!YTTotRet</f>
        <v>0</v>
      </c>
      <c r="E7" s="14">
        <f>+AlfalfaDrylandEstablish!YLTotRet</f>
        <v>0</v>
      </c>
      <c r="F7" s="1"/>
      <c r="G7" s="2">
        <f>+AlfalfaDrylandEstablish!YTotExp</f>
        <v>0</v>
      </c>
      <c r="H7" s="2">
        <f>+AlfalfaDrylandEstablish!YTTotExp</f>
        <v>0</v>
      </c>
      <c r="I7" s="2">
        <f>+AlfalfaDrylandEstablish!YLTotExp</f>
        <v>0</v>
      </c>
      <c r="J7" s="2"/>
      <c r="K7" s="2">
        <f>+AlfalfaDrylandEstablish!YPrice</f>
        <v>0</v>
      </c>
      <c r="L7" s="2" t="str">
        <f>+AlfalfaDrylandEstablish!Unit</f>
        <v/>
      </c>
      <c r="M7" s="5">
        <f>+IF($K7=0,0,G7/$K7)</f>
        <v>0</v>
      </c>
      <c r="N7" s="5">
        <f>+IF($K7=0,0,H7/$K7)</f>
        <v>0</v>
      </c>
      <c r="O7" s="5">
        <f>+IF($K7=0,0,I7/$K7)</f>
        <v>0</v>
      </c>
      <c r="Q7" s="14">
        <f>+AlfalfaDrylandEstablish!YVarRet</f>
        <v>0</v>
      </c>
      <c r="R7" s="14">
        <f>+AlfalfaDrylandEstablish!YTVarRet</f>
        <v>0</v>
      </c>
      <c r="S7" s="14">
        <f>+AlfalfaDrylandEstablish!YLVarRet</f>
        <v>0</v>
      </c>
      <c r="T7" s="1"/>
      <c r="U7" s="2">
        <f>+AlfalfaDrylandEstablish!YVarExp</f>
        <v>0</v>
      </c>
      <c r="V7" s="2">
        <f>+AlfalfaDrylandEstablish!YTVarExp</f>
        <v>0</v>
      </c>
      <c r="W7" s="2">
        <f>+AlfalfaDrylandEstablish!YLVarExp</f>
        <v>0</v>
      </c>
      <c r="X7" s="2"/>
      <c r="Y7" s="2">
        <f>+AlfalfaDrylandEstablish!YPrice</f>
        <v>0</v>
      </c>
      <c r="Z7" s="2" t="str">
        <f>+AlfalfaDrylandEstablish!Unit</f>
        <v/>
      </c>
      <c r="AA7" s="5">
        <f t="shared" ref="AA7:AC7" si="0">+IF($K7=0,0,U7/$K7)</f>
        <v>0</v>
      </c>
      <c r="AB7" s="5">
        <f t="shared" si="0"/>
        <v>0</v>
      </c>
      <c r="AC7" s="5">
        <f t="shared" si="0"/>
        <v>0</v>
      </c>
    </row>
    <row r="8" spans="1:29" ht="18.75" customHeight="1" x14ac:dyDescent="0.2">
      <c r="A8" s="3" t="str">
        <f>CoastalEstab!A3</f>
        <v>Coastal Bermudagrass Establishment</v>
      </c>
      <c r="B8" s="3">
        <f>CoastalEstab!E7</f>
        <v>0</v>
      </c>
      <c r="C8" s="14">
        <f>CoastalEstab!YTotRet</f>
        <v>0</v>
      </c>
      <c r="D8" s="14">
        <f>CoastalEstab!YTTotRet</f>
        <v>0</v>
      </c>
      <c r="E8" s="14">
        <f>CoastalEstab!YLTotRet</f>
        <v>0</v>
      </c>
      <c r="F8" s="1"/>
      <c r="G8" s="2">
        <f>CoastalEstab!YTotExp</f>
        <v>0</v>
      </c>
      <c r="H8" s="2">
        <f>CoastalEstab!YTTotExp</f>
        <v>0</v>
      </c>
      <c r="I8" s="2">
        <f>CoastalEstab!YLTotExp</f>
        <v>0</v>
      </c>
      <c r="J8" s="2"/>
      <c r="K8" s="2">
        <f>CoastalEstab!YPrice</f>
        <v>0</v>
      </c>
      <c r="L8" s="2" t="str">
        <f>CoastalEstab!Unit</f>
        <v/>
      </c>
      <c r="M8" s="5">
        <f>IF(K8=0,0,G8/K8)</f>
        <v>0</v>
      </c>
      <c r="N8" s="5">
        <f>IF(K8=0,0,H8/K8)</f>
        <v>0</v>
      </c>
      <c r="O8" s="5">
        <f>IF(K8=0,0,I8/K8)</f>
        <v>0</v>
      </c>
      <c r="Q8" s="14">
        <f>CoastalEstab!YVarRet</f>
        <v>0</v>
      </c>
      <c r="R8" s="14">
        <f>CoastalEstab!YTVarRet</f>
        <v>0</v>
      </c>
      <c r="S8" s="14">
        <f>CoastalEstab!YLVarRet</f>
        <v>0</v>
      </c>
      <c r="T8" s="1"/>
      <c r="U8" s="2">
        <f>CoastalEstab!YVarExp</f>
        <v>0</v>
      </c>
      <c r="V8" s="2">
        <f>CoastalEstab!YTVarExp</f>
        <v>0</v>
      </c>
      <c r="W8" s="2">
        <f>CoastalEstab!YLVarExp</f>
        <v>0</v>
      </c>
      <c r="X8" s="2"/>
      <c r="Y8" s="2">
        <f>CoastalEstab!YPrice</f>
        <v>0</v>
      </c>
      <c r="Z8" s="2" t="str">
        <f>CoastalEstab!Unit</f>
        <v/>
      </c>
      <c r="AA8" s="5">
        <f>IF(K8=0,0,U8/K8)</f>
        <v>0</v>
      </c>
      <c r="AB8" s="5">
        <f>IF(K8=0,0,V8/K8)</f>
        <v>0</v>
      </c>
      <c r="AC8" s="5">
        <f>IF(K8=0,0,W8/K8)</f>
        <v>0</v>
      </c>
    </row>
    <row r="9" spans="1:29" ht="18.75" customHeight="1" x14ac:dyDescent="0.2">
      <c r="A9" s="3" t="str">
        <f>+AlfalfaHayDryland!A3</f>
        <v>Dryland Alfalfa Hay</v>
      </c>
      <c r="B9" s="3">
        <f>+AlfalfaHayDryland!E7</f>
        <v>0</v>
      </c>
      <c r="C9" s="14">
        <f>+AlfalfaHayDryland!YTotRet</f>
        <v>0</v>
      </c>
      <c r="D9" s="14">
        <f>+AlfalfaHayDryland!YTTotRet</f>
        <v>0</v>
      </c>
      <c r="E9" s="14">
        <f>+AlfalfaHayDryland!YLTotRet</f>
        <v>0</v>
      </c>
      <c r="F9" s="1"/>
      <c r="G9" s="2">
        <f>+AlfalfaHayDryland!YTotExp</f>
        <v>0</v>
      </c>
      <c r="H9" s="2">
        <f>+AlfalfaHayDryland!YTTotExp</f>
        <v>0</v>
      </c>
      <c r="I9" s="2">
        <f>+AlfalfaHayDryland!YLTotExp</f>
        <v>0</v>
      </c>
      <c r="J9" s="2"/>
      <c r="K9" s="2">
        <f>+AlfalfaHayDryland!YPrice</f>
        <v>0</v>
      </c>
      <c r="L9" s="2" t="str">
        <f>+AlfalfaHayDryland!Unit</f>
        <v>Ton</v>
      </c>
      <c r="M9" s="5">
        <f t="shared" ref="M9" si="1">+IF($K9=0,0,G9/$K9)</f>
        <v>0</v>
      </c>
      <c r="N9" s="5">
        <f t="shared" ref="N9" si="2">+IF($K9=0,0,H9/$K9)</f>
        <v>0</v>
      </c>
      <c r="O9" s="5">
        <f t="shared" ref="O9" si="3">+IF($K9=0,0,I9/$K9)</f>
        <v>0</v>
      </c>
      <c r="Q9" s="14">
        <f>+AlfalfaHayDryland!YVarRet</f>
        <v>0</v>
      </c>
      <c r="R9" s="14">
        <f>+AlfalfaHayDryland!YTVarRet</f>
        <v>0</v>
      </c>
      <c r="S9" s="14">
        <f>+AlfalfaHayDryland!YLVarRet</f>
        <v>0</v>
      </c>
      <c r="T9" s="1"/>
      <c r="U9" s="2">
        <f>+AlfalfaHayDryland!YVarExp</f>
        <v>0</v>
      </c>
      <c r="V9" s="2">
        <f>+AlfalfaHayDryland!YTVarExp</f>
        <v>0</v>
      </c>
      <c r="W9" s="2">
        <f>+AlfalfaHayDryland!YLVarExp</f>
        <v>0</v>
      </c>
      <c r="X9" s="2"/>
      <c r="Y9" s="2">
        <f>+AlfalfaHayDryland!YPrice</f>
        <v>0</v>
      </c>
      <c r="Z9" s="2" t="str">
        <f>+AlfalfaHayDryland!Unit</f>
        <v>Ton</v>
      </c>
      <c r="AA9" s="5">
        <f t="shared" ref="AA9" si="4">+IF($K9=0,0,U9/$K9)</f>
        <v>0</v>
      </c>
      <c r="AB9" s="5">
        <f t="shared" ref="AB9" si="5">+IF($K9=0,0,V9/$K9)</f>
        <v>0</v>
      </c>
      <c r="AC9" s="5">
        <f t="shared" ref="AC9" si="6">+IF($K9=0,0,W9/$K9)</f>
        <v>0</v>
      </c>
    </row>
    <row r="10" spans="1:29" ht="18.75" customHeight="1" x14ac:dyDescent="0.2">
      <c r="A10" s="3" t="str">
        <f>CoastalDryland!A3</f>
        <v>Coastal Bermudagrass Hay Dryland</v>
      </c>
      <c r="B10" s="3">
        <f>CoastalDryland!E7</f>
        <v>0</v>
      </c>
      <c r="C10" s="14">
        <f>CoastalDryland!YTotRet</f>
        <v>0</v>
      </c>
      <c r="D10" s="14">
        <f>CoastalDryland!YTTotRet</f>
        <v>0</v>
      </c>
      <c r="E10" s="14">
        <f>CoastalDryland!YLTotRet</f>
        <v>0</v>
      </c>
      <c r="F10" s="1"/>
      <c r="G10" s="2">
        <f>CoastalDryland!YTotExp</f>
        <v>0</v>
      </c>
      <c r="H10" s="2">
        <f>CoastalDryland!YTTotExp</f>
        <v>0</v>
      </c>
      <c r="I10" s="2">
        <f>CoastalDryland!YLTotExp</f>
        <v>0</v>
      </c>
      <c r="J10" s="2"/>
      <c r="K10" s="2">
        <f>CoastalDryland!YPrice</f>
        <v>0</v>
      </c>
      <c r="L10" s="2" t="str">
        <f>CoastalDryland!Unit</f>
        <v>Round Bale</v>
      </c>
      <c r="M10" s="5">
        <f>IF(K10=0,0,G10/K10)</f>
        <v>0</v>
      </c>
      <c r="N10" s="5">
        <f>IF(K10=0,0,H10/K10)</f>
        <v>0</v>
      </c>
      <c r="O10" s="5">
        <f>IF(K10=0,0,I10/K10)</f>
        <v>0</v>
      </c>
      <c r="Q10" s="14">
        <f>CoastalDryland!YVarRet</f>
        <v>0</v>
      </c>
      <c r="R10" s="14">
        <f>CoastalDryland!YTVarRet</f>
        <v>0</v>
      </c>
      <c r="S10" s="14">
        <f>CoastalDryland!YLVarRet</f>
        <v>0</v>
      </c>
      <c r="T10" s="1"/>
      <c r="U10" s="2">
        <f>CoastalDryland!YVarExp</f>
        <v>0</v>
      </c>
      <c r="V10" s="2">
        <f>CoastalDryland!YTVarExp</f>
        <v>0</v>
      </c>
      <c r="W10" s="2">
        <f>CoastalDryland!YLVarExp</f>
        <v>0</v>
      </c>
      <c r="X10" s="2"/>
      <c r="Y10" s="2">
        <f>CoastalDryland!YPrice</f>
        <v>0</v>
      </c>
      <c r="Z10" s="2" t="str">
        <f>CoastalDryland!Unit</f>
        <v>Round Bale</v>
      </c>
      <c r="AA10" s="5">
        <f>IF(K10=0,0,U10/K10)</f>
        <v>0</v>
      </c>
      <c r="AB10" s="5">
        <f>IF(K10=0,0,V10/K10)</f>
        <v>0</v>
      </c>
      <c r="AC10" s="5">
        <f>IF(K10=0,0,W10/K10)</f>
        <v>0</v>
      </c>
    </row>
    <row r="11" spans="1:29" ht="18.75" customHeight="1" x14ac:dyDescent="0.2">
      <c r="A11" s="3" t="str">
        <f>+AlfalfaIrrigatedEstablish!A3</f>
        <v>Irrigated Alfalfa Establishment</v>
      </c>
      <c r="B11" s="3">
        <f>+AlfalfaIrrigatedEstablish!E7</f>
        <v>0</v>
      </c>
      <c r="C11" s="14">
        <f>+AlfalfaIrrigatedEstablish!YTotRet</f>
        <v>0</v>
      </c>
      <c r="D11" s="14">
        <f>+AlfalfaIrrigatedEstablish!YTTotRet</f>
        <v>0</v>
      </c>
      <c r="E11" s="14">
        <f>+AlfalfaIrrigatedEstablish!YLTotRet</f>
        <v>0</v>
      </c>
      <c r="F11" s="1"/>
      <c r="G11" s="2">
        <f>+AlfalfaIrrigatedEstablish!YTotExp</f>
        <v>0</v>
      </c>
      <c r="H11" s="2">
        <f>+AlfalfaIrrigatedEstablish!YTTotExp</f>
        <v>0</v>
      </c>
      <c r="I11" s="2">
        <f>+AlfalfaIrrigatedEstablish!YLTotExp</f>
        <v>0</v>
      </c>
      <c r="J11" s="2"/>
      <c r="K11" s="2">
        <f>+AlfalfaIrrigatedEstablish!YPrice</f>
        <v>0</v>
      </c>
      <c r="L11" s="2" t="str">
        <f>+AlfalfaIrrigatedEstablish!Unit</f>
        <v/>
      </c>
      <c r="M11" s="5">
        <f t="shared" ref="M11:O13" si="7">+IF($K11=0,0,G11/$K11)</f>
        <v>0</v>
      </c>
      <c r="N11" s="5">
        <f t="shared" si="7"/>
        <v>0</v>
      </c>
      <c r="O11" s="5">
        <f t="shared" si="7"/>
        <v>0</v>
      </c>
      <c r="Q11" s="14">
        <f>+AlfalfaIrrigatedEstablish!YVarRet</f>
        <v>0</v>
      </c>
      <c r="R11" s="14">
        <f>+AlfalfaIrrigatedEstablish!YTVarRet</f>
        <v>0</v>
      </c>
      <c r="S11" s="14">
        <f>+AlfalfaIrrigatedEstablish!YLVarRet</f>
        <v>0</v>
      </c>
      <c r="T11" s="1"/>
      <c r="U11" s="2">
        <f>+AlfalfaIrrigatedEstablish!YVarExp</f>
        <v>0</v>
      </c>
      <c r="V11" s="2">
        <f>+AlfalfaIrrigatedEstablish!YTVarExp</f>
        <v>0</v>
      </c>
      <c r="W11" s="2">
        <f>+AlfalfaIrrigatedEstablish!YLVarExp</f>
        <v>0</v>
      </c>
      <c r="X11" s="2"/>
      <c r="Y11" s="2">
        <f>+AlfalfaIrrigatedEstablish!YPrice</f>
        <v>0</v>
      </c>
      <c r="Z11" s="2" t="str">
        <f>+AlfalfaIrrigatedEstablish!Unit</f>
        <v/>
      </c>
      <c r="AA11" s="5">
        <f t="shared" ref="AA11:AC13" si="8">+IF($K11=0,0,U11/$K11)</f>
        <v>0</v>
      </c>
      <c r="AB11" s="5">
        <f t="shared" si="8"/>
        <v>0</v>
      </c>
      <c r="AC11" s="5">
        <f t="shared" si="8"/>
        <v>0</v>
      </c>
    </row>
    <row r="12" spans="1:29" ht="18.75" customHeight="1" x14ac:dyDescent="0.2">
      <c r="A12" s="3" t="str">
        <f>+AlfalfaHayIrrigated!A3</f>
        <v>Irrigated Alfalfa Hay</v>
      </c>
      <c r="B12" s="3">
        <f>+AlfalfaHayIrrigated!E7</f>
        <v>0</v>
      </c>
      <c r="C12" s="14">
        <f>+AlfalfaHayIrrigated!YTotRet</f>
        <v>0</v>
      </c>
      <c r="D12" s="14">
        <f>+AlfalfaHayIrrigated!YTTotRet</f>
        <v>0</v>
      </c>
      <c r="E12" s="14">
        <f>+AlfalfaHayIrrigated!YLTotRet</f>
        <v>0</v>
      </c>
      <c r="F12" s="1"/>
      <c r="G12" s="2">
        <f>+AlfalfaHayIrrigated!YTotExp</f>
        <v>0</v>
      </c>
      <c r="H12" s="2">
        <f>+AlfalfaHayIrrigated!YTTotExp</f>
        <v>0</v>
      </c>
      <c r="I12" s="2">
        <f>+AlfalfaHayIrrigated!YLTotExp</f>
        <v>0</v>
      </c>
      <c r="J12" s="2"/>
      <c r="K12" s="2">
        <f>+AlfalfaHayIrrigated!YPrice</f>
        <v>0</v>
      </c>
      <c r="L12" s="2" t="str">
        <f>+AlfalfaHayIrrigated!Unit</f>
        <v>Ton</v>
      </c>
      <c r="M12" s="5">
        <f t="shared" si="7"/>
        <v>0</v>
      </c>
      <c r="N12" s="5">
        <f t="shared" si="7"/>
        <v>0</v>
      </c>
      <c r="O12" s="5">
        <f t="shared" si="7"/>
        <v>0</v>
      </c>
      <c r="Q12" s="14">
        <f>+AlfalfaHayIrrigated!YVarRet</f>
        <v>0</v>
      </c>
      <c r="R12" s="14">
        <f>+AlfalfaHayIrrigated!YTVarRet</f>
        <v>0</v>
      </c>
      <c r="S12" s="14">
        <f>+AlfalfaHayIrrigated!YLVarRet</f>
        <v>0</v>
      </c>
      <c r="T12" s="1"/>
      <c r="U12" s="2">
        <f>+AlfalfaHayIrrigated!YVarExp</f>
        <v>0</v>
      </c>
      <c r="V12" s="2">
        <f>+AlfalfaHayIrrigated!YTVarExp</f>
        <v>0</v>
      </c>
      <c r="W12" s="2">
        <f>+AlfalfaHayIrrigated!YLVarExp</f>
        <v>0</v>
      </c>
      <c r="X12" s="2"/>
      <c r="Y12" s="2">
        <f>+AlfalfaHayIrrigated!YPrice</f>
        <v>0</v>
      </c>
      <c r="Z12" s="2" t="str">
        <f>+AlfalfaHayIrrigated!Unit</f>
        <v>Ton</v>
      </c>
      <c r="AA12" s="5">
        <f t="shared" si="8"/>
        <v>0</v>
      </c>
      <c r="AB12" s="5">
        <f t="shared" si="8"/>
        <v>0</v>
      </c>
      <c r="AC12" s="5">
        <f t="shared" si="8"/>
        <v>0</v>
      </c>
    </row>
    <row r="13" spans="1:29" ht="18.75" customHeight="1" x14ac:dyDescent="0.2">
      <c r="A13" s="3" t="str">
        <f>+SmallGrain!A3</f>
        <v>Small Grain Grazing</v>
      </c>
      <c r="B13" s="3">
        <f>+SmallGrain!E7</f>
        <v>0</v>
      </c>
      <c r="C13" s="14">
        <f>+SmallGrain!YTotRet</f>
        <v>0</v>
      </c>
      <c r="D13" s="14">
        <f>+SmallGrain!YTTotRet</f>
        <v>0</v>
      </c>
      <c r="E13" s="14">
        <f>+SmallGrain!YLTotRet</f>
        <v>0</v>
      </c>
      <c r="F13" s="1"/>
      <c r="G13" s="2">
        <f>+SmallGrain!YTotExp</f>
        <v>0</v>
      </c>
      <c r="H13" s="2">
        <f>+SmallGrain!YTTotExp</f>
        <v>0</v>
      </c>
      <c r="I13" s="2">
        <f>+SmallGrain!YLTotExp</f>
        <v>0</v>
      </c>
      <c r="J13" s="2"/>
      <c r="K13" s="2">
        <f>+SmallGrain!YPrice</f>
        <v>0</v>
      </c>
      <c r="L13" s="2" t="str">
        <f>+SmallGrain!Unit</f>
        <v/>
      </c>
      <c r="M13" s="5">
        <f t="shared" si="7"/>
        <v>0</v>
      </c>
      <c r="N13" s="5">
        <f t="shared" si="7"/>
        <v>0</v>
      </c>
      <c r="O13" s="5">
        <f t="shared" si="7"/>
        <v>0</v>
      </c>
      <c r="Q13" s="14">
        <f>+SmallGrain!YVarRet</f>
        <v>0</v>
      </c>
      <c r="R13" s="14">
        <f>+SmallGrain!YTVarRet</f>
        <v>0</v>
      </c>
      <c r="S13" s="14">
        <f>+SmallGrain!YLVarRet</f>
        <v>0</v>
      </c>
      <c r="T13" s="1"/>
      <c r="U13" s="2">
        <f>+SmallGrain!YVarExp</f>
        <v>0</v>
      </c>
      <c r="V13" s="2">
        <f>+SmallGrain!YTVarExp</f>
        <v>0</v>
      </c>
      <c r="W13" s="2">
        <f>+SmallGrain!YLVarExp</f>
        <v>0</v>
      </c>
      <c r="X13" s="2"/>
      <c r="Y13" s="2">
        <f>+SmallGrain!YPrice</f>
        <v>0</v>
      </c>
      <c r="Z13" s="2" t="str">
        <f>+SmallGrain!Unit</f>
        <v/>
      </c>
      <c r="AA13" s="5">
        <f t="shared" si="8"/>
        <v>0</v>
      </c>
      <c r="AB13" s="5">
        <f t="shared" si="8"/>
        <v>0</v>
      </c>
      <c r="AC13" s="5">
        <f t="shared" si="8"/>
        <v>0</v>
      </c>
    </row>
    <row r="14" spans="1:29" ht="18.75" customHeight="1" x14ac:dyDescent="0.2">
      <c r="A14" s="3" t="str">
        <f>'SD Fescue'!A3</f>
        <v>Summer Dormant Fescue</v>
      </c>
      <c r="B14" s="3">
        <f>'SD Fescue'!E7</f>
        <v>0</v>
      </c>
      <c r="C14" s="14">
        <f>'SD Fescue'!YTotRet</f>
        <v>0</v>
      </c>
      <c r="D14" s="14">
        <f>'SD Fescue'!YTTotRet</f>
        <v>0</v>
      </c>
      <c r="E14" s="14">
        <f>'SD Fescue'!YLTotRet</f>
        <v>0</v>
      </c>
      <c r="F14" s="1"/>
      <c r="G14" s="2">
        <f>'SD Fescue'!YTotExp</f>
        <v>0</v>
      </c>
      <c r="H14" s="2">
        <f>'SD Fescue'!YTTotExp</f>
        <v>0</v>
      </c>
      <c r="I14" s="2">
        <f>'SD Fescue'!YLTotExp</f>
        <v>0</v>
      </c>
      <c r="J14" s="2"/>
      <c r="K14" s="2">
        <f>'SD Fescue'!YPrice</f>
        <v>0</v>
      </c>
      <c r="L14" s="2" t="str">
        <f>'SD Fescue'!Unit</f>
        <v/>
      </c>
      <c r="M14" s="5">
        <f>IF(K14=0,0,G14/K14)</f>
        <v>0</v>
      </c>
      <c r="N14" s="5">
        <f>IF(K14=0,0,H14/K14)</f>
        <v>0</v>
      </c>
      <c r="O14" s="5">
        <f>IF(K14=0,0,I14/K14)</f>
        <v>0</v>
      </c>
      <c r="Q14" s="14">
        <f>'SD Fescue'!YVarRet</f>
        <v>0</v>
      </c>
      <c r="R14" s="14">
        <f>'SD Fescue'!YTVarRet</f>
        <v>0</v>
      </c>
      <c r="S14" s="14">
        <f>'SD Fescue'!YLVarRet</f>
        <v>0</v>
      </c>
      <c r="T14" s="1"/>
      <c r="U14" s="2">
        <f>'SD Fescue'!YVarExp</f>
        <v>0</v>
      </c>
      <c r="V14" s="2">
        <f>'SD Fescue'!YTVarExp</f>
        <v>0</v>
      </c>
      <c r="W14" s="2">
        <f>'SD Fescue'!YLVarExp</f>
        <v>0</v>
      </c>
      <c r="X14" s="2"/>
      <c r="Y14" s="2">
        <f>'SD Fescue'!YPrice</f>
        <v>0</v>
      </c>
      <c r="Z14" s="2" t="str">
        <f>'SD Fescue'!Unit</f>
        <v/>
      </c>
      <c r="AA14" s="5">
        <f>IF(K14=0,0,U14/K14)</f>
        <v>0</v>
      </c>
      <c r="AB14" s="5">
        <f>IF(K14=0,0,V14/K14)</f>
        <v>0</v>
      </c>
      <c r="AC14" s="5">
        <f>IF(K14=0,0,W14/K14)</f>
        <v>0</v>
      </c>
    </row>
    <row r="15" spans="1:29" ht="18.75" customHeight="1" x14ac:dyDescent="0.2">
      <c r="A15" s="3"/>
      <c r="B15" s="3"/>
      <c r="C15" s="14"/>
      <c r="D15" s="14"/>
      <c r="E15" s="14"/>
      <c r="F15" s="1"/>
      <c r="G15" s="2"/>
      <c r="H15" s="2"/>
      <c r="I15" s="2"/>
      <c r="J15" s="2"/>
      <c r="K15" s="2"/>
      <c r="L15" s="2"/>
      <c r="M15" s="5"/>
      <c r="N15" s="5"/>
      <c r="O15" s="5"/>
      <c r="Q15" s="14"/>
      <c r="R15" s="14"/>
      <c r="S15" s="14"/>
      <c r="T15" s="1"/>
      <c r="U15" s="2"/>
      <c r="V15" s="2"/>
      <c r="W15" s="2"/>
      <c r="X15" s="2"/>
      <c r="Y15" s="2"/>
      <c r="Z15" s="2"/>
      <c r="AA15" s="5"/>
      <c r="AB15" s="5"/>
      <c r="AC15" s="5"/>
    </row>
    <row r="16" spans="1:29" ht="18.75" customHeight="1" x14ac:dyDescent="0.2">
      <c r="A16" s="14" t="s">
        <v>433</v>
      </c>
      <c r="B16" s="3"/>
      <c r="C16" s="14"/>
      <c r="D16" s="14"/>
      <c r="E16" s="14"/>
      <c r="F16" s="1"/>
      <c r="G16" s="2"/>
      <c r="H16" s="2"/>
      <c r="I16" s="2"/>
      <c r="J16" s="2"/>
      <c r="K16" s="2"/>
      <c r="L16" s="2"/>
      <c r="M16" s="5"/>
      <c r="N16" s="5"/>
      <c r="O16" s="5"/>
      <c r="Q16" s="14"/>
      <c r="R16" s="14"/>
      <c r="S16" s="14"/>
      <c r="T16" s="1"/>
      <c r="U16" s="2"/>
      <c r="V16" s="2"/>
      <c r="W16" s="2"/>
      <c r="X16" s="2"/>
      <c r="Y16" s="2"/>
      <c r="Z16" s="2"/>
      <c r="AA16" s="5"/>
      <c r="AB16" s="5"/>
      <c r="AC16" s="5"/>
    </row>
    <row r="17" spans="1:29" ht="18.75" customHeight="1" x14ac:dyDescent="0.2">
      <c r="A17" s="14"/>
      <c r="B17" s="3"/>
      <c r="C17" s="14"/>
      <c r="D17" s="14"/>
      <c r="E17" s="14"/>
      <c r="F17" s="1"/>
      <c r="G17" s="2"/>
      <c r="H17" s="2"/>
      <c r="I17" s="2"/>
      <c r="J17" s="2"/>
      <c r="K17" s="2"/>
      <c r="L17" s="2"/>
      <c r="M17" s="5"/>
      <c r="N17" s="5"/>
      <c r="O17" s="5"/>
      <c r="Q17" s="14"/>
      <c r="R17" s="14"/>
      <c r="S17" s="14"/>
      <c r="T17" s="1"/>
      <c r="U17" s="2"/>
      <c r="V17" s="2"/>
      <c r="W17" s="2"/>
      <c r="X17" s="2"/>
      <c r="Y17" s="2"/>
      <c r="Z17" s="2"/>
      <c r="AA17" s="5"/>
      <c r="AB17" s="5"/>
      <c r="AC17" s="5"/>
    </row>
    <row r="18" spans="1:29" ht="18.75" customHeight="1" x14ac:dyDescent="0.2">
      <c r="A18" s="3" t="str">
        <f>+CanolaDryland!A3</f>
        <v>Dryland Canola</v>
      </c>
      <c r="B18" s="3">
        <f>+CanolaDryland!E7</f>
        <v>0</v>
      </c>
      <c r="C18" s="14">
        <f>+CanolaDryland!YTotRet</f>
        <v>0</v>
      </c>
      <c r="D18" s="14">
        <f>+CanolaDryland!YTTotRet</f>
        <v>0</v>
      </c>
      <c r="E18" s="14">
        <f>+CanolaDryland!YLTotRet</f>
        <v>0</v>
      </c>
      <c r="F18" s="1"/>
      <c r="G18" s="2">
        <f>+CanolaDryland!YTotExp</f>
        <v>0</v>
      </c>
      <c r="H18" s="2">
        <f>+CanolaDryland!YTTotExp</f>
        <v>0</v>
      </c>
      <c r="I18" s="2">
        <f>+CanolaDryland!YLTotExp</f>
        <v>0</v>
      </c>
      <c r="J18" s="2"/>
      <c r="K18" s="2">
        <f>+CanolaDryland!YPrice</f>
        <v>0</v>
      </c>
      <c r="L18" s="2" t="str">
        <f>+CanolaDryland!Unit</f>
        <v>Pound</v>
      </c>
      <c r="M18" s="5">
        <f t="shared" ref="M18:O19" si="9">+IF($K18=0,0,G18/$K18)</f>
        <v>0</v>
      </c>
      <c r="N18" s="5">
        <f t="shared" si="9"/>
        <v>0</v>
      </c>
      <c r="O18" s="5">
        <f t="shared" si="9"/>
        <v>0</v>
      </c>
      <c r="Q18" s="14">
        <f>+CanolaDryland!YVarRet</f>
        <v>0</v>
      </c>
      <c r="R18" s="14">
        <f>+CanolaDryland!YTVarRet</f>
        <v>0</v>
      </c>
      <c r="S18" s="14">
        <f>+CanolaDryland!YLVarRet</f>
        <v>0</v>
      </c>
      <c r="T18" s="1"/>
      <c r="U18" s="2">
        <f>+CanolaDryland!YVarExp</f>
        <v>0</v>
      </c>
      <c r="V18" s="2">
        <f>+CanolaDryland!YTVarExp</f>
        <v>0</v>
      </c>
      <c r="W18" s="2">
        <f>+CanolaDryland!YLVarExp</f>
        <v>0</v>
      </c>
      <c r="X18" s="2"/>
      <c r="Y18" s="2">
        <f>+CanolaDryland!YPrice</f>
        <v>0</v>
      </c>
      <c r="Z18" s="2" t="str">
        <f>+CanolaDryland!Unit</f>
        <v>Pound</v>
      </c>
      <c r="AA18" s="5">
        <f t="shared" ref="AA18:AC19" si="10">+IF($K18=0,0,U18/$K18)</f>
        <v>0</v>
      </c>
      <c r="AB18" s="5">
        <f t="shared" si="10"/>
        <v>0</v>
      </c>
      <c r="AC18" s="5">
        <f t="shared" si="10"/>
        <v>0</v>
      </c>
    </row>
    <row r="19" spans="1:29" ht="18.75" customHeight="1" x14ac:dyDescent="0.2">
      <c r="A19" s="3" t="str">
        <f>+CottonDryland2X1!A3</f>
        <v>Dryland Cotton (2X1 Planting Pattern)</v>
      </c>
      <c r="B19" s="3">
        <f>+CottonDryland2X1!E7</f>
        <v>0</v>
      </c>
      <c r="C19" s="14">
        <f>+CottonDryland2X1!YTotRet</f>
        <v>0</v>
      </c>
      <c r="D19" s="14">
        <f>+CottonDryland2X1!YTTotRet</f>
        <v>0</v>
      </c>
      <c r="E19" s="14">
        <f>+CottonDryland2X1!YLTotRet</f>
        <v>0</v>
      </c>
      <c r="F19" s="1"/>
      <c r="G19" s="2">
        <f>+CottonDryland2X1!YTotExp</f>
        <v>0</v>
      </c>
      <c r="H19" s="2">
        <f>+CottonDryland2X1!YTTotExp</f>
        <v>0</v>
      </c>
      <c r="I19" s="2">
        <f>+CottonDryland2X1!YLTotExp</f>
        <v>0</v>
      </c>
      <c r="J19" s="2"/>
      <c r="K19" s="2">
        <f>+CottonDryland2X1!YPrice</f>
        <v>0</v>
      </c>
      <c r="L19" s="2" t="str">
        <f>+CottonDryland2X1!Unit</f>
        <v>Pound</v>
      </c>
      <c r="M19" s="5">
        <f t="shared" si="9"/>
        <v>0</v>
      </c>
      <c r="N19" s="5">
        <f t="shared" si="9"/>
        <v>0</v>
      </c>
      <c r="O19" s="5">
        <f t="shared" si="9"/>
        <v>0</v>
      </c>
      <c r="Q19" s="14">
        <f>+CottonDryland2X1!YVarRet</f>
        <v>0</v>
      </c>
      <c r="R19" s="14">
        <f>+CottonDryland2X1!YTVarRet</f>
        <v>0</v>
      </c>
      <c r="S19" s="14">
        <f>+CottonDryland2X1!YLVarRet</f>
        <v>0</v>
      </c>
      <c r="T19" s="1"/>
      <c r="U19" s="2">
        <f>+CottonDryland2X1!YVarExp</f>
        <v>0</v>
      </c>
      <c r="V19" s="2">
        <f>+CottonDryland2X1!YTVarExp</f>
        <v>0</v>
      </c>
      <c r="W19" s="2">
        <f>+CottonDryland2X1!YLVarExp</f>
        <v>0</v>
      </c>
      <c r="X19" s="2"/>
      <c r="Y19" s="2">
        <f>+CottonDryland2X1!YPrice</f>
        <v>0</v>
      </c>
      <c r="Z19" s="2" t="str">
        <f>+CottonDryland2X1!Unit</f>
        <v>Pound</v>
      </c>
      <c r="AA19" s="5">
        <f t="shared" si="10"/>
        <v>0</v>
      </c>
      <c r="AB19" s="5">
        <f t="shared" si="10"/>
        <v>0</v>
      </c>
      <c r="AC19" s="5">
        <f t="shared" si="10"/>
        <v>0</v>
      </c>
    </row>
    <row r="20" spans="1:29" ht="18.75" customHeight="1" x14ac:dyDescent="0.2">
      <c r="A20" s="3" t="str">
        <f>+CottonDrylandSolid!A3</f>
        <v>Dryland Cotton (Solid 40" Rows)</v>
      </c>
      <c r="B20" s="3">
        <f>+CottonDrylandSolid!E7</f>
        <v>0</v>
      </c>
      <c r="C20" s="14">
        <f>+CottonDrylandSolid!YTotRet</f>
        <v>0</v>
      </c>
      <c r="D20" s="14">
        <f>+CottonDrylandSolid!YTTotRet</f>
        <v>0</v>
      </c>
      <c r="E20" s="14">
        <f>+CottonDrylandSolid!YLTotRet</f>
        <v>0</v>
      </c>
      <c r="F20" s="1"/>
      <c r="G20" s="2">
        <f>+CottonDrylandSolid!YTotExp</f>
        <v>0</v>
      </c>
      <c r="H20" s="2">
        <f>+CottonDrylandSolid!YTTotExp</f>
        <v>0</v>
      </c>
      <c r="I20" s="2">
        <f>+CottonDrylandSolid!YLTotExp</f>
        <v>0</v>
      </c>
      <c r="J20" s="2"/>
      <c r="K20" s="2">
        <f>+CottonDrylandSolid!YPrice</f>
        <v>0</v>
      </c>
      <c r="L20" s="2" t="str">
        <f>+CottonDrylandSolid!Unit</f>
        <v>Pound</v>
      </c>
      <c r="M20" s="5">
        <f t="shared" ref="M20:M32" si="11">+IF($K20=0,0,G20/$K20)</f>
        <v>0</v>
      </c>
      <c r="N20" s="5">
        <f t="shared" ref="N20:N32" si="12">+IF($K20=0,0,H20/$K20)</f>
        <v>0</v>
      </c>
      <c r="O20" s="5">
        <f t="shared" ref="O20:O32" si="13">+IF($K20=0,0,I20/$K20)</f>
        <v>0</v>
      </c>
      <c r="Q20" s="14">
        <f>+CottonDrylandSolid!YVarRet</f>
        <v>0</v>
      </c>
      <c r="R20" s="14">
        <f>+CottonDrylandSolid!YTVarRet</f>
        <v>0</v>
      </c>
      <c r="S20" s="14">
        <f>+CottonDrylandSolid!YLVarRet</f>
        <v>0</v>
      </c>
      <c r="T20" s="1"/>
      <c r="U20" s="2">
        <f>+CottonDrylandSolid!YVarExp</f>
        <v>0</v>
      </c>
      <c r="V20" s="2">
        <f>+CottonDrylandSolid!YTVarExp</f>
        <v>0</v>
      </c>
      <c r="W20" s="2">
        <f>+CottonDrylandSolid!YLVarExp</f>
        <v>0</v>
      </c>
      <c r="X20" s="2"/>
      <c r="Y20" s="2">
        <f>+CottonDrylandSolid!YPrice</f>
        <v>0</v>
      </c>
      <c r="Z20" s="2" t="str">
        <f>+CottonDrylandSolid!Unit</f>
        <v>Pound</v>
      </c>
      <c r="AA20" s="5">
        <f t="shared" ref="AA20:AA32" si="14">+IF($K20=0,0,U20/$K20)</f>
        <v>0</v>
      </c>
      <c r="AB20" s="5">
        <f t="shared" ref="AB20:AB32" si="15">+IF($K20=0,0,V20/$K20)</f>
        <v>0</v>
      </c>
      <c r="AC20" s="5">
        <f t="shared" ref="AC20:AC32" si="16">+IF($K20=0,0,W20/$K20)</f>
        <v>0</v>
      </c>
    </row>
    <row r="21" spans="1:29" ht="18.75" customHeight="1" x14ac:dyDescent="0.2">
      <c r="A21" s="3" t="str">
        <f>'Red Till Irrig Cotton'!A3</f>
        <v xml:space="preserve">Cotton - Red Till Irrig </v>
      </c>
      <c r="B21" s="3">
        <f>'Red Till Irrig Cotton'!E7</f>
        <v>0</v>
      </c>
      <c r="C21" s="14">
        <f>'Red Till Irrig Cotton'!YTotRet</f>
        <v>0</v>
      </c>
      <c r="D21" s="14">
        <f>'Red Till Irrig Cotton'!YTTotRet</f>
        <v>0</v>
      </c>
      <c r="E21" s="14">
        <f>'Red Till Irrig Cotton'!YLTotRet</f>
        <v>0</v>
      </c>
      <c r="F21" s="1"/>
      <c r="G21" s="2">
        <f>'Red Till Irrig Cotton'!YTotExp</f>
        <v>0</v>
      </c>
      <c r="H21" s="2">
        <f>'Red Till Irrig Cotton'!YTTotExp</f>
        <v>0</v>
      </c>
      <c r="I21" s="2">
        <f>'Red Till Irrig Cotton'!YLTotExp</f>
        <v>0</v>
      </c>
      <c r="J21" s="2"/>
      <c r="K21" s="2">
        <f>'Red Till Irrig Cotton'!YPrice</f>
        <v>0</v>
      </c>
      <c r="L21" s="2" t="str">
        <f>'Red Till Irrig Cotton'!Unit</f>
        <v>Pound</v>
      </c>
      <c r="M21" s="5">
        <f t="shared" ref="M21:M30" si="17">IF(K21=0,0,G21/K21)</f>
        <v>0</v>
      </c>
      <c r="N21" s="5">
        <f t="shared" ref="N21:N30" si="18">IF(K21=0,0,H21/K21)</f>
        <v>0</v>
      </c>
      <c r="O21" s="5">
        <f t="shared" ref="O21:O30" si="19">IF(K21=0,0,I21/K21)</f>
        <v>0</v>
      </c>
      <c r="Q21" s="14">
        <f>'Red Till Irrig Cotton'!YVarRet</f>
        <v>0</v>
      </c>
      <c r="R21" s="14">
        <f>'Red Till Irrig Cotton'!YTVarRet</f>
        <v>0</v>
      </c>
      <c r="S21" s="14">
        <f>'Red Till Irrig Cotton'!YLVarRet</f>
        <v>0</v>
      </c>
      <c r="T21" s="1"/>
      <c r="U21" s="2">
        <f>'Red Till Irrig Cotton'!YVarExp</f>
        <v>0</v>
      </c>
      <c r="V21" s="2">
        <f>'Red Till Irrig Cotton'!YTVarExp</f>
        <v>0</v>
      </c>
      <c r="W21" s="2">
        <f>'Red Till Irrig Cotton'!YLVarExp</f>
        <v>0</v>
      </c>
      <c r="X21" s="2"/>
      <c r="Y21" s="2">
        <f>'Red Till Irrig Cotton'!YPrice</f>
        <v>0</v>
      </c>
      <c r="Z21" s="2" t="str">
        <f>'Red Till Irrig Cotton'!Unit</f>
        <v>Pound</v>
      </c>
      <c r="AA21" s="5">
        <f t="shared" ref="AA21:AA30" si="20">IF(K21=0,0,U21/K21)</f>
        <v>0</v>
      </c>
      <c r="AB21" s="5">
        <f t="shared" ref="AB21:AB30" si="21">IF(K21=0,0,V21/K21)</f>
        <v>0</v>
      </c>
      <c r="AC21" s="5">
        <f t="shared" ref="AC21:AC30" si="22">IF(K21=0,0,W21/K21)</f>
        <v>0</v>
      </c>
    </row>
    <row r="22" spans="1:29" ht="18.75" customHeight="1" x14ac:dyDescent="0.2">
      <c r="A22" s="3" t="str">
        <f>'Conv M Irrig Cotton'!A3</f>
        <v>Conventional Irrig Cotton</v>
      </c>
      <c r="B22" s="3">
        <f>'Conv M Irrig Cotton'!E7</f>
        <v>0</v>
      </c>
      <c r="C22" s="14">
        <f>'Conv M Irrig Cotton'!YTotRet</f>
        <v>0</v>
      </c>
      <c r="D22" s="14">
        <f>'Conv M Irrig Cotton'!YTTotRet</f>
        <v>0</v>
      </c>
      <c r="E22" s="14">
        <f>'Conv M Irrig Cotton'!YLTotRet</f>
        <v>0</v>
      </c>
      <c r="F22" s="1"/>
      <c r="G22" s="2">
        <f>'Conv M Irrig Cotton'!YTotExp</f>
        <v>0</v>
      </c>
      <c r="H22" s="2">
        <f>'Conv M Irrig Cotton'!YTTotExp</f>
        <v>0</v>
      </c>
      <c r="I22" s="2">
        <f>'Conv M Irrig Cotton'!YLTotExp</f>
        <v>0</v>
      </c>
      <c r="J22" s="2"/>
      <c r="K22" s="2">
        <f>'Conv M Irrig Cotton'!YPrice</f>
        <v>0</v>
      </c>
      <c r="L22" s="2" t="str">
        <f>'Conv M Irrig Cotton'!Unit</f>
        <v>Pound</v>
      </c>
      <c r="M22" s="5">
        <f t="shared" si="17"/>
        <v>0</v>
      </c>
      <c r="N22" s="5">
        <f t="shared" si="18"/>
        <v>0</v>
      </c>
      <c r="O22" s="5">
        <f t="shared" si="19"/>
        <v>0</v>
      </c>
      <c r="Q22" s="14">
        <f>'Conv M Irrig Cotton'!YVarRet</f>
        <v>0</v>
      </c>
      <c r="R22" s="14">
        <f>'Conv M Irrig Cotton'!YTVarRet</f>
        <v>0</v>
      </c>
      <c r="S22" s="14">
        <f>'Conv M Irrig Cotton'!YLVarRet</f>
        <v>0</v>
      </c>
      <c r="T22" s="1"/>
      <c r="U22" s="2">
        <f>'Conv M Irrig Cotton'!YVarExp</f>
        <v>0</v>
      </c>
      <c r="V22" s="2">
        <f>'Conv M Irrig Cotton'!YTVarExp</f>
        <v>0</v>
      </c>
      <c r="W22" s="2">
        <f>'Conv M Irrig Cotton'!YLVarExp</f>
        <v>0</v>
      </c>
      <c r="X22" s="2"/>
      <c r="Y22" s="2">
        <f>'Conv M Irrig Cotton'!YPrice</f>
        <v>0</v>
      </c>
      <c r="Z22" s="2" t="str">
        <f>'Conv M Irrig Cotton'!Unit</f>
        <v>Pound</v>
      </c>
      <c r="AA22" s="5">
        <f t="shared" si="20"/>
        <v>0</v>
      </c>
      <c r="AB22" s="5">
        <f t="shared" si="21"/>
        <v>0</v>
      </c>
      <c r="AC22" s="5">
        <f t="shared" si="22"/>
        <v>0</v>
      </c>
    </row>
    <row r="23" spans="1:29" ht="18.75" customHeight="1" x14ac:dyDescent="0.2">
      <c r="A23" s="3" t="str">
        <f>'Conv L Irrig Cotton'!A3</f>
        <v>Conventional Low Irrig Cotton</v>
      </c>
      <c r="B23" s="3">
        <f>'Conv L Irrig Cotton'!E7</f>
        <v>0</v>
      </c>
      <c r="C23" s="14">
        <f>'Conv L Irrig Cotton'!YTotRet</f>
        <v>0</v>
      </c>
      <c r="D23" s="14">
        <f>'Conv L Irrig Cotton'!YTTotRet</f>
        <v>0</v>
      </c>
      <c r="E23" s="14">
        <f>'Conv L Irrig Cotton'!YLTotRet</f>
        <v>0</v>
      </c>
      <c r="F23" s="1"/>
      <c r="G23" s="2">
        <f>'Conv L Irrig Cotton'!YTotExp</f>
        <v>0</v>
      </c>
      <c r="H23" s="2">
        <f>'Conv L Irrig Cotton'!YTTotExp</f>
        <v>0</v>
      </c>
      <c r="I23" s="2">
        <f>'Conv L Irrig Cotton'!YLTotExp</f>
        <v>0</v>
      </c>
      <c r="J23" s="2"/>
      <c r="K23" s="2">
        <f>'Conv L Irrig Cotton'!YPrice</f>
        <v>0</v>
      </c>
      <c r="L23" s="2" t="str">
        <f>'Conv L Irrig Cotton'!Unit</f>
        <v>Pound</v>
      </c>
      <c r="M23" s="5">
        <f t="shared" si="17"/>
        <v>0</v>
      </c>
      <c r="N23" s="5">
        <f t="shared" si="18"/>
        <v>0</v>
      </c>
      <c r="O23" s="5">
        <f t="shared" si="19"/>
        <v>0</v>
      </c>
      <c r="Q23" s="14">
        <f>'Conv L Irrig Cotton'!YVarRet</f>
        <v>0</v>
      </c>
      <c r="R23" s="14">
        <f>'Conv L Irrig Cotton'!YTVarRet</f>
        <v>0</v>
      </c>
      <c r="S23" s="14">
        <f>'Conv L Irrig Cotton'!YLVarRet</f>
        <v>0</v>
      </c>
      <c r="T23" s="1"/>
      <c r="U23" s="2">
        <f>'Conv L Irrig Cotton'!YVarExp</f>
        <v>0</v>
      </c>
      <c r="V23" s="2">
        <f>'Conv L Irrig Cotton'!YTVarExp</f>
        <v>0</v>
      </c>
      <c r="W23" s="2">
        <f>'Conv L Irrig Cotton'!YLVarExp</f>
        <v>0</v>
      </c>
      <c r="X23" s="2"/>
      <c r="Y23" s="2">
        <f>'Conv L Irrig Cotton'!YPrice</f>
        <v>0</v>
      </c>
      <c r="Z23" s="2" t="str">
        <f>'Conv L Irrig Cotton'!Unit</f>
        <v>Pound</v>
      </c>
      <c r="AA23" s="5">
        <f t="shared" si="20"/>
        <v>0</v>
      </c>
      <c r="AB23" s="5">
        <f t="shared" si="21"/>
        <v>0</v>
      </c>
      <c r="AC23" s="5">
        <f t="shared" si="22"/>
        <v>0</v>
      </c>
    </row>
    <row r="24" spans="1:29" ht="18.75" customHeight="1" x14ac:dyDescent="0.2">
      <c r="A24" s="3" t="str">
        <f>'Red Till L Irrig Cotton'!A3</f>
        <v>Red Till Irrig Low Cotton</v>
      </c>
      <c r="B24" s="3">
        <f>'Red Till L Irrig Cotton'!E7</f>
        <v>0</v>
      </c>
      <c r="C24" s="14">
        <f>'Red Till L Irrig Cotton'!YTotRet</f>
        <v>0</v>
      </c>
      <c r="D24" s="14">
        <f>'Red Till L Irrig Cotton'!YTTotRet</f>
        <v>0</v>
      </c>
      <c r="E24" s="14">
        <f>'Red Till L Irrig Cotton'!YLTotRet</f>
        <v>0</v>
      </c>
      <c r="F24" s="1"/>
      <c r="G24" s="2">
        <f>'Red Till L Irrig Cotton'!YTotExp</f>
        <v>0</v>
      </c>
      <c r="H24" s="2">
        <f>'Red Till L Irrig Cotton'!YTTotExp</f>
        <v>0</v>
      </c>
      <c r="I24" s="2">
        <f>'Red Till L Irrig Cotton'!YLTotExp</f>
        <v>0</v>
      </c>
      <c r="J24" s="2"/>
      <c r="K24" s="2">
        <f>'Red Till L Irrig Cotton'!YPrice</f>
        <v>0</v>
      </c>
      <c r="L24" s="2" t="str">
        <f>'Red Till L Irrig Cotton'!Unit</f>
        <v>Pound</v>
      </c>
      <c r="M24" s="5">
        <f t="shared" si="17"/>
        <v>0</v>
      </c>
      <c r="N24" s="5">
        <f t="shared" si="18"/>
        <v>0</v>
      </c>
      <c r="O24" s="5">
        <f t="shared" si="19"/>
        <v>0</v>
      </c>
      <c r="Q24" s="14">
        <f>'Red Till L Irrig Cotton'!YVarRet</f>
        <v>0</v>
      </c>
      <c r="R24" s="14">
        <f>'Red Till L Irrig Cotton'!YTVarRet</f>
        <v>0</v>
      </c>
      <c r="S24" s="14">
        <f>'Red Till L Irrig Cotton'!YLVarRet</f>
        <v>0</v>
      </c>
      <c r="T24" s="1"/>
      <c r="U24" s="2">
        <f>'Red Till L Irrig Cotton'!YVarExp</f>
        <v>0</v>
      </c>
      <c r="V24" s="2">
        <f>'Red Till L Irrig Cotton'!YTVarExp</f>
        <v>0</v>
      </c>
      <c r="W24" s="2">
        <f>'Red Till L Irrig Cotton'!YLVarExp</f>
        <v>0</v>
      </c>
      <c r="X24" s="2"/>
      <c r="Y24" s="2">
        <f>'Red Till L Irrig Cotton'!YPrice</f>
        <v>0</v>
      </c>
      <c r="Z24" s="2" t="str">
        <f>'Red Till L Irrig Cotton'!Unit</f>
        <v>Pound</v>
      </c>
      <c r="AA24" s="5">
        <f t="shared" si="20"/>
        <v>0</v>
      </c>
      <c r="AB24" s="5">
        <f t="shared" si="21"/>
        <v>0</v>
      </c>
      <c r="AC24" s="5">
        <f t="shared" si="22"/>
        <v>0</v>
      </c>
    </row>
    <row r="25" spans="1:29" ht="18.75" customHeight="1" x14ac:dyDescent="0.2">
      <c r="A25" s="3" t="str">
        <f>'NT Irrig L Cotton'!A3</f>
        <v xml:space="preserve">NT Irrig L Cotton </v>
      </c>
      <c r="B25" s="3">
        <f>'NT Irrig L Cotton'!E7</f>
        <v>0</v>
      </c>
      <c r="C25" s="14">
        <f>'NT Irrig L Cotton'!YTotRet</f>
        <v>0</v>
      </c>
      <c r="D25" s="14">
        <f>'NT Irrig L Cotton'!YTTotRet</f>
        <v>0</v>
      </c>
      <c r="E25" s="14">
        <f>'NT Irrig L Cotton'!YLTotRet</f>
        <v>0</v>
      </c>
      <c r="F25" s="1"/>
      <c r="G25" s="2">
        <f>'NT Irrig L Cotton'!YTotExp</f>
        <v>0</v>
      </c>
      <c r="H25" s="2">
        <f>'NT Irrig L Cotton'!YTTotExp</f>
        <v>0</v>
      </c>
      <c r="I25" s="2">
        <f>'NT Irrig L Cotton'!YLTotExp</f>
        <v>0</v>
      </c>
      <c r="J25" s="2"/>
      <c r="K25" s="2">
        <f>'NT Irrig L Cotton'!YPrice</f>
        <v>0</v>
      </c>
      <c r="L25" s="2" t="str">
        <f>'NT Irrig L Cotton'!Unit</f>
        <v>Pound</v>
      </c>
      <c r="M25" s="5">
        <f t="shared" si="17"/>
        <v>0</v>
      </c>
      <c r="N25" s="5">
        <f t="shared" si="18"/>
        <v>0</v>
      </c>
      <c r="O25" s="5">
        <f t="shared" si="19"/>
        <v>0</v>
      </c>
      <c r="Q25" s="14">
        <f>'NT Irrig L Cotton'!YVarRet</f>
        <v>0</v>
      </c>
      <c r="R25" s="14">
        <f>'NT Irrig L Cotton'!YTVarRet</f>
        <v>0</v>
      </c>
      <c r="S25" s="14">
        <f>'NT Irrig L Cotton'!YLVarRet</f>
        <v>0</v>
      </c>
      <c r="T25" s="1"/>
      <c r="U25" s="2">
        <f>'NT Irrig L Cotton'!YVarExp</f>
        <v>0</v>
      </c>
      <c r="V25" s="2">
        <f>'NT Irrig L Cotton'!YTVarExp</f>
        <v>0</v>
      </c>
      <c r="W25" s="2">
        <f>'NT Irrig L Cotton'!YLVarExp</f>
        <v>0</v>
      </c>
      <c r="X25" s="2"/>
      <c r="Y25" s="2">
        <f>'NT Irrig L Cotton'!YPrice</f>
        <v>0</v>
      </c>
      <c r="Z25" s="2" t="str">
        <f>'NT Irrig L Cotton'!Unit</f>
        <v>Pound</v>
      </c>
      <c r="AA25" s="5">
        <f t="shared" si="20"/>
        <v>0</v>
      </c>
      <c r="AB25" s="5">
        <f t="shared" si="21"/>
        <v>0</v>
      </c>
      <c r="AC25" s="5">
        <f t="shared" si="22"/>
        <v>0</v>
      </c>
    </row>
    <row r="26" spans="1:29" ht="18.75" customHeight="1" x14ac:dyDescent="0.2">
      <c r="A26" s="3" t="str">
        <f>'NT Irrig M Cotton'!A3</f>
        <v>Cotton - No-Till Irrigated</v>
      </c>
      <c r="B26" s="3">
        <f>'NT Irrig M Cotton'!E7</f>
        <v>0</v>
      </c>
      <c r="C26" s="14">
        <f>'NT Irrig M Cotton'!YTotRet</f>
        <v>0</v>
      </c>
      <c r="D26" s="14">
        <f>'NT Irrig M Cotton'!YTTotRet</f>
        <v>0</v>
      </c>
      <c r="E26" s="14">
        <f>'NT Irrig M Cotton'!YLTotRet</f>
        <v>0</v>
      </c>
      <c r="F26" s="1"/>
      <c r="G26" s="2">
        <f>'NT Irrig M Cotton'!YTotExp</f>
        <v>0</v>
      </c>
      <c r="H26" s="2">
        <f>'NT Irrig M Cotton'!YTTotExp</f>
        <v>0</v>
      </c>
      <c r="I26" s="2">
        <f>'NT Irrig M Cotton'!YLTotExp</f>
        <v>0</v>
      </c>
      <c r="J26" s="2"/>
      <c r="K26" s="2">
        <f>'NT Irrig M Cotton'!YPrice</f>
        <v>0</v>
      </c>
      <c r="L26" s="2" t="str">
        <f>'NT Irrig M Cotton'!Unit</f>
        <v>Pound</v>
      </c>
      <c r="M26" s="5">
        <f t="shared" si="17"/>
        <v>0</v>
      </c>
      <c r="N26" s="5">
        <f t="shared" si="18"/>
        <v>0</v>
      </c>
      <c r="O26" s="5">
        <f t="shared" si="19"/>
        <v>0</v>
      </c>
      <c r="Q26" s="14">
        <f>'NT Irrig M Cotton'!YVarRet</f>
        <v>0</v>
      </c>
      <c r="R26" s="14">
        <f>'NT Irrig M Cotton'!YTVarRet</f>
        <v>0</v>
      </c>
      <c r="S26" s="14">
        <f>'NT Irrig M Cotton'!YLVarRet</f>
        <v>0</v>
      </c>
      <c r="T26" s="1"/>
      <c r="U26" s="2">
        <f>'NT Irrig M Cotton'!YVarExp</f>
        <v>0</v>
      </c>
      <c r="V26" s="2">
        <f>'NT Irrig M Cotton'!YTVarExp</f>
        <v>0</v>
      </c>
      <c r="W26" s="2">
        <f>'NT Irrig M Cotton'!YLVarExp</f>
        <v>0</v>
      </c>
      <c r="X26" s="2"/>
      <c r="Y26" s="2">
        <f>'NT Irrig M Cotton'!YPrice</f>
        <v>0</v>
      </c>
      <c r="Z26" s="2" t="str">
        <f>'NT Irrig M Cotton'!Unit</f>
        <v>Pound</v>
      </c>
      <c r="AA26" s="5">
        <f t="shared" si="20"/>
        <v>0</v>
      </c>
      <c r="AB26" s="5">
        <f t="shared" si="21"/>
        <v>0</v>
      </c>
      <c r="AC26" s="5">
        <f t="shared" si="22"/>
        <v>0</v>
      </c>
    </row>
    <row r="27" spans="1:29" ht="18.75" customHeight="1" x14ac:dyDescent="0.2">
      <c r="A27" s="3" t="str">
        <f>'NT-CC2 Irr M Cotton'!A3</f>
        <v>Cotton NT - Cover Crop Wheat Irrig</v>
      </c>
      <c r="B27" s="3">
        <f>'NT-CC2 Irr M Cotton'!E7</f>
        <v>0</v>
      </c>
      <c r="C27" s="14">
        <f>'NT-CC2 Irr M Cotton'!YTotRet</f>
        <v>0</v>
      </c>
      <c r="D27" s="14">
        <f>'NT-CC2 Irr M Cotton'!YTTotRet</f>
        <v>0</v>
      </c>
      <c r="E27" s="14">
        <f>'NT-CC2 Irr M Cotton'!YLTotRet</f>
        <v>0</v>
      </c>
      <c r="F27" s="1"/>
      <c r="G27" s="2">
        <f>'NT-CC2 Irr M Cotton'!YTotExp</f>
        <v>0</v>
      </c>
      <c r="H27" s="2">
        <f>'NT-CC2 Irr M Cotton'!YTTotExp</f>
        <v>0</v>
      </c>
      <c r="I27" s="2">
        <f>'NT-CC2 Irr M Cotton'!YLTotExp</f>
        <v>0</v>
      </c>
      <c r="J27" s="2"/>
      <c r="K27" s="2">
        <f>'NT-CC2 Irr M Cotton'!YPrice</f>
        <v>0</v>
      </c>
      <c r="L27" s="2" t="str">
        <f>'NT-CC2 Irr M Cotton'!Unit</f>
        <v>Pound</v>
      </c>
      <c r="M27" s="5">
        <f>IF(K27=0,0,G27/K27)</f>
        <v>0</v>
      </c>
      <c r="N27" s="5">
        <f>IF(K27=0,0,H27/K27)</f>
        <v>0</v>
      </c>
      <c r="O27" s="5">
        <f>IF(K27=0,0,I27/K27)</f>
        <v>0</v>
      </c>
      <c r="Q27" s="14">
        <f>'NT-CC2 Irr M Cotton'!YVarRet</f>
        <v>0</v>
      </c>
      <c r="R27" s="14">
        <f>'NT-CC2 Irr M Cotton'!YTVarRet</f>
        <v>0</v>
      </c>
      <c r="S27" s="14">
        <f>'NT-CC2 Irr M Cotton'!YLVarRet</f>
        <v>0</v>
      </c>
      <c r="T27" s="1"/>
      <c r="U27" s="2">
        <f>'NT-CC2 Irr M Cotton'!YVarExp</f>
        <v>0</v>
      </c>
      <c r="V27" s="2">
        <f>'NT-CC2 Irr M Cotton'!YTVarExp</f>
        <v>0</v>
      </c>
      <c r="W27" s="2">
        <f>'NT-CC2 Irr M Cotton'!YLVarExp</f>
        <v>0</v>
      </c>
      <c r="X27" s="2"/>
      <c r="Y27" s="2">
        <f>'NT-CC2 Irr M Cotton'!YPrice</f>
        <v>0</v>
      </c>
      <c r="Z27" s="2" t="str">
        <f>'NT-CC2 Irr M Cotton'!Unit</f>
        <v>Pound</v>
      </c>
      <c r="AA27" s="5">
        <f>IF(K27=0,0,U27/K27)</f>
        <v>0</v>
      </c>
      <c r="AB27" s="5">
        <f>IF(K27=0,0,V27/K27)</f>
        <v>0</v>
      </c>
      <c r="AC27" s="5">
        <f>IF(K27=0,0,W27/K27)</f>
        <v>0</v>
      </c>
    </row>
    <row r="28" spans="1:29" ht="18.75" customHeight="1" x14ac:dyDescent="0.2">
      <c r="A28" s="3" t="str">
        <f>'NT-CC Irrig M Cotton'!A3</f>
        <v>NT-Cover Crop Irrig M Cotton</v>
      </c>
      <c r="B28" s="3">
        <f>'NT-CC Irrig M Cotton'!E7</f>
        <v>0</v>
      </c>
      <c r="C28" s="14">
        <f>'NT-CC Irrig M Cotton'!YTotRet</f>
        <v>0</v>
      </c>
      <c r="D28" s="14">
        <f>'NT-CC Irrig M Cotton'!YTTotRet</f>
        <v>0</v>
      </c>
      <c r="E28" s="14">
        <f>'NT-CC Irrig M Cotton'!YLTotRet</f>
        <v>0</v>
      </c>
      <c r="F28" s="1"/>
      <c r="G28" s="2">
        <f>'NT-CC Irrig M Cotton'!YTotExp</f>
        <v>0</v>
      </c>
      <c r="H28" s="2">
        <f>'NT-CC Irrig M Cotton'!YTTotExp</f>
        <v>0</v>
      </c>
      <c r="I28" s="2">
        <f>'NT-CC Irrig M Cotton'!YLTotExp</f>
        <v>0</v>
      </c>
      <c r="J28" s="2"/>
      <c r="K28" s="2">
        <f>'NT-CC Irrig M Cotton'!YPrice</f>
        <v>0</v>
      </c>
      <c r="L28" s="2" t="str">
        <f>'NT-CC Irrig M Cotton'!Unit</f>
        <v>Pound</v>
      </c>
      <c r="M28" s="5">
        <f t="shared" si="17"/>
        <v>0</v>
      </c>
      <c r="N28" s="5">
        <f t="shared" si="18"/>
        <v>0</v>
      </c>
      <c r="O28" s="5">
        <f t="shared" si="19"/>
        <v>0</v>
      </c>
      <c r="Q28" s="14">
        <f>'NT-CC Irrig M Cotton'!YVarRet</f>
        <v>0</v>
      </c>
      <c r="R28" s="14">
        <f>'NT-CC Irrig M Cotton'!YTVarRet</f>
        <v>0</v>
      </c>
      <c r="S28" s="14">
        <f>'NT-CC Irrig M Cotton'!YLVarRet</f>
        <v>0</v>
      </c>
      <c r="T28" s="1"/>
      <c r="U28" s="2">
        <f>'NT-CC Irrig M Cotton'!YVarExp</f>
        <v>0</v>
      </c>
      <c r="V28" s="2">
        <f>'NT-CC Irrig M Cotton'!YTVarExp</f>
        <v>0</v>
      </c>
      <c r="W28" s="2">
        <f>'NT-CC Irrig M Cotton'!YLVarExp</f>
        <v>0</v>
      </c>
      <c r="X28" s="2"/>
      <c r="Y28" s="2">
        <f>'NT-CC Irrig M Cotton'!YPrice</f>
        <v>0</v>
      </c>
      <c r="Z28" s="2" t="str">
        <f>'NT-CC Irrig M Cotton'!Unit</f>
        <v>Pound</v>
      </c>
      <c r="AA28" s="5">
        <f t="shared" si="20"/>
        <v>0</v>
      </c>
      <c r="AB28" s="5">
        <f t="shared" si="21"/>
        <v>0</v>
      </c>
      <c r="AC28" s="5">
        <f t="shared" si="22"/>
        <v>0</v>
      </c>
    </row>
    <row r="29" spans="1:29" ht="18.75" customHeight="1" x14ac:dyDescent="0.2">
      <c r="A29" s="3" t="str">
        <f>'NT-CC Irrig L Cotton'!A3</f>
        <v>NT-Cover Crop Irrig L Cotton</v>
      </c>
      <c r="B29" s="3">
        <f>'NT-CC Irrig L Cotton'!E7</f>
        <v>0</v>
      </c>
      <c r="C29" s="14">
        <f>'NT-CC Irrig L Cotton'!YTotRet</f>
        <v>0</v>
      </c>
      <c r="D29" s="14">
        <f>'NT-CC Irrig L Cotton'!YTTotRet</f>
        <v>0</v>
      </c>
      <c r="E29" s="14">
        <f>'NT-CC Irrig L Cotton'!YLTotRet</f>
        <v>0</v>
      </c>
      <c r="F29" s="1"/>
      <c r="G29" s="2">
        <f>'NT-CC Irrig L Cotton'!YTotExp</f>
        <v>0</v>
      </c>
      <c r="H29" s="2">
        <f>'NT-CC Irrig L Cotton'!YTTotExp</f>
        <v>0</v>
      </c>
      <c r="I29" s="2">
        <f>'NT-CC Irrig L Cotton'!YLTotExp</f>
        <v>0</v>
      </c>
      <c r="J29" s="2"/>
      <c r="K29" s="2">
        <f>'NT-CC Irrig L Cotton'!YPrice</f>
        <v>0</v>
      </c>
      <c r="L29" s="2" t="str">
        <f>'NT-CC Irrig L Cotton'!Unit</f>
        <v>Pound</v>
      </c>
      <c r="M29" s="5">
        <f t="shared" si="17"/>
        <v>0</v>
      </c>
      <c r="N29" s="5">
        <f t="shared" si="18"/>
        <v>0</v>
      </c>
      <c r="O29" s="5">
        <f t="shared" si="19"/>
        <v>0</v>
      </c>
      <c r="Q29" s="14">
        <f>'NT-CC Irrig L Cotton'!YVarRet</f>
        <v>0</v>
      </c>
      <c r="R29" s="14">
        <f>'NT-CC Irrig L Cotton'!YTVarRet</f>
        <v>0</v>
      </c>
      <c r="S29" s="14">
        <f>'NT-CC Irrig L Cotton'!YLVarRet</f>
        <v>0</v>
      </c>
      <c r="T29" s="1"/>
      <c r="U29" s="2">
        <f>'NT-CC Irrig L Cotton'!YVarExp</f>
        <v>0</v>
      </c>
      <c r="V29" s="2">
        <f>'NT-CC Irrig L Cotton'!YTVarExp</f>
        <v>0</v>
      </c>
      <c r="W29" s="2">
        <f>'NT-CC Irrig L Cotton'!YLVarExp</f>
        <v>0</v>
      </c>
      <c r="X29" s="2"/>
      <c r="Y29" s="2">
        <f>'NT-CC Irrig L Cotton'!YPrice</f>
        <v>0</v>
      </c>
      <c r="Z29" s="2" t="str">
        <f>'NT-CC Irrig L Cotton'!Unit</f>
        <v>Pound</v>
      </c>
      <c r="AA29" s="5">
        <f t="shared" si="20"/>
        <v>0</v>
      </c>
      <c r="AB29" s="5">
        <f t="shared" si="21"/>
        <v>0</v>
      </c>
      <c r="AC29" s="5">
        <f t="shared" si="22"/>
        <v>0</v>
      </c>
    </row>
    <row r="30" spans="1:29" ht="18.75" customHeight="1" x14ac:dyDescent="0.2">
      <c r="A30" s="3" t="str">
        <f>'No Till Dryland Cotton'!A3</f>
        <v xml:space="preserve">Cotton - No Till Dryland </v>
      </c>
      <c r="B30" s="3">
        <f>'No Till Dryland Cotton'!E7</f>
        <v>0</v>
      </c>
      <c r="C30" s="14">
        <f>'No Till Dryland Cotton'!YTotRet</f>
        <v>0</v>
      </c>
      <c r="D30" s="14">
        <f>'No Till Dryland Cotton'!YTTotRet</f>
        <v>0</v>
      </c>
      <c r="E30" s="14">
        <f>'No Till Dryland Cotton'!YLTotRet</f>
        <v>0</v>
      </c>
      <c r="F30" s="1"/>
      <c r="G30" s="2">
        <f>'No Till Dryland Cotton'!YTotExp</f>
        <v>0</v>
      </c>
      <c r="H30" s="2">
        <f>'No Till Dryland Cotton'!YTTotExp</f>
        <v>0</v>
      </c>
      <c r="I30" s="2">
        <f>'No Till Dryland Cotton'!YLTotExp</f>
        <v>0</v>
      </c>
      <c r="J30" s="2"/>
      <c r="K30" s="2">
        <f>'No Till Dryland Cotton'!YPrice</f>
        <v>0</v>
      </c>
      <c r="L30" s="2" t="str">
        <f>'No Till Dryland Cotton'!Unit</f>
        <v>Pound</v>
      </c>
      <c r="M30" s="5">
        <f t="shared" si="17"/>
        <v>0</v>
      </c>
      <c r="N30" s="5">
        <f t="shared" si="18"/>
        <v>0</v>
      </c>
      <c r="O30" s="5">
        <f t="shared" si="19"/>
        <v>0</v>
      </c>
      <c r="Q30" s="14">
        <f>'No Till Dryland Cotton'!YVarRet</f>
        <v>0</v>
      </c>
      <c r="R30" s="14">
        <f>'No Till Dryland Cotton'!YTVarRet</f>
        <v>0</v>
      </c>
      <c r="S30" s="14">
        <f>'No Till Dryland Cotton'!YLVarRet</f>
        <v>0</v>
      </c>
      <c r="T30" s="1"/>
      <c r="U30" s="2">
        <f>'No Till Dryland Cotton'!YVarExp</f>
        <v>0</v>
      </c>
      <c r="V30" s="2">
        <f>'No Till Dryland Cotton'!YTVarExp</f>
        <v>0</v>
      </c>
      <c r="W30" s="2">
        <f>'No Till Dryland Cotton'!YLVarExp</f>
        <v>0</v>
      </c>
      <c r="X30" s="2"/>
      <c r="Y30" s="2">
        <f>'No Till Dryland Cotton'!YPrice</f>
        <v>0</v>
      </c>
      <c r="Z30" s="2" t="str">
        <f>'No Till Dryland Cotton'!Unit</f>
        <v>Pound</v>
      </c>
      <c r="AA30" s="5">
        <f t="shared" si="20"/>
        <v>0</v>
      </c>
      <c r="AB30" s="5">
        <f t="shared" si="21"/>
        <v>0</v>
      </c>
      <c r="AC30" s="5">
        <f t="shared" si="22"/>
        <v>0</v>
      </c>
    </row>
    <row r="31" spans="1:29" ht="18.75" customHeight="1" x14ac:dyDescent="0.2">
      <c r="A31" s="3" t="str">
        <f>+CottonIrrigated!A3</f>
        <v>Sprinkler Irrigated Cotton</v>
      </c>
      <c r="B31" s="3">
        <f>+CottonIrrigated!E7</f>
        <v>0</v>
      </c>
      <c r="C31" s="14">
        <f>+CottonIrrigated!YTotRet</f>
        <v>0</v>
      </c>
      <c r="D31" s="14">
        <f>+CottonIrrigated!YTTotRet</f>
        <v>0</v>
      </c>
      <c r="E31" s="14">
        <f>+CottonIrrigated!YLTotRet</f>
        <v>0</v>
      </c>
      <c r="F31" s="1"/>
      <c r="G31" s="2">
        <f>+CottonIrrigated!YTotExp</f>
        <v>0</v>
      </c>
      <c r="H31" s="2">
        <f>+CottonIrrigated!YTTotExp</f>
        <v>0</v>
      </c>
      <c r="I31" s="2">
        <f>+CottonIrrigated!YLTotExp</f>
        <v>0</v>
      </c>
      <c r="J31" s="2"/>
      <c r="K31" s="2">
        <f>+CottonIrrigated!YPrice</f>
        <v>0</v>
      </c>
      <c r="L31" s="2" t="str">
        <f>+CottonIrrigated!Unit</f>
        <v>Pound</v>
      </c>
      <c r="M31" s="5">
        <f>+IF($K31=0,0,G31/$K31)</f>
        <v>0</v>
      </c>
      <c r="N31" s="5">
        <f>+IF($K31=0,0,H31/$K31)</f>
        <v>0</v>
      </c>
      <c r="O31" s="5">
        <f>+IF($K31=0,0,I31/$K31)</f>
        <v>0</v>
      </c>
      <c r="Q31" s="14">
        <f>+CottonIrrigated!YVarRet</f>
        <v>0</v>
      </c>
      <c r="R31" s="14">
        <f>+CottonIrrigated!YTVarRet</f>
        <v>0</v>
      </c>
      <c r="S31" s="14">
        <f>+CottonIrrigated!YLVarRet</f>
        <v>0</v>
      </c>
      <c r="T31" s="1"/>
      <c r="U31" s="2">
        <f>+CottonIrrigated!YVarExp</f>
        <v>0</v>
      </c>
      <c r="V31" s="2">
        <f>+CottonIrrigated!YTVarExp</f>
        <v>0</v>
      </c>
      <c r="W31" s="2">
        <f>+CottonIrrigated!YLVarExp</f>
        <v>0</v>
      </c>
      <c r="X31" s="2"/>
      <c r="Y31" s="2">
        <f>+CottonIrrigated!YPrice</f>
        <v>0</v>
      </c>
      <c r="Z31" s="2" t="str">
        <f>+CottonIrrigated!Unit</f>
        <v>Pound</v>
      </c>
      <c r="AA31" s="5">
        <f>+IF($K31=0,0,U31/$K31)</f>
        <v>0</v>
      </c>
      <c r="AB31" s="5">
        <f>+IF($K31=0,0,V31/$K31)</f>
        <v>0</v>
      </c>
      <c r="AC31" s="5">
        <f>+IF($K31=0,0,W31/$K31)</f>
        <v>0</v>
      </c>
    </row>
    <row r="32" spans="1:29" ht="18.75" customHeight="1" x14ac:dyDescent="0.2">
      <c r="A32" s="3" t="str">
        <f>+Peanuts!A3</f>
        <v>Irrigated Peanuts</v>
      </c>
      <c r="B32" s="3">
        <f>+Peanuts!E7</f>
        <v>0</v>
      </c>
      <c r="C32" s="14">
        <f>+Peanuts!YTotRet</f>
        <v>0</v>
      </c>
      <c r="D32" s="14">
        <f>+Peanuts!YTTotRet</f>
        <v>0</v>
      </c>
      <c r="E32" s="14">
        <f>+Peanuts!YLTotRet</f>
        <v>0</v>
      </c>
      <c r="F32" s="2"/>
      <c r="G32" s="2">
        <f>+Peanuts!YTotExp</f>
        <v>0</v>
      </c>
      <c r="H32" s="2">
        <f>+Peanuts!YTTotExp</f>
        <v>0</v>
      </c>
      <c r="I32" s="2">
        <f>+Peanuts!YLTotExp</f>
        <v>0</v>
      </c>
      <c r="J32" s="2"/>
      <c r="K32" s="2">
        <f>+Peanuts!YPrice</f>
        <v>0</v>
      </c>
      <c r="L32" s="2" t="str">
        <f>+Peanuts!Unit</f>
        <v>Ton</v>
      </c>
      <c r="M32" s="5">
        <f t="shared" si="11"/>
        <v>0</v>
      </c>
      <c r="N32" s="5">
        <f t="shared" si="12"/>
        <v>0</v>
      </c>
      <c r="O32" s="5">
        <f t="shared" si="13"/>
        <v>0</v>
      </c>
      <c r="Q32" s="14">
        <f>+Peanuts!YVarRet</f>
        <v>0</v>
      </c>
      <c r="R32" s="14">
        <f>+Peanuts!YTVarRet</f>
        <v>0</v>
      </c>
      <c r="S32" s="14">
        <f>+Peanuts!YLVarRet</f>
        <v>0</v>
      </c>
      <c r="T32" s="2"/>
      <c r="U32" s="2">
        <f>+Peanuts!YVarExp</f>
        <v>0</v>
      </c>
      <c r="V32" s="2">
        <f>+Peanuts!YTVarExp</f>
        <v>0</v>
      </c>
      <c r="W32" s="2">
        <f>+Peanuts!YLVarExp</f>
        <v>0</v>
      </c>
      <c r="X32" s="2"/>
      <c r="Y32" s="2">
        <f>+Peanuts!YPrice</f>
        <v>0</v>
      </c>
      <c r="Z32" s="2" t="str">
        <f>+Peanuts!Unit</f>
        <v>Ton</v>
      </c>
      <c r="AA32" s="5">
        <f t="shared" si="14"/>
        <v>0</v>
      </c>
      <c r="AB32" s="5">
        <f t="shared" si="15"/>
        <v>0</v>
      </c>
      <c r="AC32" s="5">
        <f t="shared" si="16"/>
        <v>0</v>
      </c>
    </row>
    <row r="33" spans="1:29" ht="18.75" customHeight="1" x14ac:dyDescent="0.2">
      <c r="A33" s="3" t="str">
        <f>+SorghumDryland!A3</f>
        <v>Dryland Sorghum</v>
      </c>
      <c r="B33" s="3">
        <f>+SorghumDryland!E7</f>
        <v>0</v>
      </c>
      <c r="C33" s="14">
        <f>+SorghumDryland!YTotRet</f>
        <v>0</v>
      </c>
      <c r="D33" s="14">
        <f>+SorghumDryland!YTTotRet</f>
        <v>0</v>
      </c>
      <c r="E33" s="14">
        <f>+SorghumDryland!YLTotRet</f>
        <v>0</v>
      </c>
      <c r="F33" s="1"/>
      <c r="G33" s="2">
        <f>+SorghumDryland!YTotExp</f>
        <v>0</v>
      </c>
      <c r="H33" s="2">
        <f>+SorghumDryland!YTTotExp</f>
        <v>0</v>
      </c>
      <c r="I33" s="2">
        <f>+SorghumDryland!YLTotExp</f>
        <v>0</v>
      </c>
      <c r="J33" s="2"/>
      <c r="K33" s="2">
        <f>+SorghumDryland!YPrice</f>
        <v>0</v>
      </c>
      <c r="L33" s="2" t="str">
        <f>+SorghumDryland!Unit</f>
        <v>CWT</v>
      </c>
      <c r="M33" s="5">
        <f t="shared" ref="M33:M34" si="23">+IF($K33=0,0,G33/$K33)</f>
        <v>0</v>
      </c>
      <c r="N33" s="5">
        <f t="shared" ref="N33:N34" si="24">+IF($K33=0,0,H33/$K33)</f>
        <v>0</v>
      </c>
      <c r="O33" s="5">
        <f t="shared" ref="O33:O34" si="25">+IF($K33=0,0,I33/$K33)</f>
        <v>0</v>
      </c>
      <c r="Q33" s="14">
        <f>+SorghumDryland!YVarRet</f>
        <v>0</v>
      </c>
      <c r="R33" s="14">
        <f>+SorghumDryland!YTVarRet</f>
        <v>0</v>
      </c>
      <c r="S33" s="14">
        <f>+SorghumDryland!YLVarRet</f>
        <v>0</v>
      </c>
      <c r="T33" s="1"/>
      <c r="U33" s="2">
        <f>+SorghumDryland!YVarExp</f>
        <v>0</v>
      </c>
      <c r="V33" s="2">
        <f>+SorghumDryland!YTVarExp</f>
        <v>0</v>
      </c>
      <c r="W33" s="2">
        <f>+SorghumDryland!YLVarExp</f>
        <v>0</v>
      </c>
      <c r="X33" s="2"/>
      <c r="Y33" s="2">
        <f>+SorghumDryland!YPrice</f>
        <v>0</v>
      </c>
      <c r="Z33" s="2" t="str">
        <f>+SorghumDryland!Unit</f>
        <v>CWT</v>
      </c>
      <c r="AA33" s="5">
        <f t="shared" ref="AA33:AA34" si="26">+IF($K33=0,0,U33/$K33)</f>
        <v>0</v>
      </c>
      <c r="AB33" s="5">
        <f t="shared" ref="AB33:AB34" si="27">+IF($K33=0,0,V33/$K33)</f>
        <v>0</v>
      </c>
      <c r="AC33" s="5">
        <f t="shared" ref="AC33:AC34" si="28">+IF($K33=0,0,W33/$K33)</f>
        <v>0</v>
      </c>
    </row>
    <row r="34" spans="1:29" ht="18.75" customHeight="1" x14ac:dyDescent="0.2">
      <c r="A34" s="3" t="str">
        <f>+WheatDryland!A3</f>
        <v>Dryland Wheat</v>
      </c>
      <c r="B34" s="3">
        <f>+WheatDryland!E7</f>
        <v>0</v>
      </c>
      <c r="C34" s="14">
        <f>+WheatDryland!YTotRet</f>
        <v>0</v>
      </c>
      <c r="D34" s="14">
        <f>+WheatDryland!YTTotRet</f>
        <v>0</v>
      </c>
      <c r="E34" s="14">
        <f>+WheatDryland!YLTotRet</f>
        <v>0</v>
      </c>
      <c r="F34" s="1"/>
      <c r="G34" s="2">
        <f>+WheatDryland!YTotExp</f>
        <v>0</v>
      </c>
      <c r="H34" s="2">
        <f>+WheatDryland!YTTotExp</f>
        <v>0</v>
      </c>
      <c r="I34" s="2">
        <f>+WheatDryland!YLTotExp</f>
        <v>0</v>
      </c>
      <c r="J34" s="2"/>
      <c r="K34" s="2">
        <f>+WheatDryland!YPrice</f>
        <v>0</v>
      </c>
      <c r="L34" s="2" t="str">
        <f>+WheatDryland!Unit</f>
        <v>Bushel</v>
      </c>
      <c r="M34" s="5">
        <f t="shared" si="23"/>
        <v>0</v>
      </c>
      <c r="N34" s="5">
        <f t="shared" si="24"/>
        <v>0</v>
      </c>
      <c r="O34" s="5">
        <f t="shared" si="25"/>
        <v>0</v>
      </c>
      <c r="Q34" s="14">
        <f>+WheatDryland!YVarRet</f>
        <v>0</v>
      </c>
      <c r="R34" s="14">
        <f>+WheatDryland!YTVarRet</f>
        <v>0</v>
      </c>
      <c r="S34" s="14">
        <f>+WheatDryland!YLVarRet</f>
        <v>0</v>
      </c>
      <c r="T34" s="1"/>
      <c r="U34" s="2">
        <f>+WheatDryland!YVarExp</f>
        <v>0</v>
      </c>
      <c r="V34" s="2">
        <f>+WheatDryland!YTVarExp</f>
        <v>0</v>
      </c>
      <c r="W34" s="2">
        <f>+WheatDryland!YLVarExp</f>
        <v>0</v>
      </c>
      <c r="X34" s="2"/>
      <c r="Y34" s="2">
        <f>+WheatDryland!YPrice</f>
        <v>0</v>
      </c>
      <c r="Z34" s="2" t="str">
        <f>+WheatDryland!Unit</f>
        <v>Bushel</v>
      </c>
      <c r="AA34" s="5">
        <f t="shared" si="26"/>
        <v>0</v>
      </c>
      <c r="AB34" s="5">
        <f t="shared" si="27"/>
        <v>0</v>
      </c>
      <c r="AC34" s="5">
        <f t="shared" si="28"/>
        <v>0</v>
      </c>
    </row>
    <row r="35" spans="1:29" ht="18.75" customHeight="1" x14ac:dyDescent="0.2">
      <c r="A35" s="3" t="str">
        <f>'NoTill Wheat Dryland'!A3</f>
        <v>Dryland Wheat - No till</v>
      </c>
      <c r="B35" s="3">
        <f>'NoTill Wheat Dryland'!E7</f>
        <v>0</v>
      </c>
      <c r="C35" s="14">
        <f>'NoTill Wheat Dryland'!YTotRet</f>
        <v>0</v>
      </c>
      <c r="D35" s="14">
        <f>'NoTill Wheat Dryland'!YTTotRet</f>
        <v>0</v>
      </c>
      <c r="E35" s="14">
        <f>'NoTill Wheat Dryland'!YLTotRet</f>
        <v>0</v>
      </c>
      <c r="F35" s="1"/>
      <c r="G35" s="2">
        <f>'NoTill Wheat Dryland'!YTotExp</f>
        <v>0</v>
      </c>
      <c r="H35" s="2">
        <f>'NoTill Wheat Dryland'!YTTotExp</f>
        <v>0</v>
      </c>
      <c r="I35" s="2">
        <f>'NoTill Wheat Dryland'!YLTotExp</f>
        <v>0</v>
      </c>
      <c r="J35" s="2"/>
      <c r="K35" s="2">
        <f>'NoTill Wheat Dryland'!YPrice</f>
        <v>0</v>
      </c>
      <c r="L35" s="2" t="str">
        <f>'NoTill Wheat Dryland'!Unit</f>
        <v>Bushel</v>
      </c>
      <c r="M35" s="5">
        <f>IF(K35=0,0,G35/K35)</f>
        <v>0</v>
      </c>
      <c r="N35" s="5">
        <f>IF(K35=0,0,H35/K35)</f>
        <v>0</v>
      </c>
      <c r="O35" s="5">
        <f>IF(K35=0,0,I35/K35)</f>
        <v>0</v>
      </c>
      <c r="Q35" s="14">
        <f>'NoTill Wheat Dryland'!YVarRet</f>
        <v>0</v>
      </c>
      <c r="R35" s="14">
        <f>'NoTill Wheat Dryland'!YTVarRet</f>
        <v>0</v>
      </c>
      <c r="S35" s="14">
        <f>'NoTill Wheat Dryland'!YLVarRet</f>
        <v>0</v>
      </c>
      <c r="T35" s="1"/>
      <c r="U35" s="2">
        <f>'NoTill Wheat Dryland'!YVarExp</f>
        <v>0</v>
      </c>
      <c r="V35" s="2">
        <f>'NoTill Wheat Dryland'!YTVarExp</f>
        <v>0</v>
      </c>
      <c r="W35" s="2">
        <f>'NoTill Wheat Dryland'!YLVarExp</f>
        <v>0</v>
      </c>
      <c r="X35" s="2"/>
      <c r="Y35" s="2">
        <f>'NoTill Wheat Dryland'!YPrice</f>
        <v>0</v>
      </c>
      <c r="Z35" s="2" t="str">
        <f>'NoTill Wheat Dryland'!Unit</f>
        <v>Bushel</v>
      </c>
      <c r="AA35" s="5">
        <f>IF(K35=0,0,U35/K35)</f>
        <v>0</v>
      </c>
      <c r="AB35" s="5">
        <f>IF(K35=0,0,V35/K35)</f>
        <v>0</v>
      </c>
      <c r="AC35" s="5">
        <f>IF(K35=0,0,W35/K35)</f>
        <v>0</v>
      </c>
    </row>
    <row r="36" spans="1:29" ht="18.75" customHeight="1" x14ac:dyDescent="0.2">
      <c r="A36" s="3" t="str">
        <f>'Wheat Irrigated'!A3</f>
        <v>Irrigated Wheat</v>
      </c>
      <c r="B36" s="3">
        <f>'Wheat Irrigated'!E7</f>
        <v>0</v>
      </c>
      <c r="C36" s="14">
        <f>'Wheat Irrigated'!YTotRet</f>
        <v>0</v>
      </c>
      <c r="D36" s="14">
        <f>'Wheat Irrigated'!YTTotRet</f>
        <v>0</v>
      </c>
      <c r="E36" s="14">
        <f>'Wheat Irrigated'!YLTotRet</f>
        <v>0</v>
      </c>
      <c r="F36" s="1"/>
      <c r="G36" s="2">
        <f>'Wheat Irrigated'!YTotExp</f>
        <v>0</v>
      </c>
      <c r="H36" s="2">
        <f>'Wheat Irrigated'!YTTotExp</f>
        <v>0</v>
      </c>
      <c r="I36" s="2">
        <f>'Wheat Irrigated'!YLTotExp</f>
        <v>0</v>
      </c>
      <c r="J36" s="2"/>
      <c r="K36" s="2">
        <f>'Wheat Irrigated'!YPrice</f>
        <v>0</v>
      </c>
      <c r="L36" s="2" t="str">
        <f>'Wheat Irrigated'!Unit</f>
        <v>Bushel</v>
      </c>
      <c r="M36" s="5">
        <f>IF(K36=0,0,G36/K36)</f>
        <v>0</v>
      </c>
      <c r="N36" s="5">
        <f>IF(K36=0,0,H36/K36)</f>
        <v>0</v>
      </c>
      <c r="O36" s="5">
        <f>IF(K36=0,0,I36/K36)</f>
        <v>0</v>
      </c>
      <c r="Q36" s="14">
        <f>'Wheat Irrigated'!YVarRet</f>
        <v>0</v>
      </c>
      <c r="R36" s="14">
        <f>'Wheat Irrigated'!YTVarRet</f>
        <v>0</v>
      </c>
      <c r="S36" s="14">
        <f>'Wheat Irrigated'!YLVarRet</f>
        <v>0</v>
      </c>
      <c r="T36" s="1"/>
      <c r="U36" s="2">
        <f>'Wheat Irrigated'!YVarExp</f>
        <v>0</v>
      </c>
      <c r="V36" s="2">
        <f>'Wheat Irrigated'!YTVarExp</f>
        <v>0</v>
      </c>
      <c r="W36" s="2">
        <f>'Wheat Irrigated'!YLVarExp</f>
        <v>0</v>
      </c>
      <c r="X36" s="2"/>
      <c r="Y36" s="2">
        <f>'Wheat Irrigated'!YPrice</f>
        <v>0</v>
      </c>
      <c r="Z36" s="2" t="str">
        <f>'Wheat Irrigated'!Unit</f>
        <v>Bushel</v>
      </c>
      <c r="AA36" s="5">
        <f>IF(K36=0,0,U36/K36)</f>
        <v>0</v>
      </c>
      <c r="AB36" s="5">
        <f>IF(K36=0,0,V36/K36)</f>
        <v>0</v>
      </c>
      <c r="AC36" s="5">
        <f>IF(K36=0,0,W36/K36)</f>
        <v>0</v>
      </c>
    </row>
    <row r="37" spans="1:29" ht="18.75" customHeight="1" x14ac:dyDescent="0.2">
      <c r="A37" s="3" t="str">
        <f>'OrganicWheat Year 3'!A3</f>
        <v>Organic wheat Y3</v>
      </c>
      <c r="B37" s="3">
        <f>'OrganicWheat Year 3'!E7</f>
        <v>0</v>
      </c>
      <c r="C37" s="14">
        <f>'OrganicWheat Year 3'!YTotRet</f>
        <v>0</v>
      </c>
      <c r="D37" s="14">
        <f>'OrganicWheat Year 3'!YTTotRet</f>
        <v>0</v>
      </c>
      <c r="E37" s="14">
        <f>'OrganicWheat Year 3'!YLTotRet</f>
        <v>0</v>
      </c>
      <c r="F37" s="1"/>
      <c r="G37" s="2">
        <f>'OrganicWheat Year 3'!YTotExp</f>
        <v>0</v>
      </c>
      <c r="H37" s="2">
        <f>'OrganicWheat Year 3'!YTTotExp</f>
        <v>0</v>
      </c>
      <c r="I37" s="2">
        <f>'OrganicWheat Year 3'!YLTotExp</f>
        <v>0</v>
      </c>
      <c r="J37" s="2"/>
      <c r="K37" s="2">
        <f>'OrganicWheat Year 3'!YPrice</f>
        <v>0</v>
      </c>
      <c r="L37" s="2" t="str">
        <f>'OrganicWheat Year 3'!Unit</f>
        <v>Bushel</v>
      </c>
      <c r="M37" s="5">
        <f>IF(K37=0,0,G37/K37)</f>
        <v>0</v>
      </c>
      <c r="N37" s="5">
        <f>IF(K37=0,0,H37/K37)</f>
        <v>0</v>
      </c>
      <c r="O37" s="5">
        <f>IF(K37=0,0,I37/K37)</f>
        <v>0</v>
      </c>
      <c r="Q37" s="14">
        <f>'OrganicWheat Year 3'!YVarRet</f>
        <v>0</v>
      </c>
      <c r="R37" s="14">
        <f>'OrganicWheat Year 3'!YTVarRet</f>
        <v>0</v>
      </c>
      <c r="S37" s="14">
        <f>'OrganicWheat Year 3'!YLVarRet</f>
        <v>0</v>
      </c>
      <c r="T37" s="1"/>
      <c r="U37" s="2">
        <f>'OrganicWheat Year 3'!YVarExp</f>
        <v>0</v>
      </c>
      <c r="V37" s="2">
        <f>'OrganicWheat Year 3'!YTVarExp</f>
        <v>0</v>
      </c>
      <c r="W37" s="2">
        <f>'OrganicWheat Year 3'!YLVarExp</f>
        <v>0</v>
      </c>
      <c r="X37" s="2"/>
      <c r="Y37" s="2">
        <f>'OrganicWheat Year 3'!YPrice</f>
        <v>0</v>
      </c>
      <c r="Z37" s="2" t="str">
        <f>'OrganicWheat Year 3'!Unit</f>
        <v>Bushel</v>
      </c>
      <c r="AA37" s="5">
        <f>IF(K37=0,0,U37/K37)</f>
        <v>0</v>
      </c>
      <c r="AB37" s="5">
        <f>IF(K37=0,0,V37/K37)</f>
        <v>0</v>
      </c>
      <c r="AC37" s="5">
        <f>IF(K37=0,0,W37/K37)</f>
        <v>0</v>
      </c>
    </row>
    <row r="38" spans="1:29" ht="18.75" customHeight="1" x14ac:dyDescent="0.2">
      <c r="A38" s="3" t="str">
        <f>'Organic Summer HayCrop'!A3</f>
        <v>Organic summer Hay Crop</v>
      </c>
      <c r="B38" s="3">
        <f>'Organic Summer HayCrop'!E7</f>
        <v>0</v>
      </c>
      <c r="C38" s="14">
        <f>'Organic Summer HayCrop'!YTotRet</f>
        <v>0</v>
      </c>
      <c r="D38" s="14">
        <f>'Organic Summer HayCrop'!YTTotRet</f>
        <v>0</v>
      </c>
      <c r="E38" s="14">
        <f>'Organic Summer HayCrop'!YLTotRet</f>
        <v>0</v>
      </c>
      <c r="F38" s="1"/>
      <c r="G38" s="2">
        <f>'Organic Summer HayCrop'!YTotExp</f>
        <v>0</v>
      </c>
      <c r="H38" s="2">
        <f>'Organic Summer HayCrop'!YTTotExp</f>
        <v>0</v>
      </c>
      <c r="I38" s="2">
        <f>'Organic Summer HayCrop'!YLTotExp</f>
        <v>0</v>
      </c>
      <c r="J38" s="2"/>
      <c r="K38" s="2">
        <f>'Organic Summer HayCrop'!YPrice</f>
        <v>0</v>
      </c>
      <c r="L38" s="2" t="str">
        <f>'Organic Summer HayCrop'!Unit</f>
        <v>Ton</v>
      </c>
      <c r="M38" s="5">
        <f>IF(K38=0,0,G38/K38)</f>
        <v>0</v>
      </c>
      <c r="N38" s="5">
        <f>IF(K38=0,0,H38/K38)</f>
        <v>0</v>
      </c>
      <c r="O38" s="5">
        <f>IF(K38=0,0,I38/K38)</f>
        <v>0</v>
      </c>
      <c r="Q38" s="14">
        <f>'Organic Summer HayCrop'!YVarRet</f>
        <v>0</v>
      </c>
      <c r="R38" s="14">
        <f>'Organic Summer HayCrop'!YTVarRet</f>
        <v>0</v>
      </c>
      <c r="S38" s="14">
        <f>'Organic Summer HayCrop'!YLVarRet</f>
        <v>0</v>
      </c>
      <c r="T38" s="1"/>
      <c r="U38" s="2">
        <f>'Organic Summer HayCrop'!YVarExp</f>
        <v>0</v>
      </c>
      <c r="V38" s="2">
        <f>'Organic Summer HayCrop'!YTVarExp</f>
        <v>0</v>
      </c>
      <c r="W38" s="2">
        <f>'Organic Summer HayCrop'!YLVarExp</f>
        <v>0</v>
      </c>
      <c r="X38" s="2"/>
      <c r="Y38" s="2">
        <f>'Organic Summer HayCrop'!YPrice</f>
        <v>0</v>
      </c>
      <c r="Z38" s="2" t="str">
        <f>'Organic Summer HayCrop'!Unit</f>
        <v>Ton</v>
      </c>
      <c r="AA38" s="5">
        <f>IF(K38=0,0,U38/K38)</f>
        <v>0</v>
      </c>
      <c r="AB38" s="5">
        <f>IF(K38=0,0,V38/K38)</f>
        <v>0</v>
      </c>
      <c r="AC38" s="5">
        <f>IF(K38=0,0,W38/K38)</f>
        <v>0</v>
      </c>
    </row>
    <row r="39" spans="1:29" ht="18.75" customHeight="1" x14ac:dyDescent="0.2">
      <c r="A39" s="3" t="str">
        <f>OrganicDrylandWheat!A3</f>
        <v>Organic Wheat Y1</v>
      </c>
      <c r="B39" s="3">
        <f>OrganicDrylandWheat!E7</f>
        <v>0</v>
      </c>
      <c r="C39" s="14">
        <f>OrganicDrylandWheat!YTotRet</f>
        <v>0</v>
      </c>
      <c r="D39" s="14">
        <f>OrganicDrylandWheat!YTTotRet</f>
        <v>0</v>
      </c>
      <c r="E39" s="14">
        <f>OrganicDrylandWheat!YLTotRet</f>
        <v>0</v>
      </c>
      <c r="F39" s="1"/>
      <c r="G39" s="2">
        <f>OrganicDrylandWheat!YTotExp</f>
        <v>0</v>
      </c>
      <c r="H39" s="2">
        <f>OrganicDrylandWheat!YTTotExp</f>
        <v>0</v>
      </c>
      <c r="I39" s="2">
        <f>OrganicDrylandWheat!YLTotExp</f>
        <v>0</v>
      </c>
      <c r="J39" s="2"/>
      <c r="K39" s="2">
        <f>OrganicDrylandWheat!YPrice</f>
        <v>0</v>
      </c>
      <c r="L39" s="2" t="str">
        <f>OrganicDrylandWheat!Unit</f>
        <v>Bushel</v>
      </c>
      <c r="M39" s="5">
        <f>IF(K39=0,0,G39/K39)</f>
        <v>0</v>
      </c>
      <c r="N39" s="5">
        <f>IF(K39=0,0,H39/K39)</f>
        <v>0</v>
      </c>
      <c r="O39" s="5">
        <f>IF(K39=0,0,I39/K39)</f>
        <v>0</v>
      </c>
      <c r="Q39" s="14">
        <f>OrganicDrylandWheat!YVarRet</f>
        <v>0</v>
      </c>
      <c r="R39" s="14">
        <f>OrganicDrylandWheat!YTVarRet</f>
        <v>0</v>
      </c>
      <c r="S39" s="14">
        <f>OrganicDrylandWheat!YLVarRet</f>
        <v>0</v>
      </c>
      <c r="T39" s="1"/>
      <c r="U39" s="2">
        <f>OrganicDrylandWheat!YVarExp</f>
        <v>0</v>
      </c>
      <c r="V39" s="2">
        <f>OrganicDrylandWheat!YTVarExp</f>
        <v>0</v>
      </c>
      <c r="W39" s="2">
        <f>OrganicDrylandWheat!YLVarExp</f>
        <v>0</v>
      </c>
      <c r="X39" s="2"/>
      <c r="Y39" s="2">
        <f>OrganicDrylandWheat!YPrice</f>
        <v>0</v>
      </c>
      <c r="Z39" s="2" t="str">
        <f>OrganicDrylandWheat!Unit</f>
        <v>Bushel</v>
      </c>
      <c r="AA39" s="5">
        <f>IF(K39=0,0,U39/K39)</f>
        <v>0</v>
      </c>
      <c r="AB39" s="5">
        <f>IF(K39=0,0,V39/K39)</f>
        <v>0</v>
      </c>
      <c r="AC39" s="5">
        <f>IF(K39=0,0,W39/K39)</f>
        <v>0</v>
      </c>
    </row>
    <row r="40" spans="1:29" ht="18.75" customHeight="1" x14ac:dyDescent="0.2">
      <c r="C40" s="1"/>
      <c r="D40" s="1"/>
      <c r="E40" s="1"/>
      <c r="F40" s="1"/>
      <c r="G40" s="1"/>
      <c r="H40" s="1"/>
      <c r="I40" s="1"/>
      <c r="J40" s="6"/>
      <c r="K40" s="1"/>
      <c r="L40" s="13"/>
      <c r="M40" s="1"/>
      <c r="N40" s="5"/>
      <c r="Q40" s="14"/>
      <c r="R40" s="14"/>
      <c r="S40" s="14"/>
      <c r="T40" s="1"/>
      <c r="U40" s="2"/>
      <c r="V40" s="2"/>
      <c r="W40" s="2"/>
      <c r="X40" s="2"/>
      <c r="Y40" s="2"/>
      <c r="Z40" s="2"/>
      <c r="AA40" s="5"/>
      <c r="AB40" s="5"/>
      <c r="AC40" s="5"/>
    </row>
    <row r="41" spans="1:29" ht="18.75" customHeight="1" x14ac:dyDescent="0.2">
      <c r="A41" s="14" t="s">
        <v>144</v>
      </c>
      <c r="B41" s="14"/>
      <c r="C41" s="14"/>
      <c r="D41" s="14"/>
      <c r="E41" s="14"/>
      <c r="F41" s="1"/>
      <c r="G41" s="1"/>
      <c r="H41" s="1"/>
      <c r="I41" s="1"/>
      <c r="J41" s="6"/>
      <c r="K41" s="1"/>
      <c r="L41" s="1"/>
      <c r="M41" s="1"/>
      <c r="N41" s="5"/>
      <c r="Q41" s="14"/>
      <c r="R41" s="14"/>
      <c r="S41" s="14"/>
      <c r="T41" s="1"/>
      <c r="U41" s="2"/>
      <c r="V41" s="2"/>
      <c r="W41" s="2"/>
      <c r="X41" s="2"/>
      <c r="Y41" s="2"/>
      <c r="Z41" s="2"/>
      <c r="AA41" s="5"/>
      <c r="AB41" s="5"/>
      <c r="AC41" s="5"/>
    </row>
    <row r="42" spans="1:29" ht="18.75" customHeight="1" x14ac:dyDescent="0.2">
      <c r="A42" s="3"/>
      <c r="B42" s="3"/>
      <c r="C42" s="14"/>
      <c r="D42" s="14"/>
      <c r="E42" s="14"/>
      <c r="F42" s="1"/>
      <c r="G42" s="2"/>
      <c r="H42" s="2"/>
      <c r="I42" s="2"/>
      <c r="J42" s="2"/>
      <c r="K42" s="2"/>
      <c r="L42" s="2"/>
      <c r="M42" s="5"/>
      <c r="N42" s="5"/>
      <c r="Q42" s="14"/>
      <c r="R42" s="14"/>
      <c r="S42" s="14"/>
      <c r="T42" s="1"/>
      <c r="U42" s="2"/>
      <c r="V42" s="2"/>
      <c r="W42" s="2"/>
      <c r="X42" s="2"/>
      <c r="Y42" s="2"/>
      <c r="Z42" s="2"/>
      <c r="AA42" s="5"/>
      <c r="AB42" s="5"/>
      <c r="AC42" s="5"/>
    </row>
    <row r="43" spans="1:29" ht="18.75" customHeight="1" x14ac:dyDescent="0.2">
      <c r="A43" s="15" t="str">
        <f>+CowCalf!A3</f>
        <v>Rolling Plains Cow-Calf Production</v>
      </c>
      <c r="B43" s="3">
        <f>+CowCalf!E7</f>
        <v>0</v>
      </c>
      <c r="C43" s="14">
        <f>+CowCalf!YTotRet</f>
        <v>0</v>
      </c>
      <c r="D43" s="14"/>
      <c r="E43" s="14"/>
      <c r="G43" s="8">
        <f>+CowCalf!YTotExp</f>
        <v>0</v>
      </c>
      <c r="H43" s="8"/>
      <c r="I43" s="8"/>
      <c r="J43" s="8"/>
      <c r="K43" s="8" t="e">
        <f>+CowCalf!YPrice</f>
        <v>#NAME?</v>
      </c>
      <c r="L43" s="8" t="str">
        <f>+CowCalf!Unit</f>
        <v>CWT</v>
      </c>
      <c r="M43" s="5" t="e">
        <f>+IF($K43=0,0,G43/$K43)</f>
        <v>#NAME?</v>
      </c>
      <c r="N43" s="5"/>
      <c r="Q43" s="14">
        <f>+CowCalf!YVarRet</f>
        <v>0</v>
      </c>
      <c r="R43" s="14"/>
      <c r="S43" s="14"/>
      <c r="U43" s="8">
        <f>+CowCalf!YVarExp</f>
        <v>0</v>
      </c>
      <c r="V43" s="8"/>
      <c r="W43" s="8"/>
      <c r="X43" s="8"/>
      <c r="Y43" s="8" t="e">
        <f>+CowCalf!YPrice</f>
        <v>#NAME?</v>
      </c>
      <c r="Z43" s="8" t="str">
        <f>+CowCalf!Unit</f>
        <v>CWT</v>
      </c>
      <c r="AA43" s="5" t="e">
        <f t="shared" ref="AA43:AA45" si="29">+IF($K43=0,0,U43/$K43)</f>
        <v>#NAME?</v>
      </c>
      <c r="AB43" s="5"/>
      <c r="AC43" s="5"/>
    </row>
    <row r="44" spans="1:29" ht="18.75" customHeight="1" x14ac:dyDescent="0.2">
      <c r="A44" s="15" t="str">
        <f>+StockersMar1!A3</f>
        <v>Stocker Calf Budget - Pull off Wheat March 1</v>
      </c>
      <c r="B44" s="3">
        <f>+StockersMar1!E7</f>
        <v>0</v>
      </c>
      <c r="C44" s="14">
        <f>+StockersMar1!YTotRet</f>
        <v>0</v>
      </c>
      <c r="D44" s="14"/>
      <c r="E44" s="14"/>
      <c r="G44" s="8">
        <f>+StockersMar1!YTotExp</f>
        <v>0</v>
      </c>
      <c r="H44" s="8"/>
      <c r="I44" s="8"/>
      <c r="J44" s="8"/>
      <c r="K44" s="8">
        <f>+StockersMar1!YPrice</f>
        <v>0</v>
      </c>
      <c r="L44" s="8" t="str">
        <f>+StockersMar1!Unit</f>
        <v>CWT</v>
      </c>
      <c r="M44" s="5">
        <f>+IF($K44=0,0,G44/$K44)</f>
        <v>0</v>
      </c>
      <c r="N44" s="115"/>
      <c r="Q44" s="14">
        <f>+StockersMar1!YVarRet</f>
        <v>0</v>
      </c>
      <c r="R44" s="14"/>
      <c r="S44" s="14"/>
      <c r="U44" s="8">
        <f>+StockersMar1!YVarExp</f>
        <v>0</v>
      </c>
      <c r="V44" s="8"/>
      <c r="W44" s="8"/>
      <c r="X44" s="8"/>
      <c r="Y44" s="8">
        <f>+StockersMar1!YPrice</f>
        <v>0</v>
      </c>
      <c r="Z44" s="8" t="str">
        <f>+StockersMar1!Unit</f>
        <v>CWT</v>
      </c>
      <c r="AA44" s="5">
        <f t="shared" si="29"/>
        <v>0</v>
      </c>
      <c r="AB44" s="5"/>
      <c r="AC44" s="5"/>
    </row>
    <row r="45" spans="1:29" ht="18.75" customHeight="1" x14ac:dyDescent="0.2">
      <c r="A45" s="15" t="str">
        <f>+StockerGrazeOut!A3</f>
        <v>Stocker Calf Budget - Grazeout</v>
      </c>
      <c r="B45" s="3">
        <f>+StockerGrazeOut!E7</f>
        <v>0</v>
      </c>
      <c r="C45" s="14">
        <f>+StockerGrazeOut!YTotRet</f>
        <v>0</v>
      </c>
      <c r="D45" s="14"/>
      <c r="E45" s="14"/>
      <c r="G45" s="8">
        <f>+StockerGrazeOut!YTotExp</f>
        <v>0</v>
      </c>
      <c r="H45" s="8"/>
      <c r="I45" s="8"/>
      <c r="J45" s="8"/>
      <c r="K45" s="8">
        <f>+StockerGrazeOut!YPrice</f>
        <v>0</v>
      </c>
      <c r="L45" s="8" t="str">
        <f>+StockerGrazeOut!Unit</f>
        <v>CWT</v>
      </c>
      <c r="M45" s="5">
        <f>+IF($K45=0,0,G45/$K45)</f>
        <v>0</v>
      </c>
      <c r="N45" s="5"/>
      <c r="Q45" s="14">
        <f>+StockerGrazeOut!YVarRet</f>
        <v>0</v>
      </c>
      <c r="R45" s="14"/>
      <c r="S45" s="14"/>
      <c r="U45" s="8">
        <f>+StockerGrazeOut!YVarExp</f>
        <v>0</v>
      </c>
      <c r="V45" s="8"/>
      <c r="W45" s="8"/>
      <c r="X45" s="8"/>
      <c r="Y45" s="8">
        <f>+StockerGrazeOut!YPrice</f>
        <v>0</v>
      </c>
      <c r="Z45" s="8" t="str">
        <f>+StockerGrazeOut!Unit</f>
        <v>CWT</v>
      </c>
      <c r="AA45" s="5">
        <f t="shared" si="29"/>
        <v>0</v>
      </c>
      <c r="AB45" s="5"/>
      <c r="AC45" s="5"/>
    </row>
    <row r="46" spans="1:29" ht="18.75" customHeight="1" x14ac:dyDescent="0.2">
      <c r="A46" s="15"/>
      <c r="B46" s="15"/>
      <c r="C46" s="14"/>
      <c r="D46" s="14"/>
      <c r="E46" s="14"/>
      <c r="G46" s="8"/>
      <c r="H46" s="8"/>
      <c r="I46" s="8"/>
      <c r="J46" s="8"/>
      <c r="K46" s="8"/>
      <c r="L46" s="8"/>
      <c r="M46" s="5"/>
      <c r="N46" s="5"/>
      <c r="Q46" s="14"/>
      <c r="R46" s="14"/>
      <c r="S46" s="14"/>
      <c r="U46" s="8"/>
      <c r="V46" s="8"/>
      <c r="W46" s="8"/>
      <c r="X46" s="8"/>
      <c r="Y46" s="8"/>
      <c r="Z46" s="8"/>
      <c r="AA46" s="5"/>
      <c r="AB46" s="5"/>
      <c r="AC46" s="5"/>
    </row>
    <row r="47" spans="1:29" ht="18.75" customHeight="1" x14ac:dyDescent="0.2">
      <c r="A47" s="3"/>
      <c r="B47" s="3"/>
      <c r="C47" s="14"/>
      <c r="D47" s="14"/>
      <c r="E47" s="14"/>
      <c r="G47" s="8"/>
      <c r="H47" s="8"/>
      <c r="I47" s="8"/>
      <c r="J47" s="8"/>
      <c r="K47" s="2"/>
      <c r="L47" s="2"/>
      <c r="M47" s="5"/>
      <c r="N47" s="5"/>
      <c r="Q47" s="14"/>
      <c r="R47" s="14"/>
      <c r="S47" s="14"/>
      <c r="U47" s="8"/>
      <c r="V47" s="8"/>
      <c r="W47" s="8"/>
      <c r="X47" s="8"/>
      <c r="Y47" s="2"/>
      <c r="Z47" s="2"/>
      <c r="AA47" s="5"/>
      <c r="AB47" s="5"/>
      <c r="AC47" s="5"/>
    </row>
    <row r="48" spans="1:29" ht="18.75" customHeight="1" x14ac:dyDescent="0.2"/>
    <row r="49" spans="15:15" ht="18.75" customHeight="1" x14ac:dyDescent="0.2"/>
    <row r="50" spans="15:15" ht="18.75" customHeight="1" x14ac:dyDescent="0.2"/>
    <row r="51" spans="15:15" ht="18.75" customHeight="1" x14ac:dyDescent="0.2"/>
    <row r="52" spans="15:15" ht="18.75" customHeight="1" x14ac:dyDescent="0.2"/>
    <row r="53" spans="15:15" ht="18.75" customHeight="1" x14ac:dyDescent="0.2"/>
    <row r="54" spans="15:15" ht="18.75" customHeight="1" x14ac:dyDescent="0.2"/>
    <row r="55" spans="15:15" ht="18.75" customHeight="1" x14ac:dyDescent="0.2"/>
    <row r="56" spans="15:15" ht="18.75" customHeight="1" x14ac:dyDescent="0.2">
      <c r="O56" s="5">
        <f>+IF($K18=0,0,I18/$K18)</f>
        <v>0</v>
      </c>
    </row>
    <row r="57" spans="15:15" ht="18.75" customHeight="1" x14ac:dyDescent="0.2">
      <c r="O57" s="5"/>
    </row>
    <row r="58" spans="15:15" ht="18.75" customHeight="1" x14ac:dyDescent="0.2">
      <c r="O58" s="5"/>
    </row>
    <row r="59" spans="15:15" ht="18.75" customHeight="1" x14ac:dyDescent="0.2">
      <c r="O59" s="5"/>
    </row>
    <row r="60" spans="15:15" ht="18.75" customHeight="1" x14ac:dyDescent="0.2">
      <c r="O60" s="5" t="e">
        <f>+IF($K43=0,0,I43/$K43)</f>
        <v>#NAME?</v>
      </c>
    </row>
    <row r="61" spans="15:15" ht="16.5" customHeight="1" x14ac:dyDescent="0.2">
      <c r="O61" s="115">
        <f>+IF($K44=0,0,I44/$K44)</f>
        <v>0</v>
      </c>
    </row>
    <row r="62" spans="15:15" ht="16.5" customHeight="1" x14ac:dyDescent="0.2">
      <c r="O62" s="5">
        <f>+IF($K45=0,0,I45/$K45)</f>
        <v>0</v>
      </c>
    </row>
    <row r="63" spans="15:15" ht="16.5" customHeight="1" x14ac:dyDescent="0.2">
      <c r="O63" s="5"/>
    </row>
    <row r="64" spans="15:15" ht="16.5" customHeight="1" x14ac:dyDescent="0.2">
      <c r="O64" s="5"/>
    </row>
    <row r="65" ht="18.75" customHeight="1" x14ac:dyDescent="0.2"/>
  </sheetData>
  <sheetProtection sheet="1" objects="1" scenarios="1"/>
  <sortState xmlns:xlrd2="http://schemas.microsoft.com/office/spreadsheetml/2017/richdata2" ref="A6:M89">
    <sortCondition ref="A6:A89"/>
  </sortState>
  <mergeCells count="6">
    <mergeCell ref="Y3:AC3"/>
    <mergeCell ref="C3:E3"/>
    <mergeCell ref="G3:I3"/>
    <mergeCell ref="K3:O3"/>
    <mergeCell ref="Q3:S3"/>
    <mergeCell ref="U3:W3"/>
  </mergeCells>
  <conditionalFormatting sqref="A5:A6">
    <cfRule type="cellIs" dxfId="15" priority="37" stopIfTrue="1" operator="lessThan">
      <formula>$C$1</formula>
    </cfRule>
    <cfRule type="cellIs" dxfId="14" priority="38" stopIfTrue="1" operator="greaterThanOrEqual">
      <formula>$C$1</formula>
    </cfRule>
  </conditionalFormatting>
  <conditionalFormatting sqref="A16:A17">
    <cfRule type="cellIs" dxfId="13" priority="7" stopIfTrue="1" operator="lessThan">
      <formula>$C$1</formula>
    </cfRule>
    <cfRule type="cellIs" dxfId="12" priority="8" stopIfTrue="1" operator="greaterThanOrEqual">
      <formula>$C$1</formula>
    </cfRule>
  </conditionalFormatting>
  <conditionalFormatting sqref="A41:B42">
    <cfRule type="cellIs" dxfId="11" priority="3" stopIfTrue="1" operator="lessThan">
      <formula>$C$1</formula>
    </cfRule>
    <cfRule type="cellIs" dxfId="10" priority="4" stopIfTrue="1" operator="greaterThanOrEqual">
      <formula>$C$1</formula>
    </cfRule>
  </conditionalFormatting>
  <conditionalFormatting sqref="B5:B8">
    <cfRule type="cellIs" dxfId="9" priority="17" stopIfTrue="1" operator="lessThan">
      <formula>$C$1</formula>
    </cfRule>
    <cfRule type="cellIs" dxfId="8" priority="18" stopIfTrue="1" operator="greaterThanOrEqual">
      <formula>$C$1</formula>
    </cfRule>
  </conditionalFormatting>
  <conditionalFormatting sqref="B20:B30">
    <cfRule type="cellIs" dxfId="7" priority="23" stopIfTrue="1" operator="lessThan">
      <formula>$C$1</formula>
    </cfRule>
    <cfRule type="cellIs" dxfId="6" priority="24" stopIfTrue="1" operator="greaterThanOrEqual">
      <formula>$C$1</formula>
    </cfRule>
  </conditionalFormatting>
  <conditionalFormatting sqref="B33">
    <cfRule type="cellIs" dxfId="5" priority="21" stopIfTrue="1" operator="lessThan">
      <formula>$C$1</formula>
    </cfRule>
    <cfRule type="cellIs" dxfId="4" priority="22" stopIfTrue="1" operator="greaterThanOrEqual">
      <formula>$C$1</formula>
    </cfRule>
  </conditionalFormatting>
  <conditionalFormatting sqref="C7:E47">
    <cfRule type="cellIs" dxfId="3" priority="1" stopIfTrue="1" operator="lessThan">
      <formula>$C$1</formula>
    </cfRule>
    <cfRule type="cellIs" dxfId="2" priority="2" stopIfTrue="1" operator="greaterThanOrEqual">
      <formula>$C$1</formula>
    </cfRule>
  </conditionalFormatting>
  <conditionalFormatting sqref="Q7:S47">
    <cfRule type="cellIs" dxfId="1" priority="9" stopIfTrue="1" operator="lessThan">
      <formula>$C$1</formula>
    </cfRule>
    <cfRule type="cellIs" dxfId="0" priority="10" stopIfTrue="1" operator="greaterThanOrEqual">
      <formula>$C$1</formula>
    </cfRule>
  </conditionalFormatting>
  <pageMargins left="0.75" right="0.75" top="1" bottom="1" header="0.5" footer="0.5"/>
  <pageSetup scale="85" fitToWidth="3" orientation="landscape" r:id="rId1"/>
  <headerFooter alignWithMargins="0">
    <oddHeader>&amp;RVersion 00.02.2012</oddHeader>
    <oddFooter>&amp;CTexas AgriLife Extension Service provides this software for educational use, solely on an “AS IS” basis and  assumes no liability for its use.</oddFooter>
  </headerFooter>
  <colBreaks count="2" manualBreakCount="2">
    <brk id="6" max="28" man="1"/>
    <brk id="10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3">
    <tabColor rgb="FF92D050"/>
    <pageSetUpPr fitToPage="1"/>
  </sheetPr>
  <dimension ref="A1:Y91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423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100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483</v>
      </c>
      <c r="R9" s="189" t="str">
        <f>"(" &amp; E7 &amp; " acres)"</f>
        <v>( acres)</v>
      </c>
      <c r="S9" s="12"/>
    </row>
    <row r="10" spans="1:19" x14ac:dyDescent="0.2">
      <c r="A10" s="25"/>
      <c r="B10" t="s">
        <v>356</v>
      </c>
      <c r="C10" s="25"/>
      <c r="D10" s="50">
        <v>3.25</v>
      </c>
      <c r="E10" s="130"/>
      <c r="F10" s="224" t="s">
        <v>135</v>
      </c>
      <c r="G10" s="31">
        <v>400</v>
      </c>
      <c r="H10" s="131"/>
      <c r="I10" s="35">
        <v>1300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1300</v>
      </c>
      <c r="P10" s="200">
        <f>+J10-N10</f>
        <v>0</v>
      </c>
      <c r="Q10" s="35">
        <v>130000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1300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1300</v>
      </c>
      <c r="P13" s="201">
        <f>SUM(P10:P12)</f>
        <v>0</v>
      </c>
      <c r="Q13" s="36">
        <v>130000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50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176</v>
      </c>
      <c r="D18" s="25">
        <v>1</v>
      </c>
      <c r="E18" s="130"/>
      <c r="F18" s="224" t="s">
        <v>42</v>
      </c>
      <c r="G18" s="41">
        <v>5</v>
      </c>
      <c r="H18" s="131"/>
      <c r="I18" s="35">
        <v>5</v>
      </c>
      <c r="J18" s="200">
        <f t="shared" ref="J18:J33" si="4">E18*H18</f>
        <v>0</v>
      </c>
      <c r="K18" s="223">
        <v>0</v>
      </c>
      <c r="L18" s="212"/>
      <c r="M18" s="35">
        <v>0</v>
      </c>
      <c r="N18" s="200">
        <f t="shared" ref="N18:N33" si="5">J18*L18</f>
        <v>0</v>
      </c>
      <c r="O18" s="35">
        <v>5</v>
      </c>
      <c r="P18" s="200">
        <f t="shared" ref="P18:P33" si="6">+J18-N18</f>
        <v>0</v>
      </c>
      <c r="Q18" s="35">
        <v>500</v>
      </c>
      <c r="R18" s="200">
        <f t="shared" ref="R18:R33" si="7">+J18*E$7</f>
        <v>0</v>
      </c>
    </row>
    <row r="19" spans="1:18" x14ac:dyDescent="0.2">
      <c r="A19" s="25"/>
      <c r="B19" s="25" t="s">
        <v>458</v>
      </c>
      <c r="C19" s="25" t="s">
        <v>177</v>
      </c>
      <c r="D19" s="25">
        <v>2</v>
      </c>
      <c r="E19" s="130"/>
      <c r="F19" s="224" t="s">
        <v>42</v>
      </c>
      <c r="G19" s="41">
        <v>5.5</v>
      </c>
      <c r="H19" s="131"/>
      <c r="I19" s="35">
        <v>11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11</v>
      </c>
      <c r="P19" s="200">
        <f t="shared" si="6"/>
        <v>0</v>
      </c>
      <c r="Q19" s="35">
        <v>1100</v>
      </c>
      <c r="R19" s="200">
        <f t="shared" si="7"/>
        <v>0</v>
      </c>
    </row>
    <row r="20" spans="1:18" x14ac:dyDescent="0.2">
      <c r="A20" s="25"/>
      <c r="B20" s="25" t="s">
        <v>458</v>
      </c>
      <c r="C20" s="25" t="s">
        <v>317</v>
      </c>
      <c r="D20" s="25">
        <v>2</v>
      </c>
      <c r="E20" s="130"/>
      <c r="F20" s="224" t="s">
        <v>42</v>
      </c>
      <c r="G20" s="41">
        <v>5.5</v>
      </c>
      <c r="H20" s="131"/>
      <c r="I20" s="35">
        <v>11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11</v>
      </c>
      <c r="P20" s="200">
        <f t="shared" si="6"/>
        <v>0</v>
      </c>
      <c r="Q20" s="35">
        <v>1100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369</v>
      </c>
      <c r="D21" s="25">
        <v>3.25</v>
      </c>
      <c r="E21" s="130"/>
      <c r="F21" s="224" t="s">
        <v>135</v>
      </c>
      <c r="G21" s="41">
        <v>35</v>
      </c>
      <c r="H21" s="131"/>
      <c r="I21" s="35">
        <v>113.75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113.75</v>
      </c>
      <c r="P21" s="200">
        <f t="shared" si="6"/>
        <v>0</v>
      </c>
      <c r="Q21" s="35">
        <v>11375</v>
      </c>
      <c r="R21" s="200">
        <f t="shared" si="7"/>
        <v>0</v>
      </c>
    </row>
    <row r="22" spans="1:18" x14ac:dyDescent="0.2">
      <c r="A22" s="25"/>
      <c r="B22" s="25" t="s">
        <v>0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344</v>
      </c>
      <c r="D23" s="25">
        <v>12</v>
      </c>
      <c r="E23" s="130"/>
      <c r="F23" s="224" t="s">
        <v>82</v>
      </c>
      <c r="G23" s="41">
        <v>0.30499999999999999</v>
      </c>
      <c r="H23" s="131"/>
      <c r="I23" s="35">
        <v>3.66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3.66</v>
      </c>
      <c r="P23" s="200">
        <f t="shared" si="6"/>
        <v>0</v>
      </c>
      <c r="Q23" s="35">
        <v>366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342</v>
      </c>
      <c r="D24" s="25">
        <v>20</v>
      </c>
      <c r="E24" s="130"/>
      <c r="F24" s="224" t="s">
        <v>82</v>
      </c>
      <c r="G24" s="41">
        <v>0.53800000000000003</v>
      </c>
      <c r="H24" s="131"/>
      <c r="I24" s="35">
        <v>10.760000000000002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10.760000000000002</v>
      </c>
      <c r="P24" s="200">
        <f t="shared" si="6"/>
        <v>0</v>
      </c>
      <c r="Q24" s="35">
        <v>1076.0000000000002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378</v>
      </c>
      <c r="D25" s="25">
        <v>50</v>
      </c>
      <c r="E25" s="130"/>
      <c r="F25" s="224" t="s">
        <v>82</v>
      </c>
      <c r="G25" s="41">
        <v>0.56999999999999995</v>
      </c>
      <c r="H25" s="131"/>
      <c r="I25" s="35">
        <v>28.499999999999996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28.499999999999996</v>
      </c>
      <c r="P25" s="200">
        <f t="shared" si="6"/>
        <v>0</v>
      </c>
      <c r="Q25" s="35">
        <v>2849.9999999999995</v>
      </c>
      <c r="R25" s="200">
        <f t="shared" si="7"/>
        <v>0</v>
      </c>
    </row>
    <row r="26" spans="1:18" x14ac:dyDescent="0.2">
      <c r="A26" s="25"/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23"/>
      <c r="L26" s="25"/>
      <c r="M26" s="25"/>
      <c r="N26" s="25"/>
      <c r="O26" s="25"/>
      <c r="P26" s="25"/>
      <c r="Q26" s="25"/>
      <c r="R26" s="25"/>
    </row>
    <row r="27" spans="1:18" x14ac:dyDescent="0.2">
      <c r="A27" s="25"/>
      <c r="B27" s="25" t="s">
        <v>458</v>
      </c>
      <c r="C27" s="25" t="s">
        <v>406</v>
      </c>
      <c r="D27" s="25">
        <v>2</v>
      </c>
      <c r="E27" s="130"/>
      <c r="F27" s="224" t="s">
        <v>316</v>
      </c>
      <c r="G27" s="41">
        <v>11.875</v>
      </c>
      <c r="H27" s="131"/>
      <c r="I27" s="35">
        <v>23.75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23.75</v>
      </c>
      <c r="P27" s="200">
        <f t="shared" si="6"/>
        <v>0</v>
      </c>
      <c r="Q27" s="35">
        <v>2375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364</v>
      </c>
      <c r="D28" s="25">
        <v>2</v>
      </c>
      <c r="E28" s="130"/>
      <c r="F28" s="224" t="s">
        <v>316</v>
      </c>
      <c r="G28" s="41">
        <v>3.75</v>
      </c>
      <c r="H28" s="131"/>
      <c r="I28" s="35">
        <v>7.5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7.5</v>
      </c>
      <c r="P28" s="200">
        <f t="shared" si="6"/>
        <v>0</v>
      </c>
      <c r="Q28" s="35">
        <v>750</v>
      </c>
      <c r="R28" s="200">
        <f t="shared" si="7"/>
        <v>0</v>
      </c>
    </row>
    <row r="29" spans="1:18" x14ac:dyDescent="0.2">
      <c r="A29" s="25"/>
      <c r="B29" s="25" t="s">
        <v>48</v>
      </c>
      <c r="C29" s="25"/>
      <c r="D29" s="25"/>
      <c r="E29" s="25"/>
      <c r="F29" s="25"/>
      <c r="G29" s="25"/>
      <c r="H29" s="25"/>
      <c r="I29" s="25"/>
      <c r="J29" s="25"/>
      <c r="K29" s="223"/>
      <c r="L29" s="25"/>
      <c r="M29" s="25"/>
      <c r="N29" s="25"/>
      <c r="O29" s="25"/>
      <c r="P29" s="25"/>
      <c r="Q29" s="25"/>
      <c r="R29" s="25"/>
    </row>
    <row r="30" spans="1:18" x14ac:dyDescent="0.2">
      <c r="A30" s="25"/>
      <c r="B30" s="25" t="s">
        <v>458</v>
      </c>
      <c r="C30" s="25" t="s">
        <v>389</v>
      </c>
      <c r="D30" s="25">
        <v>2</v>
      </c>
      <c r="E30" s="130"/>
      <c r="F30" s="224" t="s">
        <v>316</v>
      </c>
      <c r="G30" s="41">
        <v>4.12</v>
      </c>
      <c r="H30" s="131"/>
      <c r="I30" s="35">
        <v>8.24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8.24</v>
      </c>
      <c r="P30" s="200">
        <f t="shared" si="6"/>
        <v>0</v>
      </c>
      <c r="Q30" s="35">
        <v>824</v>
      </c>
      <c r="R30" s="200">
        <f t="shared" si="7"/>
        <v>0</v>
      </c>
    </row>
    <row r="31" spans="1:18" x14ac:dyDescent="0.2">
      <c r="A31" s="25"/>
      <c r="B31" s="25" t="s">
        <v>458</v>
      </c>
      <c r="C31" s="25" t="s">
        <v>390</v>
      </c>
      <c r="D31" s="25">
        <v>3</v>
      </c>
      <c r="E31" s="130"/>
      <c r="F31" s="224" t="s">
        <v>411</v>
      </c>
      <c r="G31" s="41">
        <v>1.0546875</v>
      </c>
      <c r="H31" s="131"/>
      <c r="I31" s="35">
        <v>3.1640625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3.1640625</v>
      </c>
      <c r="P31" s="200">
        <f t="shared" si="6"/>
        <v>0</v>
      </c>
      <c r="Q31" s="35">
        <v>316.40625</v>
      </c>
      <c r="R31" s="200">
        <f t="shared" si="7"/>
        <v>0</v>
      </c>
    </row>
    <row r="32" spans="1:18" x14ac:dyDescent="0.2">
      <c r="A32" s="25"/>
      <c r="B32" s="131"/>
      <c r="C32" s="131"/>
      <c r="D32" s="25">
        <v>0</v>
      </c>
      <c r="E32" s="130"/>
      <c r="F32" s="224"/>
      <c r="G32" s="41">
        <v>0</v>
      </c>
      <c r="H32" s="131"/>
      <c r="I32" s="35">
        <v>0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0</v>
      </c>
      <c r="P32" s="200">
        <f t="shared" si="6"/>
        <v>0</v>
      </c>
      <c r="Q32" s="35">
        <v>0</v>
      </c>
      <c r="R32" s="200">
        <f t="shared" si="7"/>
        <v>0</v>
      </c>
    </row>
    <row r="33" spans="1:18" x14ac:dyDescent="0.2">
      <c r="A33" s="25"/>
      <c r="B33" s="131"/>
      <c r="C33" s="131"/>
      <c r="D33" s="25">
        <v>0</v>
      </c>
      <c r="E33" s="130"/>
      <c r="F33" s="224"/>
      <c r="G33" s="41">
        <v>0</v>
      </c>
      <c r="H33" s="131"/>
      <c r="I33" s="35">
        <v>0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0</v>
      </c>
      <c r="P33" s="200">
        <f t="shared" si="6"/>
        <v>0</v>
      </c>
      <c r="Q33" s="35">
        <v>0</v>
      </c>
      <c r="R33" s="200">
        <f t="shared" si="7"/>
        <v>0</v>
      </c>
    </row>
    <row r="34" spans="1:18" x14ac:dyDescent="0.2">
      <c r="A34" s="25"/>
      <c r="B34" s="131"/>
      <c r="C34" s="131"/>
      <c r="D34" s="25">
        <v>0</v>
      </c>
      <c r="E34" s="130"/>
      <c r="F34" s="224"/>
      <c r="G34" s="41">
        <v>0</v>
      </c>
      <c r="H34" s="131"/>
      <c r="I34" s="35">
        <v>0</v>
      </c>
      <c r="J34" s="200">
        <f>E34*H34</f>
        <v>0</v>
      </c>
      <c r="K34" s="223">
        <v>0</v>
      </c>
      <c r="L34" s="212"/>
      <c r="M34" s="35">
        <v>0</v>
      </c>
      <c r="N34" s="200">
        <f>J34*L34</f>
        <v>0</v>
      </c>
      <c r="O34" s="35">
        <v>0</v>
      </c>
      <c r="P34" s="200">
        <f>+J34-N34</f>
        <v>0</v>
      </c>
      <c r="Q34" s="35">
        <v>0</v>
      </c>
      <c r="R34" s="200">
        <f>+J34*E$7</f>
        <v>0</v>
      </c>
    </row>
    <row r="35" spans="1:18" x14ac:dyDescent="0.2">
      <c r="A35" s="25"/>
      <c r="B35" s="25" t="s">
        <v>106</v>
      </c>
      <c r="C35" s="25"/>
      <c r="D35" s="25"/>
      <c r="E35" s="104"/>
      <c r="H35" s="104"/>
      <c r="I35" s="121"/>
      <c r="J35" s="104"/>
      <c r="K35" s="223"/>
      <c r="L35" s="104"/>
      <c r="N35" s="104"/>
      <c r="P35" s="104"/>
      <c r="R35" s="104"/>
    </row>
    <row r="36" spans="1:18" x14ac:dyDescent="0.2">
      <c r="A36" s="25"/>
      <c r="B36" s="25"/>
      <c r="C36" s="25" t="s">
        <v>103</v>
      </c>
      <c r="D36" s="25">
        <v>0</v>
      </c>
      <c r="E36" s="130"/>
      <c r="F36" s="224" t="s">
        <v>44</v>
      </c>
      <c r="G36" s="41">
        <v>15</v>
      </c>
      <c r="H36" s="131"/>
      <c r="I36" s="35">
        <v>0</v>
      </c>
      <c r="J36" s="200">
        <f>E36*H36</f>
        <v>0</v>
      </c>
      <c r="K36" s="223">
        <v>0</v>
      </c>
      <c r="L36" s="212"/>
      <c r="M36" s="35">
        <v>0</v>
      </c>
      <c r="N36" s="200">
        <f>J36*L36</f>
        <v>0</v>
      </c>
      <c r="O36" s="35">
        <v>0</v>
      </c>
      <c r="P36" s="200">
        <f>+J36-N36</f>
        <v>0</v>
      </c>
      <c r="Q36" s="35">
        <v>0</v>
      </c>
      <c r="R36" s="200">
        <f>+J36*E$7</f>
        <v>0</v>
      </c>
    </row>
    <row r="37" spans="1:18" x14ac:dyDescent="0.2">
      <c r="A37" s="25"/>
      <c r="B37" s="25"/>
      <c r="C37" s="25" t="s">
        <v>105</v>
      </c>
      <c r="D37" s="25">
        <v>0</v>
      </c>
      <c r="E37" s="130"/>
      <c r="F37" s="224" t="s">
        <v>44</v>
      </c>
      <c r="G37" s="41">
        <v>15</v>
      </c>
      <c r="H37" s="131"/>
      <c r="I37" s="35">
        <v>0</v>
      </c>
      <c r="J37" s="200">
        <f>E37*H37</f>
        <v>0</v>
      </c>
      <c r="K37" s="223">
        <v>0</v>
      </c>
      <c r="L37" s="212"/>
      <c r="M37" s="35">
        <v>0</v>
      </c>
      <c r="N37" s="200">
        <f>J37*L37</f>
        <v>0</v>
      </c>
      <c r="O37" s="35">
        <v>0</v>
      </c>
      <c r="P37" s="200">
        <f>+J37-N37</f>
        <v>0</v>
      </c>
      <c r="Q37" s="35">
        <v>0</v>
      </c>
      <c r="R37" s="200">
        <f>+J37*E$7</f>
        <v>0</v>
      </c>
    </row>
    <row r="38" spans="1:18" x14ac:dyDescent="0.2">
      <c r="A38" s="25"/>
      <c r="B38" s="25"/>
      <c r="C38" s="25"/>
      <c r="D38" s="25"/>
      <c r="E38" s="207"/>
      <c r="F38" s="21"/>
      <c r="G38" s="41"/>
      <c r="H38" s="196"/>
      <c r="I38" s="35"/>
      <c r="J38" s="182"/>
      <c r="K38" s="223"/>
      <c r="L38" s="196"/>
      <c r="M38" s="35"/>
      <c r="N38" s="182"/>
      <c r="O38" s="35"/>
      <c r="P38" s="182"/>
      <c r="Q38" s="35"/>
      <c r="R38" s="182"/>
    </row>
    <row r="39" spans="1:18" x14ac:dyDescent="0.2">
      <c r="A39" s="25"/>
      <c r="B39" s="25" t="s">
        <v>51</v>
      </c>
      <c r="C39" s="25"/>
      <c r="D39" s="25"/>
      <c r="E39" s="207"/>
      <c r="F39" s="21"/>
      <c r="G39" s="41"/>
      <c r="H39" s="196"/>
      <c r="I39" s="184"/>
      <c r="J39" s="182"/>
      <c r="K39" s="223"/>
      <c r="L39" s="196"/>
      <c r="M39" s="35"/>
      <c r="N39" s="182"/>
      <c r="O39" s="35"/>
      <c r="P39" s="182"/>
      <c r="Q39" s="35"/>
      <c r="R39" s="182"/>
    </row>
    <row r="40" spans="1:18" x14ac:dyDescent="0.2">
      <c r="A40" s="25"/>
      <c r="B40" s="25"/>
      <c r="C40" s="25" t="s">
        <v>102</v>
      </c>
      <c r="D40" s="25">
        <v>1</v>
      </c>
      <c r="E40" s="130"/>
      <c r="F40" s="224" t="s">
        <v>42</v>
      </c>
      <c r="G40" s="41">
        <v>0</v>
      </c>
      <c r="H40" s="131"/>
      <c r="I40" s="35">
        <v>0</v>
      </c>
      <c r="J40" s="200">
        <f>E40*H40</f>
        <v>0</v>
      </c>
      <c r="K40" s="223">
        <v>0</v>
      </c>
      <c r="L40" s="212"/>
      <c r="M40" s="35">
        <v>0</v>
      </c>
      <c r="N40" s="200">
        <f>J40*L40</f>
        <v>0</v>
      </c>
      <c r="O40" s="35">
        <v>0</v>
      </c>
      <c r="P40" s="200">
        <f>+J40-N40</f>
        <v>0</v>
      </c>
      <c r="Q40" s="35">
        <v>0</v>
      </c>
      <c r="R40" s="200">
        <f>+J40*E$7</f>
        <v>0</v>
      </c>
    </row>
    <row r="41" spans="1:18" x14ac:dyDescent="0.2">
      <c r="A41" s="25"/>
      <c r="B41" s="25"/>
      <c r="C41" s="25" t="s">
        <v>103</v>
      </c>
      <c r="D41" s="25">
        <v>0</v>
      </c>
      <c r="E41" s="130"/>
      <c r="F41" s="224" t="s">
        <v>79</v>
      </c>
      <c r="G41" s="41">
        <v>3.0190000000000001</v>
      </c>
      <c r="H41" s="131"/>
      <c r="I41" s="35">
        <v>0</v>
      </c>
      <c r="J41" s="200">
        <f>E41*H41</f>
        <v>0</v>
      </c>
      <c r="K41" s="223">
        <v>0</v>
      </c>
      <c r="L41" s="212"/>
      <c r="M41" s="35">
        <v>0</v>
      </c>
      <c r="N41" s="200">
        <f>J41*L41</f>
        <v>0</v>
      </c>
      <c r="O41" s="35">
        <v>0</v>
      </c>
      <c r="P41" s="200">
        <f>+J41-N41</f>
        <v>0</v>
      </c>
      <c r="Q41" s="35">
        <v>0</v>
      </c>
      <c r="R41" s="200">
        <f>+J41*E$7</f>
        <v>0</v>
      </c>
    </row>
    <row r="42" spans="1:18" x14ac:dyDescent="0.2">
      <c r="A42" s="25"/>
      <c r="B42" s="25"/>
      <c r="C42" s="25"/>
      <c r="D42" s="25"/>
      <c r="E42" s="207"/>
      <c r="F42" s="21"/>
      <c r="G42" s="41"/>
      <c r="H42" s="196"/>
      <c r="I42" s="35"/>
      <c r="J42" s="182"/>
      <c r="K42" s="223"/>
      <c r="L42" s="196"/>
      <c r="M42" s="35"/>
      <c r="N42" s="182"/>
      <c r="O42" s="35"/>
      <c r="P42" s="182"/>
      <c r="Q42" s="35"/>
      <c r="R42" s="182"/>
    </row>
    <row r="43" spans="1:18" x14ac:dyDescent="0.2">
      <c r="A43" s="25"/>
      <c r="B43" s="25" t="s">
        <v>29</v>
      </c>
      <c r="C43" s="25"/>
      <c r="D43" s="25"/>
      <c r="E43" s="207"/>
      <c r="F43" s="21"/>
      <c r="G43" s="41"/>
      <c r="H43" s="196"/>
      <c r="I43" s="184"/>
      <c r="J43" s="182"/>
      <c r="K43" s="223"/>
      <c r="L43" s="196"/>
      <c r="M43" s="35"/>
      <c r="N43" s="182"/>
      <c r="O43" s="35"/>
      <c r="P43" s="182"/>
      <c r="Q43" s="35"/>
      <c r="R43" s="182"/>
    </row>
    <row r="44" spans="1:18" x14ac:dyDescent="0.2">
      <c r="A44" s="25"/>
      <c r="B44" s="25"/>
      <c r="C44" s="25" t="s">
        <v>102</v>
      </c>
      <c r="D44" s="25">
        <v>1</v>
      </c>
      <c r="E44" s="130"/>
      <c r="F44" s="224" t="s">
        <v>42</v>
      </c>
      <c r="G44" s="41">
        <v>4.5</v>
      </c>
      <c r="H44" s="131"/>
      <c r="I44" s="35">
        <v>4.5</v>
      </c>
      <c r="J44" s="200">
        <f>E44*H44</f>
        <v>0</v>
      </c>
      <c r="K44" s="223">
        <v>0</v>
      </c>
      <c r="L44" s="212"/>
      <c r="M44" s="35">
        <v>0</v>
      </c>
      <c r="N44" s="200">
        <f>J44*L44</f>
        <v>0</v>
      </c>
      <c r="O44" s="35">
        <v>4.5</v>
      </c>
      <c r="P44" s="200">
        <f>+J44-N44</f>
        <v>0</v>
      </c>
      <c r="Q44" s="35">
        <v>450</v>
      </c>
      <c r="R44" s="200">
        <f>+J44*E$7</f>
        <v>0</v>
      </c>
    </row>
    <row r="45" spans="1:18" x14ac:dyDescent="0.2">
      <c r="A45" s="25"/>
      <c r="B45" s="25"/>
      <c r="C45" s="25" t="s">
        <v>103</v>
      </c>
      <c r="D45" s="25">
        <v>0</v>
      </c>
      <c r="E45" s="130"/>
      <c r="F45" s="224" t="s">
        <v>79</v>
      </c>
      <c r="G45" s="41">
        <v>3.09</v>
      </c>
      <c r="H45" s="131"/>
      <c r="I45" s="35">
        <v>0</v>
      </c>
      <c r="J45" s="200">
        <f>E45*H45</f>
        <v>0</v>
      </c>
      <c r="K45" s="223">
        <v>0</v>
      </c>
      <c r="L45" s="212"/>
      <c r="M45" s="35">
        <v>0</v>
      </c>
      <c r="N45" s="200">
        <f>J45*L45</f>
        <v>0</v>
      </c>
      <c r="O45" s="35">
        <v>0</v>
      </c>
      <c r="P45" s="200">
        <f>+J45-N45</f>
        <v>0</v>
      </c>
      <c r="Q45" s="35">
        <v>0</v>
      </c>
      <c r="R45" s="200">
        <f>+J45*E$7</f>
        <v>0</v>
      </c>
    </row>
    <row r="46" spans="1:18" x14ac:dyDescent="0.2">
      <c r="A46" s="25"/>
      <c r="B46" s="25"/>
      <c r="C46" s="25"/>
      <c r="D46" s="25"/>
      <c r="E46" s="207"/>
      <c r="F46" s="21"/>
      <c r="G46" s="41"/>
      <c r="H46" s="196"/>
      <c r="I46" s="35"/>
      <c r="J46" s="182"/>
      <c r="K46" s="223"/>
      <c r="L46" s="196"/>
      <c r="M46" s="35"/>
      <c r="N46" s="182"/>
      <c r="O46" s="35"/>
      <c r="P46" s="182"/>
      <c r="Q46" s="35"/>
      <c r="R46" s="182"/>
    </row>
    <row r="47" spans="1:18" x14ac:dyDescent="0.2">
      <c r="A47" s="25"/>
      <c r="B47" s="25" t="s">
        <v>47</v>
      </c>
      <c r="C47" s="25"/>
      <c r="D47" s="25"/>
      <c r="E47" s="207"/>
      <c r="F47" s="21"/>
      <c r="G47" s="41"/>
      <c r="H47" s="197"/>
      <c r="I47" s="184"/>
      <c r="J47" s="182"/>
      <c r="K47" s="223"/>
      <c r="L47" s="197"/>
      <c r="M47" s="35"/>
      <c r="N47" s="182"/>
      <c r="O47" s="35"/>
      <c r="P47" s="182"/>
      <c r="Q47" s="35"/>
      <c r="R47" s="182"/>
    </row>
    <row r="48" spans="1:18" x14ac:dyDescent="0.2">
      <c r="A48" s="25"/>
      <c r="B48" s="25"/>
      <c r="C48" s="25" t="s">
        <v>102</v>
      </c>
      <c r="D48" s="25">
        <v>1</v>
      </c>
      <c r="E48" s="130"/>
      <c r="F48" s="224" t="s">
        <v>42</v>
      </c>
      <c r="G48" s="41">
        <v>19.5</v>
      </c>
      <c r="H48" s="131"/>
      <c r="I48" s="35">
        <v>19.5</v>
      </c>
      <c r="J48" s="200">
        <f t="shared" ref="J48:J53" si="8">E48*H48</f>
        <v>0</v>
      </c>
      <c r="K48" s="223">
        <v>0</v>
      </c>
      <c r="L48" s="212"/>
      <c r="M48" s="35">
        <v>0</v>
      </c>
      <c r="N48" s="200">
        <f t="shared" ref="N48:N53" si="9">J48*L48</f>
        <v>0</v>
      </c>
      <c r="O48" s="35">
        <v>19.5</v>
      </c>
      <c r="P48" s="200">
        <f t="shared" ref="P48:P53" si="10">+J48-N48</f>
        <v>0</v>
      </c>
      <c r="Q48" s="35">
        <v>1950</v>
      </c>
      <c r="R48" s="200">
        <f t="shared" ref="R48:R53" si="11">+J48*E$7</f>
        <v>0</v>
      </c>
    </row>
    <row r="49" spans="1:18" x14ac:dyDescent="0.2">
      <c r="A49" s="25"/>
      <c r="B49" s="25"/>
      <c r="C49" s="25" t="s">
        <v>46</v>
      </c>
      <c r="D49" s="25">
        <v>1</v>
      </c>
      <c r="E49" s="130"/>
      <c r="F49" s="224" t="s">
        <v>42</v>
      </c>
      <c r="G49" s="41">
        <v>0</v>
      </c>
      <c r="H49" s="131"/>
      <c r="I49" s="35">
        <v>0</v>
      </c>
      <c r="J49" s="200">
        <f t="shared" si="8"/>
        <v>0</v>
      </c>
      <c r="K49" s="223">
        <v>0</v>
      </c>
      <c r="L49" s="212"/>
      <c r="M49" s="35">
        <v>0</v>
      </c>
      <c r="N49" s="200">
        <f t="shared" si="9"/>
        <v>0</v>
      </c>
      <c r="O49" s="35">
        <v>0</v>
      </c>
      <c r="P49" s="200">
        <f t="shared" si="10"/>
        <v>0</v>
      </c>
      <c r="Q49" s="35">
        <v>0</v>
      </c>
      <c r="R49" s="200">
        <f t="shared" si="11"/>
        <v>0</v>
      </c>
    </row>
    <row r="50" spans="1:18" x14ac:dyDescent="0.2">
      <c r="A50" s="25"/>
      <c r="B50" s="25"/>
      <c r="C50" s="25" t="s">
        <v>103</v>
      </c>
      <c r="D50" s="25">
        <v>1</v>
      </c>
      <c r="E50" s="130"/>
      <c r="F50" s="224" t="s">
        <v>42</v>
      </c>
      <c r="G50" s="41">
        <v>0</v>
      </c>
      <c r="H50" s="131"/>
      <c r="I50" s="35">
        <v>0</v>
      </c>
      <c r="J50" s="200">
        <f t="shared" si="8"/>
        <v>0</v>
      </c>
      <c r="K50" s="223">
        <v>0</v>
      </c>
      <c r="L50" s="212"/>
      <c r="M50" s="35">
        <v>0</v>
      </c>
      <c r="N50" s="200">
        <f t="shared" si="9"/>
        <v>0</v>
      </c>
      <c r="O50" s="35">
        <v>0</v>
      </c>
      <c r="P50" s="200">
        <f t="shared" si="10"/>
        <v>0</v>
      </c>
      <c r="Q50" s="35">
        <v>0</v>
      </c>
      <c r="R50" s="200">
        <f t="shared" si="11"/>
        <v>0</v>
      </c>
    </row>
    <row r="51" spans="1:18" x14ac:dyDescent="0.2">
      <c r="A51" s="25"/>
      <c r="B51" s="25"/>
      <c r="C51" s="25" t="s">
        <v>5</v>
      </c>
      <c r="D51" s="25">
        <v>1</v>
      </c>
      <c r="E51" s="130"/>
      <c r="F51" s="224" t="s">
        <v>42</v>
      </c>
      <c r="G51" s="41">
        <v>0</v>
      </c>
      <c r="H51" s="131"/>
      <c r="I51" s="35">
        <v>0</v>
      </c>
      <c r="J51" s="200">
        <f t="shared" si="8"/>
        <v>0</v>
      </c>
      <c r="K51" s="223">
        <v>0</v>
      </c>
      <c r="L51" s="212"/>
      <c r="M51" s="35">
        <v>0</v>
      </c>
      <c r="N51" s="200">
        <f t="shared" si="9"/>
        <v>0</v>
      </c>
      <c r="O51" s="35">
        <v>0</v>
      </c>
      <c r="P51" s="200">
        <f t="shared" si="10"/>
        <v>0</v>
      </c>
      <c r="Q51" s="35">
        <v>0</v>
      </c>
      <c r="R51" s="200">
        <f t="shared" si="11"/>
        <v>0</v>
      </c>
    </row>
    <row r="52" spans="1:18" x14ac:dyDescent="0.2">
      <c r="A52" s="25"/>
      <c r="B52" s="131"/>
      <c r="C52" s="131"/>
      <c r="D52" s="25"/>
      <c r="E52" s="130"/>
      <c r="F52" s="224"/>
      <c r="G52" s="41"/>
      <c r="H52" s="131"/>
      <c r="I52" s="35">
        <v>0</v>
      </c>
      <c r="J52" s="200">
        <f t="shared" si="8"/>
        <v>0</v>
      </c>
      <c r="K52" s="223">
        <v>0</v>
      </c>
      <c r="L52" s="212"/>
      <c r="M52" s="35">
        <v>0</v>
      </c>
      <c r="N52" s="200">
        <f t="shared" si="9"/>
        <v>0</v>
      </c>
      <c r="O52" s="35">
        <v>0</v>
      </c>
      <c r="P52" s="200">
        <f t="shared" si="10"/>
        <v>0</v>
      </c>
      <c r="Q52" s="35">
        <v>0</v>
      </c>
      <c r="R52" s="200">
        <f t="shared" si="11"/>
        <v>0</v>
      </c>
    </row>
    <row r="53" spans="1:18" x14ac:dyDescent="0.2">
      <c r="A53" s="25"/>
      <c r="B53" s="131"/>
      <c r="C53" s="131"/>
      <c r="D53" s="25"/>
      <c r="E53" s="130"/>
      <c r="F53" s="224"/>
      <c r="G53" s="41"/>
      <c r="H53" s="131"/>
      <c r="I53" s="35">
        <v>0</v>
      </c>
      <c r="J53" s="200">
        <f t="shared" si="8"/>
        <v>0</v>
      </c>
      <c r="K53" s="223">
        <v>0</v>
      </c>
      <c r="L53" s="212"/>
      <c r="M53" s="35">
        <v>0</v>
      </c>
      <c r="N53" s="200">
        <f t="shared" si="9"/>
        <v>0</v>
      </c>
      <c r="O53" s="35">
        <v>0</v>
      </c>
      <c r="P53" s="200">
        <f t="shared" si="10"/>
        <v>0</v>
      </c>
      <c r="Q53" s="35">
        <v>0</v>
      </c>
      <c r="R53" s="200">
        <f t="shared" si="11"/>
        <v>0</v>
      </c>
    </row>
    <row r="54" spans="1:18" ht="13.5" thickBot="1" x14ac:dyDescent="0.25">
      <c r="A54" s="25"/>
      <c r="B54" s="25" t="s">
        <v>32</v>
      </c>
      <c r="C54" s="25"/>
      <c r="D54" s="25"/>
      <c r="E54" s="195"/>
      <c r="F54" s="21"/>
      <c r="G54" s="39">
        <v>0.09</v>
      </c>
      <c r="H54" s="213"/>
      <c r="I54" s="42">
        <v>8.2588605565068498</v>
      </c>
      <c r="J54" s="200">
        <f>+SUM(J17:J53)/2*H54</f>
        <v>0</v>
      </c>
      <c r="K54" s="86"/>
      <c r="L54" s="135"/>
      <c r="M54" s="42">
        <v>0</v>
      </c>
      <c r="N54" s="200">
        <f>+SUM(N17:N53)/2*L54</f>
        <v>0</v>
      </c>
      <c r="O54" s="42">
        <v>8.2588605565068498</v>
      </c>
      <c r="P54" s="200">
        <f>+SUM(P17:P53)/2*L54</f>
        <v>0</v>
      </c>
      <c r="Q54" s="42">
        <v>825.88605565068497</v>
      </c>
      <c r="R54" s="182">
        <f>+J54*E$7</f>
        <v>0</v>
      </c>
    </row>
    <row r="55" spans="1:18" ht="13.5" thickBot="1" x14ac:dyDescent="0.25">
      <c r="A55" s="25" t="s">
        <v>33</v>
      </c>
      <c r="B55" s="25"/>
      <c r="C55" s="25"/>
      <c r="D55" s="25"/>
      <c r="E55" s="198"/>
      <c r="F55" s="25"/>
      <c r="G55" s="25"/>
      <c r="H55" s="195"/>
      <c r="I55" s="87">
        <v>258.58292305650684</v>
      </c>
      <c r="J55" s="202">
        <f>SUM(J18:J54)</f>
        <v>0</v>
      </c>
      <c r="K55" s="35"/>
      <c r="L55" s="193"/>
      <c r="M55" s="87">
        <v>0</v>
      </c>
      <c r="N55" s="202">
        <f>SUM(N18:N54)</f>
        <v>0</v>
      </c>
      <c r="O55" s="87">
        <v>258.58292305650684</v>
      </c>
      <c r="P55" s="202">
        <f>SUM(P18:P54)</f>
        <v>0</v>
      </c>
      <c r="Q55" s="87">
        <v>25858.292305650684</v>
      </c>
      <c r="R55" s="202">
        <f>SUM(R18:R54)</f>
        <v>0</v>
      </c>
    </row>
    <row r="56" spans="1:18" ht="13.5" thickTop="1" x14ac:dyDescent="0.2">
      <c r="A56" s="25" t="s">
        <v>34</v>
      </c>
      <c r="B56" s="25"/>
      <c r="C56" s="25"/>
      <c r="D56" s="25"/>
      <c r="E56" s="198"/>
      <c r="F56" s="25"/>
      <c r="G56" s="25"/>
      <c r="H56" s="195"/>
      <c r="I56" s="35">
        <v>1041.4170769434932</v>
      </c>
      <c r="J56" s="200">
        <f>+J13-J55</f>
        <v>0</v>
      </c>
      <c r="K56" s="35"/>
      <c r="L56" s="193"/>
      <c r="M56" s="35">
        <v>0</v>
      </c>
      <c r="N56" s="200">
        <f>+N13-N55</f>
        <v>0</v>
      </c>
      <c r="O56" s="35">
        <v>1041.4170769434932</v>
      </c>
      <c r="P56" s="200">
        <f>+P13-P55</f>
        <v>0</v>
      </c>
      <c r="Q56" s="35">
        <v>104141.70769434932</v>
      </c>
      <c r="R56" s="200">
        <f>+R13-R55</f>
        <v>0</v>
      </c>
    </row>
    <row r="57" spans="1:18" x14ac:dyDescent="0.2">
      <c r="A57" s="25"/>
      <c r="B57" s="25" t="s">
        <v>35</v>
      </c>
      <c r="C57" s="25"/>
      <c r="D57" s="25"/>
      <c r="E57" s="208"/>
      <c r="F57" s="17"/>
      <c r="G57" s="40">
        <v>79.563976325079025</v>
      </c>
      <c r="H57" s="208" t="str">
        <f>IF(E10=0,"n/a",(YVarExp-(YTotExp+YTotRet-J10))/E10)</f>
        <v>n/a</v>
      </c>
      <c r="I57" s="25" t="s">
        <v>135</v>
      </c>
      <c r="J57" s="182"/>
      <c r="K57" s="25"/>
      <c r="L57" s="195"/>
      <c r="M57" s="25"/>
      <c r="N57" s="182"/>
      <c r="O57" s="25"/>
      <c r="P57" s="182"/>
      <c r="Q57" s="25"/>
      <c r="R57" s="182"/>
    </row>
    <row r="58" spans="1:18" x14ac:dyDescent="0.2">
      <c r="A58" s="25"/>
      <c r="B58" s="25"/>
      <c r="C58" s="25"/>
      <c r="D58" s="25"/>
      <c r="E58" s="176"/>
      <c r="F58" s="25"/>
      <c r="G58" s="25"/>
      <c r="H58" s="209"/>
      <c r="I58" s="25"/>
      <c r="J58" s="182"/>
      <c r="K58" s="25"/>
      <c r="L58" s="195"/>
      <c r="M58" s="25"/>
      <c r="N58" s="182"/>
      <c r="O58" s="25"/>
      <c r="P58" s="182"/>
      <c r="Q58" s="22" t="s">
        <v>19</v>
      </c>
      <c r="R58" s="182" t="s">
        <v>19</v>
      </c>
    </row>
    <row r="59" spans="1:18" x14ac:dyDescent="0.2">
      <c r="A59" s="23" t="s">
        <v>36</v>
      </c>
      <c r="B59" s="23"/>
      <c r="C59" s="23"/>
      <c r="D59" s="24" t="s">
        <v>2</v>
      </c>
      <c r="E59" s="194" t="s">
        <v>2</v>
      </c>
      <c r="F59" s="24" t="s">
        <v>21</v>
      </c>
      <c r="G59" s="24" t="s">
        <v>22</v>
      </c>
      <c r="H59" s="194" t="s">
        <v>22</v>
      </c>
      <c r="I59" s="24" t="s">
        <v>12</v>
      </c>
      <c r="J59" s="194" t="s">
        <v>12</v>
      </c>
      <c r="K59" s="24" t="s">
        <v>11</v>
      </c>
      <c r="L59" s="194" t="s">
        <v>11</v>
      </c>
      <c r="M59" s="24" t="s">
        <v>10</v>
      </c>
      <c r="N59" s="194" t="s">
        <v>10</v>
      </c>
      <c r="O59" s="24" t="s">
        <v>9</v>
      </c>
      <c r="P59" s="194" t="s">
        <v>9</v>
      </c>
      <c r="Q59" s="24" t="s">
        <v>12</v>
      </c>
      <c r="R59" s="206" t="s">
        <v>12</v>
      </c>
    </row>
    <row r="60" spans="1:18" x14ac:dyDescent="0.2">
      <c r="A60" s="25"/>
      <c r="B60" s="25" t="s">
        <v>104</v>
      </c>
      <c r="C60" s="25"/>
      <c r="D60" s="25"/>
      <c r="E60" s="176"/>
      <c r="F60" s="25"/>
      <c r="G60" s="25"/>
      <c r="H60" s="209"/>
      <c r="I60" s="184"/>
      <c r="J60" s="182"/>
      <c r="K60" s="223"/>
      <c r="L60" s="195"/>
      <c r="M60" s="25"/>
      <c r="N60" s="182"/>
      <c r="O60" s="25"/>
      <c r="P60" s="182"/>
      <c r="Q60" s="25"/>
      <c r="R60" s="182"/>
    </row>
    <row r="61" spans="1:18" x14ac:dyDescent="0.2">
      <c r="A61" s="25"/>
      <c r="B61" s="25"/>
      <c r="C61" s="25" t="s">
        <v>102</v>
      </c>
      <c r="D61" s="25">
        <v>1</v>
      </c>
      <c r="E61" s="130"/>
      <c r="F61" s="224" t="s">
        <v>42</v>
      </c>
      <c r="G61" s="41">
        <v>28.324999999999999</v>
      </c>
      <c r="H61" s="131"/>
      <c r="I61" s="35">
        <v>28.324999999999999</v>
      </c>
      <c r="J61" s="200">
        <f t="shared" ref="J61" si="12">E61*H61</f>
        <v>0</v>
      </c>
      <c r="K61" s="223">
        <v>0</v>
      </c>
      <c r="L61" s="212"/>
      <c r="M61" s="35">
        <v>0</v>
      </c>
      <c r="N61" s="200">
        <f>J61*L61</f>
        <v>0</v>
      </c>
      <c r="O61" s="35">
        <v>28.324999999999999</v>
      </c>
      <c r="P61" s="200">
        <f t="shared" ref="P61" si="13">+J61-N61</f>
        <v>0</v>
      </c>
      <c r="Q61" s="35">
        <v>2832.5</v>
      </c>
      <c r="R61" s="200">
        <f t="shared" ref="R61" si="14">+J61*E$7</f>
        <v>0</v>
      </c>
    </row>
    <row r="62" spans="1:18" x14ac:dyDescent="0.2">
      <c r="A62" s="25"/>
      <c r="B62" s="25" t="s">
        <v>88</v>
      </c>
      <c r="C62" s="25"/>
      <c r="D62" s="25"/>
      <c r="E62" s="195"/>
      <c r="F62" s="21"/>
      <c r="G62" s="41"/>
      <c r="H62" s="195"/>
      <c r="I62" s="184"/>
      <c r="J62" s="182"/>
      <c r="K62" s="223"/>
      <c r="L62" s="195"/>
      <c r="M62" s="35"/>
      <c r="N62" s="182"/>
      <c r="O62" s="35"/>
      <c r="P62" s="182"/>
      <c r="Q62" s="35"/>
      <c r="R62" s="182"/>
    </row>
    <row r="63" spans="1:18" x14ac:dyDescent="0.2">
      <c r="A63" s="25"/>
      <c r="B63" s="25"/>
      <c r="C63" s="25" t="s">
        <v>102</v>
      </c>
      <c r="D63" s="41">
        <v>220.875</v>
      </c>
      <c r="E63" s="130"/>
      <c r="F63" s="224" t="s">
        <v>99</v>
      </c>
      <c r="G63" s="39">
        <v>0.08</v>
      </c>
      <c r="H63" s="213"/>
      <c r="I63" s="35">
        <v>17.670000000000002</v>
      </c>
      <c r="J63" s="200">
        <f t="shared" ref="J63:J70" si="15">E63*H63</f>
        <v>0</v>
      </c>
      <c r="K63" s="223">
        <v>0</v>
      </c>
      <c r="L63" s="212"/>
      <c r="M63" s="35">
        <v>0</v>
      </c>
      <c r="N63" s="200">
        <f>J63*L63</f>
        <v>0</v>
      </c>
      <c r="O63" s="35">
        <v>17.670000000000002</v>
      </c>
      <c r="P63" s="200">
        <f t="shared" ref="P63" si="16">+J63-N63</f>
        <v>0</v>
      </c>
      <c r="Q63" s="35">
        <v>1767.0000000000002</v>
      </c>
      <c r="R63" s="200">
        <f t="shared" ref="R63" si="17">+J63*E$7</f>
        <v>0</v>
      </c>
    </row>
    <row r="64" spans="1:18" x14ac:dyDescent="0.2">
      <c r="A64" s="25"/>
      <c r="B64" s="25" t="s">
        <v>156</v>
      </c>
      <c r="C64" s="25"/>
      <c r="D64" s="25">
        <v>1</v>
      </c>
      <c r="E64" s="130"/>
      <c r="F64" s="224" t="s">
        <v>42</v>
      </c>
      <c r="G64" s="41">
        <v>0</v>
      </c>
      <c r="H64" s="131"/>
      <c r="I64" s="35">
        <v>0</v>
      </c>
      <c r="J64" s="200">
        <f t="shared" si="15"/>
        <v>0</v>
      </c>
      <c r="K64" s="223">
        <v>0</v>
      </c>
      <c r="L64" s="212"/>
      <c r="M64" s="35">
        <v>0</v>
      </c>
      <c r="N64" s="200">
        <f t="shared" ref="N64:N71" si="18">J64*L64</f>
        <v>0</v>
      </c>
      <c r="O64" s="35">
        <v>0</v>
      </c>
      <c r="P64" s="200">
        <f t="shared" ref="P64:P71" si="19">+J64-N64</f>
        <v>0</v>
      </c>
      <c r="Q64" s="35">
        <v>0</v>
      </c>
      <c r="R64" s="200">
        <f t="shared" ref="R64:R71" si="20">+J64*E$7</f>
        <v>0</v>
      </c>
    </row>
    <row r="65" spans="1:25" x14ac:dyDescent="0.2">
      <c r="A65" s="25"/>
      <c r="B65" s="25" t="s">
        <v>152</v>
      </c>
      <c r="C65" s="25"/>
      <c r="D65" s="25">
        <v>1</v>
      </c>
      <c r="E65" s="130"/>
      <c r="F65" s="224" t="s">
        <v>42</v>
      </c>
      <c r="G65" s="41">
        <v>0</v>
      </c>
      <c r="H65" s="131"/>
      <c r="I65" s="35">
        <v>0</v>
      </c>
      <c r="J65" s="200">
        <f t="shared" si="15"/>
        <v>0</v>
      </c>
      <c r="K65" s="223">
        <v>0</v>
      </c>
      <c r="L65" s="212"/>
      <c r="M65" s="35">
        <v>0</v>
      </c>
      <c r="N65" s="200">
        <f t="shared" si="18"/>
        <v>0</v>
      </c>
      <c r="O65" s="35">
        <v>0</v>
      </c>
      <c r="P65" s="200">
        <f t="shared" si="19"/>
        <v>0</v>
      </c>
      <c r="Q65" s="35">
        <v>0</v>
      </c>
      <c r="R65" s="200">
        <f t="shared" si="20"/>
        <v>0</v>
      </c>
    </row>
    <row r="66" spans="1:25" x14ac:dyDescent="0.2">
      <c r="A66" s="25"/>
      <c r="B66" s="25" t="s">
        <v>137</v>
      </c>
      <c r="C66" s="25"/>
      <c r="D66" s="25">
        <v>1</v>
      </c>
      <c r="E66" s="130"/>
      <c r="F66" s="224" t="s">
        <v>42</v>
      </c>
      <c r="G66" s="41">
        <v>60.176000000000002</v>
      </c>
      <c r="H66" s="131"/>
      <c r="I66" s="35">
        <v>60.176000000000002</v>
      </c>
      <c r="J66" s="200">
        <f t="shared" si="15"/>
        <v>0</v>
      </c>
      <c r="K66" s="223">
        <v>0</v>
      </c>
      <c r="L66" s="212"/>
      <c r="M66" s="35">
        <v>0</v>
      </c>
      <c r="N66" s="200">
        <f t="shared" si="18"/>
        <v>0</v>
      </c>
      <c r="O66" s="35">
        <v>60.176000000000002</v>
      </c>
      <c r="P66" s="200">
        <f t="shared" si="19"/>
        <v>0</v>
      </c>
      <c r="Q66" s="35">
        <v>6017.6</v>
      </c>
      <c r="R66" s="200">
        <f t="shared" si="20"/>
        <v>0</v>
      </c>
    </row>
    <row r="67" spans="1:25" x14ac:dyDescent="0.2">
      <c r="A67" s="25"/>
      <c r="B67" s="25" t="s">
        <v>413</v>
      </c>
      <c r="C67" s="25"/>
      <c r="D67" s="25">
        <v>1</v>
      </c>
      <c r="E67" s="130"/>
      <c r="F67" s="224" t="s">
        <v>42</v>
      </c>
      <c r="G67" s="41">
        <v>30</v>
      </c>
      <c r="H67" s="131"/>
      <c r="I67" s="35">
        <v>30</v>
      </c>
      <c r="J67" s="200">
        <f t="shared" si="15"/>
        <v>0</v>
      </c>
      <c r="K67" s="223">
        <v>0</v>
      </c>
      <c r="L67" s="212"/>
      <c r="M67" s="35">
        <v>0</v>
      </c>
      <c r="N67" s="200">
        <f t="shared" si="18"/>
        <v>0</v>
      </c>
      <c r="O67" s="35">
        <v>30</v>
      </c>
      <c r="P67" s="200">
        <f t="shared" si="19"/>
        <v>0</v>
      </c>
      <c r="Q67" s="35">
        <v>3000</v>
      </c>
      <c r="R67" s="200">
        <f t="shared" si="20"/>
        <v>0</v>
      </c>
    </row>
    <row r="68" spans="1:25" x14ac:dyDescent="0.2">
      <c r="A68" s="25"/>
      <c r="B68" s="25" t="s">
        <v>159</v>
      </c>
      <c r="C68" s="25"/>
      <c r="D68" s="25">
        <v>1</v>
      </c>
      <c r="E68" s="130"/>
      <c r="F68" s="224" t="s">
        <v>42</v>
      </c>
      <c r="G68" s="41">
        <v>0</v>
      </c>
      <c r="H68" s="131"/>
      <c r="I68" s="35">
        <v>0</v>
      </c>
      <c r="J68" s="200">
        <f t="shared" si="15"/>
        <v>0</v>
      </c>
      <c r="K68" s="223">
        <v>0</v>
      </c>
      <c r="L68" s="212"/>
      <c r="M68" s="35">
        <v>0</v>
      </c>
      <c r="N68" s="200">
        <f t="shared" si="18"/>
        <v>0</v>
      </c>
      <c r="O68" s="35">
        <v>0</v>
      </c>
      <c r="P68" s="200">
        <f t="shared" si="19"/>
        <v>0</v>
      </c>
      <c r="Q68" s="35">
        <v>0</v>
      </c>
      <c r="R68" s="200">
        <f t="shared" si="20"/>
        <v>0</v>
      </c>
    </row>
    <row r="69" spans="1:25" x14ac:dyDescent="0.2">
      <c r="A69" s="25"/>
      <c r="B69" s="25" t="s">
        <v>160</v>
      </c>
      <c r="C69" s="25"/>
      <c r="D69" s="25">
        <v>1</v>
      </c>
      <c r="E69" s="130"/>
      <c r="F69" s="224" t="s">
        <v>42</v>
      </c>
      <c r="G69" s="41">
        <v>0</v>
      </c>
      <c r="H69" s="131"/>
      <c r="I69" s="35">
        <v>0</v>
      </c>
      <c r="J69" s="200">
        <f t="shared" si="15"/>
        <v>0</v>
      </c>
      <c r="K69" s="223">
        <v>0</v>
      </c>
      <c r="L69" s="212"/>
      <c r="M69" s="35">
        <v>0</v>
      </c>
      <c r="N69" s="200">
        <f t="shared" si="18"/>
        <v>0</v>
      </c>
      <c r="O69" s="35">
        <v>0</v>
      </c>
      <c r="P69" s="200">
        <f t="shared" si="19"/>
        <v>0</v>
      </c>
      <c r="Q69" s="35">
        <v>0</v>
      </c>
      <c r="R69" s="200">
        <f t="shared" si="20"/>
        <v>0</v>
      </c>
    </row>
    <row r="70" spans="1:25" x14ac:dyDescent="0.2">
      <c r="A70" s="25"/>
      <c r="B70" s="131"/>
      <c r="C70" s="131"/>
      <c r="D70" s="25">
        <v>1</v>
      </c>
      <c r="E70" s="130"/>
      <c r="F70" s="224"/>
      <c r="G70" s="41">
        <v>0</v>
      </c>
      <c r="H70" s="131"/>
      <c r="I70" s="35">
        <v>0</v>
      </c>
      <c r="J70" s="200">
        <f t="shared" si="15"/>
        <v>0</v>
      </c>
      <c r="K70" s="223">
        <v>0</v>
      </c>
      <c r="L70" s="212"/>
      <c r="M70" s="35">
        <v>0</v>
      </c>
      <c r="N70" s="200">
        <f t="shared" si="18"/>
        <v>0</v>
      </c>
      <c r="O70" s="35">
        <v>0</v>
      </c>
      <c r="P70" s="200">
        <f t="shared" si="19"/>
        <v>0</v>
      </c>
      <c r="Q70" s="35">
        <v>0</v>
      </c>
      <c r="R70" s="200">
        <f t="shared" si="20"/>
        <v>0</v>
      </c>
    </row>
    <row r="71" spans="1:25" ht="13.5" thickBot="1" x14ac:dyDescent="0.25">
      <c r="A71" s="25"/>
      <c r="B71" s="131"/>
      <c r="C71" s="131"/>
      <c r="D71" s="25">
        <v>1</v>
      </c>
      <c r="E71" s="130"/>
      <c r="F71" s="224"/>
      <c r="G71" s="41">
        <v>0</v>
      </c>
      <c r="H71" s="131"/>
      <c r="I71" s="35">
        <v>0</v>
      </c>
      <c r="J71" s="200">
        <f>E71*H71</f>
        <v>0</v>
      </c>
      <c r="K71" s="223">
        <v>0</v>
      </c>
      <c r="L71" s="212"/>
      <c r="M71" s="35">
        <v>0</v>
      </c>
      <c r="N71" s="200">
        <f t="shared" si="18"/>
        <v>0</v>
      </c>
      <c r="O71" s="35">
        <v>0</v>
      </c>
      <c r="P71" s="200">
        <f t="shared" si="19"/>
        <v>0</v>
      </c>
      <c r="Q71" s="35">
        <v>0</v>
      </c>
      <c r="R71" s="200">
        <f t="shared" si="20"/>
        <v>0</v>
      </c>
    </row>
    <row r="72" spans="1:25" ht="13.5" thickBot="1" x14ac:dyDescent="0.25">
      <c r="A72" s="25" t="s">
        <v>37</v>
      </c>
      <c r="B72" s="25"/>
      <c r="C72" s="25"/>
      <c r="D72" s="25"/>
      <c r="E72" s="195"/>
      <c r="F72" s="25"/>
      <c r="G72" s="25"/>
      <c r="H72" s="195"/>
      <c r="I72" s="118">
        <v>136.17099999999999</v>
      </c>
      <c r="J72" s="202">
        <f>+SUM(J61:J71)</f>
        <v>0</v>
      </c>
      <c r="K72" s="35"/>
      <c r="L72" s="193"/>
      <c r="M72" s="118">
        <v>0</v>
      </c>
      <c r="N72" s="202">
        <f>+SUM(N61:N71)</f>
        <v>0</v>
      </c>
      <c r="O72" s="118">
        <v>136.17099999999999</v>
      </c>
      <c r="P72" s="202">
        <f>+SUM(P61:P71)</f>
        <v>0</v>
      </c>
      <c r="Q72" s="118">
        <v>13617.1</v>
      </c>
      <c r="R72" s="202">
        <f>+SUM(R61:R71)</f>
        <v>0</v>
      </c>
    </row>
    <row r="73" spans="1:25" ht="14.25" thickTop="1" thickBot="1" x14ac:dyDescent="0.25">
      <c r="A73" s="25" t="s">
        <v>52</v>
      </c>
      <c r="B73" s="25"/>
      <c r="C73" s="25"/>
      <c r="D73" s="25"/>
      <c r="E73" s="195"/>
      <c r="F73" s="25"/>
      <c r="G73" s="25"/>
      <c r="H73" s="195"/>
      <c r="I73" s="87">
        <v>394.75392305650684</v>
      </c>
      <c r="J73" s="203">
        <f>+J55+J72</f>
        <v>0</v>
      </c>
      <c r="K73" s="35"/>
      <c r="L73" s="193"/>
      <c r="M73" s="87">
        <v>0</v>
      </c>
      <c r="N73" s="203">
        <f>+N55+N72</f>
        <v>0</v>
      </c>
      <c r="O73" s="87">
        <v>394.75392305650684</v>
      </c>
      <c r="P73" s="203">
        <f>+P55+P72</f>
        <v>0</v>
      </c>
      <c r="Q73" s="87">
        <v>39475.392305650683</v>
      </c>
      <c r="R73" s="203">
        <f>+R55+R72</f>
        <v>0</v>
      </c>
    </row>
    <row r="74" spans="1:25" ht="13.5" thickTop="1" x14ac:dyDescent="0.2">
      <c r="A74" s="25"/>
      <c r="B74" s="25"/>
      <c r="C74" s="25"/>
      <c r="D74" s="25"/>
      <c r="E74" s="195"/>
      <c r="F74" s="25"/>
      <c r="G74" s="25"/>
      <c r="H74" s="195"/>
      <c r="I74" s="35"/>
      <c r="J74" s="182"/>
      <c r="K74" s="35"/>
      <c r="L74" s="193"/>
      <c r="M74" s="35"/>
      <c r="N74" s="182"/>
      <c r="O74" s="35"/>
      <c r="P74" s="182"/>
      <c r="Q74" s="35"/>
      <c r="R74" s="182"/>
    </row>
    <row r="75" spans="1:25" x14ac:dyDescent="0.2">
      <c r="A75" s="25" t="s">
        <v>153</v>
      </c>
      <c r="B75" s="25"/>
      <c r="C75" s="25"/>
      <c r="D75" s="25"/>
      <c r="E75" s="195"/>
      <c r="F75" s="25"/>
      <c r="G75" s="25"/>
      <c r="H75" s="195"/>
      <c r="I75" s="35">
        <v>905.24607694349311</v>
      </c>
      <c r="J75" s="200">
        <f>+J13-J73</f>
        <v>0</v>
      </c>
      <c r="K75" s="35"/>
      <c r="L75" s="193"/>
      <c r="M75" s="35">
        <v>0</v>
      </c>
      <c r="N75" s="200">
        <f>+N13-N73</f>
        <v>0</v>
      </c>
      <c r="O75" s="35">
        <v>905.24607694349311</v>
      </c>
      <c r="P75" s="200">
        <f>+P13-P73</f>
        <v>0</v>
      </c>
      <c r="Q75" s="35">
        <v>90524.60769434931</v>
      </c>
      <c r="R75" s="200">
        <f>+R13-R73</f>
        <v>0</v>
      </c>
    </row>
    <row r="76" spans="1:25" x14ac:dyDescent="0.2">
      <c r="A76" s="25"/>
      <c r="B76" s="25"/>
      <c r="C76" s="25"/>
      <c r="D76" s="25"/>
      <c r="E76" s="195"/>
      <c r="F76" s="25"/>
      <c r="G76" s="25"/>
      <c r="H76" s="195"/>
      <c r="I76" s="35"/>
      <c r="J76" s="204"/>
      <c r="K76" s="35"/>
      <c r="L76" s="193"/>
      <c r="M76" s="35"/>
      <c r="N76" s="193"/>
      <c r="O76" s="35"/>
      <c r="P76" s="193"/>
      <c r="Q76" s="35"/>
      <c r="R76" s="204"/>
    </row>
    <row r="77" spans="1:25" ht="13.5" thickBot="1" x14ac:dyDescent="0.25">
      <c r="A77" s="44" t="s">
        <v>38</v>
      </c>
      <c r="B77" s="44"/>
      <c r="C77" s="44"/>
      <c r="D77" s="44"/>
      <c r="E77" s="199"/>
      <c r="F77" s="44"/>
      <c r="G77" s="45">
        <v>121.46274555584826</v>
      </c>
      <c r="H77" s="210" t="str">
        <f>IF(E10=0,"n/a",(YTotExp-(YTotExp+YTotRet-J10))/E10)</f>
        <v>n/a</v>
      </c>
      <c r="I77" s="44" t="s">
        <v>135</v>
      </c>
      <c r="J77" s="205"/>
      <c r="K77" s="44"/>
      <c r="L77" s="199"/>
      <c r="M77" s="44"/>
      <c r="N77" s="199"/>
      <c r="O77" s="44"/>
      <c r="P77" s="199"/>
      <c r="Q77" s="44"/>
      <c r="R77" s="205"/>
    </row>
    <row r="78" spans="1:25" ht="13.5" thickTop="1" x14ac:dyDescent="0.2"/>
    <row r="79" spans="1:25" s="17" customFormat="1" ht="15.75" x14ac:dyDescent="0.25">
      <c r="A79"/>
      <c r="B79" s="88"/>
      <c r="C79" s="89"/>
      <c r="D79" s="234" t="s">
        <v>113</v>
      </c>
      <c r="E79" s="235"/>
      <c r="F79" s="235"/>
      <c r="G79" s="235"/>
      <c r="H79" s="235"/>
      <c r="I79" s="235"/>
      <c r="J79" s="99"/>
      <c r="K79" s="99"/>
      <c r="M79"/>
      <c r="N79"/>
      <c r="Y79"/>
    </row>
    <row r="80" spans="1:25" s="17" customFormat="1" ht="15.75" x14ac:dyDescent="0.25">
      <c r="A80"/>
      <c r="B80" s="19" t="s">
        <v>114</v>
      </c>
      <c r="C80" s="19" t="s">
        <v>114</v>
      </c>
      <c r="D80" s="123" t="s">
        <v>170</v>
      </c>
      <c r="E80" s="18"/>
      <c r="F80" s="18"/>
      <c r="G80" s="123" t="s">
        <v>170</v>
      </c>
      <c r="H80" s="18"/>
      <c r="I80" s="18"/>
      <c r="J80" s="18"/>
      <c r="K80" s="18"/>
      <c r="M80"/>
      <c r="N80"/>
      <c r="Y80"/>
    </row>
    <row r="81" spans="1:25" s="17" customFormat="1" x14ac:dyDescent="0.2">
      <c r="A81"/>
      <c r="B81" s="19" t="s">
        <v>80</v>
      </c>
      <c r="C81" s="19" t="s">
        <v>80</v>
      </c>
      <c r="D81" s="123" t="s">
        <v>157</v>
      </c>
      <c r="E81" s="119"/>
      <c r="F81" s="119"/>
      <c r="G81" s="123" t="s">
        <v>12</v>
      </c>
      <c r="H81" s="119"/>
      <c r="I81" s="119"/>
      <c r="J81" s="119"/>
      <c r="K81" s="119"/>
      <c r="M81"/>
      <c r="N81"/>
      <c r="Y81"/>
    </row>
    <row r="82" spans="1:25" s="17" customFormat="1" x14ac:dyDescent="0.2">
      <c r="A82"/>
      <c r="B82" s="19" t="s">
        <v>30</v>
      </c>
      <c r="C82" s="99" t="s">
        <v>135</v>
      </c>
      <c r="D82" s="123" t="s">
        <v>98</v>
      </c>
      <c r="E82" s="119"/>
      <c r="F82" s="119"/>
      <c r="G82" s="123" t="s">
        <v>98</v>
      </c>
      <c r="H82" s="19"/>
      <c r="I82" s="19"/>
      <c r="J82" s="19"/>
      <c r="K82" s="19"/>
      <c r="M82"/>
      <c r="N82"/>
      <c r="Y82"/>
    </row>
    <row r="83" spans="1:25" s="17" customFormat="1" x14ac:dyDescent="0.2">
      <c r="A83"/>
      <c r="B83" s="90">
        <v>0.75</v>
      </c>
      <c r="C83" s="91">
        <v>2.4375</v>
      </c>
      <c r="D83" s="92">
        <v>106.08530176677203</v>
      </c>
      <c r="E83" s="93"/>
      <c r="F83" s="94"/>
      <c r="G83" s="92">
        <v>161.95032740779769</v>
      </c>
      <c r="H83" s="93"/>
      <c r="I83" s="93"/>
      <c r="M83"/>
      <c r="N83"/>
      <c r="Y83"/>
    </row>
    <row r="84" spans="1:25" s="17" customFormat="1" x14ac:dyDescent="0.2">
      <c r="A84"/>
      <c r="B84" s="95">
        <v>0.9</v>
      </c>
      <c r="C84" s="96">
        <v>2.9250000000000003</v>
      </c>
      <c r="D84" s="97">
        <v>88.404418138976695</v>
      </c>
      <c r="E84" s="83"/>
      <c r="F84" s="98"/>
      <c r="G84" s="97">
        <v>134.95860617316472</v>
      </c>
      <c r="H84" s="83"/>
      <c r="I84" s="83"/>
      <c r="M84"/>
      <c r="N84"/>
      <c r="Y84"/>
    </row>
    <row r="85" spans="1:25" s="17" customFormat="1" x14ac:dyDescent="0.2">
      <c r="A85"/>
      <c r="B85" s="90">
        <v>1</v>
      </c>
      <c r="C85" s="91">
        <v>3.25</v>
      </c>
      <c r="D85" s="92">
        <v>79.563976325079025</v>
      </c>
      <c r="E85" s="93"/>
      <c r="F85" s="94"/>
      <c r="G85" s="92">
        <v>121.46274555584826</v>
      </c>
      <c r="H85" s="93"/>
      <c r="I85" s="93"/>
      <c r="M85"/>
      <c r="N85"/>
      <c r="Y85"/>
    </row>
    <row r="86" spans="1:25" s="17" customFormat="1" x14ac:dyDescent="0.2">
      <c r="A86"/>
      <c r="B86" s="95">
        <v>1.1000000000000001</v>
      </c>
      <c r="C86" s="96">
        <v>3.5750000000000002</v>
      </c>
      <c r="D86" s="97">
        <v>72.330887568253658</v>
      </c>
      <c r="E86" s="83"/>
      <c r="F86" s="98"/>
      <c r="G86" s="97">
        <v>110.42067777804387</v>
      </c>
      <c r="H86" s="83"/>
      <c r="I86" s="83"/>
      <c r="M86"/>
      <c r="N86"/>
      <c r="Y86"/>
    </row>
    <row r="87" spans="1:25" s="17" customFormat="1" x14ac:dyDescent="0.2">
      <c r="A87"/>
      <c r="B87" s="90">
        <v>1.25</v>
      </c>
      <c r="C87" s="91">
        <v>4.0625</v>
      </c>
      <c r="D87" s="92">
        <v>63.651181060063223</v>
      </c>
      <c r="E87" s="93"/>
      <c r="F87" s="94"/>
      <c r="G87" s="92">
        <v>97.170196444678609</v>
      </c>
      <c r="H87" s="93"/>
      <c r="I87" s="93"/>
      <c r="M87"/>
      <c r="N87"/>
      <c r="Y87"/>
    </row>
    <row r="88" spans="1:25" s="17" customFormat="1" x14ac:dyDescent="0.2">
      <c r="A88"/>
      <c r="M88"/>
      <c r="N88"/>
      <c r="Y88"/>
    </row>
    <row r="89" spans="1:25" x14ac:dyDescent="0.2">
      <c r="A89" s="25" t="s">
        <v>434</v>
      </c>
      <c r="B89" s="17"/>
      <c r="C89" s="17"/>
      <c r="D89" s="17"/>
      <c r="E89" s="17"/>
      <c r="F89" s="17"/>
      <c r="G89" s="17"/>
      <c r="H89" s="17"/>
      <c r="I89" s="17"/>
      <c r="J89" s="28"/>
      <c r="K89" s="17"/>
      <c r="L89" s="17"/>
      <c r="M89" s="17"/>
      <c r="N89" s="17"/>
      <c r="O89" s="17"/>
      <c r="P89" s="17"/>
      <c r="Q89" s="17"/>
    </row>
    <row r="90" spans="1:25" x14ac:dyDescent="0.2">
      <c r="A90" s="17"/>
      <c r="B90" s="17"/>
      <c r="C90" s="17"/>
      <c r="D90" s="17"/>
      <c r="E90" s="17"/>
      <c r="F90" s="17"/>
      <c r="G90" s="17"/>
      <c r="H90" s="17"/>
      <c r="I90" s="17"/>
      <c r="J90" s="28"/>
      <c r="K90" s="17"/>
      <c r="L90" s="17"/>
      <c r="M90" s="17"/>
      <c r="N90" s="17"/>
      <c r="O90" s="17"/>
      <c r="P90" s="17"/>
      <c r="Q90" s="17"/>
    </row>
    <row r="91" spans="1:25" ht="26.25" customHeight="1" x14ac:dyDescent="0.2">
      <c r="A91" s="236" t="s">
        <v>140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19"/>
      <c r="N91" s="219"/>
      <c r="O91" s="219"/>
      <c r="P91" s="219"/>
      <c r="Q91" s="219"/>
      <c r="R91" s="219"/>
    </row>
  </sheetData>
  <sheetProtection sheet="1" objects="1" scenarios="1"/>
  <mergeCells count="6">
    <mergeCell ref="D79:I79"/>
    <mergeCell ref="A91:L91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85167-535E-4175-85BD-03C3A066E94A}">
  <sheetPr codeName="Sheet231">
    <tabColor rgb="FF92D050"/>
    <pageSetUpPr fitToPage="1"/>
  </sheetPr>
  <dimension ref="A1:Y89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479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100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483</v>
      </c>
      <c r="R9" s="189" t="str">
        <f>"(" &amp; E7 &amp; " acres)"</f>
        <v>( acres)</v>
      </c>
      <c r="S9" s="12"/>
    </row>
    <row r="10" spans="1:19" x14ac:dyDescent="0.2">
      <c r="A10" s="25"/>
      <c r="B10" t="s">
        <v>481</v>
      </c>
      <c r="C10" s="25"/>
      <c r="D10" s="50">
        <v>6</v>
      </c>
      <c r="E10" s="130"/>
      <c r="F10" s="224" t="s">
        <v>480</v>
      </c>
      <c r="G10" s="31">
        <v>130</v>
      </c>
      <c r="H10" s="131"/>
      <c r="I10" s="35">
        <v>780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780</v>
      </c>
      <c r="P10" s="200">
        <f>+J10-N10</f>
        <v>0</v>
      </c>
      <c r="Q10" s="35">
        <v>78000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780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780</v>
      </c>
      <c r="P13" s="201">
        <f>SUM(P10:P12)</f>
        <v>0</v>
      </c>
      <c r="Q13" s="36">
        <v>78000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50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176</v>
      </c>
      <c r="D18" s="25">
        <v>3</v>
      </c>
      <c r="E18" s="130"/>
      <c r="F18" s="224" t="s">
        <v>42</v>
      </c>
      <c r="G18" s="41">
        <v>5</v>
      </c>
      <c r="H18" s="131"/>
      <c r="I18" s="35">
        <v>15</v>
      </c>
      <c r="J18" s="200">
        <f t="shared" ref="J18:J31" si="4">E18*H18</f>
        <v>0</v>
      </c>
      <c r="K18" s="223">
        <v>0</v>
      </c>
      <c r="L18" s="212"/>
      <c r="M18" s="35">
        <v>0</v>
      </c>
      <c r="N18" s="200">
        <f t="shared" ref="N18:N31" si="5">J18*L18</f>
        <v>0</v>
      </c>
      <c r="O18" s="35">
        <v>15</v>
      </c>
      <c r="P18" s="200">
        <f t="shared" ref="P18:P31" si="6">+J18-N18</f>
        <v>0</v>
      </c>
      <c r="Q18" s="35">
        <v>1500</v>
      </c>
      <c r="R18" s="200">
        <f t="shared" ref="R18:R31" si="7">+J18*E$7</f>
        <v>0</v>
      </c>
    </row>
    <row r="19" spans="1:18" x14ac:dyDescent="0.2">
      <c r="A19" s="25"/>
      <c r="B19" s="25" t="s">
        <v>458</v>
      </c>
      <c r="C19" s="25" t="s">
        <v>177</v>
      </c>
      <c r="D19" s="25">
        <v>2</v>
      </c>
      <c r="E19" s="130"/>
      <c r="F19" s="224" t="s">
        <v>42</v>
      </c>
      <c r="G19" s="41">
        <v>5.5</v>
      </c>
      <c r="H19" s="131"/>
      <c r="I19" s="35">
        <v>11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11</v>
      </c>
      <c r="P19" s="200">
        <f t="shared" si="6"/>
        <v>0</v>
      </c>
      <c r="Q19" s="35">
        <v>1100</v>
      </c>
      <c r="R19" s="200">
        <f t="shared" si="7"/>
        <v>0</v>
      </c>
    </row>
    <row r="20" spans="1:18" x14ac:dyDescent="0.2">
      <c r="A20" s="25"/>
      <c r="B20" s="25" t="s">
        <v>458</v>
      </c>
      <c r="C20" s="25" t="s">
        <v>317</v>
      </c>
      <c r="D20" s="25">
        <v>0</v>
      </c>
      <c r="E20" s="130"/>
      <c r="F20" s="224" t="s">
        <v>42</v>
      </c>
      <c r="G20" s="41">
        <v>5.5</v>
      </c>
      <c r="H20" s="131"/>
      <c r="I20" s="35">
        <v>0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0</v>
      </c>
      <c r="P20" s="200">
        <f t="shared" si="6"/>
        <v>0</v>
      </c>
      <c r="Q20" s="35">
        <v>0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474</v>
      </c>
      <c r="D21" s="25">
        <v>6</v>
      </c>
      <c r="E21" s="130"/>
      <c r="F21" s="224" t="s">
        <v>475</v>
      </c>
      <c r="G21" s="41">
        <v>35</v>
      </c>
      <c r="H21" s="131"/>
      <c r="I21" s="35">
        <v>210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210</v>
      </c>
      <c r="P21" s="200">
        <f t="shared" si="6"/>
        <v>0</v>
      </c>
      <c r="Q21" s="35">
        <v>21000</v>
      </c>
      <c r="R21" s="200">
        <f t="shared" si="7"/>
        <v>0</v>
      </c>
    </row>
    <row r="22" spans="1:18" x14ac:dyDescent="0.2">
      <c r="A22" s="25"/>
      <c r="B22" s="25" t="s">
        <v>0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342</v>
      </c>
      <c r="D23" s="25">
        <v>135</v>
      </c>
      <c r="E23" s="130"/>
      <c r="F23" s="224" t="s">
        <v>82</v>
      </c>
      <c r="G23" s="41">
        <v>0.53800000000000003</v>
      </c>
      <c r="H23" s="131"/>
      <c r="I23" s="35">
        <v>72.63000000000001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72.63000000000001</v>
      </c>
      <c r="P23" s="200">
        <f t="shared" si="6"/>
        <v>0</v>
      </c>
      <c r="Q23" s="35">
        <v>7263.0000000000009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378</v>
      </c>
      <c r="D24" s="25">
        <v>37.799999999999997</v>
      </c>
      <c r="E24" s="130"/>
      <c r="F24" s="224" t="s">
        <v>82</v>
      </c>
      <c r="G24" s="41">
        <v>0.56999999999999995</v>
      </c>
      <c r="H24" s="131"/>
      <c r="I24" s="35">
        <v>21.545999999999996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21.545999999999996</v>
      </c>
      <c r="P24" s="200">
        <f t="shared" si="6"/>
        <v>0</v>
      </c>
      <c r="Q24" s="35">
        <v>2154.5999999999995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400</v>
      </c>
      <c r="D25" s="25">
        <v>113.4</v>
      </c>
      <c r="E25" s="130"/>
      <c r="F25" s="224" t="s">
        <v>82</v>
      </c>
      <c r="G25" s="41">
        <v>0.44167000000000001</v>
      </c>
      <c r="H25" s="131"/>
      <c r="I25" s="35">
        <v>50.085378000000006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50.085378000000006</v>
      </c>
      <c r="P25" s="200">
        <f t="shared" si="6"/>
        <v>0</v>
      </c>
      <c r="Q25" s="35">
        <v>5008.537800000001</v>
      </c>
      <c r="R25" s="200">
        <f t="shared" si="7"/>
        <v>0</v>
      </c>
    </row>
    <row r="26" spans="1:18" x14ac:dyDescent="0.2">
      <c r="A26" s="25"/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23"/>
      <c r="L26" s="25"/>
      <c r="M26" s="25"/>
      <c r="N26" s="25"/>
      <c r="O26" s="25"/>
      <c r="P26" s="25"/>
      <c r="Q26" s="25"/>
      <c r="R26" s="25"/>
    </row>
    <row r="27" spans="1:18" x14ac:dyDescent="0.2">
      <c r="A27" s="25"/>
      <c r="B27" s="25" t="s">
        <v>458</v>
      </c>
      <c r="C27" s="25" t="s">
        <v>473</v>
      </c>
      <c r="D27" s="25">
        <v>2.2999999999999998</v>
      </c>
      <c r="E27" s="130"/>
      <c r="F27" s="224" t="s">
        <v>42</v>
      </c>
      <c r="G27" s="41">
        <v>12</v>
      </c>
      <c r="H27" s="131"/>
      <c r="I27" s="35">
        <v>27.599999999999998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27.599999999999998</v>
      </c>
      <c r="P27" s="200">
        <f t="shared" si="6"/>
        <v>0</v>
      </c>
      <c r="Q27" s="35">
        <v>2760</v>
      </c>
      <c r="R27" s="200">
        <f t="shared" si="7"/>
        <v>0</v>
      </c>
    </row>
    <row r="28" spans="1:18" x14ac:dyDescent="0.2">
      <c r="A28" s="25"/>
      <c r="B28" s="25" t="s">
        <v>48</v>
      </c>
      <c r="C28" s="25"/>
      <c r="D28" s="25"/>
      <c r="E28" s="25"/>
      <c r="F28" s="25"/>
      <c r="G28" s="25"/>
      <c r="H28" s="25"/>
      <c r="I28" s="25"/>
      <c r="J28" s="25"/>
      <c r="K28" s="223"/>
      <c r="L28" s="25"/>
      <c r="M28" s="25"/>
      <c r="N28" s="25"/>
      <c r="O28" s="25"/>
      <c r="P28" s="25"/>
      <c r="Q28" s="25"/>
      <c r="R28" s="25"/>
    </row>
    <row r="29" spans="1:18" x14ac:dyDescent="0.2">
      <c r="A29" s="25"/>
      <c r="B29" s="25" t="s">
        <v>458</v>
      </c>
      <c r="C29" s="25" t="s">
        <v>389</v>
      </c>
      <c r="D29" s="25">
        <v>0</v>
      </c>
      <c r="E29" s="130"/>
      <c r="F29" s="224" t="s">
        <v>316</v>
      </c>
      <c r="G29" s="41">
        <v>4.12</v>
      </c>
      <c r="H29" s="131"/>
      <c r="I29" s="35">
        <v>0</v>
      </c>
      <c r="J29" s="200">
        <f t="shared" si="4"/>
        <v>0</v>
      </c>
      <c r="K29" s="223">
        <v>0</v>
      </c>
      <c r="L29" s="212"/>
      <c r="M29" s="35">
        <v>0</v>
      </c>
      <c r="N29" s="200">
        <f t="shared" si="5"/>
        <v>0</v>
      </c>
      <c r="O29" s="35">
        <v>0</v>
      </c>
      <c r="P29" s="200">
        <f t="shared" si="6"/>
        <v>0</v>
      </c>
      <c r="Q29" s="35">
        <v>0</v>
      </c>
      <c r="R29" s="200">
        <f t="shared" si="7"/>
        <v>0</v>
      </c>
    </row>
    <row r="30" spans="1:18" x14ac:dyDescent="0.2">
      <c r="A30" s="25"/>
      <c r="B30" s="131"/>
      <c r="C30" s="131"/>
      <c r="D30" s="25">
        <v>0</v>
      </c>
      <c r="E30" s="130"/>
      <c r="F30" s="224"/>
      <c r="G30" s="41">
        <v>0</v>
      </c>
      <c r="H30" s="131"/>
      <c r="I30" s="35">
        <v>0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0</v>
      </c>
      <c r="P30" s="200">
        <f t="shared" si="6"/>
        <v>0</v>
      </c>
      <c r="Q30" s="35">
        <v>0</v>
      </c>
      <c r="R30" s="200">
        <f t="shared" si="7"/>
        <v>0</v>
      </c>
    </row>
    <row r="31" spans="1:18" x14ac:dyDescent="0.2">
      <c r="A31" s="25"/>
      <c r="B31" s="131"/>
      <c r="C31" s="131"/>
      <c r="D31" s="25">
        <v>0</v>
      </c>
      <c r="E31" s="130"/>
      <c r="F31" s="224"/>
      <c r="G31" s="41">
        <v>0</v>
      </c>
      <c r="H31" s="131"/>
      <c r="I31" s="35">
        <v>0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0</v>
      </c>
      <c r="P31" s="200">
        <f t="shared" si="6"/>
        <v>0</v>
      </c>
      <c r="Q31" s="35">
        <v>0</v>
      </c>
      <c r="R31" s="200">
        <f t="shared" si="7"/>
        <v>0</v>
      </c>
    </row>
    <row r="32" spans="1:18" x14ac:dyDescent="0.2">
      <c r="A32" s="25"/>
      <c r="B32" s="131"/>
      <c r="C32" s="131"/>
      <c r="D32" s="25">
        <v>0</v>
      </c>
      <c r="E32" s="130"/>
      <c r="F32" s="224"/>
      <c r="G32" s="41">
        <v>0</v>
      </c>
      <c r="H32" s="131"/>
      <c r="I32" s="35">
        <v>0</v>
      </c>
      <c r="J32" s="200">
        <f>E32*H32</f>
        <v>0</v>
      </c>
      <c r="K32" s="223">
        <v>0</v>
      </c>
      <c r="L32" s="212"/>
      <c r="M32" s="35">
        <v>0</v>
      </c>
      <c r="N32" s="200">
        <f>J32*L32</f>
        <v>0</v>
      </c>
      <c r="O32" s="35">
        <v>0</v>
      </c>
      <c r="P32" s="200">
        <f>+J32-N32</f>
        <v>0</v>
      </c>
      <c r="Q32" s="35">
        <v>0</v>
      </c>
      <c r="R32" s="200">
        <f>+J32*E$7</f>
        <v>0</v>
      </c>
    </row>
    <row r="33" spans="1:18" x14ac:dyDescent="0.2">
      <c r="A33" s="25"/>
      <c r="B33" s="25" t="s">
        <v>106</v>
      </c>
      <c r="C33" s="25"/>
      <c r="D33" s="25"/>
      <c r="E33" s="104"/>
      <c r="H33" s="104"/>
      <c r="I33" s="121"/>
      <c r="J33" s="104"/>
      <c r="K33" s="223"/>
      <c r="L33" s="104"/>
      <c r="N33" s="104"/>
      <c r="P33" s="104"/>
      <c r="R33" s="104"/>
    </row>
    <row r="34" spans="1:18" x14ac:dyDescent="0.2">
      <c r="A34" s="25"/>
      <c r="B34" s="25"/>
      <c r="C34" s="25" t="s">
        <v>103</v>
      </c>
      <c r="D34" s="25">
        <v>0</v>
      </c>
      <c r="E34" s="130"/>
      <c r="F34" s="224" t="s">
        <v>44</v>
      </c>
      <c r="G34" s="41">
        <v>15</v>
      </c>
      <c r="H34" s="131"/>
      <c r="I34" s="35">
        <v>0</v>
      </c>
      <c r="J34" s="200">
        <f>E34*H34</f>
        <v>0</v>
      </c>
      <c r="K34" s="223">
        <v>0</v>
      </c>
      <c r="L34" s="212"/>
      <c r="M34" s="35">
        <v>0</v>
      </c>
      <c r="N34" s="200">
        <f>J34*L34</f>
        <v>0</v>
      </c>
      <c r="O34" s="35">
        <v>0</v>
      </c>
      <c r="P34" s="200">
        <f>+J34-N34</f>
        <v>0</v>
      </c>
      <c r="Q34" s="35">
        <v>0</v>
      </c>
      <c r="R34" s="200">
        <f>+J34*E$7</f>
        <v>0</v>
      </c>
    </row>
    <row r="35" spans="1:18" x14ac:dyDescent="0.2">
      <c r="A35" s="25"/>
      <c r="B35" s="25"/>
      <c r="C35" s="25" t="s">
        <v>105</v>
      </c>
      <c r="D35" s="25">
        <v>0</v>
      </c>
      <c r="E35" s="130"/>
      <c r="F35" s="224" t="s">
        <v>44</v>
      </c>
      <c r="G35" s="41">
        <v>15</v>
      </c>
      <c r="H35" s="131"/>
      <c r="I35" s="35">
        <v>0</v>
      </c>
      <c r="J35" s="200">
        <f>E35*H35</f>
        <v>0</v>
      </c>
      <c r="K35" s="223">
        <v>0</v>
      </c>
      <c r="L35" s="212"/>
      <c r="M35" s="35">
        <v>0</v>
      </c>
      <c r="N35" s="200">
        <f>J35*L35</f>
        <v>0</v>
      </c>
      <c r="O35" s="35">
        <v>0</v>
      </c>
      <c r="P35" s="200">
        <f>+J35-N35</f>
        <v>0</v>
      </c>
      <c r="Q35" s="35">
        <v>0</v>
      </c>
      <c r="R35" s="200">
        <f>+J35*E$7</f>
        <v>0</v>
      </c>
    </row>
    <row r="36" spans="1:18" x14ac:dyDescent="0.2">
      <c r="A36" s="25"/>
      <c r="B36" s="25"/>
      <c r="C36" s="25"/>
      <c r="D36" s="25"/>
      <c r="E36" s="207"/>
      <c r="F36" s="21"/>
      <c r="G36" s="41"/>
      <c r="H36" s="196"/>
      <c r="I36" s="35"/>
      <c r="J36" s="182"/>
      <c r="K36" s="223"/>
      <c r="L36" s="196"/>
      <c r="M36" s="35"/>
      <c r="N36" s="182"/>
      <c r="O36" s="35"/>
      <c r="P36" s="182"/>
      <c r="Q36" s="35"/>
      <c r="R36" s="182"/>
    </row>
    <row r="37" spans="1:18" x14ac:dyDescent="0.2">
      <c r="A37" s="25"/>
      <c r="B37" s="25" t="s">
        <v>51</v>
      </c>
      <c r="C37" s="25"/>
      <c r="D37" s="25"/>
      <c r="E37" s="207"/>
      <c r="F37" s="21"/>
      <c r="G37" s="41"/>
      <c r="H37" s="196"/>
      <c r="I37" s="184"/>
      <c r="J37" s="182"/>
      <c r="K37" s="223"/>
      <c r="L37" s="196"/>
      <c r="M37" s="35"/>
      <c r="N37" s="182"/>
      <c r="O37" s="35"/>
      <c r="P37" s="182"/>
      <c r="Q37" s="35"/>
      <c r="R37" s="182"/>
    </row>
    <row r="38" spans="1:18" x14ac:dyDescent="0.2">
      <c r="A38" s="25"/>
      <c r="B38" s="25"/>
      <c r="C38" s="25" t="s">
        <v>102</v>
      </c>
      <c r="D38" s="25">
        <v>1</v>
      </c>
      <c r="E38" s="130"/>
      <c r="F38" s="224" t="s">
        <v>42</v>
      </c>
      <c r="G38" s="41">
        <v>0</v>
      </c>
      <c r="H38" s="131"/>
      <c r="I38" s="35">
        <v>0</v>
      </c>
      <c r="J38" s="200">
        <f>E38*H38</f>
        <v>0</v>
      </c>
      <c r="K38" s="223">
        <v>0</v>
      </c>
      <c r="L38" s="212"/>
      <c r="M38" s="35">
        <v>0</v>
      </c>
      <c r="N38" s="200">
        <f>J38*L38</f>
        <v>0</v>
      </c>
      <c r="O38" s="35">
        <v>0</v>
      </c>
      <c r="P38" s="200">
        <f>+J38-N38</f>
        <v>0</v>
      </c>
      <c r="Q38" s="35">
        <v>0</v>
      </c>
      <c r="R38" s="200">
        <f>+J38*E$7</f>
        <v>0</v>
      </c>
    </row>
    <row r="39" spans="1:18" x14ac:dyDescent="0.2">
      <c r="A39" s="25"/>
      <c r="B39" s="25"/>
      <c r="C39" s="25" t="s">
        <v>103</v>
      </c>
      <c r="D39" s="25">
        <v>0</v>
      </c>
      <c r="E39" s="130"/>
      <c r="F39" s="224" t="s">
        <v>79</v>
      </c>
      <c r="G39" s="41">
        <v>3.0190000000000001</v>
      </c>
      <c r="H39" s="131"/>
      <c r="I39" s="35">
        <v>0</v>
      </c>
      <c r="J39" s="200">
        <f>E39*H39</f>
        <v>0</v>
      </c>
      <c r="K39" s="223">
        <v>0</v>
      </c>
      <c r="L39" s="212"/>
      <c r="M39" s="35">
        <v>0</v>
      </c>
      <c r="N39" s="200">
        <f>J39*L39</f>
        <v>0</v>
      </c>
      <c r="O39" s="35">
        <v>0</v>
      </c>
      <c r="P39" s="200">
        <f>+J39-N39</f>
        <v>0</v>
      </c>
      <c r="Q39" s="35">
        <v>0</v>
      </c>
      <c r="R39" s="200">
        <f>+J39*E$7</f>
        <v>0</v>
      </c>
    </row>
    <row r="40" spans="1:18" x14ac:dyDescent="0.2">
      <c r="A40" s="25"/>
      <c r="B40" s="25"/>
      <c r="C40" s="25"/>
      <c r="D40" s="25"/>
      <c r="E40" s="207"/>
      <c r="F40" s="21"/>
      <c r="G40" s="41"/>
      <c r="H40" s="196"/>
      <c r="I40" s="35"/>
      <c r="J40" s="182"/>
      <c r="K40" s="223"/>
      <c r="L40" s="196"/>
      <c r="M40" s="35"/>
      <c r="N40" s="182"/>
      <c r="O40" s="35"/>
      <c r="P40" s="182"/>
      <c r="Q40" s="35"/>
      <c r="R40" s="182"/>
    </row>
    <row r="41" spans="1:18" x14ac:dyDescent="0.2">
      <c r="A41" s="25"/>
      <c r="B41" s="25" t="s">
        <v>29</v>
      </c>
      <c r="C41" s="25"/>
      <c r="D41" s="25"/>
      <c r="E41" s="207"/>
      <c r="F41" s="21"/>
      <c r="G41" s="41"/>
      <c r="H41" s="196"/>
      <c r="I41" s="184"/>
      <c r="J41" s="182"/>
      <c r="K41" s="223"/>
      <c r="L41" s="196"/>
      <c r="M41" s="35"/>
      <c r="N41" s="182"/>
      <c r="O41" s="35"/>
      <c r="P41" s="182"/>
      <c r="Q41" s="35"/>
      <c r="R41" s="182"/>
    </row>
    <row r="42" spans="1:18" x14ac:dyDescent="0.2">
      <c r="A42" s="25"/>
      <c r="B42" s="25"/>
      <c r="C42" s="25" t="s">
        <v>102</v>
      </c>
      <c r="D42" s="25">
        <v>1</v>
      </c>
      <c r="E42" s="130"/>
      <c r="F42" s="224" t="s">
        <v>42</v>
      </c>
      <c r="G42" s="41">
        <v>4.5</v>
      </c>
      <c r="H42" s="131"/>
      <c r="I42" s="35">
        <v>4.5</v>
      </c>
      <c r="J42" s="200">
        <f>E42*H42</f>
        <v>0</v>
      </c>
      <c r="K42" s="223">
        <v>0</v>
      </c>
      <c r="L42" s="212"/>
      <c r="M42" s="35">
        <v>0</v>
      </c>
      <c r="N42" s="200">
        <f>J42*L42</f>
        <v>0</v>
      </c>
      <c r="O42" s="35">
        <v>4.5</v>
      </c>
      <c r="P42" s="200">
        <f>+J42-N42</f>
        <v>0</v>
      </c>
      <c r="Q42" s="35">
        <v>450</v>
      </c>
      <c r="R42" s="200">
        <f>+J42*E$7</f>
        <v>0</v>
      </c>
    </row>
    <row r="43" spans="1:18" x14ac:dyDescent="0.2">
      <c r="A43" s="25"/>
      <c r="B43" s="25"/>
      <c r="C43" s="25" t="s">
        <v>103</v>
      </c>
      <c r="D43" s="25">
        <v>0</v>
      </c>
      <c r="E43" s="130"/>
      <c r="F43" s="224" t="s">
        <v>79</v>
      </c>
      <c r="G43" s="41">
        <v>3.09</v>
      </c>
      <c r="H43" s="131"/>
      <c r="I43" s="35">
        <v>0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0</v>
      </c>
      <c r="P43" s="200">
        <f>+J43-N43</f>
        <v>0</v>
      </c>
      <c r="Q43" s="35">
        <v>0</v>
      </c>
      <c r="R43" s="200">
        <f>+J43*E$7</f>
        <v>0</v>
      </c>
    </row>
    <row r="44" spans="1:18" x14ac:dyDescent="0.2">
      <c r="A44" s="25"/>
      <c r="B44" s="25"/>
      <c r="C44" s="25"/>
      <c r="D44" s="25"/>
      <c r="E44" s="207"/>
      <c r="F44" s="21"/>
      <c r="G44" s="41"/>
      <c r="H44" s="196"/>
      <c r="I44" s="35"/>
      <c r="J44" s="182"/>
      <c r="K44" s="223"/>
      <c r="L44" s="196"/>
      <c r="M44" s="35"/>
      <c r="N44" s="182"/>
      <c r="O44" s="35"/>
      <c r="P44" s="182"/>
      <c r="Q44" s="35"/>
      <c r="R44" s="182"/>
    </row>
    <row r="45" spans="1:18" x14ac:dyDescent="0.2">
      <c r="A45" s="25"/>
      <c r="B45" s="25" t="s">
        <v>47</v>
      </c>
      <c r="C45" s="25"/>
      <c r="D45" s="25"/>
      <c r="E45" s="207"/>
      <c r="F45" s="21"/>
      <c r="G45" s="41"/>
      <c r="H45" s="197"/>
      <c r="I45" s="184"/>
      <c r="J45" s="182"/>
      <c r="K45" s="223"/>
      <c r="L45" s="197"/>
      <c r="M45" s="35"/>
      <c r="N45" s="182"/>
      <c r="O45" s="35"/>
      <c r="P45" s="182"/>
      <c r="Q45" s="35"/>
      <c r="R45" s="182"/>
    </row>
    <row r="46" spans="1:18" x14ac:dyDescent="0.2">
      <c r="A46" s="25"/>
      <c r="B46" s="25"/>
      <c r="C46" s="25" t="s">
        <v>102</v>
      </c>
      <c r="D46" s="25">
        <v>1</v>
      </c>
      <c r="E46" s="130"/>
      <c r="F46" s="224" t="s">
        <v>42</v>
      </c>
      <c r="G46" s="41">
        <v>49.5</v>
      </c>
      <c r="H46" s="131"/>
      <c r="I46" s="35">
        <v>49.5</v>
      </c>
      <c r="J46" s="200">
        <f t="shared" ref="J46:J51" si="8">E46*H46</f>
        <v>0</v>
      </c>
      <c r="K46" s="223">
        <v>0</v>
      </c>
      <c r="L46" s="212"/>
      <c r="M46" s="35">
        <v>0</v>
      </c>
      <c r="N46" s="200">
        <f t="shared" ref="N46:N51" si="9">J46*L46</f>
        <v>0</v>
      </c>
      <c r="O46" s="35">
        <v>49.5</v>
      </c>
      <c r="P46" s="200">
        <f t="shared" ref="P46:P51" si="10">+J46-N46</f>
        <v>0</v>
      </c>
      <c r="Q46" s="35">
        <v>4950</v>
      </c>
      <c r="R46" s="200">
        <f t="shared" ref="R46:R51" si="11">+J46*E$7</f>
        <v>0</v>
      </c>
    </row>
    <row r="47" spans="1:18" x14ac:dyDescent="0.2">
      <c r="A47" s="25"/>
      <c r="B47" s="25"/>
      <c r="C47" s="25" t="s">
        <v>46</v>
      </c>
      <c r="D47" s="25">
        <v>1</v>
      </c>
      <c r="E47" s="130"/>
      <c r="F47" s="224" t="s">
        <v>42</v>
      </c>
      <c r="G47" s="41">
        <v>0</v>
      </c>
      <c r="H47" s="131"/>
      <c r="I47" s="35">
        <v>0</v>
      </c>
      <c r="J47" s="200">
        <f t="shared" si="8"/>
        <v>0</v>
      </c>
      <c r="K47" s="223">
        <v>0</v>
      </c>
      <c r="L47" s="212"/>
      <c r="M47" s="35">
        <v>0</v>
      </c>
      <c r="N47" s="200">
        <f t="shared" si="9"/>
        <v>0</v>
      </c>
      <c r="O47" s="35">
        <v>0</v>
      </c>
      <c r="P47" s="200">
        <f t="shared" si="10"/>
        <v>0</v>
      </c>
      <c r="Q47" s="35">
        <v>0</v>
      </c>
      <c r="R47" s="200">
        <f t="shared" si="11"/>
        <v>0</v>
      </c>
    </row>
    <row r="48" spans="1:18" x14ac:dyDescent="0.2">
      <c r="A48" s="25"/>
      <c r="B48" s="25"/>
      <c r="C48" s="25" t="s">
        <v>103</v>
      </c>
      <c r="D48" s="25">
        <v>1</v>
      </c>
      <c r="E48" s="130"/>
      <c r="F48" s="224" t="s">
        <v>42</v>
      </c>
      <c r="G48" s="41">
        <v>0</v>
      </c>
      <c r="H48" s="131"/>
      <c r="I48" s="35">
        <v>0</v>
      </c>
      <c r="J48" s="200">
        <f t="shared" si="8"/>
        <v>0</v>
      </c>
      <c r="K48" s="223">
        <v>0</v>
      </c>
      <c r="L48" s="212"/>
      <c r="M48" s="35">
        <v>0</v>
      </c>
      <c r="N48" s="200">
        <f t="shared" si="9"/>
        <v>0</v>
      </c>
      <c r="O48" s="35">
        <v>0</v>
      </c>
      <c r="P48" s="200">
        <f t="shared" si="10"/>
        <v>0</v>
      </c>
      <c r="Q48" s="35">
        <v>0</v>
      </c>
      <c r="R48" s="200">
        <f t="shared" si="11"/>
        <v>0</v>
      </c>
    </row>
    <row r="49" spans="1:18" x14ac:dyDescent="0.2">
      <c r="A49" s="25"/>
      <c r="B49" s="25"/>
      <c r="C49" s="25" t="s">
        <v>5</v>
      </c>
      <c r="D49" s="25">
        <v>1</v>
      </c>
      <c r="E49" s="130"/>
      <c r="F49" s="224" t="s">
        <v>42</v>
      </c>
      <c r="G49" s="41">
        <v>0</v>
      </c>
      <c r="H49" s="131"/>
      <c r="I49" s="35">
        <v>0</v>
      </c>
      <c r="J49" s="200">
        <f t="shared" si="8"/>
        <v>0</v>
      </c>
      <c r="K49" s="223">
        <v>0</v>
      </c>
      <c r="L49" s="212"/>
      <c r="M49" s="35">
        <v>0</v>
      </c>
      <c r="N49" s="200">
        <f t="shared" si="9"/>
        <v>0</v>
      </c>
      <c r="O49" s="35">
        <v>0</v>
      </c>
      <c r="P49" s="200">
        <f t="shared" si="10"/>
        <v>0</v>
      </c>
      <c r="Q49" s="35">
        <v>0</v>
      </c>
      <c r="R49" s="200">
        <f t="shared" si="11"/>
        <v>0</v>
      </c>
    </row>
    <row r="50" spans="1:18" x14ac:dyDescent="0.2">
      <c r="A50" s="25"/>
      <c r="B50" s="131"/>
      <c r="C50" s="131"/>
      <c r="D50" s="25"/>
      <c r="E50" s="130"/>
      <c r="F50" s="224"/>
      <c r="G50" s="41"/>
      <c r="H50" s="131"/>
      <c r="I50" s="35">
        <v>0</v>
      </c>
      <c r="J50" s="200">
        <f t="shared" si="8"/>
        <v>0</v>
      </c>
      <c r="K50" s="223">
        <v>0</v>
      </c>
      <c r="L50" s="212"/>
      <c r="M50" s="35">
        <v>0</v>
      </c>
      <c r="N50" s="200">
        <f t="shared" si="9"/>
        <v>0</v>
      </c>
      <c r="O50" s="35">
        <v>0</v>
      </c>
      <c r="P50" s="200">
        <f t="shared" si="10"/>
        <v>0</v>
      </c>
      <c r="Q50" s="35">
        <v>0</v>
      </c>
      <c r="R50" s="200">
        <f t="shared" si="11"/>
        <v>0</v>
      </c>
    </row>
    <row r="51" spans="1:18" x14ac:dyDescent="0.2">
      <c r="A51" s="25"/>
      <c r="B51" s="131"/>
      <c r="C51" s="131"/>
      <c r="D51" s="25"/>
      <c r="E51" s="130"/>
      <c r="F51" s="224"/>
      <c r="G51" s="41"/>
      <c r="H51" s="131"/>
      <c r="I51" s="35">
        <v>0</v>
      </c>
      <c r="J51" s="200">
        <f t="shared" si="8"/>
        <v>0</v>
      </c>
      <c r="K51" s="223">
        <v>0</v>
      </c>
      <c r="L51" s="212"/>
      <c r="M51" s="35">
        <v>0</v>
      </c>
      <c r="N51" s="200">
        <f t="shared" si="9"/>
        <v>0</v>
      </c>
      <c r="O51" s="35">
        <v>0</v>
      </c>
      <c r="P51" s="200">
        <f t="shared" si="10"/>
        <v>0</v>
      </c>
      <c r="Q51" s="35">
        <v>0</v>
      </c>
      <c r="R51" s="200">
        <f t="shared" si="11"/>
        <v>0</v>
      </c>
    </row>
    <row r="52" spans="1:18" ht="13.5" thickBot="1" x14ac:dyDescent="0.25">
      <c r="A52" s="25"/>
      <c r="B52" s="25" t="s">
        <v>32</v>
      </c>
      <c r="C52" s="25"/>
      <c r="D52" s="25"/>
      <c r="E52" s="195"/>
      <c r="F52" s="21"/>
      <c r="G52" s="39">
        <v>0.09</v>
      </c>
      <c r="H52" s="213"/>
      <c r="I52" s="42">
        <v>18.085461579616439</v>
      </c>
      <c r="J52" s="200">
        <f>+SUM(J17:J51)/2*H52</f>
        <v>0</v>
      </c>
      <c r="K52" s="86"/>
      <c r="L52" s="135"/>
      <c r="M52" s="42">
        <v>0</v>
      </c>
      <c r="N52" s="200">
        <f>+SUM(N17:N51)/2*L52</f>
        <v>0</v>
      </c>
      <c r="O52" s="42">
        <v>18.085461579616439</v>
      </c>
      <c r="P52" s="200">
        <f>+SUM(P17:P51)/2*L52</f>
        <v>0</v>
      </c>
      <c r="Q52" s="42">
        <v>1808.546157961644</v>
      </c>
      <c r="R52" s="182">
        <f>+J52*E$7</f>
        <v>0</v>
      </c>
    </row>
    <row r="53" spans="1:18" ht="13.5" thickBot="1" x14ac:dyDescent="0.25">
      <c r="A53" s="25" t="s">
        <v>33</v>
      </c>
      <c r="B53" s="25"/>
      <c r="C53" s="25"/>
      <c r="D53" s="25"/>
      <c r="E53" s="198"/>
      <c r="F53" s="25"/>
      <c r="G53" s="25"/>
      <c r="H53" s="195"/>
      <c r="I53" s="87">
        <v>479.94683957961644</v>
      </c>
      <c r="J53" s="202">
        <f>SUM(J18:J52)</f>
        <v>0</v>
      </c>
      <c r="K53" s="35"/>
      <c r="L53" s="193"/>
      <c r="M53" s="87">
        <v>0</v>
      </c>
      <c r="N53" s="202">
        <f>SUM(N18:N52)</f>
        <v>0</v>
      </c>
      <c r="O53" s="87">
        <v>479.94683957961644</v>
      </c>
      <c r="P53" s="202">
        <f>SUM(P18:P52)</f>
        <v>0</v>
      </c>
      <c r="Q53" s="87">
        <v>47994.683957961643</v>
      </c>
      <c r="R53" s="202">
        <f>SUM(R18:R52)</f>
        <v>0</v>
      </c>
    </row>
    <row r="54" spans="1:18" ht="13.5" thickTop="1" x14ac:dyDescent="0.2">
      <c r="A54" s="25" t="s">
        <v>34</v>
      </c>
      <c r="B54" s="25"/>
      <c r="C54" s="25"/>
      <c r="D54" s="25"/>
      <c r="E54" s="198"/>
      <c r="F54" s="25"/>
      <c r="G54" s="25"/>
      <c r="H54" s="195"/>
      <c r="I54" s="35">
        <v>300.05316042038356</v>
      </c>
      <c r="J54" s="200">
        <f>+J13-J53</f>
        <v>0</v>
      </c>
      <c r="K54" s="35"/>
      <c r="L54" s="193"/>
      <c r="M54" s="35">
        <v>0</v>
      </c>
      <c r="N54" s="200">
        <f>+N13-N53</f>
        <v>0</v>
      </c>
      <c r="O54" s="35">
        <v>300.05316042038356</v>
      </c>
      <c r="P54" s="200">
        <f>+P13-P53</f>
        <v>0</v>
      </c>
      <c r="Q54" s="35">
        <v>30005.316042038357</v>
      </c>
      <c r="R54" s="200">
        <f>+R13-R53</f>
        <v>0</v>
      </c>
    </row>
    <row r="55" spans="1:18" x14ac:dyDescent="0.2">
      <c r="A55" s="25"/>
      <c r="B55" s="25" t="s">
        <v>35</v>
      </c>
      <c r="C55" s="25"/>
      <c r="D55" s="25"/>
      <c r="E55" s="208"/>
      <c r="F55" s="17"/>
      <c r="G55" s="40">
        <v>79.991139929936068</v>
      </c>
      <c r="H55" s="208" t="str">
        <f>IF(E10=0,"n/a",(YVarExp-(YTotExp+YTotRet-J10))/E10)</f>
        <v>n/a</v>
      </c>
      <c r="I55" s="25" t="s">
        <v>480</v>
      </c>
      <c r="J55" s="182"/>
      <c r="K55" s="25"/>
      <c r="L55" s="195"/>
      <c r="M55" s="25"/>
      <c r="N55" s="182"/>
      <c r="O55" s="25"/>
      <c r="P55" s="182"/>
      <c r="Q55" s="25"/>
      <c r="R55" s="182"/>
    </row>
    <row r="56" spans="1:18" x14ac:dyDescent="0.2">
      <c r="A56" s="25"/>
      <c r="B56" s="25"/>
      <c r="C56" s="25"/>
      <c r="D56" s="25"/>
      <c r="E56" s="176"/>
      <c r="F56" s="25"/>
      <c r="G56" s="25"/>
      <c r="H56" s="209"/>
      <c r="I56" s="25"/>
      <c r="J56" s="182"/>
      <c r="K56" s="25"/>
      <c r="L56" s="195"/>
      <c r="M56" s="25"/>
      <c r="N56" s="182"/>
      <c r="O56" s="25"/>
      <c r="P56" s="182"/>
      <c r="Q56" s="22" t="s">
        <v>19</v>
      </c>
      <c r="R56" s="182" t="s">
        <v>19</v>
      </c>
    </row>
    <row r="57" spans="1:18" x14ac:dyDescent="0.2">
      <c r="A57" s="23" t="s">
        <v>36</v>
      </c>
      <c r="B57" s="23"/>
      <c r="C57" s="23"/>
      <c r="D57" s="24" t="s">
        <v>2</v>
      </c>
      <c r="E57" s="194" t="s">
        <v>2</v>
      </c>
      <c r="F57" s="24" t="s">
        <v>21</v>
      </c>
      <c r="G57" s="24" t="s">
        <v>22</v>
      </c>
      <c r="H57" s="194" t="s">
        <v>22</v>
      </c>
      <c r="I57" s="24" t="s">
        <v>12</v>
      </c>
      <c r="J57" s="194" t="s">
        <v>12</v>
      </c>
      <c r="K57" s="24" t="s">
        <v>11</v>
      </c>
      <c r="L57" s="194" t="s">
        <v>11</v>
      </c>
      <c r="M57" s="24" t="s">
        <v>10</v>
      </c>
      <c r="N57" s="194" t="s">
        <v>10</v>
      </c>
      <c r="O57" s="24" t="s">
        <v>9</v>
      </c>
      <c r="P57" s="194" t="s">
        <v>9</v>
      </c>
      <c r="Q57" s="24" t="s">
        <v>12</v>
      </c>
      <c r="R57" s="206" t="s">
        <v>12</v>
      </c>
    </row>
    <row r="58" spans="1:18" x14ac:dyDescent="0.2">
      <c r="A58" s="25"/>
      <c r="B58" s="25" t="s">
        <v>104</v>
      </c>
      <c r="C58" s="25"/>
      <c r="D58" s="25"/>
      <c r="E58" s="176"/>
      <c r="F58" s="25"/>
      <c r="G58" s="25"/>
      <c r="H58" s="209"/>
      <c r="I58" s="184"/>
      <c r="J58" s="182"/>
      <c r="K58" s="223"/>
      <c r="L58" s="195"/>
      <c r="M58" s="25"/>
      <c r="N58" s="182"/>
      <c r="O58" s="25"/>
      <c r="P58" s="182"/>
      <c r="Q58" s="25"/>
      <c r="R58" s="182"/>
    </row>
    <row r="59" spans="1:18" x14ac:dyDescent="0.2">
      <c r="A59" s="25"/>
      <c r="B59" s="25"/>
      <c r="C59" s="25" t="s">
        <v>102</v>
      </c>
      <c r="D59" s="25">
        <v>1</v>
      </c>
      <c r="E59" s="130"/>
      <c r="F59" s="224" t="s">
        <v>42</v>
      </c>
      <c r="G59" s="41">
        <v>77.072500000000005</v>
      </c>
      <c r="H59" s="131"/>
      <c r="I59" s="35">
        <v>77.072500000000005</v>
      </c>
      <c r="J59" s="200">
        <f t="shared" ref="J59" si="12">E59*H59</f>
        <v>0</v>
      </c>
      <c r="K59" s="223">
        <v>0</v>
      </c>
      <c r="L59" s="212"/>
      <c r="M59" s="35">
        <v>0</v>
      </c>
      <c r="N59" s="200">
        <f>J59*L59</f>
        <v>0</v>
      </c>
      <c r="O59" s="35">
        <v>77.072500000000005</v>
      </c>
      <c r="P59" s="200">
        <f t="shared" ref="P59" si="13">+J59-N59</f>
        <v>0</v>
      </c>
      <c r="Q59" s="35">
        <v>7707.2500000000009</v>
      </c>
      <c r="R59" s="200">
        <f t="shared" ref="R59" si="14">+J59*E$7</f>
        <v>0</v>
      </c>
    </row>
    <row r="60" spans="1:18" x14ac:dyDescent="0.2">
      <c r="A60" s="25"/>
      <c r="B60" s="25" t="s">
        <v>88</v>
      </c>
      <c r="C60" s="25"/>
      <c r="D60" s="25"/>
      <c r="E60" s="195"/>
      <c r="F60" s="21"/>
      <c r="G60" s="41"/>
      <c r="H60" s="195"/>
      <c r="I60" s="184"/>
      <c r="J60" s="182"/>
      <c r="K60" s="223"/>
      <c r="L60" s="195"/>
      <c r="M60" s="35"/>
      <c r="N60" s="182"/>
      <c r="O60" s="35"/>
      <c r="P60" s="182"/>
      <c r="Q60" s="35"/>
      <c r="R60" s="182"/>
    </row>
    <row r="61" spans="1:18" x14ac:dyDescent="0.2">
      <c r="A61" s="25"/>
      <c r="B61" s="25"/>
      <c r="C61" s="25" t="s">
        <v>102</v>
      </c>
      <c r="D61" s="41">
        <v>689.63750000000005</v>
      </c>
      <c r="E61" s="130"/>
      <c r="F61" s="224" t="s">
        <v>99</v>
      </c>
      <c r="G61" s="39">
        <v>0.08</v>
      </c>
      <c r="H61" s="213"/>
      <c r="I61" s="35">
        <v>55.171000000000006</v>
      </c>
      <c r="J61" s="200">
        <f t="shared" ref="J61:J68" si="15">E61*H61</f>
        <v>0</v>
      </c>
      <c r="K61" s="223">
        <v>0</v>
      </c>
      <c r="L61" s="212"/>
      <c r="M61" s="35">
        <v>0</v>
      </c>
      <c r="N61" s="200">
        <f>J61*L61</f>
        <v>0</v>
      </c>
      <c r="O61" s="35">
        <v>55.171000000000006</v>
      </c>
      <c r="P61" s="200">
        <f t="shared" ref="P61" si="16">+J61-N61</f>
        <v>0</v>
      </c>
      <c r="Q61" s="35">
        <v>5517.1</v>
      </c>
      <c r="R61" s="200">
        <f t="shared" ref="R61" si="17">+J61*E$7</f>
        <v>0</v>
      </c>
    </row>
    <row r="62" spans="1:18" x14ac:dyDescent="0.2">
      <c r="A62" s="25"/>
      <c r="B62" s="25" t="s">
        <v>156</v>
      </c>
      <c r="C62" s="25"/>
      <c r="D62" s="25">
        <v>1</v>
      </c>
      <c r="E62" s="130"/>
      <c r="F62" s="224" t="s">
        <v>42</v>
      </c>
      <c r="G62" s="41">
        <v>0</v>
      </c>
      <c r="H62" s="131"/>
      <c r="I62" s="35">
        <v>0</v>
      </c>
      <c r="J62" s="200">
        <f t="shared" si="15"/>
        <v>0</v>
      </c>
      <c r="K62" s="223">
        <v>0</v>
      </c>
      <c r="L62" s="212"/>
      <c r="M62" s="35">
        <v>0</v>
      </c>
      <c r="N62" s="200">
        <f t="shared" ref="N62:N69" si="18">J62*L62</f>
        <v>0</v>
      </c>
      <c r="O62" s="35">
        <v>0</v>
      </c>
      <c r="P62" s="200">
        <f t="shared" ref="P62:P69" si="19">+J62-N62</f>
        <v>0</v>
      </c>
      <c r="Q62" s="35">
        <v>0</v>
      </c>
      <c r="R62" s="200">
        <f t="shared" ref="R62:R69" si="20">+J62*E$7</f>
        <v>0</v>
      </c>
    </row>
    <row r="63" spans="1:18" x14ac:dyDescent="0.2">
      <c r="A63" s="25"/>
      <c r="B63" s="25" t="s">
        <v>152</v>
      </c>
      <c r="C63" s="25"/>
      <c r="D63" s="25">
        <v>1</v>
      </c>
      <c r="E63" s="130"/>
      <c r="F63" s="224" t="s">
        <v>42</v>
      </c>
      <c r="G63" s="41">
        <v>0</v>
      </c>
      <c r="H63" s="131"/>
      <c r="I63" s="35">
        <v>0</v>
      </c>
      <c r="J63" s="200">
        <f t="shared" si="15"/>
        <v>0</v>
      </c>
      <c r="K63" s="223">
        <v>0</v>
      </c>
      <c r="L63" s="212"/>
      <c r="M63" s="35">
        <v>0</v>
      </c>
      <c r="N63" s="200">
        <f t="shared" si="18"/>
        <v>0</v>
      </c>
      <c r="O63" s="35">
        <v>0</v>
      </c>
      <c r="P63" s="200">
        <f t="shared" si="19"/>
        <v>0</v>
      </c>
      <c r="Q63" s="35">
        <v>0</v>
      </c>
      <c r="R63" s="200">
        <f t="shared" si="20"/>
        <v>0</v>
      </c>
    </row>
    <row r="64" spans="1:18" x14ac:dyDescent="0.2">
      <c r="A64" s="25"/>
      <c r="B64" s="25" t="s">
        <v>137</v>
      </c>
      <c r="C64" s="25"/>
      <c r="D64" s="25">
        <v>1</v>
      </c>
      <c r="E64" s="130"/>
      <c r="F64" s="224" t="s">
        <v>42</v>
      </c>
      <c r="G64" s="41">
        <v>55</v>
      </c>
      <c r="H64" s="131"/>
      <c r="I64" s="35">
        <v>55</v>
      </c>
      <c r="J64" s="200">
        <f t="shared" si="15"/>
        <v>0</v>
      </c>
      <c r="K64" s="223">
        <v>0</v>
      </c>
      <c r="L64" s="212"/>
      <c r="M64" s="35">
        <v>0</v>
      </c>
      <c r="N64" s="200">
        <f t="shared" si="18"/>
        <v>0</v>
      </c>
      <c r="O64" s="35">
        <v>55</v>
      </c>
      <c r="P64" s="200">
        <f t="shared" si="19"/>
        <v>0</v>
      </c>
      <c r="Q64" s="35">
        <v>5500</v>
      </c>
      <c r="R64" s="200">
        <f t="shared" si="20"/>
        <v>0</v>
      </c>
    </row>
    <row r="65" spans="1:25" x14ac:dyDescent="0.2">
      <c r="A65" s="25"/>
      <c r="B65" s="25" t="s">
        <v>138</v>
      </c>
      <c r="C65" s="25"/>
      <c r="D65" s="25">
        <v>1</v>
      </c>
      <c r="E65" s="130"/>
      <c r="F65" s="224" t="s">
        <v>42</v>
      </c>
      <c r="G65" s="41">
        <v>0</v>
      </c>
      <c r="H65" s="131"/>
      <c r="I65" s="35">
        <v>0</v>
      </c>
      <c r="J65" s="200">
        <f t="shared" si="15"/>
        <v>0</v>
      </c>
      <c r="K65" s="223">
        <v>0</v>
      </c>
      <c r="L65" s="212"/>
      <c r="M65" s="35">
        <v>0</v>
      </c>
      <c r="N65" s="200">
        <f t="shared" si="18"/>
        <v>0</v>
      </c>
      <c r="O65" s="35">
        <v>0</v>
      </c>
      <c r="P65" s="200">
        <f t="shared" si="19"/>
        <v>0</v>
      </c>
      <c r="Q65" s="35">
        <v>0</v>
      </c>
      <c r="R65" s="200">
        <f t="shared" si="20"/>
        <v>0</v>
      </c>
    </row>
    <row r="66" spans="1:25" x14ac:dyDescent="0.2">
      <c r="A66" s="25"/>
      <c r="B66" s="25" t="s">
        <v>159</v>
      </c>
      <c r="C66" s="25"/>
      <c r="D66" s="25">
        <v>1</v>
      </c>
      <c r="E66" s="130"/>
      <c r="F66" s="224" t="s">
        <v>42</v>
      </c>
      <c r="G66" s="41">
        <v>0</v>
      </c>
      <c r="H66" s="131"/>
      <c r="I66" s="35">
        <v>0</v>
      </c>
      <c r="J66" s="200">
        <f t="shared" si="15"/>
        <v>0</v>
      </c>
      <c r="K66" s="223">
        <v>0</v>
      </c>
      <c r="L66" s="212"/>
      <c r="M66" s="35">
        <v>0</v>
      </c>
      <c r="N66" s="200">
        <f t="shared" si="18"/>
        <v>0</v>
      </c>
      <c r="O66" s="35">
        <v>0</v>
      </c>
      <c r="P66" s="200">
        <f t="shared" si="19"/>
        <v>0</v>
      </c>
      <c r="Q66" s="35">
        <v>0</v>
      </c>
      <c r="R66" s="200">
        <f t="shared" si="20"/>
        <v>0</v>
      </c>
    </row>
    <row r="67" spans="1:25" x14ac:dyDescent="0.2">
      <c r="A67" s="25"/>
      <c r="B67" s="25" t="s">
        <v>160</v>
      </c>
      <c r="C67" s="25"/>
      <c r="D67" s="25">
        <v>1</v>
      </c>
      <c r="E67" s="130"/>
      <c r="F67" s="224" t="s">
        <v>42</v>
      </c>
      <c r="G67" s="41">
        <v>0</v>
      </c>
      <c r="H67" s="131"/>
      <c r="I67" s="35">
        <v>0</v>
      </c>
      <c r="J67" s="200">
        <f t="shared" si="15"/>
        <v>0</v>
      </c>
      <c r="K67" s="223">
        <v>0</v>
      </c>
      <c r="L67" s="212"/>
      <c r="M67" s="35">
        <v>0</v>
      </c>
      <c r="N67" s="200">
        <f t="shared" si="18"/>
        <v>0</v>
      </c>
      <c r="O67" s="35">
        <v>0</v>
      </c>
      <c r="P67" s="200">
        <f t="shared" si="19"/>
        <v>0</v>
      </c>
      <c r="Q67" s="35">
        <v>0</v>
      </c>
      <c r="R67" s="200">
        <f t="shared" si="20"/>
        <v>0</v>
      </c>
    </row>
    <row r="68" spans="1:25" x14ac:dyDescent="0.2">
      <c r="A68" s="25"/>
      <c r="B68" s="131"/>
      <c r="C68" s="131"/>
      <c r="D68" s="25">
        <v>1</v>
      </c>
      <c r="E68" s="130"/>
      <c r="F68" s="224"/>
      <c r="G68" s="41">
        <v>0</v>
      </c>
      <c r="H68" s="131"/>
      <c r="I68" s="35">
        <v>0</v>
      </c>
      <c r="J68" s="200">
        <f t="shared" si="15"/>
        <v>0</v>
      </c>
      <c r="K68" s="223">
        <v>0</v>
      </c>
      <c r="L68" s="212"/>
      <c r="M68" s="35">
        <v>0</v>
      </c>
      <c r="N68" s="200">
        <f t="shared" si="18"/>
        <v>0</v>
      </c>
      <c r="O68" s="35">
        <v>0</v>
      </c>
      <c r="P68" s="200">
        <f t="shared" si="19"/>
        <v>0</v>
      </c>
      <c r="Q68" s="35">
        <v>0</v>
      </c>
      <c r="R68" s="200">
        <f t="shared" si="20"/>
        <v>0</v>
      </c>
    </row>
    <row r="69" spans="1:25" ht="13.5" thickBot="1" x14ac:dyDescent="0.25">
      <c r="A69" s="25"/>
      <c r="B69" s="131"/>
      <c r="C69" s="131"/>
      <c r="D69" s="25">
        <v>1</v>
      </c>
      <c r="E69" s="130"/>
      <c r="F69" s="224"/>
      <c r="G69" s="41">
        <v>0</v>
      </c>
      <c r="H69" s="131"/>
      <c r="I69" s="35">
        <v>0</v>
      </c>
      <c r="J69" s="200">
        <f>E69*H69</f>
        <v>0</v>
      </c>
      <c r="K69" s="223">
        <v>0</v>
      </c>
      <c r="L69" s="212"/>
      <c r="M69" s="35">
        <v>0</v>
      </c>
      <c r="N69" s="200">
        <f t="shared" si="18"/>
        <v>0</v>
      </c>
      <c r="O69" s="35">
        <v>0</v>
      </c>
      <c r="P69" s="200">
        <f t="shared" si="19"/>
        <v>0</v>
      </c>
      <c r="Q69" s="35">
        <v>0</v>
      </c>
      <c r="R69" s="200">
        <f t="shared" si="20"/>
        <v>0</v>
      </c>
    </row>
    <row r="70" spans="1:25" ht="13.5" thickBot="1" x14ac:dyDescent="0.25">
      <c r="A70" s="25" t="s">
        <v>37</v>
      </c>
      <c r="B70" s="25"/>
      <c r="C70" s="25"/>
      <c r="D70" s="25"/>
      <c r="E70" s="195"/>
      <c r="F70" s="25"/>
      <c r="G70" s="25"/>
      <c r="H70" s="195"/>
      <c r="I70" s="118">
        <v>187.24350000000001</v>
      </c>
      <c r="J70" s="202">
        <f>+SUM(J59:J69)</f>
        <v>0</v>
      </c>
      <c r="K70" s="35"/>
      <c r="L70" s="193"/>
      <c r="M70" s="118">
        <v>0</v>
      </c>
      <c r="N70" s="202">
        <f>+SUM(N59:N69)</f>
        <v>0</v>
      </c>
      <c r="O70" s="118">
        <v>187.24350000000001</v>
      </c>
      <c r="P70" s="202">
        <f>+SUM(P59:P69)</f>
        <v>0</v>
      </c>
      <c r="Q70" s="118">
        <v>18724.350000000002</v>
      </c>
      <c r="R70" s="202">
        <f>+SUM(R59:R69)</f>
        <v>0</v>
      </c>
    </row>
    <row r="71" spans="1:25" ht="14.25" thickTop="1" thickBot="1" x14ac:dyDescent="0.25">
      <c r="A71" s="25" t="s">
        <v>52</v>
      </c>
      <c r="B71" s="25"/>
      <c r="C71" s="25"/>
      <c r="D71" s="25"/>
      <c r="E71" s="195"/>
      <c r="F71" s="25"/>
      <c r="G71" s="25"/>
      <c r="H71" s="195"/>
      <c r="I71" s="87">
        <v>667.19033957961642</v>
      </c>
      <c r="J71" s="203">
        <f>+J53+J70</f>
        <v>0</v>
      </c>
      <c r="K71" s="35"/>
      <c r="L71" s="193"/>
      <c r="M71" s="87">
        <v>0</v>
      </c>
      <c r="N71" s="203">
        <f>+N53+N70</f>
        <v>0</v>
      </c>
      <c r="O71" s="87">
        <v>667.19033957961642</v>
      </c>
      <c r="P71" s="203">
        <f>+P53+P70</f>
        <v>0</v>
      </c>
      <c r="Q71" s="87">
        <v>66719.033957961641</v>
      </c>
      <c r="R71" s="203">
        <f>+R53+R70</f>
        <v>0</v>
      </c>
    </row>
    <row r="72" spans="1:25" ht="13.5" thickTop="1" x14ac:dyDescent="0.2">
      <c r="A72" s="25"/>
      <c r="B72" s="25"/>
      <c r="C72" s="25"/>
      <c r="D72" s="25"/>
      <c r="E72" s="195"/>
      <c r="F72" s="25"/>
      <c r="G72" s="25"/>
      <c r="H72" s="195"/>
      <c r="I72" s="35"/>
      <c r="J72" s="182"/>
      <c r="K72" s="35"/>
      <c r="L72" s="193"/>
      <c r="M72" s="35"/>
      <c r="N72" s="182"/>
      <c r="O72" s="35"/>
      <c r="P72" s="182"/>
      <c r="Q72" s="35"/>
      <c r="R72" s="182"/>
    </row>
    <row r="73" spans="1:25" x14ac:dyDescent="0.2">
      <c r="A73" s="25" t="s">
        <v>153</v>
      </c>
      <c r="B73" s="25"/>
      <c r="C73" s="25"/>
      <c r="D73" s="25"/>
      <c r="E73" s="195"/>
      <c r="F73" s="25"/>
      <c r="G73" s="25"/>
      <c r="H73" s="195"/>
      <c r="I73" s="35">
        <v>112.80966042038358</v>
      </c>
      <c r="J73" s="200">
        <f>+J13-J71</f>
        <v>0</v>
      </c>
      <c r="K73" s="35"/>
      <c r="L73" s="193"/>
      <c r="M73" s="35">
        <v>0</v>
      </c>
      <c r="N73" s="200">
        <f>+N13-N71</f>
        <v>0</v>
      </c>
      <c r="O73" s="35">
        <v>112.80966042038358</v>
      </c>
      <c r="P73" s="200">
        <f>+P13-P71</f>
        <v>0</v>
      </c>
      <c r="Q73" s="35">
        <v>11280.966042038359</v>
      </c>
      <c r="R73" s="200">
        <f>+R13-R71</f>
        <v>0</v>
      </c>
    </row>
    <row r="74" spans="1:25" x14ac:dyDescent="0.2">
      <c r="A74" s="25"/>
      <c r="B74" s="25"/>
      <c r="C74" s="25"/>
      <c r="D74" s="25"/>
      <c r="E74" s="195"/>
      <c r="F74" s="25"/>
      <c r="G74" s="25"/>
      <c r="H74" s="195"/>
      <c r="I74" s="35"/>
      <c r="J74" s="204"/>
      <c r="K74" s="35"/>
      <c r="L74" s="193"/>
      <c r="M74" s="35"/>
      <c r="N74" s="193"/>
      <c r="O74" s="35"/>
      <c r="P74" s="193"/>
      <c r="Q74" s="35"/>
      <c r="R74" s="204"/>
    </row>
    <row r="75" spans="1:25" ht="13.5" thickBot="1" x14ac:dyDescent="0.25">
      <c r="A75" s="44" t="s">
        <v>38</v>
      </c>
      <c r="B75" s="44"/>
      <c r="C75" s="44"/>
      <c r="D75" s="44"/>
      <c r="E75" s="199"/>
      <c r="F75" s="44"/>
      <c r="G75" s="45">
        <v>111.19838992993607</v>
      </c>
      <c r="H75" s="210" t="str">
        <f>IF(E10=0,"n/a",(YTotExp-(YTotExp+YTotRet-J10))/E10)</f>
        <v>n/a</v>
      </c>
      <c r="I75" s="44" t="s">
        <v>480</v>
      </c>
      <c r="J75" s="205"/>
      <c r="K75" s="44"/>
      <c r="L75" s="199"/>
      <c r="M75" s="44"/>
      <c r="N75" s="199"/>
      <c r="O75" s="44"/>
      <c r="P75" s="199"/>
      <c r="Q75" s="44"/>
      <c r="R75" s="205"/>
    </row>
    <row r="76" spans="1:25" ht="13.5" thickTop="1" x14ac:dyDescent="0.2"/>
    <row r="77" spans="1:25" s="17" customFormat="1" ht="15.75" x14ac:dyDescent="0.25">
      <c r="A77"/>
      <c r="B77" s="88"/>
      <c r="C77" s="89"/>
      <c r="D77" s="234" t="s">
        <v>113</v>
      </c>
      <c r="E77" s="235"/>
      <c r="F77" s="235"/>
      <c r="G77" s="235"/>
      <c r="H77" s="235"/>
      <c r="I77" s="235"/>
      <c r="J77" s="99"/>
      <c r="K77" s="99"/>
      <c r="M77"/>
      <c r="N77"/>
      <c r="Y77"/>
    </row>
    <row r="78" spans="1:25" s="17" customFormat="1" ht="15.75" x14ac:dyDescent="0.25">
      <c r="A78"/>
      <c r="B78" s="19" t="s">
        <v>114</v>
      </c>
      <c r="C78" s="19" t="s">
        <v>114</v>
      </c>
      <c r="D78" s="123" t="s">
        <v>170</v>
      </c>
      <c r="E78" s="18"/>
      <c r="F78" s="18"/>
      <c r="G78" s="123" t="s">
        <v>170</v>
      </c>
      <c r="H78" s="18"/>
      <c r="I78" s="18"/>
      <c r="J78" s="18"/>
      <c r="K78" s="18"/>
      <c r="M78"/>
      <c r="N78"/>
      <c r="Y78"/>
    </row>
    <row r="79" spans="1:25" s="17" customFormat="1" x14ac:dyDescent="0.2">
      <c r="A79"/>
      <c r="B79" s="19" t="s">
        <v>80</v>
      </c>
      <c r="C79" s="19" t="s">
        <v>80</v>
      </c>
      <c r="D79" s="123" t="s">
        <v>157</v>
      </c>
      <c r="E79" s="119"/>
      <c r="F79" s="119"/>
      <c r="G79" s="123" t="s">
        <v>12</v>
      </c>
      <c r="H79" s="119"/>
      <c r="I79" s="119"/>
      <c r="J79" s="119"/>
      <c r="K79" s="119"/>
      <c r="M79"/>
      <c r="N79"/>
      <c r="Y79"/>
    </row>
    <row r="80" spans="1:25" s="17" customFormat="1" x14ac:dyDescent="0.2">
      <c r="A80"/>
      <c r="B80" s="19" t="s">
        <v>30</v>
      </c>
      <c r="C80" s="99" t="s">
        <v>480</v>
      </c>
      <c r="D80" s="123" t="s">
        <v>98</v>
      </c>
      <c r="E80" s="119"/>
      <c r="F80" s="119"/>
      <c r="G80" s="123" t="s">
        <v>98</v>
      </c>
      <c r="H80" s="19"/>
      <c r="I80" s="19"/>
      <c r="J80" s="19"/>
      <c r="K80" s="19"/>
      <c r="M80"/>
      <c r="N80"/>
      <c r="Y80"/>
    </row>
    <row r="81" spans="1:25" s="17" customFormat="1" x14ac:dyDescent="0.2">
      <c r="A81"/>
      <c r="B81" s="90">
        <v>0.75</v>
      </c>
      <c r="C81" s="91">
        <v>4.5</v>
      </c>
      <c r="D81" s="92">
        <v>106.65485323991476</v>
      </c>
      <c r="E81" s="93"/>
      <c r="F81" s="94"/>
      <c r="G81" s="92">
        <v>148.26451990658143</v>
      </c>
      <c r="H81" s="93"/>
      <c r="I81" s="93"/>
      <c r="M81"/>
      <c r="N81"/>
      <c r="Y81"/>
    </row>
    <row r="82" spans="1:25" s="17" customFormat="1" x14ac:dyDescent="0.2">
      <c r="A82"/>
      <c r="B82" s="95">
        <v>0.9</v>
      </c>
      <c r="C82" s="96">
        <v>5.4</v>
      </c>
      <c r="D82" s="97">
        <v>88.879044366595636</v>
      </c>
      <c r="E82" s="83"/>
      <c r="F82" s="98"/>
      <c r="G82" s="97">
        <v>123.55376658881785</v>
      </c>
      <c r="H82" s="83"/>
      <c r="I82" s="83"/>
      <c r="M82"/>
      <c r="N82"/>
      <c r="Y82"/>
    </row>
    <row r="83" spans="1:25" s="17" customFormat="1" x14ac:dyDescent="0.2">
      <c r="A83"/>
      <c r="B83" s="90">
        <v>1</v>
      </c>
      <c r="C83" s="91">
        <v>6</v>
      </c>
      <c r="D83" s="92">
        <v>79.991139929936068</v>
      </c>
      <c r="E83" s="93"/>
      <c r="F83" s="94"/>
      <c r="G83" s="92">
        <v>111.19838992993607</v>
      </c>
      <c r="H83" s="93"/>
      <c r="I83" s="93"/>
      <c r="M83"/>
      <c r="N83"/>
      <c r="Y83"/>
    </row>
    <row r="84" spans="1:25" s="17" customFormat="1" x14ac:dyDescent="0.2">
      <c r="A84"/>
      <c r="B84" s="95">
        <v>1.1000000000000001</v>
      </c>
      <c r="C84" s="96">
        <v>6.6000000000000005</v>
      </c>
      <c r="D84" s="97">
        <v>72.719218118123692</v>
      </c>
      <c r="E84" s="83"/>
      <c r="F84" s="98"/>
      <c r="G84" s="97">
        <v>101.08944539085097</v>
      </c>
      <c r="H84" s="83"/>
      <c r="I84" s="83"/>
      <c r="M84"/>
      <c r="N84"/>
      <c r="Y84"/>
    </row>
    <row r="85" spans="1:25" s="17" customFormat="1" x14ac:dyDescent="0.2">
      <c r="A85"/>
      <c r="B85" s="90">
        <v>1.25</v>
      </c>
      <c r="C85" s="91">
        <v>7.5</v>
      </c>
      <c r="D85" s="92">
        <v>63.992911943948862</v>
      </c>
      <c r="E85" s="93"/>
      <c r="F85" s="94"/>
      <c r="G85" s="92">
        <v>88.958711943948856</v>
      </c>
      <c r="H85" s="93"/>
      <c r="I85" s="93"/>
      <c r="M85"/>
      <c r="N85"/>
      <c r="Y85"/>
    </row>
    <row r="86" spans="1:25" s="17" customFormat="1" x14ac:dyDescent="0.2">
      <c r="A86"/>
      <c r="M86"/>
      <c r="N86"/>
      <c r="Y86"/>
    </row>
    <row r="87" spans="1:25" x14ac:dyDescent="0.2">
      <c r="A87" s="25" t="s">
        <v>434</v>
      </c>
      <c r="B87" s="17"/>
      <c r="C87" s="17"/>
      <c r="D87" s="17"/>
      <c r="E87" s="17"/>
      <c r="F87" s="17"/>
      <c r="G87" s="17"/>
      <c r="H87" s="17"/>
      <c r="I87" s="17"/>
      <c r="J87" s="28"/>
      <c r="K87" s="17"/>
      <c r="L87" s="17"/>
      <c r="M87" s="17"/>
      <c r="N87" s="17"/>
      <c r="O87" s="17"/>
      <c r="P87" s="17"/>
      <c r="Q87" s="17"/>
    </row>
    <row r="88" spans="1:25" x14ac:dyDescent="0.2">
      <c r="A88" s="17"/>
      <c r="B88" s="17"/>
      <c r="C88" s="17"/>
      <c r="D88" s="17"/>
      <c r="E88" s="17"/>
      <c r="F88" s="17"/>
      <c r="G88" s="17"/>
      <c r="H88" s="17"/>
      <c r="I88" s="17"/>
      <c r="J88" s="28"/>
      <c r="K88" s="17"/>
      <c r="L88" s="17"/>
      <c r="M88" s="17"/>
      <c r="N88" s="17"/>
      <c r="O88" s="17"/>
      <c r="P88" s="17"/>
      <c r="Q88" s="17"/>
    </row>
    <row r="89" spans="1:25" ht="26.25" customHeight="1" x14ac:dyDescent="0.2">
      <c r="A89" s="236" t="s">
        <v>140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19"/>
      <c r="N89" s="219"/>
      <c r="O89" s="219"/>
      <c r="P89" s="219"/>
      <c r="Q89" s="219"/>
      <c r="R89" s="219"/>
    </row>
  </sheetData>
  <sheetProtection sheet="1" objects="1" scenarios="1"/>
  <mergeCells count="6">
    <mergeCell ref="D77:I77"/>
    <mergeCell ref="A89:L89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7">
    <tabColor rgb="FF92D050"/>
    <pageSetUpPr fitToPage="1"/>
  </sheetPr>
  <dimension ref="A1:S95"/>
  <sheetViews>
    <sheetView showGridLines="0" zoomScaleNormal="10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349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100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483</v>
      </c>
      <c r="R9" s="189" t="str">
        <f>"(" &amp; E7 &amp; " acres)"</f>
        <v>( acres)</v>
      </c>
      <c r="S9" s="12"/>
    </row>
    <row r="10" spans="1:19" x14ac:dyDescent="0.2">
      <c r="A10" s="25"/>
      <c r="B10">
        <v>0</v>
      </c>
      <c r="C10" s="25"/>
      <c r="D10" s="50">
        <v>0</v>
      </c>
      <c r="E10" s="130"/>
      <c r="F10" s="224" t="s">
        <v>458</v>
      </c>
      <c r="G10" s="31">
        <v>0</v>
      </c>
      <c r="H10" s="131"/>
      <c r="I10" s="35">
        <v>0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0</v>
      </c>
      <c r="P10" s="200">
        <f>+J10-N10</f>
        <v>0</v>
      </c>
      <c r="Q10" s="35">
        <v>0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0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0</v>
      </c>
      <c r="P13" s="201">
        <f>SUM(P10:P12)</f>
        <v>0</v>
      </c>
      <c r="Q13" s="36">
        <v>0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342</v>
      </c>
      <c r="D18" s="25">
        <v>40</v>
      </c>
      <c r="E18" s="130"/>
      <c r="F18" s="224" t="s">
        <v>82</v>
      </c>
      <c r="G18" s="41">
        <v>0.53800000000000003</v>
      </c>
      <c r="H18" s="131"/>
      <c r="I18" s="35">
        <v>21.520000000000003</v>
      </c>
      <c r="J18" s="200">
        <f t="shared" ref="J18:J28" si="4">E18*H18</f>
        <v>0</v>
      </c>
      <c r="K18" s="223">
        <v>0</v>
      </c>
      <c r="L18" s="212"/>
      <c r="M18" s="35">
        <v>0</v>
      </c>
      <c r="N18" s="200">
        <f t="shared" ref="N18:N28" si="5">J18*L18</f>
        <v>0</v>
      </c>
      <c r="O18" s="35">
        <v>21.520000000000003</v>
      </c>
      <c r="P18" s="200">
        <f t="shared" ref="P18:P28" si="6">+J18-N18</f>
        <v>0</v>
      </c>
      <c r="Q18" s="35">
        <v>2152.0000000000005</v>
      </c>
      <c r="R18" s="200">
        <f t="shared" ref="R18:R28" si="7">+J18*E$7</f>
        <v>0</v>
      </c>
    </row>
    <row r="19" spans="1:18" x14ac:dyDescent="0.2">
      <c r="A19" s="25"/>
      <c r="B19" s="25" t="s">
        <v>458</v>
      </c>
      <c r="C19" s="25" t="s">
        <v>378</v>
      </c>
      <c r="D19" s="25">
        <v>80</v>
      </c>
      <c r="E19" s="130"/>
      <c r="F19" s="224" t="s">
        <v>82</v>
      </c>
      <c r="G19" s="41">
        <v>0.56999999999999995</v>
      </c>
      <c r="H19" s="131"/>
      <c r="I19" s="35">
        <v>45.599999999999994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45.599999999999994</v>
      </c>
      <c r="P19" s="200">
        <f t="shared" si="6"/>
        <v>0</v>
      </c>
      <c r="Q19" s="35">
        <v>4559.9999999999991</v>
      </c>
      <c r="R19" s="200">
        <f t="shared" si="7"/>
        <v>0</v>
      </c>
    </row>
    <row r="20" spans="1:18" x14ac:dyDescent="0.2">
      <c r="A20" s="25"/>
      <c r="B20" s="25" t="s">
        <v>458</v>
      </c>
      <c r="C20" s="25" t="s">
        <v>400</v>
      </c>
      <c r="D20" s="25">
        <v>40</v>
      </c>
      <c r="E20" s="130"/>
      <c r="F20" s="224" t="s">
        <v>82</v>
      </c>
      <c r="G20" s="41">
        <v>0.44167000000000001</v>
      </c>
      <c r="H20" s="131"/>
      <c r="I20" s="35">
        <v>17.666800000000002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17.666800000000002</v>
      </c>
      <c r="P20" s="200">
        <f t="shared" si="6"/>
        <v>0</v>
      </c>
      <c r="Q20" s="35">
        <v>1766.6800000000003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344</v>
      </c>
      <c r="D21" s="25">
        <v>12</v>
      </c>
      <c r="E21" s="130"/>
      <c r="F21" s="224" t="s">
        <v>82</v>
      </c>
      <c r="G21" s="41">
        <v>0.30499999999999999</v>
      </c>
      <c r="H21" s="131"/>
      <c r="I21" s="35">
        <v>3.66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3.66</v>
      </c>
      <c r="P21" s="200">
        <f t="shared" si="6"/>
        <v>0</v>
      </c>
      <c r="Q21" s="35">
        <v>366</v>
      </c>
      <c r="R21" s="200">
        <f t="shared" si="7"/>
        <v>0</v>
      </c>
    </row>
    <row r="22" spans="1:18" x14ac:dyDescent="0.2">
      <c r="A22" s="25"/>
      <c r="B22" s="25" t="s">
        <v>49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402</v>
      </c>
      <c r="D23" s="25">
        <v>2</v>
      </c>
      <c r="E23" s="130"/>
      <c r="F23" s="224" t="s">
        <v>316</v>
      </c>
      <c r="G23" s="41">
        <v>2.81</v>
      </c>
      <c r="H23" s="131"/>
      <c r="I23" s="35">
        <v>5.62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5.62</v>
      </c>
      <c r="P23" s="200">
        <f t="shared" si="6"/>
        <v>0</v>
      </c>
      <c r="Q23" s="35">
        <v>562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177</v>
      </c>
      <c r="D24" s="25">
        <v>1</v>
      </c>
      <c r="E24" s="130"/>
      <c r="F24" s="224" t="s">
        <v>42</v>
      </c>
      <c r="G24" s="41">
        <v>5.5</v>
      </c>
      <c r="H24" s="131"/>
      <c r="I24" s="35">
        <v>5.5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5.5</v>
      </c>
      <c r="P24" s="200">
        <f t="shared" si="6"/>
        <v>0</v>
      </c>
      <c r="Q24" s="35">
        <v>550</v>
      </c>
      <c r="R24" s="200">
        <f t="shared" si="7"/>
        <v>0</v>
      </c>
    </row>
    <row r="25" spans="1:18" x14ac:dyDescent="0.2">
      <c r="A25" s="25"/>
      <c r="B25" s="25" t="s">
        <v>1</v>
      </c>
      <c r="C25" s="25"/>
      <c r="D25" s="25"/>
      <c r="E25" s="25"/>
      <c r="F25" s="25"/>
      <c r="G25" s="25"/>
      <c r="H25" s="25"/>
      <c r="I25" s="25"/>
      <c r="J25" s="25"/>
      <c r="K25" s="223"/>
      <c r="L25" s="25"/>
      <c r="M25" s="25"/>
      <c r="N25" s="25"/>
      <c r="O25" s="25"/>
      <c r="P25" s="25"/>
      <c r="Q25" s="25"/>
      <c r="R25" s="25"/>
    </row>
    <row r="26" spans="1:18" x14ac:dyDescent="0.2">
      <c r="A26" s="25"/>
      <c r="B26" s="25" t="s">
        <v>458</v>
      </c>
      <c r="C26" s="25" t="s">
        <v>361</v>
      </c>
      <c r="D26" s="25">
        <v>20</v>
      </c>
      <c r="E26" s="130"/>
      <c r="F26" s="224" t="s">
        <v>82</v>
      </c>
      <c r="G26" s="41">
        <v>8.9</v>
      </c>
      <c r="H26" s="131"/>
      <c r="I26" s="35">
        <v>178</v>
      </c>
      <c r="J26" s="200">
        <f t="shared" si="4"/>
        <v>0</v>
      </c>
      <c r="K26" s="223">
        <v>0</v>
      </c>
      <c r="L26" s="212"/>
      <c r="M26" s="35">
        <v>0</v>
      </c>
      <c r="N26" s="200">
        <f t="shared" si="5"/>
        <v>0</v>
      </c>
      <c r="O26" s="35">
        <v>178</v>
      </c>
      <c r="P26" s="200">
        <f t="shared" si="6"/>
        <v>0</v>
      </c>
      <c r="Q26" s="35">
        <v>17800</v>
      </c>
      <c r="R26" s="200">
        <f t="shared" si="7"/>
        <v>0</v>
      </c>
    </row>
    <row r="27" spans="1:18" x14ac:dyDescent="0.2">
      <c r="A27" s="25"/>
      <c r="B27" s="131"/>
      <c r="C27" s="131"/>
      <c r="D27" s="25">
        <v>0</v>
      </c>
      <c r="E27" s="130"/>
      <c r="F27" s="224"/>
      <c r="G27" s="41">
        <v>0</v>
      </c>
      <c r="H27" s="131"/>
      <c r="I27" s="35">
        <v>0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0</v>
      </c>
      <c r="P27" s="200">
        <f t="shared" si="6"/>
        <v>0</v>
      </c>
      <c r="Q27" s="35">
        <v>0</v>
      </c>
      <c r="R27" s="200">
        <f t="shared" si="7"/>
        <v>0</v>
      </c>
    </row>
    <row r="28" spans="1:18" x14ac:dyDescent="0.2">
      <c r="A28" s="25"/>
      <c r="B28" s="131"/>
      <c r="C28" s="131"/>
      <c r="D28" s="25">
        <v>0</v>
      </c>
      <c r="E28" s="130"/>
      <c r="F28" s="224"/>
      <c r="G28" s="41">
        <v>0</v>
      </c>
      <c r="H28" s="131"/>
      <c r="I28" s="35">
        <v>0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0</v>
      </c>
      <c r="P28" s="200">
        <f t="shared" si="6"/>
        <v>0</v>
      </c>
      <c r="Q28" s="35">
        <v>0</v>
      </c>
      <c r="R28" s="200">
        <f t="shared" si="7"/>
        <v>0</v>
      </c>
    </row>
    <row r="29" spans="1:18" x14ac:dyDescent="0.2">
      <c r="A29" s="25"/>
      <c r="B29" s="131"/>
      <c r="C29" s="131"/>
      <c r="D29" s="25">
        <v>0</v>
      </c>
      <c r="E29" s="130"/>
      <c r="F29" s="224"/>
      <c r="G29" s="41">
        <v>0</v>
      </c>
      <c r="H29" s="131"/>
      <c r="I29" s="35">
        <v>0</v>
      </c>
      <c r="J29" s="200">
        <f>E29*H29</f>
        <v>0</v>
      </c>
      <c r="K29" s="223">
        <v>0</v>
      </c>
      <c r="L29" s="212"/>
      <c r="M29" s="35">
        <v>0</v>
      </c>
      <c r="N29" s="200">
        <f>J29*L29</f>
        <v>0</v>
      </c>
      <c r="O29" s="35">
        <v>0</v>
      </c>
      <c r="P29" s="200">
        <f>+J29-N29</f>
        <v>0</v>
      </c>
      <c r="Q29" s="35">
        <v>0</v>
      </c>
      <c r="R29" s="200">
        <f>+J29*E$7</f>
        <v>0</v>
      </c>
    </row>
    <row r="30" spans="1:18" x14ac:dyDescent="0.2">
      <c r="A30" s="25"/>
      <c r="B30" s="25" t="s">
        <v>45</v>
      </c>
      <c r="C30" s="25"/>
      <c r="D30" s="25"/>
      <c r="E30" s="207"/>
      <c r="F30" s="21"/>
      <c r="G30" s="41"/>
      <c r="H30" s="196"/>
      <c r="I30" s="184"/>
      <c r="J30" s="182"/>
      <c r="K30" s="223"/>
      <c r="L30" s="196"/>
      <c r="M30" s="35"/>
      <c r="N30" s="182"/>
      <c r="O30" s="35"/>
      <c r="P30" s="182"/>
      <c r="Q30" s="35"/>
      <c r="R30" s="182"/>
    </row>
    <row r="31" spans="1:18" x14ac:dyDescent="0.2">
      <c r="A31" s="25"/>
      <c r="B31" s="25"/>
      <c r="C31" s="25" t="s">
        <v>146</v>
      </c>
      <c r="D31" s="34">
        <v>6</v>
      </c>
      <c r="E31" s="130"/>
      <c r="F31" s="224" t="s">
        <v>142</v>
      </c>
      <c r="G31" s="41">
        <v>6.75</v>
      </c>
      <c r="H31" s="131"/>
      <c r="I31" s="35">
        <v>40.5</v>
      </c>
      <c r="J31" s="200">
        <f t="shared" ref="J31:J32" si="8">E31*H31</f>
        <v>0</v>
      </c>
      <c r="K31" s="223">
        <v>0</v>
      </c>
      <c r="L31" s="212"/>
      <c r="M31" s="35">
        <v>0</v>
      </c>
      <c r="N31" s="200">
        <f t="shared" ref="N31:N32" si="9">J31*L31</f>
        <v>0</v>
      </c>
      <c r="O31" s="35">
        <v>40.5</v>
      </c>
      <c r="P31" s="200">
        <f t="shared" ref="P31:P32" si="10">+J31-N31</f>
        <v>0</v>
      </c>
      <c r="Q31" s="35">
        <v>4050</v>
      </c>
      <c r="R31" s="200">
        <f t="shared" ref="R31:R32" si="11">+J31*E$7</f>
        <v>0</v>
      </c>
    </row>
    <row r="32" spans="1:18" x14ac:dyDescent="0.2">
      <c r="A32" s="25"/>
      <c r="B32" s="25"/>
      <c r="C32" s="25" t="s">
        <v>136</v>
      </c>
      <c r="D32" s="34">
        <v>0.51200000000000001</v>
      </c>
      <c r="E32" s="130"/>
      <c r="F32" s="224" t="s">
        <v>44</v>
      </c>
      <c r="G32" s="41">
        <v>15</v>
      </c>
      <c r="H32" s="131"/>
      <c r="I32" s="35">
        <v>7.68</v>
      </c>
      <c r="J32" s="200">
        <f t="shared" si="8"/>
        <v>0</v>
      </c>
      <c r="K32" s="223">
        <v>0</v>
      </c>
      <c r="L32" s="212"/>
      <c r="M32" s="35">
        <v>0</v>
      </c>
      <c r="N32" s="200">
        <f t="shared" si="9"/>
        <v>0</v>
      </c>
      <c r="O32" s="35">
        <v>7.68</v>
      </c>
      <c r="P32" s="200">
        <f t="shared" si="10"/>
        <v>0</v>
      </c>
      <c r="Q32" s="35">
        <v>768</v>
      </c>
      <c r="R32" s="200">
        <f t="shared" si="11"/>
        <v>0</v>
      </c>
    </row>
    <row r="33" spans="1:18" x14ac:dyDescent="0.2">
      <c r="A33" s="25"/>
      <c r="B33" s="25" t="s">
        <v>106</v>
      </c>
      <c r="C33" s="25"/>
      <c r="D33" s="25"/>
      <c r="E33" s="104"/>
      <c r="H33" s="104"/>
      <c r="I33" s="121"/>
      <c r="J33" s="104"/>
      <c r="K33" s="223"/>
      <c r="L33" s="104"/>
      <c r="N33" s="104"/>
      <c r="P33" s="104"/>
      <c r="R33" s="104"/>
    </row>
    <row r="34" spans="1:18" x14ac:dyDescent="0.2">
      <c r="A34" s="25"/>
      <c r="B34" s="25"/>
      <c r="C34" s="25" t="s">
        <v>103</v>
      </c>
      <c r="D34" s="25">
        <v>0.32</v>
      </c>
      <c r="E34" s="130"/>
      <c r="F34" s="224" t="s">
        <v>44</v>
      </c>
      <c r="G34" s="41">
        <v>15</v>
      </c>
      <c r="H34" s="131"/>
      <c r="I34" s="35">
        <v>4.8</v>
      </c>
      <c r="J34" s="200">
        <f>E34*H34</f>
        <v>0</v>
      </c>
      <c r="K34" s="223">
        <v>0</v>
      </c>
      <c r="L34" s="212"/>
      <c r="M34" s="35">
        <v>0</v>
      </c>
      <c r="N34" s="200">
        <f>J34*L34</f>
        <v>0</v>
      </c>
      <c r="O34" s="35">
        <v>4.8</v>
      </c>
      <c r="P34" s="200">
        <f>+J34-N34</f>
        <v>0</v>
      </c>
      <c r="Q34" s="35">
        <v>480</v>
      </c>
      <c r="R34" s="200">
        <f>+J34*E$7</f>
        <v>0</v>
      </c>
    </row>
    <row r="35" spans="1:18" x14ac:dyDescent="0.2">
      <c r="A35" s="25"/>
      <c r="B35" s="25"/>
      <c r="C35" s="25" t="s">
        <v>105</v>
      </c>
      <c r="D35" s="25">
        <v>0.35</v>
      </c>
      <c r="E35" s="130"/>
      <c r="F35" s="224" t="s">
        <v>44</v>
      </c>
      <c r="G35" s="41">
        <v>15</v>
      </c>
      <c r="H35" s="131"/>
      <c r="I35" s="35">
        <v>5.25</v>
      </c>
      <c r="J35" s="200">
        <f>E35*H35</f>
        <v>0</v>
      </c>
      <c r="K35" s="223">
        <v>0</v>
      </c>
      <c r="L35" s="212"/>
      <c r="M35" s="35">
        <v>0</v>
      </c>
      <c r="N35" s="200">
        <f>J35*L35</f>
        <v>0</v>
      </c>
      <c r="O35" s="35">
        <v>5.25</v>
      </c>
      <c r="P35" s="200">
        <f>+J35-N35</f>
        <v>0</v>
      </c>
      <c r="Q35" s="35">
        <v>525</v>
      </c>
      <c r="R35" s="200">
        <f>+J35*E$7</f>
        <v>0</v>
      </c>
    </row>
    <row r="36" spans="1:18" x14ac:dyDescent="0.2">
      <c r="A36" s="25"/>
      <c r="B36" s="25"/>
      <c r="C36" s="25"/>
      <c r="D36" s="25"/>
      <c r="E36" s="207"/>
      <c r="F36" s="21"/>
      <c r="G36" s="41"/>
      <c r="H36" s="196"/>
      <c r="I36" s="35"/>
      <c r="J36" s="182"/>
      <c r="K36" s="223"/>
      <c r="L36" s="196"/>
      <c r="M36" s="35"/>
      <c r="N36" s="182"/>
      <c r="O36" s="35"/>
      <c r="P36" s="182"/>
      <c r="Q36" s="35"/>
      <c r="R36" s="182"/>
    </row>
    <row r="37" spans="1:18" x14ac:dyDescent="0.2">
      <c r="A37" s="25"/>
      <c r="B37" s="25" t="s">
        <v>51</v>
      </c>
      <c r="C37" s="25"/>
      <c r="D37" s="25"/>
      <c r="E37" s="207"/>
      <c r="F37" s="21"/>
      <c r="G37" s="41"/>
      <c r="H37" s="196"/>
      <c r="I37" s="184"/>
      <c r="J37" s="182"/>
      <c r="K37" s="223"/>
      <c r="L37" s="196"/>
      <c r="M37" s="35"/>
      <c r="N37" s="182"/>
      <c r="O37" s="35"/>
      <c r="P37" s="182"/>
      <c r="Q37" s="35"/>
      <c r="R37" s="182"/>
    </row>
    <row r="38" spans="1:18" x14ac:dyDescent="0.2">
      <c r="A38" s="25"/>
      <c r="B38" s="25"/>
      <c r="C38" s="25" t="s">
        <v>102</v>
      </c>
      <c r="D38" s="25">
        <v>1</v>
      </c>
      <c r="E38" s="130"/>
      <c r="F38" s="224" t="s">
        <v>42</v>
      </c>
      <c r="G38" s="41">
        <v>0</v>
      </c>
      <c r="H38" s="131"/>
      <c r="I38" s="35">
        <v>0</v>
      </c>
      <c r="J38" s="200">
        <f>E38*H38</f>
        <v>0</v>
      </c>
      <c r="K38" s="223">
        <v>0</v>
      </c>
      <c r="L38" s="212"/>
      <c r="M38" s="35">
        <v>0</v>
      </c>
      <c r="N38" s="200">
        <f>J38*L38</f>
        <v>0</v>
      </c>
      <c r="O38" s="35">
        <v>0</v>
      </c>
      <c r="P38" s="200">
        <f>+J38-N38</f>
        <v>0</v>
      </c>
      <c r="Q38" s="35">
        <v>0</v>
      </c>
      <c r="R38" s="200">
        <f>+J38*E$7</f>
        <v>0</v>
      </c>
    </row>
    <row r="39" spans="1:18" x14ac:dyDescent="0.2">
      <c r="A39" s="25"/>
      <c r="B39" s="25"/>
      <c r="C39" s="25" t="s">
        <v>103</v>
      </c>
      <c r="D39" s="25">
        <v>2.16</v>
      </c>
      <c r="E39" s="130"/>
      <c r="F39" s="224" t="s">
        <v>79</v>
      </c>
      <c r="G39" s="41">
        <v>3.0190000000000001</v>
      </c>
      <c r="H39" s="131"/>
      <c r="I39" s="35">
        <v>6.5210400000000011</v>
      </c>
      <c r="J39" s="200">
        <f>E39*H39</f>
        <v>0</v>
      </c>
      <c r="K39" s="223">
        <v>0</v>
      </c>
      <c r="L39" s="212"/>
      <c r="M39" s="35">
        <v>0</v>
      </c>
      <c r="N39" s="200">
        <f>J39*L39</f>
        <v>0</v>
      </c>
      <c r="O39" s="35">
        <v>6.5210400000000011</v>
      </c>
      <c r="P39" s="200">
        <f>+J39-N39</f>
        <v>0</v>
      </c>
      <c r="Q39" s="35">
        <v>652.10400000000016</v>
      </c>
      <c r="R39" s="200">
        <f>+J39*E$7</f>
        <v>0</v>
      </c>
    </row>
    <row r="40" spans="1:18" x14ac:dyDescent="0.2">
      <c r="A40" s="25"/>
      <c r="B40" s="25"/>
      <c r="C40" s="25"/>
      <c r="D40" s="25"/>
      <c r="E40" s="207"/>
      <c r="F40" s="21"/>
      <c r="G40" s="41"/>
      <c r="H40" s="196"/>
      <c r="I40" s="35"/>
      <c r="J40" s="182"/>
      <c r="K40" s="223"/>
      <c r="L40" s="196"/>
      <c r="M40" s="35"/>
      <c r="N40" s="182"/>
      <c r="O40" s="35"/>
      <c r="P40" s="182"/>
      <c r="Q40" s="35"/>
      <c r="R40" s="182"/>
    </row>
    <row r="41" spans="1:18" x14ac:dyDescent="0.2">
      <c r="A41" s="25"/>
      <c r="B41" s="25" t="s">
        <v>29</v>
      </c>
      <c r="C41" s="25"/>
      <c r="D41" s="25"/>
      <c r="E41" s="207"/>
      <c r="F41" s="21"/>
      <c r="G41" s="41"/>
      <c r="H41" s="196"/>
      <c r="I41" s="184"/>
      <c r="J41" s="182"/>
      <c r="K41" s="223"/>
      <c r="L41" s="196"/>
      <c r="M41" s="35"/>
      <c r="N41" s="182"/>
      <c r="O41" s="35"/>
      <c r="P41" s="182"/>
      <c r="Q41" s="35"/>
      <c r="R41" s="182"/>
    </row>
    <row r="42" spans="1:18" x14ac:dyDescent="0.2">
      <c r="A42" s="25"/>
      <c r="B42" s="25"/>
      <c r="C42" s="25" t="s">
        <v>102</v>
      </c>
      <c r="D42" s="25">
        <v>1</v>
      </c>
      <c r="E42" s="130"/>
      <c r="F42" s="224" t="s">
        <v>42</v>
      </c>
      <c r="G42" s="41">
        <v>9</v>
      </c>
      <c r="H42" s="131"/>
      <c r="I42" s="35">
        <v>9</v>
      </c>
      <c r="J42" s="200">
        <f>E42*H42</f>
        <v>0</v>
      </c>
      <c r="K42" s="223">
        <v>0</v>
      </c>
      <c r="L42" s="212"/>
      <c r="M42" s="35">
        <v>0</v>
      </c>
      <c r="N42" s="200">
        <f>J42*L42</f>
        <v>0</v>
      </c>
      <c r="O42" s="35">
        <v>9</v>
      </c>
      <c r="P42" s="200">
        <f>+J42-N42</f>
        <v>0</v>
      </c>
      <c r="Q42" s="35">
        <v>900</v>
      </c>
      <c r="R42" s="200">
        <f>+J42*E$7</f>
        <v>0</v>
      </c>
    </row>
    <row r="43" spans="1:18" x14ac:dyDescent="0.2">
      <c r="A43" s="25"/>
      <c r="B43" s="25"/>
      <c r="C43" s="25" t="s">
        <v>103</v>
      </c>
      <c r="D43" s="25">
        <v>0</v>
      </c>
      <c r="E43" s="130"/>
      <c r="F43" s="224" t="s">
        <v>79</v>
      </c>
      <c r="G43" s="41">
        <v>3.09</v>
      </c>
      <c r="H43" s="131"/>
      <c r="I43" s="35">
        <v>0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0</v>
      </c>
      <c r="P43" s="200">
        <f>+J43-N43</f>
        <v>0</v>
      </c>
      <c r="Q43" s="35">
        <v>0</v>
      </c>
      <c r="R43" s="200">
        <f>+J43*E$7</f>
        <v>0</v>
      </c>
    </row>
    <row r="44" spans="1:18" x14ac:dyDescent="0.2">
      <c r="A44" s="25"/>
      <c r="B44" s="25"/>
      <c r="C44" s="25"/>
      <c r="D44" s="25"/>
      <c r="E44" s="207"/>
      <c r="F44" s="21"/>
      <c r="G44" s="41"/>
      <c r="H44" s="196"/>
      <c r="I44" s="35"/>
      <c r="J44" s="182"/>
      <c r="K44" s="223"/>
      <c r="L44" s="196"/>
      <c r="M44" s="35"/>
      <c r="N44" s="182"/>
      <c r="O44" s="35"/>
      <c r="P44" s="182"/>
      <c r="Q44" s="35"/>
      <c r="R44" s="182"/>
    </row>
    <row r="45" spans="1:18" x14ac:dyDescent="0.2">
      <c r="A45" s="25"/>
      <c r="B45" s="25" t="s">
        <v>47</v>
      </c>
      <c r="C45" s="25"/>
      <c r="D45" s="25"/>
      <c r="E45" s="207"/>
      <c r="F45" s="21"/>
      <c r="G45" s="41"/>
      <c r="H45" s="197"/>
      <c r="I45" s="184"/>
      <c r="J45" s="182"/>
      <c r="K45" s="223"/>
      <c r="L45" s="197"/>
      <c r="M45" s="35"/>
      <c r="N45" s="182"/>
      <c r="O45" s="35"/>
      <c r="P45" s="182"/>
      <c r="Q45" s="35"/>
      <c r="R45" s="182"/>
    </row>
    <row r="46" spans="1:18" x14ac:dyDescent="0.2">
      <c r="A46" s="25"/>
      <c r="B46" s="25"/>
      <c r="C46" s="25" t="s">
        <v>102</v>
      </c>
      <c r="D46" s="25">
        <v>1</v>
      </c>
      <c r="E46" s="130"/>
      <c r="F46" s="224" t="s">
        <v>42</v>
      </c>
      <c r="G46" s="41">
        <v>3</v>
      </c>
      <c r="H46" s="131"/>
      <c r="I46" s="35">
        <v>3</v>
      </c>
      <c r="J46" s="200">
        <f t="shared" ref="J46:J51" si="12">E46*H46</f>
        <v>0</v>
      </c>
      <c r="K46" s="223">
        <v>0</v>
      </c>
      <c r="L46" s="212"/>
      <c r="M46" s="35">
        <v>0</v>
      </c>
      <c r="N46" s="200">
        <f t="shared" ref="N46:N51" si="13">J46*L46</f>
        <v>0</v>
      </c>
      <c r="O46" s="35">
        <v>3</v>
      </c>
      <c r="P46" s="200">
        <f t="shared" ref="P46:P51" si="14">+J46-N46</f>
        <v>0</v>
      </c>
      <c r="Q46" s="35">
        <v>300</v>
      </c>
      <c r="R46" s="200">
        <f t="shared" ref="R46:R51" si="15">+J46*E$7</f>
        <v>0</v>
      </c>
    </row>
    <row r="47" spans="1:18" x14ac:dyDescent="0.2">
      <c r="A47" s="25"/>
      <c r="B47" s="25"/>
      <c r="C47" s="25" t="s">
        <v>46</v>
      </c>
      <c r="D47" s="25">
        <v>1</v>
      </c>
      <c r="E47" s="130"/>
      <c r="F47" s="224" t="s">
        <v>42</v>
      </c>
      <c r="G47" s="41">
        <v>10.0002</v>
      </c>
      <c r="H47" s="131"/>
      <c r="I47" s="35">
        <v>10.0002</v>
      </c>
      <c r="J47" s="200">
        <f t="shared" si="12"/>
        <v>0</v>
      </c>
      <c r="K47" s="223">
        <v>0</v>
      </c>
      <c r="L47" s="212"/>
      <c r="M47" s="35">
        <v>0</v>
      </c>
      <c r="N47" s="200">
        <f t="shared" si="13"/>
        <v>0</v>
      </c>
      <c r="O47" s="35">
        <v>10.0002</v>
      </c>
      <c r="P47" s="200">
        <f t="shared" si="14"/>
        <v>0</v>
      </c>
      <c r="Q47" s="35">
        <v>1000.02</v>
      </c>
      <c r="R47" s="200">
        <f t="shared" si="15"/>
        <v>0</v>
      </c>
    </row>
    <row r="48" spans="1:18" x14ac:dyDescent="0.2">
      <c r="A48" s="25"/>
      <c r="B48" s="25"/>
      <c r="C48" s="25" t="s">
        <v>103</v>
      </c>
      <c r="D48" s="25">
        <v>1</v>
      </c>
      <c r="E48" s="130"/>
      <c r="F48" s="224" t="s">
        <v>42</v>
      </c>
      <c r="G48" s="41">
        <v>4.435284410969901</v>
      </c>
      <c r="H48" s="131"/>
      <c r="I48" s="35">
        <v>4.435284410969901</v>
      </c>
      <c r="J48" s="200">
        <f t="shared" si="12"/>
        <v>0</v>
      </c>
      <c r="K48" s="223">
        <v>0</v>
      </c>
      <c r="L48" s="212"/>
      <c r="M48" s="35">
        <v>0</v>
      </c>
      <c r="N48" s="200">
        <f t="shared" si="13"/>
        <v>0</v>
      </c>
      <c r="O48" s="35">
        <v>4.435284410969901</v>
      </c>
      <c r="P48" s="200">
        <f t="shared" si="14"/>
        <v>0</v>
      </c>
      <c r="Q48" s="35">
        <v>443.52844109699009</v>
      </c>
      <c r="R48" s="200">
        <f t="shared" si="15"/>
        <v>0</v>
      </c>
    </row>
    <row r="49" spans="1:18" x14ac:dyDescent="0.2">
      <c r="A49" s="25"/>
      <c r="B49" s="25"/>
      <c r="C49" s="25" t="s">
        <v>5</v>
      </c>
      <c r="D49" s="25">
        <v>1</v>
      </c>
      <c r="E49" s="130"/>
      <c r="F49" s="224" t="s">
        <v>42</v>
      </c>
      <c r="G49" s="41">
        <v>4.6024193482456441</v>
      </c>
      <c r="H49" s="131"/>
      <c r="I49" s="35">
        <v>4.6024193482456441</v>
      </c>
      <c r="J49" s="200">
        <f t="shared" si="12"/>
        <v>0</v>
      </c>
      <c r="K49" s="223">
        <v>0</v>
      </c>
      <c r="L49" s="212"/>
      <c r="M49" s="35">
        <v>0</v>
      </c>
      <c r="N49" s="200">
        <f t="shared" si="13"/>
        <v>0</v>
      </c>
      <c r="O49" s="35">
        <v>4.6024193482456441</v>
      </c>
      <c r="P49" s="200">
        <f t="shared" si="14"/>
        <v>0</v>
      </c>
      <c r="Q49" s="35">
        <v>460.2419348245644</v>
      </c>
      <c r="R49" s="200">
        <f t="shared" si="15"/>
        <v>0</v>
      </c>
    </row>
    <row r="50" spans="1:18" x14ac:dyDescent="0.2">
      <c r="A50" s="25"/>
      <c r="B50" s="131"/>
      <c r="C50" s="131"/>
      <c r="D50" s="25"/>
      <c r="E50" s="130"/>
      <c r="F50" s="224"/>
      <c r="G50" s="41"/>
      <c r="H50" s="131"/>
      <c r="I50" s="35">
        <v>0</v>
      </c>
      <c r="J50" s="200">
        <f t="shared" si="12"/>
        <v>0</v>
      </c>
      <c r="K50" s="223">
        <v>0</v>
      </c>
      <c r="L50" s="212"/>
      <c r="M50" s="35">
        <v>0</v>
      </c>
      <c r="N50" s="200">
        <f t="shared" si="13"/>
        <v>0</v>
      </c>
      <c r="O50" s="35">
        <v>0</v>
      </c>
      <c r="P50" s="200">
        <f t="shared" si="14"/>
        <v>0</v>
      </c>
      <c r="Q50" s="35">
        <v>0</v>
      </c>
      <c r="R50" s="200">
        <f t="shared" si="15"/>
        <v>0</v>
      </c>
    </row>
    <row r="51" spans="1:18" x14ac:dyDescent="0.2">
      <c r="A51" s="25"/>
      <c r="B51" s="131"/>
      <c r="C51" s="131"/>
      <c r="D51" s="25"/>
      <c r="E51" s="130"/>
      <c r="F51" s="224"/>
      <c r="G51" s="41"/>
      <c r="H51" s="131"/>
      <c r="I51" s="35">
        <v>0</v>
      </c>
      <c r="J51" s="200">
        <f t="shared" si="12"/>
        <v>0</v>
      </c>
      <c r="K51" s="223">
        <v>0</v>
      </c>
      <c r="L51" s="212"/>
      <c r="M51" s="35">
        <v>0</v>
      </c>
      <c r="N51" s="200">
        <f t="shared" si="13"/>
        <v>0</v>
      </c>
      <c r="O51" s="35">
        <v>0</v>
      </c>
      <c r="P51" s="200">
        <f t="shared" si="14"/>
        <v>0</v>
      </c>
      <c r="Q51" s="35">
        <v>0</v>
      </c>
      <c r="R51" s="200">
        <f t="shared" si="15"/>
        <v>0</v>
      </c>
    </row>
    <row r="52" spans="1:18" ht="13.5" thickBot="1" x14ac:dyDescent="0.25">
      <c r="A52" s="25"/>
      <c r="B52" s="25" t="s">
        <v>32</v>
      </c>
      <c r="C52" s="25"/>
      <c r="D52" s="25"/>
      <c r="E52" s="195"/>
      <c r="F52" s="21"/>
      <c r="G52" s="39">
        <v>0.09</v>
      </c>
      <c r="H52" s="213"/>
      <c r="I52" s="42">
        <v>4.9875458818345511</v>
      </c>
      <c r="J52" s="200">
        <f>+SUM(J17:J51)/2*H52</f>
        <v>0</v>
      </c>
      <c r="K52" s="86"/>
      <c r="L52" s="135"/>
      <c r="M52" s="42">
        <v>0</v>
      </c>
      <c r="N52" s="200">
        <f>+SUM(N17:N51)/2*L52</f>
        <v>0</v>
      </c>
      <c r="O52" s="42">
        <v>4.9875458818345511</v>
      </c>
      <c r="P52" s="200">
        <f>+SUM(P17:P51)/2*L52</f>
        <v>0</v>
      </c>
      <c r="Q52" s="42">
        <v>498.7545881834551</v>
      </c>
      <c r="R52" s="182">
        <f>+J52*E$7</f>
        <v>0</v>
      </c>
    </row>
    <row r="53" spans="1:18" ht="13.5" thickBot="1" x14ac:dyDescent="0.25">
      <c r="A53" s="25" t="s">
        <v>33</v>
      </c>
      <c r="B53" s="25"/>
      <c r="C53" s="25"/>
      <c r="D53" s="25"/>
      <c r="E53" s="198"/>
      <c r="F53" s="25"/>
      <c r="G53" s="25"/>
      <c r="H53" s="195"/>
      <c r="I53" s="87">
        <v>378.34328964105015</v>
      </c>
      <c r="J53" s="202">
        <f>SUM(J18:J52)</f>
        <v>0</v>
      </c>
      <c r="K53" s="35"/>
      <c r="L53" s="193"/>
      <c r="M53" s="87">
        <v>0</v>
      </c>
      <c r="N53" s="202">
        <f>SUM(N18:N52)</f>
        <v>0</v>
      </c>
      <c r="O53" s="87">
        <v>378.34328964105015</v>
      </c>
      <c r="P53" s="202">
        <f>SUM(P18:P52)</f>
        <v>0</v>
      </c>
      <c r="Q53" s="87">
        <v>37834.328964105007</v>
      </c>
      <c r="R53" s="202">
        <f>SUM(R18:R52)</f>
        <v>0</v>
      </c>
    </row>
    <row r="54" spans="1:18" ht="13.5" thickTop="1" x14ac:dyDescent="0.2">
      <c r="A54" s="25" t="s">
        <v>34</v>
      </c>
      <c r="B54" s="25"/>
      <c r="C54" s="25"/>
      <c r="D54" s="25"/>
      <c r="E54" s="198"/>
      <c r="F54" s="25"/>
      <c r="G54" s="25"/>
      <c r="H54" s="195"/>
      <c r="I54" s="35">
        <v>-378.34328964105015</v>
      </c>
      <c r="J54" s="200">
        <f>+J13-J53</f>
        <v>0</v>
      </c>
      <c r="K54" s="35"/>
      <c r="L54" s="193"/>
      <c r="M54" s="35">
        <v>0</v>
      </c>
      <c r="N54" s="200">
        <f>+N13-N53</f>
        <v>0</v>
      </c>
      <c r="O54" s="35">
        <v>-378.34328964105015</v>
      </c>
      <c r="P54" s="200">
        <f>+P13-P53</f>
        <v>0</v>
      </c>
      <c r="Q54" s="35">
        <v>-37834.328964105007</v>
      </c>
      <c r="R54" s="200">
        <f>+R13-R53</f>
        <v>0</v>
      </c>
    </row>
    <row r="55" spans="1:18" x14ac:dyDescent="0.2">
      <c r="A55" s="25"/>
      <c r="B55" s="25" t="s">
        <v>35</v>
      </c>
      <c r="C55" s="25"/>
      <c r="D55" s="25"/>
      <c r="E55" s="208"/>
      <c r="F55" s="17"/>
      <c r="G55" s="40" t="s">
        <v>308</v>
      </c>
      <c r="H55" s="208" t="str">
        <f>IF(E10=0,"n/a",(YVarExp-(YTotExp+YTotRet-J10))/E10)</f>
        <v>n/a</v>
      </c>
      <c r="I55" s="25" t="s">
        <v>458</v>
      </c>
      <c r="J55" s="182"/>
      <c r="K55" s="25"/>
      <c r="L55" s="195"/>
      <c r="M55" s="25"/>
      <c r="N55" s="182"/>
      <c r="O55" s="25"/>
      <c r="P55" s="182"/>
      <c r="Q55" s="25"/>
      <c r="R55" s="182"/>
    </row>
    <row r="56" spans="1:18" x14ac:dyDescent="0.2">
      <c r="A56" s="25"/>
      <c r="B56" s="25"/>
      <c r="C56" s="25"/>
      <c r="D56" s="25"/>
      <c r="E56" s="176"/>
      <c r="F56" s="25"/>
      <c r="G56" s="25"/>
      <c r="H56" s="209"/>
      <c r="I56" s="25"/>
      <c r="J56" s="182"/>
      <c r="K56" s="25"/>
      <c r="L56" s="195"/>
      <c r="M56" s="25"/>
      <c r="N56" s="182"/>
      <c r="O56" s="25"/>
      <c r="P56" s="182"/>
      <c r="Q56" s="22" t="s">
        <v>19</v>
      </c>
      <c r="R56" s="182" t="s">
        <v>19</v>
      </c>
    </row>
    <row r="57" spans="1:18" x14ac:dyDescent="0.2">
      <c r="A57" s="23" t="s">
        <v>36</v>
      </c>
      <c r="B57" s="23"/>
      <c r="C57" s="23"/>
      <c r="D57" s="24" t="s">
        <v>2</v>
      </c>
      <c r="E57" s="194" t="s">
        <v>2</v>
      </c>
      <c r="F57" s="24" t="s">
        <v>21</v>
      </c>
      <c r="G57" s="24" t="s">
        <v>22</v>
      </c>
      <c r="H57" s="194" t="s">
        <v>22</v>
      </c>
      <c r="I57" s="24" t="s">
        <v>12</v>
      </c>
      <c r="J57" s="194" t="s">
        <v>12</v>
      </c>
      <c r="K57" s="24" t="s">
        <v>11</v>
      </c>
      <c r="L57" s="194" t="s">
        <v>11</v>
      </c>
      <c r="M57" s="24" t="s">
        <v>10</v>
      </c>
      <c r="N57" s="194" t="s">
        <v>10</v>
      </c>
      <c r="O57" s="24" t="s">
        <v>9</v>
      </c>
      <c r="P57" s="194" t="s">
        <v>9</v>
      </c>
      <c r="Q57" s="24" t="s">
        <v>12</v>
      </c>
      <c r="R57" s="206" t="s">
        <v>12</v>
      </c>
    </row>
    <row r="58" spans="1:18" x14ac:dyDescent="0.2">
      <c r="A58" s="25"/>
      <c r="B58" s="25" t="s">
        <v>104</v>
      </c>
      <c r="C58" s="25"/>
      <c r="D58" s="25"/>
      <c r="E58" s="176"/>
      <c r="F58" s="25"/>
      <c r="G58" s="25"/>
      <c r="H58" s="209"/>
      <c r="I58" s="184"/>
      <c r="J58" s="182"/>
      <c r="K58" s="223"/>
      <c r="L58" s="195"/>
      <c r="M58" s="25"/>
      <c r="N58" s="182"/>
      <c r="O58" s="25"/>
      <c r="P58" s="182"/>
      <c r="Q58" s="25"/>
      <c r="R58" s="182"/>
    </row>
    <row r="59" spans="1:18" x14ac:dyDescent="0.2">
      <c r="A59" s="25"/>
      <c r="B59" s="25"/>
      <c r="C59" s="25" t="s">
        <v>102</v>
      </c>
      <c r="D59" s="25">
        <v>1</v>
      </c>
      <c r="E59" s="130"/>
      <c r="F59" s="224" t="s">
        <v>42</v>
      </c>
      <c r="G59" s="41">
        <v>4.165</v>
      </c>
      <c r="H59" s="131"/>
      <c r="I59" s="35">
        <v>4.165</v>
      </c>
      <c r="J59" s="200">
        <f t="shared" ref="J59:J62" si="16">E59*H59</f>
        <v>0</v>
      </c>
      <c r="K59" s="223">
        <v>0</v>
      </c>
      <c r="L59" s="212"/>
      <c r="M59" s="35">
        <v>0</v>
      </c>
      <c r="N59" s="200">
        <f>J59*L59</f>
        <v>0</v>
      </c>
      <c r="O59" s="35">
        <v>4.165</v>
      </c>
      <c r="P59" s="200">
        <f t="shared" ref="P59:P62" si="17">+J59-N59</f>
        <v>0</v>
      </c>
      <c r="Q59" s="35">
        <v>416.5</v>
      </c>
      <c r="R59" s="200">
        <f t="shared" ref="R59:R62" si="18">+J59*E$7</f>
        <v>0</v>
      </c>
    </row>
    <row r="60" spans="1:18" x14ac:dyDescent="0.2">
      <c r="A60" s="25"/>
      <c r="B60" s="25"/>
      <c r="C60" s="25" t="s">
        <v>46</v>
      </c>
      <c r="D60" s="25">
        <v>1</v>
      </c>
      <c r="E60" s="130"/>
      <c r="F60" s="224" t="s">
        <v>42</v>
      </c>
      <c r="G60" s="41">
        <v>9</v>
      </c>
      <c r="H60" s="131"/>
      <c r="I60" s="35">
        <v>9</v>
      </c>
      <c r="J60" s="200">
        <f t="shared" si="16"/>
        <v>0</v>
      </c>
      <c r="K60" s="223">
        <v>0</v>
      </c>
      <c r="L60" s="212"/>
      <c r="M60" s="35">
        <v>0</v>
      </c>
      <c r="N60" s="200">
        <f>J60*L60</f>
        <v>0</v>
      </c>
      <c r="O60" s="35">
        <v>9</v>
      </c>
      <c r="P60" s="200">
        <f t="shared" si="17"/>
        <v>0</v>
      </c>
      <c r="Q60" s="35">
        <v>900</v>
      </c>
      <c r="R60" s="200">
        <f t="shared" si="18"/>
        <v>0</v>
      </c>
    </row>
    <row r="61" spans="1:18" x14ac:dyDescent="0.2">
      <c r="A61" s="25"/>
      <c r="B61" s="25"/>
      <c r="C61" s="25" t="s">
        <v>103</v>
      </c>
      <c r="D61" s="25">
        <v>1</v>
      </c>
      <c r="E61" s="130"/>
      <c r="F61" s="224" t="s">
        <v>42</v>
      </c>
      <c r="G61" s="41">
        <v>4.5831272246688979</v>
      </c>
      <c r="H61" s="131"/>
      <c r="I61" s="35">
        <v>4.5831272246688979</v>
      </c>
      <c r="J61" s="200">
        <f t="shared" si="16"/>
        <v>0</v>
      </c>
      <c r="K61" s="223">
        <v>0</v>
      </c>
      <c r="L61" s="212"/>
      <c r="M61" s="35">
        <v>0</v>
      </c>
      <c r="N61" s="200">
        <f>J61*L61</f>
        <v>0</v>
      </c>
      <c r="O61" s="35">
        <v>4.5831272246688979</v>
      </c>
      <c r="P61" s="200">
        <f t="shared" si="17"/>
        <v>0</v>
      </c>
      <c r="Q61" s="35">
        <v>458.3127224668898</v>
      </c>
      <c r="R61" s="200">
        <f t="shared" si="18"/>
        <v>0</v>
      </c>
    </row>
    <row r="62" spans="1:18" x14ac:dyDescent="0.2">
      <c r="A62" s="25"/>
      <c r="B62" s="25"/>
      <c r="C62" s="25" t="s">
        <v>5</v>
      </c>
      <c r="D62" s="25">
        <v>1</v>
      </c>
      <c r="E62" s="130"/>
      <c r="F62" s="224" t="s">
        <v>42</v>
      </c>
      <c r="G62" s="41">
        <v>5.6903680460251174</v>
      </c>
      <c r="H62" s="131"/>
      <c r="I62" s="35">
        <v>5.6903680460251174</v>
      </c>
      <c r="J62" s="200">
        <f t="shared" si="16"/>
        <v>0</v>
      </c>
      <c r="K62" s="223">
        <v>0</v>
      </c>
      <c r="L62" s="212"/>
      <c r="M62" s="35">
        <v>0</v>
      </c>
      <c r="N62" s="200">
        <f>J62*L62</f>
        <v>0</v>
      </c>
      <c r="O62" s="35">
        <v>5.6903680460251174</v>
      </c>
      <c r="P62" s="200">
        <f t="shared" si="17"/>
        <v>0</v>
      </c>
      <c r="Q62" s="35">
        <v>569.03680460251178</v>
      </c>
      <c r="R62" s="200">
        <f t="shared" si="18"/>
        <v>0</v>
      </c>
    </row>
    <row r="63" spans="1:18" x14ac:dyDescent="0.2">
      <c r="A63" s="25"/>
      <c r="B63" s="25" t="s">
        <v>88</v>
      </c>
      <c r="C63" s="25"/>
      <c r="D63" s="25"/>
      <c r="E63" s="195"/>
      <c r="F63" s="21"/>
      <c r="G63" s="41"/>
      <c r="H63" s="195"/>
      <c r="I63" s="184"/>
      <c r="J63" s="182"/>
      <c r="K63" s="223"/>
      <c r="L63" s="195"/>
      <c r="M63" s="35"/>
      <c r="N63" s="182"/>
      <c r="O63" s="35"/>
      <c r="P63" s="182"/>
      <c r="Q63" s="35"/>
      <c r="R63" s="182"/>
    </row>
    <row r="64" spans="1:18" x14ac:dyDescent="0.2">
      <c r="A64" s="25"/>
      <c r="B64" s="25"/>
      <c r="C64" s="25" t="s">
        <v>102</v>
      </c>
      <c r="D64" s="41">
        <v>29.175000000000001</v>
      </c>
      <c r="E64" s="130"/>
      <c r="F64" s="224" t="s">
        <v>99</v>
      </c>
      <c r="G64" s="39">
        <v>0.08</v>
      </c>
      <c r="H64" s="213"/>
      <c r="I64" s="35">
        <v>2.3340000000000001</v>
      </c>
      <c r="J64" s="200">
        <f t="shared" ref="J64:J74" si="19">E64*H64</f>
        <v>0</v>
      </c>
      <c r="K64" s="223">
        <v>0</v>
      </c>
      <c r="L64" s="212"/>
      <c r="M64" s="35">
        <v>0</v>
      </c>
      <c r="N64" s="200">
        <f>J64*L64</f>
        <v>0</v>
      </c>
      <c r="O64" s="35">
        <v>2.3340000000000001</v>
      </c>
      <c r="P64" s="200">
        <f t="shared" ref="P64:P67" si="20">+J64-N64</f>
        <v>0</v>
      </c>
      <c r="Q64" s="35">
        <v>233.4</v>
      </c>
      <c r="R64" s="200">
        <f t="shared" ref="R64:R67" si="21">+J64*E$7</f>
        <v>0</v>
      </c>
    </row>
    <row r="65" spans="1:18" x14ac:dyDescent="0.2">
      <c r="A65" s="25"/>
      <c r="B65" s="25"/>
      <c r="C65" s="25" t="s">
        <v>46</v>
      </c>
      <c r="D65" s="41">
        <v>262.5</v>
      </c>
      <c r="E65" s="130"/>
      <c r="F65" s="224" t="s">
        <v>99</v>
      </c>
      <c r="G65" s="39">
        <v>0.08</v>
      </c>
      <c r="H65" s="213"/>
      <c r="I65" s="35">
        <v>21</v>
      </c>
      <c r="J65" s="200">
        <f t="shared" si="19"/>
        <v>0</v>
      </c>
      <c r="K65" s="223">
        <v>0</v>
      </c>
      <c r="L65" s="212"/>
      <c r="M65" s="35">
        <v>0</v>
      </c>
      <c r="N65" s="200">
        <f>J65*L65</f>
        <v>0</v>
      </c>
      <c r="O65" s="35">
        <v>21</v>
      </c>
      <c r="P65" s="200">
        <f t="shared" si="20"/>
        <v>0</v>
      </c>
      <c r="Q65" s="35">
        <v>2100</v>
      </c>
      <c r="R65" s="200">
        <f t="shared" si="21"/>
        <v>0</v>
      </c>
    </row>
    <row r="66" spans="1:18" x14ac:dyDescent="0.2">
      <c r="A66" s="25"/>
      <c r="B66" s="25"/>
      <c r="C66" s="25" t="s">
        <v>103</v>
      </c>
      <c r="D66" s="41">
        <v>35.704039508307702</v>
      </c>
      <c r="E66" s="130"/>
      <c r="F66" s="224" t="s">
        <v>99</v>
      </c>
      <c r="G66" s="39">
        <v>0.08</v>
      </c>
      <c r="H66" s="213"/>
      <c r="I66" s="35">
        <v>2.856323160664616</v>
      </c>
      <c r="J66" s="200">
        <f t="shared" si="19"/>
        <v>0</v>
      </c>
      <c r="K66" s="223">
        <v>0</v>
      </c>
      <c r="L66" s="212"/>
      <c r="M66" s="35">
        <v>0</v>
      </c>
      <c r="N66" s="200">
        <f>J66*L66</f>
        <v>0</v>
      </c>
      <c r="O66" s="35">
        <v>2.856323160664616</v>
      </c>
      <c r="P66" s="200">
        <f t="shared" si="20"/>
        <v>0</v>
      </c>
      <c r="Q66" s="35">
        <v>285.63231606646161</v>
      </c>
      <c r="R66" s="200">
        <f t="shared" si="21"/>
        <v>0</v>
      </c>
    </row>
    <row r="67" spans="1:18" x14ac:dyDescent="0.2">
      <c r="A67" s="25"/>
      <c r="B67" s="25"/>
      <c r="C67" s="25" t="s">
        <v>5</v>
      </c>
      <c r="D67" s="41">
        <v>24.342129974663006</v>
      </c>
      <c r="E67" s="130"/>
      <c r="F67" s="224" t="s">
        <v>99</v>
      </c>
      <c r="G67" s="39">
        <v>0.08</v>
      </c>
      <c r="H67" s="213"/>
      <c r="I67" s="35">
        <v>1.9473703979730406</v>
      </c>
      <c r="J67" s="200">
        <f t="shared" si="19"/>
        <v>0</v>
      </c>
      <c r="K67" s="223">
        <v>0</v>
      </c>
      <c r="L67" s="212"/>
      <c r="M67" s="35">
        <v>0</v>
      </c>
      <c r="N67" s="200">
        <f>J67*L67</f>
        <v>0</v>
      </c>
      <c r="O67" s="35">
        <v>1.9473703979730406</v>
      </c>
      <c r="P67" s="200">
        <f t="shared" si="20"/>
        <v>0</v>
      </c>
      <c r="Q67" s="35">
        <v>194.73703979730405</v>
      </c>
      <c r="R67" s="200">
        <f t="shared" si="21"/>
        <v>0</v>
      </c>
    </row>
    <row r="68" spans="1:18" x14ac:dyDescent="0.2">
      <c r="A68" s="25"/>
      <c r="B68" s="25" t="s">
        <v>156</v>
      </c>
      <c r="C68" s="25"/>
      <c r="D68" s="25">
        <v>1</v>
      </c>
      <c r="E68" s="130"/>
      <c r="F68" s="224" t="s">
        <v>42</v>
      </c>
      <c r="G68" s="41">
        <v>0</v>
      </c>
      <c r="H68" s="131"/>
      <c r="I68" s="35">
        <v>0</v>
      </c>
      <c r="J68" s="200">
        <f t="shared" si="19"/>
        <v>0</v>
      </c>
      <c r="K68" s="223">
        <v>0</v>
      </c>
      <c r="L68" s="212"/>
      <c r="M68" s="35">
        <v>0</v>
      </c>
      <c r="N68" s="200">
        <f t="shared" ref="N68:N75" si="22">J68*L68</f>
        <v>0</v>
      </c>
      <c r="O68" s="35">
        <v>0</v>
      </c>
      <c r="P68" s="200">
        <f t="shared" ref="P68:P75" si="23">+J68-N68</f>
        <v>0</v>
      </c>
      <c r="Q68" s="35">
        <v>0</v>
      </c>
      <c r="R68" s="200">
        <f t="shared" ref="R68:R75" si="24">+J68*E$7</f>
        <v>0</v>
      </c>
    </row>
    <row r="69" spans="1:18" x14ac:dyDescent="0.2">
      <c r="A69" s="25"/>
      <c r="B69" s="25" t="s">
        <v>152</v>
      </c>
      <c r="C69" s="25"/>
      <c r="D69" s="25">
        <v>1</v>
      </c>
      <c r="E69" s="130"/>
      <c r="F69" s="224" t="s">
        <v>42</v>
      </c>
      <c r="G69" s="41">
        <v>0</v>
      </c>
      <c r="H69" s="131"/>
      <c r="I69" s="35">
        <v>0</v>
      </c>
      <c r="J69" s="200">
        <f t="shared" si="19"/>
        <v>0</v>
      </c>
      <c r="K69" s="223">
        <v>0</v>
      </c>
      <c r="L69" s="212"/>
      <c r="M69" s="35">
        <v>0</v>
      </c>
      <c r="N69" s="200">
        <f t="shared" si="22"/>
        <v>0</v>
      </c>
      <c r="O69" s="35">
        <v>0</v>
      </c>
      <c r="P69" s="200">
        <f t="shared" si="23"/>
        <v>0</v>
      </c>
      <c r="Q69" s="35">
        <v>0</v>
      </c>
      <c r="R69" s="200">
        <f t="shared" si="24"/>
        <v>0</v>
      </c>
    </row>
    <row r="70" spans="1:18" x14ac:dyDescent="0.2">
      <c r="A70" s="25"/>
      <c r="B70" s="25" t="s">
        <v>137</v>
      </c>
      <c r="C70" s="25"/>
      <c r="D70" s="25">
        <v>1</v>
      </c>
      <c r="E70" s="130"/>
      <c r="F70" s="224" t="s">
        <v>42</v>
      </c>
      <c r="G70" s="41">
        <v>0</v>
      </c>
      <c r="H70" s="131"/>
      <c r="I70" s="35">
        <v>0</v>
      </c>
      <c r="J70" s="200">
        <f t="shared" si="19"/>
        <v>0</v>
      </c>
      <c r="K70" s="223">
        <v>0</v>
      </c>
      <c r="L70" s="212"/>
      <c r="M70" s="35">
        <v>0</v>
      </c>
      <c r="N70" s="200">
        <f t="shared" si="22"/>
        <v>0</v>
      </c>
      <c r="O70" s="35">
        <v>0</v>
      </c>
      <c r="P70" s="200">
        <f t="shared" si="23"/>
        <v>0</v>
      </c>
      <c r="Q70" s="35">
        <v>0</v>
      </c>
      <c r="R70" s="200">
        <f t="shared" si="24"/>
        <v>0</v>
      </c>
    </row>
    <row r="71" spans="1:18" x14ac:dyDescent="0.2">
      <c r="A71" s="25"/>
      <c r="B71" s="25" t="s">
        <v>416</v>
      </c>
      <c r="C71" s="25"/>
      <c r="D71" s="25">
        <v>1</v>
      </c>
      <c r="E71" s="130"/>
      <c r="F71" s="224" t="s">
        <v>42</v>
      </c>
      <c r="G71" s="41">
        <v>90</v>
      </c>
      <c r="H71" s="131"/>
      <c r="I71" s="35">
        <v>90</v>
      </c>
      <c r="J71" s="200">
        <f t="shared" si="19"/>
        <v>0</v>
      </c>
      <c r="K71" s="223">
        <v>0</v>
      </c>
      <c r="L71" s="212"/>
      <c r="M71" s="35">
        <v>0</v>
      </c>
      <c r="N71" s="200">
        <f t="shared" si="22"/>
        <v>0</v>
      </c>
      <c r="O71" s="35">
        <v>90</v>
      </c>
      <c r="P71" s="200">
        <f t="shared" si="23"/>
        <v>0</v>
      </c>
      <c r="Q71" s="35">
        <v>9000</v>
      </c>
      <c r="R71" s="200">
        <f t="shared" si="24"/>
        <v>0</v>
      </c>
    </row>
    <row r="72" spans="1:18" x14ac:dyDescent="0.2">
      <c r="A72" s="25"/>
      <c r="B72" s="25" t="s">
        <v>159</v>
      </c>
      <c r="C72" s="25"/>
      <c r="D72" s="25">
        <v>1</v>
      </c>
      <c r="E72" s="130"/>
      <c r="F72" s="224" t="s">
        <v>42</v>
      </c>
      <c r="G72" s="41">
        <v>0</v>
      </c>
      <c r="H72" s="131"/>
      <c r="I72" s="35">
        <v>0</v>
      </c>
      <c r="J72" s="200">
        <f t="shared" si="19"/>
        <v>0</v>
      </c>
      <c r="K72" s="223">
        <v>0</v>
      </c>
      <c r="L72" s="212"/>
      <c r="M72" s="35">
        <v>0</v>
      </c>
      <c r="N72" s="200">
        <f t="shared" si="22"/>
        <v>0</v>
      </c>
      <c r="O72" s="35">
        <v>0</v>
      </c>
      <c r="P72" s="200">
        <f t="shared" si="23"/>
        <v>0</v>
      </c>
      <c r="Q72" s="35">
        <v>0</v>
      </c>
      <c r="R72" s="200">
        <f t="shared" si="24"/>
        <v>0</v>
      </c>
    </row>
    <row r="73" spans="1:18" x14ac:dyDescent="0.2">
      <c r="A73" s="25"/>
      <c r="B73" s="25" t="s">
        <v>160</v>
      </c>
      <c r="C73" s="25"/>
      <c r="D73" s="25">
        <v>1</v>
      </c>
      <c r="E73" s="130"/>
      <c r="F73" s="224" t="s">
        <v>42</v>
      </c>
      <c r="G73" s="41">
        <v>0</v>
      </c>
      <c r="H73" s="131"/>
      <c r="I73" s="35">
        <v>0</v>
      </c>
      <c r="J73" s="200">
        <f t="shared" si="19"/>
        <v>0</v>
      </c>
      <c r="K73" s="223">
        <v>0</v>
      </c>
      <c r="L73" s="212"/>
      <c r="M73" s="35">
        <v>0</v>
      </c>
      <c r="N73" s="200">
        <f t="shared" si="22"/>
        <v>0</v>
      </c>
      <c r="O73" s="35">
        <v>0</v>
      </c>
      <c r="P73" s="200">
        <f t="shared" si="23"/>
        <v>0</v>
      </c>
      <c r="Q73" s="35">
        <v>0</v>
      </c>
      <c r="R73" s="200">
        <f t="shared" si="24"/>
        <v>0</v>
      </c>
    </row>
    <row r="74" spans="1:18" x14ac:dyDescent="0.2">
      <c r="A74" s="25"/>
      <c r="B74" s="131"/>
      <c r="C74" s="131"/>
      <c r="D74" s="25">
        <v>1</v>
      </c>
      <c r="E74" s="130"/>
      <c r="F74" s="224"/>
      <c r="G74" s="41">
        <v>0</v>
      </c>
      <c r="H74" s="131"/>
      <c r="I74" s="35">
        <v>0</v>
      </c>
      <c r="J74" s="200">
        <f t="shared" si="19"/>
        <v>0</v>
      </c>
      <c r="K74" s="223">
        <v>0</v>
      </c>
      <c r="L74" s="212"/>
      <c r="M74" s="35">
        <v>0</v>
      </c>
      <c r="N74" s="200">
        <f t="shared" si="22"/>
        <v>0</v>
      </c>
      <c r="O74" s="35">
        <v>0</v>
      </c>
      <c r="P74" s="200">
        <f t="shared" si="23"/>
        <v>0</v>
      </c>
      <c r="Q74" s="35">
        <v>0</v>
      </c>
      <c r="R74" s="200">
        <f t="shared" si="24"/>
        <v>0</v>
      </c>
    </row>
    <row r="75" spans="1:18" ht="13.5" thickBot="1" x14ac:dyDescent="0.25">
      <c r="A75" s="25"/>
      <c r="B75" s="131"/>
      <c r="C75" s="131"/>
      <c r="D75" s="25">
        <v>1</v>
      </c>
      <c r="E75" s="130"/>
      <c r="F75" s="224"/>
      <c r="G75" s="41">
        <v>0</v>
      </c>
      <c r="H75" s="131"/>
      <c r="I75" s="35">
        <v>0</v>
      </c>
      <c r="J75" s="200">
        <f>E75*H75</f>
        <v>0</v>
      </c>
      <c r="K75" s="223">
        <v>0</v>
      </c>
      <c r="L75" s="212"/>
      <c r="M75" s="35">
        <v>0</v>
      </c>
      <c r="N75" s="200">
        <f t="shared" si="22"/>
        <v>0</v>
      </c>
      <c r="O75" s="35">
        <v>0</v>
      </c>
      <c r="P75" s="200">
        <f t="shared" si="23"/>
        <v>0</v>
      </c>
      <c r="Q75" s="35">
        <v>0</v>
      </c>
      <c r="R75" s="200">
        <f t="shared" si="24"/>
        <v>0</v>
      </c>
    </row>
    <row r="76" spans="1:18" ht="13.5" thickBot="1" x14ac:dyDescent="0.25">
      <c r="A76" s="25" t="s">
        <v>37</v>
      </c>
      <c r="B76" s="25"/>
      <c r="C76" s="25"/>
      <c r="D76" s="25"/>
      <c r="E76" s="195"/>
      <c r="F76" s="25"/>
      <c r="G76" s="25"/>
      <c r="H76" s="195"/>
      <c r="I76" s="118">
        <v>141.57618882933167</v>
      </c>
      <c r="J76" s="202">
        <f>+SUM(J59:J75)</f>
        <v>0</v>
      </c>
      <c r="K76" s="35"/>
      <c r="L76" s="193"/>
      <c r="M76" s="118">
        <v>0</v>
      </c>
      <c r="N76" s="202">
        <f>+SUM(N59:N75)</f>
        <v>0</v>
      </c>
      <c r="O76" s="118">
        <v>141.57618882933167</v>
      </c>
      <c r="P76" s="202">
        <f>+SUM(P59:P75)</f>
        <v>0</v>
      </c>
      <c r="Q76" s="118">
        <v>14157.618882933166</v>
      </c>
      <c r="R76" s="202">
        <f>+SUM(R59:R75)</f>
        <v>0</v>
      </c>
    </row>
    <row r="77" spans="1:18" ht="14.25" thickTop="1" thickBot="1" x14ac:dyDescent="0.25">
      <c r="A77" s="25" t="s">
        <v>52</v>
      </c>
      <c r="B77" s="25"/>
      <c r="C77" s="25"/>
      <c r="D77" s="25"/>
      <c r="E77" s="195"/>
      <c r="F77" s="25"/>
      <c r="G77" s="25"/>
      <c r="H77" s="195"/>
      <c r="I77" s="87">
        <v>519.91947847038182</v>
      </c>
      <c r="J77" s="203">
        <f>+J53+J76</f>
        <v>0</v>
      </c>
      <c r="K77" s="35"/>
      <c r="L77" s="193"/>
      <c r="M77" s="87">
        <v>0</v>
      </c>
      <c r="N77" s="203">
        <f>+N53+N76</f>
        <v>0</v>
      </c>
      <c r="O77" s="87">
        <v>519.91947847038182</v>
      </c>
      <c r="P77" s="203">
        <f>+P53+P76</f>
        <v>0</v>
      </c>
      <c r="Q77" s="87">
        <v>51991.947847038173</v>
      </c>
      <c r="R77" s="203">
        <f>+R53+R76</f>
        <v>0</v>
      </c>
    </row>
    <row r="78" spans="1:18" ht="13.5" thickTop="1" x14ac:dyDescent="0.2">
      <c r="A78" s="25"/>
      <c r="B78" s="25"/>
      <c r="C78" s="25"/>
      <c r="D78" s="25"/>
      <c r="E78" s="195"/>
      <c r="F78" s="25"/>
      <c r="G78" s="25"/>
      <c r="H78" s="195"/>
      <c r="I78" s="35"/>
      <c r="J78" s="182"/>
      <c r="K78" s="35"/>
      <c r="L78" s="193"/>
      <c r="M78" s="35"/>
      <c r="N78" s="182"/>
      <c r="O78" s="35"/>
      <c r="P78" s="182"/>
      <c r="Q78" s="35"/>
      <c r="R78" s="182"/>
    </row>
    <row r="79" spans="1:18" x14ac:dyDescent="0.2">
      <c r="A79" s="25" t="s">
        <v>153</v>
      </c>
      <c r="B79" s="25"/>
      <c r="C79" s="25"/>
      <c r="D79" s="25"/>
      <c r="E79" s="195"/>
      <c r="F79" s="25"/>
      <c r="G79" s="25"/>
      <c r="H79" s="195"/>
      <c r="I79" s="35">
        <v>-519.91947847038182</v>
      </c>
      <c r="J79" s="200">
        <f>+J13-J77</f>
        <v>0</v>
      </c>
      <c r="K79" s="35"/>
      <c r="L79" s="193"/>
      <c r="M79" s="35">
        <v>0</v>
      </c>
      <c r="N79" s="200">
        <f>+N13-N77</f>
        <v>0</v>
      </c>
      <c r="O79" s="35">
        <v>-519.91947847038182</v>
      </c>
      <c r="P79" s="200">
        <f>+P13-P77</f>
        <v>0</v>
      </c>
      <c r="Q79" s="35">
        <v>-51991.947847038173</v>
      </c>
      <c r="R79" s="200">
        <f>+R13-R77</f>
        <v>0</v>
      </c>
    </row>
    <row r="80" spans="1:18" x14ac:dyDescent="0.2">
      <c r="A80" s="25"/>
      <c r="B80" s="25"/>
      <c r="C80" s="25"/>
      <c r="D80" s="25"/>
      <c r="E80" s="195"/>
      <c r="F80" s="25"/>
      <c r="G80" s="25"/>
      <c r="H80" s="195"/>
      <c r="I80" s="35"/>
      <c r="J80" s="204"/>
      <c r="K80" s="35"/>
      <c r="L80" s="193"/>
      <c r="M80" s="35"/>
      <c r="N80" s="193"/>
      <c r="O80" s="35"/>
      <c r="P80" s="193"/>
      <c r="Q80" s="35"/>
      <c r="R80" s="204"/>
    </row>
    <row r="81" spans="1:18" ht="13.5" thickBot="1" x14ac:dyDescent="0.25">
      <c r="A81" s="44" t="s">
        <v>38</v>
      </c>
      <c r="B81" s="44"/>
      <c r="C81" s="44"/>
      <c r="D81" s="44"/>
      <c r="E81" s="199"/>
      <c r="F81" s="44"/>
      <c r="G81" s="45" t="s">
        <v>308</v>
      </c>
      <c r="H81" s="210" t="str">
        <f>IF(E10=0,"n/a",(YTotExp-(YTotExp+YTotRet-J10))/E10)</f>
        <v>n/a</v>
      </c>
      <c r="I81" s="44" t="s">
        <v>458</v>
      </c>
      <c r="J81" s="205"/>
      <c r="K81" s="44"/>
      <c r="L81" s="199"/>
      <c r="M81" s="44"/>
      <c r="N81" s="199"/>
      <c r="O81" s="44"/>
      <c r="P81" s="199"/>
      <c r="Q81" s="44"/>
      <c r="R81" s="205"/>
    </row>
    <row r="82" spans="1:18" ht="13.5" thickTop="1" x14ac:dyDescent="0.2"/>
    <row r="83" spans="1:18" s="17" customFormat="1" ht="15.75" x14ac:dyDescent="0.25">
      <c r="A83"/>
      <c r="B83" s="88"/>
      <c r="C83" s="89"/>
      <c r="D83" s="234" t="s">
        <v>113</v>
      </c>
      <c r="E83" s="235"/>
      <c r="F83" s="235"/>
      <c r="G83" s="235"/>
      <c r="H83" s="235"/>
      <c r="I83" s="235"/>
      <c r="J83" s="99"/>
      <c r="K83" s="99"/>
      <c r="M83"/>
      <c r="N83"/>
    </row>
    <row r="84" spans="1:18" s="17" customFormat="1" ht="15.75" x14ac:dyDescent="0.25">
      <c r="A84"/>
      <c r="B84" s="19" t="s">
        <v>114</v>
      </c>
      <c r="C84" s="19" t="s">
        <v>114</v>
      </c>
      <c r="D84" s="123" t="s">
        <v>170</v>
      </c>
      <c r="E84" s="18"/>
      <c r="F84" s="18"/>
      <c r="G84" s="123" t="s">
        <v>170</v>
      </c>
      <c r="H84" s="18"/>
      <c r="I84" s="18"/>
      <c r="J84" s="18"/>
      <c r="K84" s="18"/>
      <c r="M84"/>
      <c r="N84"/>
    </row>
    <row r="85" spans="1:18" s="17" customFormat="1" x14ac:dyDescent="0.2">
      <c r="A85"/>
      <c r="B85" s="19" t="s">
        <v>80</v>
      </c>
      <c r="C85" s="19" t="s">
        <v>80</v>
      </c>
      <c r="D85" s="123" t="s">
        <v>157</v>
      </c>
      <c r="E85" s="119"/>
      <c r="F85" s="119"/>
      <c r="G85" s="123" t="s">
        <v>12</v>
      </c>
      <c r="H85" s="119"/>
      <c r="I85" s="119"/>
      <c r="J85" s="119"/>
      <c r="K85" s="119"/>
      <c r="M85"/>
      <c r="N85"/>
    </row>
    <row r="86" spans="1:18" s="17" customFormat="1" x14ac:dyDescent="0.2">
      <c r="A86"/>
      <c r="B86" s="19" t="s">
        <v>30</v>
      </c>
      <c r="C86" s="99" t="s">
        <v>458</v>
      </c>
      <c r="D86" s="123" t="s">
        <v>98</v>
      </c>
      <c r="E86" s="119"/>
      <c r="F86" s="119"/>
      <c r="G86" s="123" t="s">
        <v>98</v>
      </c>
      <c r="H86" s="19"/>
      <c r="I86" s="19"/>
      <c r="J86" s="19"/>
      <c r="K86" s="19"/>
      <c r="M86"/>
      <c r="N86"/>
    </row>
    <row r="87" spans="1:18" s="17" customFormat="1" x14ac:dyDescent="0.2">
      <c r="A87"/>
      <c r="B87" s="90">
        <v>0.75</v>
      </c>
      <c r="C87" s="91">
        <v>0</v>
      </c>
      <c r="D87" s="92">
        <v>0</v>
      </c>
      <c r="E87" s="93"/>
      <c r="F87" s="94"/>
      <c r="G87" s="92">
        <v>0</v>
      </c>
      <c r="H87" s="93"/>
      <c r="I87" s="93"/>
      <c r="M87"/>
      <c r="N87"/>
    </row>
    <row r="88" spans="1:18" s="17" customFormat="1" x14ac:dyDescent="0.2">
      <c r="A88"/>
      <c r="B88" s="95">
        <v>0.9</v>
      </c>
      <c r="C88" s="96">
        <v>0</v>
      </c>
      <c r="D88" s="97">
        <v>0</v>
      </c>
      <c r="E88" s="83"/>
      <c r="F88" s="98"/>
      <c r="G88" s="97">
        <v>0</v>
      </c>
      <c r="H88" s="83"/>
      <c r="I88" s="83"/>
      <c r="M88"/>
      <c r="N88"/>
    </row>
    <row r="89" spans="1:18" s="17" customFormat="1" x14ac:dyDescent="0.2">
      <c r="A89"/>
      <c r="B89" s="90">
        <v>1</v>
      </c>
      <c r="C89" s="91">
        <v>0</v>
      </c>
      <c r="D89" s="92">
        <v>0</v>
      </c>
      <c r="E89" s="93"/>
      <c r="F89" s="94"/>
      <c r="G89" s="92">
        <v>0</v>
      </c>
      <c r="H89" s="93"/>
      <c r="I89" s="93"/>
      <c r="M89"/>
      <c r="N89"/>
    </row>
    <row r="90" spans="1:18" s="17" customFormat="1" x14ac:dyDescent="0.2">
      <c r="A90"/>
      <c r="B90" s="95">
        <v>1.1000000000000001</v>
      </c>
      <c r="C90" s="96">
        <v>0</v>
      </c>
      <c r="D90" s="97">
        <v>0</v>
      </c>
      <c r="E90" s="83"/>
      <c r="F90" s="98"/>
      <c r="G90" s="97">
        <v>0</v>
      </c>
      <c r="H90" s="83"/>
      <c r="I90" s="83"/>
      <c r="M90"/>
      <c r="N90"/>
    </row>
    <row r="91" spans="1:18" s="17" customFormat="1" x14ac:dyDescent="0.2">
      <c r="A91"/>
      <c r="B91" s="90">
        <v>1.25</v>
      </c>
      <c r="C91" s="91">
        <v>0</v>
      </c>
      <c r="D91" s="92">
        <v>0</v>
      </c>
      <c r="E91" s="93"/>
      <c r="F91" s="94"/>
      <c r="G91" s="92">
        <v>0</v>
      </c>
      <c r="H91" s="93"/>
      <c r="I91" s="93"/>
      <c r="M91"/>
      <c r="N91"/>
    </row>
    <row r="92" spans="1:18" s="17" customFormat="1" x14ac:dyDescent="0.2">
      <c r="A92"/>
      <c r="M92"/>
      <c r="N92"/>
    </row>
    <row r="93" spans="1:18" x14ac:dyDescent="0.2">
      <c r="A93" s="25" t="s">
        <v>434</v>
      </c>
      <c r="B93" s="17"/>
      <c r="C93" s="17"/>
      <c r="D93" s="17"/>
      <c r="E93" s="17"/>
      <c r="F93" s="17"/>
      <c r="G93" s="17"/>
      <c r="H93" s="17"/>
      <c r="I93" s="17"/>
      <c r="J93" s="28"/>
      <c r="K93" s="17"/>
      <c r="L93" s="17"/>
      <c r="M93" s="17"/>
      <c r="N93" s="17"/>
      <c r="O93" s="17"/>
      <c r="P93" s="17"/>
      <c r="Q93" s="17"/>
    </row>
    <row r="94" spans="1:18" x14ac:dyDescent="0.2">
      <c r="A94" s="17"/>
      <c r="B94" s="17"/>
      <c r="C94" s="17"/>
      <c r="D94" s="17"/>
      <c r="E94" s="17"/>
      <c r="F94" s="17"/>
      <c r="G94" s="17"/>
      <c r="H94" s="17"/>
      <c r="I94" s="17"/>
      <c r="J94" s="28"/>
      <c r="K94" s="17"/>
      <c r="L94" s="17"/>
      <c r="M94" s="17"/>
      <c r="N94" s="17"/>
      <c r="O94" s="17"/>
      <c r="P94" s="17"/>
      <c r="Q94" s="17"/>
    </row>
    <row r="95" spans="1:18" ht="26.25" customHeight="1" x14ac:dyDescent="0.2">
      <c r="A95" s="236" t="s">
        <v>140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19"/>
      <c r="N95" s="219"/>
      <c r="O95" s="219"/>
      <c r="P95" s="219"/>
      <c r="Q95" s="219"/>
      <c r="R95" s="219"/>
    </row>
  </sheetData>
  <sheetProtection sheet="1" objects="1" scenarios="1"/>
  <mergeCells count="6">
    <mergeCell ref="D83:I83"/>
    <mergeCell ref="A95:L95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9">
    <tabColor rgb="FF92D050"/>
    <pageSetUpPr fitToPage="1"/>
  </sheetPr>
  <dimension ref="A1:S96"/>
  <sheetViews>
    <sheetView showGridLines="0" zoomScaleNormal="10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7.5703125" customWidth="1"/>
    <col min="3" max="3" width="29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424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100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483</v>
      </c>
      <c r="R9" s="189" t="str">
        <f>"(" &amp; E7 &amp; " acres)"</f>
        <v>( acres)</v>
      </c>
      <c r="S9" s="12"/>
    </row>
    <row r="10" spans="1:19" x14ac:dyDescent="0.2">
      <c r="A10" s="25"/>
      <c r="B10" t="s">
        <v>356</v>
      </c>
      <c r="C10" s="25"/>
      <c r="D10" s="50">
        <v>6.5</v>
      </c>
      <c r="E10" s="130"/>
      <c r="F10" s="224" t="s">
        <v>135</v>
      </c>
      <c r="G10" s="31">
        <v>400</v>
      </c>
      <c r="H10" s="131"/>
      <c r="I10" s="35">
        <v>2600</v>
      </c>
      <c r="J10" s="200">
        <f t="shared" ref="J10:J12" si="0">E10*H10</f>
        <v>0</v>
      </c>
      <c r="K10" s="223">
        <v>0</v>
      </c>
      <c r="L10" s="212"/>
      <c r="M10" s="35">
        <v>0</v>
      </c>
      <c r="N10" s="200">
        <f t="shared" ref="N10:N12" si="1">J10*L10</f>
        <v>0</v>
      </c>
      <c r="O10" s="35">
        <v>2600</v>
      </c>
      <c r="P10" s="200">
        <f>+J10-N10</f>
        <v>0</v>
      </c>
      <c r="Q10" s="35">
        <v>260000</v>
      </c>
      <c r="R10" s="200">
        <f t="shared" ref="R10:R12" si="2">+J10*E$7</f>
        <v>0</v>
      </c>
      <c r="S10" s="12"/>
    </row>
    <row r="11" spans="1:19" x14ac:dyDescent="0.2">
      <c r="A11" s="25"/>
      <c r="B11" s="131"/>
      <c r="C11" s="131"/>
      <c r="D11" s="50">
        <v>0</v>
      </c>
      <c r="E11" s="130"/>
      <c r="F11" s="224"/>
      <c r="G11" s="31">
        <v>0</v>
      </c>
      <c r="H11" s="131"/>
      <c r="I11" s="35">
        <v>0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0</v>
      </c>
      <c r="P11" s="200">
        <f t="shared" ref="P11:P12" si="3">+J11-N11</f>
        <v>0</v>
      </c>
      <c r="Q11" s="35">
        <v>0</v>
      </c>
      <c r="R11" s="200">
        <f t="shared" si="2"/>
        <v>0</v>
      </c>
    </row>
    <row r="12" spans="1:19" ht="13.5" thickBot="1" x14ac:dyDescent="0.25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42">
        <v>0</v>
      </c>
      <c r="J12" s="200">
        <f t="shared" si="0"/>
        <v>0</v>
      </c>
      <c r="K12" s="223">
        <v>0</v>
      </c>
      <c r="L12" s="212"/>
      <c r="M12" s="42">
        <v>0</v>
      </c>
      <c r="N12" s="200">
        <f t="shared" si="1"/>
        <v>0</v>
      </c>
      <c r="O12" s="42">
        <v>0</v>
      </c>
      <c r="P12" s="200">
        <f t="shared" si="3"/>
        <v>0</v>
      </c>
      <c r="Q12" s="42">
        <v>0</v>
      </c>
      <c r="R12" s="182">
        <f t="shared" si="2"/>
        <v>0</v>
      </c>
    </row>
    <row r="13" spans="1:19" x14ac:dyDescent="0.2">
      <c r="A13" s="25" t="s">
        <v>24</v>
      </c>
      <c r="B13" s="25"/>
      <c r="C13" s="25"/>
      <c r="D13" s="25"/>
      <c r="E13" s="198"/>
      <c r="F13" s="25"/>
      <c r="G13" s="25"/>
      <c r="H13" s="195"/>
      <c r="I13" s="36">
        <v>2600</v>
      </c>
      <c r="J13" s="201">
        <f>SUM(J10:J12)</f>
        <v>0</v>
      </c>
      <c r="K13" s="35"/>
      <c r="L13" s="193"/>
      <c r="M13" s="36">
        <v>0</v>
      </c>
      <c r="N13" s="201">
        <f>SUM(N10:N12)</f>
        <v>0</v>
      </c>
      <c r="O13" s="36">
        <v>2600</v>
      </c>
      <c r="P13" s="201">
        <f>SUM(P10:P12)</f>
        <v>0</v>
      </c>
      <c r="Q13" s="36">
        <v>260000</v>
      </c>
      <c r="R13" s="201">
        <f>SUM(R10:R12)</f>
        <v>0</v>
      </c>
    </row>
    <row r="14" spans="1:19" x14ac:dyDescent="0.2">
      <c r="A14" s="25"/>
      <c r="B14" s="25"/>
      <c r="C14" s="25"/>
      <c r="D14" s="25"/>
      <c r="E14" s="176"/>
      <c r="F14" s="25"/>
      <c r="G14" s="25"/>
      <c r="H14" s="209"/>
      <c r="I14" s="35"/>
      <c r="J14" s="182"/>
      <c r="K14" s="35"/>
      <c r="L14" s="193"/>
      <c r="M14" s="35"/>
      <c r="N14" s="182"/>
      <c r="O14" s="35"/>
      <c r="P14" s="182"/>
      <c r="Q14" s="22" t="s">
        <v>19</v>
      </c>
      <c r="R14" s="182" t="s">
        <v>19</v>
      </c>
    </row>
    <row r="15" spans="1:19" x14ac:dyDescent="0.2">
      <c r="A15" s="23" t="s">
        <v>25</v>
      </c>
      <c r="B15" s="23"/>
      <c r="C15" s="23"/>
      <c r="D15" s="24" t="s">
        <v>2</v>
      </c>
      <c r="E15" s="194" t="s">
        <v>2</v>
      </c>
      <c r="F15" s="24" t="s">
        <v>21</v>
      </c>
      <c r="G15" s="24" t="s">
        <v>22</v>
      </c>
      <c r="H15" s="194" t="s">
        <v>22</v>
      </c>
      <c r="I15" s="24" t="s">
        <v>12</v>
      </c>
      <c r="J15" s="194" t="s">
        <v>12</v>
      </c>
      <c r="K15" s="24" t="s">
        <v>11</v>
      </c>
      <c r="L15" s="194" t="s">
        <v>11</v>
      </c>
      <c r="M15" s="24" t="s">
        <v>10</v>
      </c>
      <c r="N15" s="194" t="s">
        <v>10</v>
      </c>
      <c r="O15" s="24" t="s">
        <v>9</v>
      </c>
      <c r="P15" s="194" t="s">
        <v>9</v>
      </c>
      <c r="Q15" s="24" t="s">
        <v>12</v>
      </c>
      <c r="R15" s="206" t="s">
        <v>12</v>
      </c>
    </row>
    <row r="16" spans="1:19" x14ac:dyDescent="0.2">
      <c r="A16" s="25" t="s">
        <v>26</v>
      </c>
      <c r="B16" s="25"/>
      <c r="C16" s="25"/>
      <c r="D16" s="25"/>
      <c r="E16" s="176"/>
      <c r="F16" s="25"/>
      <c r="G16" s="25"/>
      <c r="H16" s="209"/>
      <c r="I16" s="25"/>
      <c r="J16" s="182"/>
      <c r="K16" s="25"/>
      <c r="L16" s="195"/>
      <c r="M16" s="25"/>
      <c r="N16" s="182"/>
      <c r="O16" s="25"/>
      <c r="P16" s="182"/>
      <c r="Q16" s="25"/>
      <c r="R16" s="182"/>
    </row>
    <row r="17" spans="1:18" x14ac:dyDescent="0.2">
      <c r="A17" s="25"/>
      <c r="B17" s="25" t="s">
        <v>50</v>
      </c>
      <c r="C17" s="25"/>
      <c r="D17" s="25"/>
      <c r="E17" s="25"/>
      <c r="F17" s="25"/>
      <c r="G17" s="25"/>
      <c r="H17" s="25"/>
      <c r="I17" s="25"/>
      <c r="J17" s="25"/>
      <c r="K17" s="223"/>
      <c r="L17" s="25"/>
      <c r="M17" s="25"/>
      <c r="N17" s="25"/>
      <c r="O17" s="25"/>
      <c r="P17" s="25"/>
      <c r="Q17" s="25"/>
      <c r="R17" s="25"/>
    </row>
    <row r="18" spans="1:18" x14ac:dyDescent="0.2">
      <c r="A18" s="25"/>
      <c r="B18" s="25" t="s">
        <v>458</v>
      </c>
      <c r="C18" s="25" t="s">
        <v>177</v>
      </c>
      <c r="D18" s="25">
        <v>2</v>
      </c>
      <c r="E18" s="130"/>
      <c r="F18" s="224" t="s">
        <v>42</v>
      </c>
      <c r="G18" s="41">
        <v>5.5</v>
      </c>
      <c r="H18" s="131"/>
      <c r="I18" s="35">
        <v>11</v>
      </c>
      <c r="J18" s="200">
        <f t="shared" ref="J18:J33" si="4">E18*H18</f>
        <v>0</v>
      </c>
      <c r="K18" s="223">
        <v>0</v>
      </c>
      <c r="L18" s="212"/>
      <c r="M18" s="35">
        <v>0</v>
      </c>
      <c r="N18" s="200">
        <f t="shared" ref="N18:N33" si="5">J18*L18</f>
        <v>0</v>
      </c>
      <c r="O18" s="35">
        <v>11</v>
      </c>
      <c r="P18" s="200">
        <f t="shared" ref="P18:P33" si="6">+J18-N18</f>
        <v>0</v>
      </c>
      <c r="Q18" s="35">
        <v>1100</v>
      </c>
      <c r="R18" s="200">
        <f t="shared" ref="R18:R33" si="7">+J18*E$7</f>
        <v>0</v>
      </c>
    </row>
    <row r="19" spans="1:18" x14ac:dyDescent="0.2">
      <c r="A19" s="25"/>
      <c r="B19" s="25" t="s">
        <v>458</v>
      </c>
      <c r="C19" s="25" t="s">
        <v>317</v>
      </c>
      <c r="D19" s="25">
        <v>3</v>
      </c>
      <c r="E19" s="130"/>
      <c r="F19" s="224" t="s">
        <v>42</v>
      </c>
      <c r="G19" s="41">
        <v>5.5</v>
      </c>
      <c r="H19" s="131"/>
      <c r="I19" s="35">
        <v>16.5</v>
      </c>
      <c r="J19" s="200">
        <f t="shared" si="4"/>
        <v>0</v>
      </c>
      <c r="K19" s="223">
        <v>0</v>
      </c>
      <c r="L19" s="212"/>
      <c r="M19" s="35">
        <v>0</v>
      </c>
      <c r="N19" s="200">
        <f t="shared" si="5"/>
        <v>0</v>
      </c>
      <c r="O19" s="35">
        <v>16.5</v>
      </c>
      <c r="P19" s="200">
        <f t="shared" si="6"/>
        <v>0</v>
      </c>
      <c r="Q19" s="35">
        <v>1650</v>
      </c>
      <c r="R19" s="200">
        <f t="shared" si="7"/>
        <v>0</v>
      </c>
    </row>
    <row r="20" spans="1:18" x14ac:dyDescent="0.2">
      <c r="A20" s="25"/>
      <c r="B20" s="25" t="s">
        <v>458</v>
      </c>
      <c r="C20" s="25" t="s">
        <v>176</v>
      </c>
      <c r="D20" s="25">
        <v>1</v>
      </c>
      <c r="E20" s="130"/>
      <c r="F20" s="224" t="s">
        <v>42</v>
      </c>
      <c r="G20" s="41">
        <v>5</v>
      </c>
      <c r="H20" s="131"/>
      <c r="I20" s="35">
        <v>5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5</v>
      </c>
      <c r="P20" s="200">
        <f t="shared" si="6"/>
        <v>0</v>
      </c>
      <c r="Q20" s="35">
        <v>500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369</v>
      </c>
      <c r="D21" s="25">
        <v>6.5</v>
      </c>
      <c r="E21" s="130"/>
      <c r="F21" s="224" t="s">
        <v>135</v>
      </c>
      <c r="G21" s="41">
        <v>35</v>
      </c>
      <c r="H21" s="131"/>
      <c r="I21" s="35">
        <v>227.5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227.5</v>
      </c>
      <c r="P21" s="200">
        <f t="shared" si="6"/>
        <v>0</v>
      </c>
      <c r="Q21" s="35">
        <v>22750</v>
      </c>
      <c r="R21" s="200">
        <f t="shared" si="7"/>
        <v>0</v>
      </c>
    </row>
    <row r="22" spans="1:18" x14ac:dyDescent="0.2">
      <c r="A22" s="25"/>
      <c r="B22" s="25" t="s">
        <v>0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342</v>
      </c>
      <c r="D23" s="25">
        <v>30</v>
      </c>
      <c r="E23" s="130"/>
      <c r="F23" s="224" t="s">
        <v>82</v>
      </c>
      <c r="G23" s="41">
        <v>0.53800000000000003</v>
      </c>
      <c r="H23" s="131"/>
      <c r="I23" s="35">
        <v>16.14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16.14</v>
      </c>
      <c r="P23" s="200">
        <f t="shared" si="6"/>
        <v>0</v>
      </c>
      <c r="Q23" s="35">
        <v>1614</v>
      </c>
      <c r="R23" s="200">
        <f t="shared" si="7"/>
        <v>0</v>
      </c>
    </row>
    <row r="24" spans="1:18" x14ac:dyDescent="0.2">
      <c r="A24" s="25"/>
      <c r="B24" s="25" t="s">
        <v>458</v>
      </c>
      <c r="C24" s="25" t="s">
        <v>378</v>
      </c>
      <c r="D24" s="25">
        <v>50</v>
      </c>
      <c r="E24" s="130"/>
      <c r="F24" s="224" t="s">
        <v>82</v>
      </c>
      <c r="G24" s="41">
        <v>0.56999999999999995</v>
      </c>
      <c r="H24" s="131"/>
      <c r="I24" s="35">
        <v>28.499999999999996</v>
      </c>
      <c r="J24" s="200">
        <f t="shared" si="4"/>
        <v>0</v>
      </c>
      <c r="K24" s="223">
        <v>0</v>
      </c>
      <c r="L24" s="212"/>
      <c r="M24" s="35">
        <v>0</v>
      </c>
      <c r="N24" s="200">
        <f t="shared" si="5"/>
        <v>0</v>
      </c>
      <c r="O24" s="35">
        <v>28.499999999999996</v>
      </c>
      <c r="P24" s="200">
        <f t="shared" si="6"/>
        <v>0</v>
      </c>
      <c r="Q24" s="35">
        <v>2849.9999999999995</v>
      </c>
      <c r="R24" s="200">
        <f t="shared" si="7"/>
        <v>0</v>
      </c>
    </row>
    <row r="25" spans="1:18" x14ac:dyDescent="0.2">
      <c r="A25" s="25"/>
      <c r="B25" s="25" t="s">
        <v>458</v>
      </c>
      <c r="C25" s="25" t="s">
        <v>344</v>
      </c>
      <c r="D25" s="25">
        <v>12</v>
      </c>
      <c r="E25" s="130"/>
      <c r="F25" s="224" t="s">
        <v>82</v>
      </c>
      <c r="G25" s="41">
        <v>0.30499999999999999</v>
      </c>
      <c r="H25" s="131"/>
      <c r="I25" s="35">
        <v>3.66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3.66</v>
      </c>
      <c r="P25" s="200">
        <f t="shared" si="6"/>
        <v>0</v>
      </c>
      <c r="Q25" s="35">
        <v>366</v>
      </c>
      <c r="R25" s="200">
        <f t="shared" si="7"/>
        <v>0</v>
      </c>
    </row>
    <row r="26" spans="1:18" x14ac:dyDescent="0.2">
      <c r="A26" s="25"/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23"/>
      <c r="L26" s="25"/>
      <c r="M26" s="25"/>
      <c r="N26" s="25"/>
      <c r="O26" s="25"/>
      <c r="P26" s="25"/>
      <c r="Q26" s="25"/>
      <c r="R26" s="25"/>
    </row>
    <row r="27" spans="1:18" x14ac:dyDescent="0.2">
      <c r="A27" s="25"/>
      <c r="B27" s="25" t="s">
        <v>458</v>
      </c>
      <c r="C27" s="25" t="s">
        <v>406</v>
      </c>
      <c r="D27" s="25">
        <v>2</v>
      </c>
      <c r="E27" s="130"/>
      <c r="F27" s="224" t="s">
        <v>316</v>
      </c>
      <c r="G27" s="41">
        <v>11.875</v>
      </c>
      <c r="H27" s="131"/>
      <c r="I27" s="35">
        <v>23.75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23.75</v>
      </c>
      <c r="P27" s="200">
        <f t="shared" si="6"/>
        <v>0</v>
      </c>
      <c r="Q27" s="35">
        <v>2375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364</v>
      </c>
      <c r="D28" s="25">
        <v>2</v>
      </c>
      <c r="E28" s="130"/>
      <c r="F28" s="224" t="s">
        <v>316</v>
      </c>
      <c r="G28" s="41">
        <v>3.75</v>
      </c>
      <c r="H28" s="131"/>
      <c r="I28" s="35">
        <v>7.5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7.5</v>
      </c>
      <c r="P28" s="200">
        <f t="shared" si="6"/>
        <v>0</v>
      </c>
      <c r="Q28" s="35">
        <v>750</v>
      </c>
      <c r="R28" s="200">
        <f t="shared" si="7"/>
        <v>0</v>
      </c>
    </row>
    <row r="29" spans="1:18" x14ac:dyDescent="0.2">
      <c r="A29" s="25"/>
      <c r="B29" s="25" t="s">
        <v>48</v>
      </c>
      <c r="C29" s="25"/>
      <c r="D29" s="25"/>
      <c r="E29" s="25"/>
      <c r="F29" s="25"/>
      <c r="G29" s="25"/>
      <c r="H29" s="25"/>
      <c r="I29" s="25"/>
      <c r="J29" s="25"/>
      <c r="K29" s="223"/>
      <c r="L29" s="25"/>
      <c r="M29" s="25"/>
      <c r="N29" s="25"/>
      <c r="O29" s="25"/>
      <c r="P29" s="25"/>
      <c r="Q29" s="25"/>
      <c r="R29" s="25"/>
    </row>
    <row r="30" spans="1:18" x14ac:dyDescent="0.2">
      <c r="A30" s="25"/>
      <c r="B30" s="25" t="s">
        <v>458</v>
      </c>
      <c r="C30" s="25" t="s">
        <v>389</v>
      </c>
      <c r="D30" s="25">
        <v>2</v>
      </c>
      <c r="E30" s="130"/>
      <c r="F30" s="224" t="s">
        <v>316</v>
      </c>
      <c r="G30" s="41">
        <v>4.12</v>
      </c>
      <c r="H30" s="131"/>
      <c r="I30" s="35">
        <v>8.24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8.24</v>
      </c>
      <c r="P30" s="200">
        <f t="shared" si="6"/>
        <v>0</v>
      </c>
      <c r="Q30" s="35">
        <v>824</v>
      </c>
      <c r="R30" s="200">
        <f t="shared" si="7"/>
        <v>0</v>
      </c>
    </row>
    <row r="31" spans="1:18" x14ac:dyDescent="0.2">
      <c r="A31" s="25"/>
      <c r="B31" s="25" t="s">
        <v>458</v>
      </c>
      <c r="C31" s="25" t="s">
        <v>390</v>
      </c>
      <c r="D31" s="25">
        <v>3</v>
      </c>
      <c r="E31" s="130"/>
      <c r="F31" s="224" t="s">
        <v>411</v>
      </c>
      <c r="G31" s="41">
        <v>1.0546875</v>
      </c>
      <c r="H31" s="131"/>
      <c r="I31" s="35">
        <v>3.1640625</v>
      </c>
      <c r="J31" s="200">
        <f t="shared" si="4"/>
        <v>0</v>
      </c>
      <c r="K31" s="223">
        <v>0</v>
      </c>
      <c r="L31" s="212"/>
      <c r="M31" s="35">
        <v>0</v>
      </c>
      <c r="N31" s="200">
        <f t="shared" si="5"/>
        <v>0</v>
      </c>
      <c r="O31" s="35">
        <v>3.1640625</v>
      </c>
      <c r="P31" s="200">
        <f t="shared" si="6"/>
        <v>0</v>
      </c>
      <c r="Q31" s="35">
        <v>316.40625</v>
      </c>
      <c r="R31" s="200">
        <f t="shared" si="7"/>
        <v>0</v>
      </c>
    </row>
    <row r="32" spans="1:18" x14ac:dyDescent="0.2">
      <c r="A32" s="25"/>
      <c r="B32" s="131"/>
      <c r="C32" s="131"/>
      <c r="D32" s="25">
        <v>0</v>
      </c>
      <c r="E32" s="130"/>
      <c r="F32" s="224"/>
      <c r="G32" s="41">
        <v>0</v>
      </c>
      <c r="H32" s="131"/>
      <c r="I32" s="35">
        <v>0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0</v>
      </c>
      <c r="P32" s="200">
        <f t="shared" si="6"/>
        <v>0</v>
      </c>
      <c r="Q32" s="35">
        <v>0</v>
      </c>
      <c r="R32" s="200">
        <f t="shared" si="7"/>
        <v>0</v>
      </c>
    </row>
    <row r="33" spans="1:18" x14ac:dyDescent="0.2">
      <c r="A33" s="25"/>
      <c r="B33" s="131"/>
      <c r="C33" s="131"/>
      <c r="D33" s="25">
        <v>0</v>
      </c>
      <c r="E33" s="130"/>
      <c r="F33" s="224"/>
      <c r="G33" s="41">
        <v>0</v>
      </c>
      <c r="H33" s="131"/>
      <c r="I33" s="35">
        <v>0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0</v>
      </c>
      <c r="P33" s="200">
        <f t="shared" si="6"/>
        <v>0</v>
      </c>
      <c r="Q33" s="35">
        <v>0</v>
      </c>
      <c r="R33" s="200">
        <f t="shared" si="7"/>
        <v>0</v>
      </c>
    </row>
    <row r="34" spans="1:18" x14ac:dyDescent="0.2">
      <c r="A34" s="25"/>
      <c r="B34" s="131"/>
      <c r="C34" s="131"/>
      <c r="D34" s="25">
        <v>0</v>
      </c>
      <c r="E34" s="130"/>
      <c r="F34" s="224"/>
      <c r="G34" s="41">
        <v>0</v>
      </c>
      <c r="H34" s="131"/>
      <c r="I34" s="35">
        <v>0</v>
      </c>
      <c r="J34" s="200">
        <f>E34*H34</f>
        <v>0</v>
      </c>
      <c r="K34" s="223">
        <v>0</v>
      </c>
      <c r="L34" s="212"/>
      <c r="M34" s="35">
        <v>0</v>
      </c>
      <c r="N34" s="200">
        <f>J34*L34</f>
        <v>0</v>
      </c>
      <c r="O34" s="35">
        <v>0</v>
      </c>
      <c r="P34" s="200">
        <f>+J34-N34</f>
        <v>0</v>
      </c>
      <c r="Q34" s="35">
        <v>0</v>
      </c>
      <c r="R34" s="200">
        <f>+J34*E$7</f>
        <v>0</v>
      </c>
    </row>
    <row r="35" spans="1:18" x14ac:dyDescent="0.2">
      <c r="A35" s="25"/>
      <c r="B35" s="25" t="s">
        <v>45</v>
      </c>
      <c r="C35" s="25"/>
      <c r="D35" s="25"/>
      <c r="E35" s="207"/>
      <c r="F35" s="21"/>
      <c r="G35" s="41"/>
      <c r="H35" s="196"/>
      <c r="I35" s="184"/>
      <c r="J35" s="182"/>
      <c r="K35" s="223"/>
      <c r="L35" s="196"/>
      <c r="M35" s="35"/>
      <c r="N35" s="182"/>
      <c r="O35" s="35"/>
      <c r="P35" s="182"/>
      <c r="Q35" s="35"/>
      <c r="R35" s="182"/>
    </row>
    <row r="36" spans="1:18" x14ac:dyDescent="0.2">
      <c r="A36" s="25"/>
      <c r="B36" s="25"/>
      <c r="C36" s="25" t="s">
        <v>146</v>
      </c>
      <c r="D36" s="34">
        <v>10</v>
      </c>
      <c r="E36" s="130"/>
      <c r="F36" s="224" t="s">
        <v>142</v>
      </c>
      <c r="G36" s="41">
        <v>6.75</v>
      </c>
      <c r="H36" s="131"/>
      <c r="I36" s="35">
        <v>67.5</v>
      </c>
      <c r="J36" s="200">
        <f t="shared" ref="J36:J37" si="8">E36*H36</f>
        <v>0</v>
      </c>
      <c r="K36" s="223">
        <v>0</v>
      </c>
      <c r="L36" s="212"/>
      <c r="M36" s="35">
        <v>0</v>
      </c>
      <c r="N36" s="200">
        <f t="shared" ref="N36:N37" si="9">J36*L36</f>
        <v>0</v>
      </c>
      <c r="O36" s="35">
        <v>67.5</v>
      </c>
      <c r="P36" s="200">
        <f t="shared" ref="P36:P37" si="10">+J36-N36</f>
        <v>0</v>
      </c>
      <c r="Q36" s="35">
        <v>6750</v>
      </c>
      <c r="R36" s="200">
        <f t="shared" ref="R36:R37" si="11">+J36*E$7</f>
        <v>0</v>
      </c>
    </row>
    <row r="37" spans="1:18" x14ac:dyDescent="0.2">
      <c r="A37" s="25"/>
      <c r="B37" s="25"/>
      <c r="C37" s="25" t="s">
        <v>136</v>
      </c>
      <c r="D37" s="34">
        <v>0.96</v>
      </c>
      <c r="E37" s="130"/>
      <c r="F37" s="224" t="s">
        <v>44</v>
      </c>
      <c r="G37" s="41">
        <v>15</v>
      </c>
      <c r="H37" s="131"/>
      <c r="I37" s="35">
        <v>14.399999999999999</v>
      </c>
      <c r="J37" s="200">
        <f t="shared" si="8"/>
        <v>0</v>
      </c>
      <c r="K37" s="223">
        <v>0</v>
      </c>
      <c r="L37" s="212"/>
      <c r="M37" s="35">
        <v>0</v>
      </c>
      <c r="N37" s="200">
        <f t="shared" si="9"/>
        <v>0</v>
      </c>
      <c r="O37" s="35">
        <v>14.399999999999999</v>
      </c>
      <c r="P37" s="200">
        <f t="shared" si="10"/>
        <v>0</v>
      </c>
      <c r="Q37" s="35">
        <v>1439.9999999999998</v>
      </c>
      <c r="R37" s="200">
        <f t="shared" si="11"/>
        <v>0</v>
      </c>
    </row>
    <row r="38" spans="1:18" x14ac:dyDescent="0.2">
      <c r="A38" s="25"/>
      <c r="B38" s="25" t="s">
        <v>106</v>
      </c>
      <c r="C38" s="25"/>
      <c r="D38" s="25"/>
      <c r="E38" s="104"/>
      <c r="H38" s="104"/>
      <c r="I38" s="121"/>
      <c r="J38" s="104"/>
      <c r="K38" s="223"/>
      <c r="L38" s="104"/>
      <c r="N38" s="104"/>
      <c r="P38" s="104"/>
      <c r="R38" s="104"/>
    </row>
    <row r="39" spans="1:18" x14ac:dyDescent="0.2">
      <c r="A39" s="25"/>
      <c r="B39" s="25"/>
      <c r="C39" s="25" t="s">
        <v>103</v>
      </c>
      <c r="D39" s="25">
        <v>0</v>
      </c>
      <c r="E39" s="130"/>
      <c r="F39" s="224" t="s">
        <v>44</v>
      </c>
      <c r="G39" s="41">
        <v>15</v>
      </c>
      <c r="H39" s="131"/>
      <c r="I39" s="35">
        <v>0</v>
      </c>
      <c r="J39" s="200">
        <f>E39*H39</f>
        <v>0</v>
      </c>
      <c r="K39" s="223">
        <v>0</v>
      </c>
      <c r="L39" s="212"/>
      <c r="M39" s="35">
        <v>0</v>
      </c>
      <c r="N39" s="200">
        <f>J39*L39</f>
        <v>0</v>
      </c>
      <c r="O39" s="35">
        <v>0</v>
      </c>
      <c r="P39" s="200">
        <f>+J39-N39</f>
        <v>0</v>
      </c>
      <c r="Q39" s="35">
        <v>0</v>
      </c>
      <c r="R39" s="200">
        <f>+J39*E$7</f>
        <v>0</v>
      </c>
    </row>
    <row r="40" spans="1:18" x14ac:dyDescent="0.2">
      <c r="A40" s="25"/>
      <c r="B40" s="25"/>
      <c r="C40" s="25" t="s">
        <v>105</v>
      </c>
      <c r="D40" s="25">
        <v>0</v>
      </c>
      <c r="E40" s="130"/>
      <c r="F40" s="224" t="s">
        <v>44</v>
      </c>
      <c r="G40" s="41">
        <v>15</v>
      </c>
      <c r="H40" s="131"/>
      <c r="I40" s="35">
        <v>0</v>
      </c>
      <c r="J40" s="200">
        <f>E40*H40</f>
        <v>0</v>
      </c>
      <c r="K40" s="223">
        <v>0</v>
      </c>
      <c r="L40" s="212"/>
      <c r="M40" s="35">
        <v>0</v>
      </c>
      <c r="N40" s="200">
        <f>J40*L40</f>
        <v>0</v>
      </c>
      <c r="O40" s="35">
        <v>0</v>
      </c>
      <c r="P40" s="200">
        <f>+J40-N40</f>
        <v>0</v>
      </c>
      <c r="Q40" s="35">
        <v>0</v>
      </c>
      <c r="R40" s="200">
        <f>+J40*E$7</f>
        <v>0</v>
      </c>
    </row>
    <row r="41" spans="1:18" x14ac:dyDescent="0.2">
      <c r="A41" s="25"/>
      <c r="B41" s="25"/>
      <c r="C41" s="25"/>
      <c r="D41" s="25"/>
      <c r="E41" s="207"/>
      <c r="F41" s="21"/>
      <c r="G41" s="41"/>
      <c r="H41" s="196"/>
      <c r="I41" s="35"/>
      <c r="J41" s="182"/>
      <c r="K41" s="223"/>
      <c r="L41" s="196"/>
      <c r="M41" s="35"/>
      <c r="N41" s="182"/>
      <c r="O41" s="35"/>
      <c r="P41" s="182"/>
      <c r="Q41" s="35"/>
      <c r="R41" s="182"/>
    </row>
    <row r="42" spans="1:18" x14ac:dyDescent="0.2">
      <c r="A42" s="25"/>
      <c r="B42" s="25" t="s">
        <v>51</v>
      </c>
      <c r="C42" s="25"/>
      <c r="D42" s="25"/>
      <c r="E42" s="207"/>
      <c r="F42" s="21"/>
      <c r="G42" s="41"/>
      <c r="H42" s="196"/>
      <c r="I42" s="184"/>
      <c r="J42" s="182"/>
      <c r="K42" s="223"/>
      <c r="L42" s="196"/>
      <c r="M42" s="35"/>
      <c r="N42" s="182"/>
      <c r="O42" s="35"/>
      <c r="P42" s="182"/>
      <c r="Q42" s="35"/>
      <c r="R42" s="182"/>
    </row>
    <row r="43" spans="1:18" x14ac:dyDescent="0.2">
      <c r="A43" s="25"/>
      <c r="B43" s="25"/>
      <c r="C43" s="25" t="s">
        <v>102</v>
      </c>
      <c r="D43" s="25">
        <v>1</v>
      </c>
      <c r="E43" s="130"/>
      <c r="F43" s="224" t="s">
        <v>42</v>
      </c>
      <c r="G43" s="41">
        <v>0</v>
      </c>
      <c r="H43" s="131"/>
      <c r="I43" s="35">
        <v>0</v>
      </c>
      <c r="J43" s="200">
        <f>E43*H43</f>
        <v>0</v>
      </c>
      <c r="K43" s="223">
        <v>0</v>
      </c>
      <c r="L43" s="212"/>
      <c r="M43" s="35">
        <v>0</v>
      </c>
      <c r="N43" s="200">
        <f>J43*L43</f>
        <v>0</v>
      </c>
      <c r="O43" s="35">
        <v>0</v>
      </c>
      <c r="P43" s="200">
        <f>+J43-N43</f>
        <v>0</v>
      </c>
      <c r="Q43" s="35">
        <v>0</v>
      </c>
      <c r="R43" s="200">
        <f>+J43*E$7</f>
        <v>0</v>
      </c>
    </row>
    <row r="44" spans="1:18" x14ac:dyDescent="0.2">
      <c r="A44" s="25"/>
      <c r="B44" s="25"/>
      <c r="C44" s="25" t="s">
        <v>103</v>
      </c>
      <c r="D44" s="25">
        <v>0</v>
      </c>
      <c r="E44" s="130"/>
      <c r="F44" s="224" t="s">
        <v>79</v>
      </c>
      <c r="G44" s="41">
        <v>3.0190000000000001</v>
      </c>
      <c r="H44" s="131"/>
      <c r="I44" s="35">
        <v>0</v>
      </c>
      <c r="J44" s="200">
        <f>E44*H44</f>
        <v>0</v>
      </c>
      <c r="K44" s="223">
        <v>0</v>
      </c>
      <c r="L44" s="212"/>
      <c r="M44" s="35">
        <v>0</v>
      </c>
      <c r="N44" s="200">
        <f>J44*L44</f>
        <v>0</v>
      </c>
      <c r="O44" s="35">
        <v>0</v>
      </c>
      <c r="P44" s="200">
        <f>+J44-N44</f>
        <v>0</v>
      </c>
      <c r="Q44" s="35">
        <v>0</v>
      </c>
      <c r="R44" s="200">
        <f>+J44*E$7</f>
        <v>0</v>
      </c>
    </row>
    <row r="45" spans="1:18" x14ac:dyDescent="0.2">
      <c r="A45" s="25"/>
      <c r="B45" s="25"/>
      <c r="C45" s="25"/>
      <c r="D45" s="25"/>
      <c r="E45" s="207"/>
      <c r="F45" s="21"/>
      <c r="G45" s="41"/>
      <c r="H45" s="196"/>
      <c r="I45" s="35"/>
      <c r="J45" s="182"/>
      <c r="K45" s="223"/>
      <c r="L45" s="196"/>
      <c r="M45" s="35"/>
      <c r="N45" s="182"/>
      <c r="O45" s="35"/>
      <c r="P45" s="182"/>
      <c r="Q45" s="35"/>
      <c r="R45" s="182"/>
    </row>
    <row r="46" spans="1:18" x14ac:dyDescent="0.2">
      <c r="A46" s="25"/>
      <c r="B46" s="25" t="s">
        <v>29</v>
      </c>
      <c r="C46" s="25"/>
      <c r="D46" s="25"/>
      <c r="E46" s="207"/>
      <c r="F46" s="21"/>
      <c r="G46" s="41"/>
      <c r="H46" s="196"/>
      <c r="I46" s="184"/>
      <c r="J46" s="182"/>
      <c r="K46" s="223"/>
      <c r="L46" s="196"/>
      <c r="M46" s="35"/>
      <c r="N46" s="182"/>
      <c r="O46" s="35"/>
      <c r="P46" s="182"/>
      <c r="Q46" s="35"/>
      <c r="R46" s="182"/>
    </row>
    <row r="47" spans="1:18" x14ac:dyDescent="0.2">
      <c r="A47" s="25"/>
      <c r="B47" s="25"/>
      <c r="C47" s="25" t="s">
        <v>102</v>
      </c>
      <c r="D47" s="25">
        <v>1</v>
      </c>
      <c r="E47" s="130"/>
      <c r="F47" s="224" t="s">
        <v>42</v>
      </c>
      <c r="G47" s="41">
        <v>6.75</v>
      </c>
      <c r="H47" s="131"/>
      <c r="I47" s="35">
        <v>6.75</v>
      </c>
      <c r="J47" s="200">
        <f>E47*H47</f>
        <v>0</v>
      </c>
      <c r="K47" s="223">
        <v>0</v>
      </c>
      <c r="L47" s="212"/>
      <c r="M47" s="35">
        <v>0</v>
      </c>
      <c r="N47" s="200">
        <f>J47*L47</f>
        <v>0</v>
      </c>
      <c r="O47" s="35">
        <v>6.75</v>
      </c>
      <c r="P47" s="200">
        <f>+J47-N47</f>
        <v>0</v>
      </c>
      <c r="Q47" s="35">
        <v>675</v>
      </c>
      <c r="R47" s="200">
        <f>+J47*E$7</f>
        <v>0</v>
      </c>
    </row>
    <row r="48" spans="1:18" x14ac:dyDescent="0.2">
      <c r="A48" s="25"/>
      <c r="B48" s="25"/>
      <c r="C48" s="25" t="s">
        <v>103</v>
      </c>
      <c r="D48" s="25">
        <v>0</v>
      </c>
      <c r="E48" s="130"/>
      <c r="F48" s="224" t="s">
        <v>79</v>
      </c>
      <c r="G48" s="41">
        <v>3.09</v>
      </c>
      <c r="H48" s="131"/>
      <c r="I48" s="35">
        <v>0</v>
      </c>
      <c r="J48" s="200">
        <f>E48*H48</f>
        <v>0</v>
      </c>
      <c r="K48" s="223">
        <v>0</v>
      </c>
      <c r="L48" s="212"/>
      <c r="M48" s="35">
        <v>0</v>
      </c>
      <c r="N48" s="200">
        <f>J48*L48</f>
        <v>0</v>
      </c>
      <c r="O48" s="35">
        <v>0</v>
      </c>
      <c r="P48" s="200">
        <f>+J48-N48</f>
        <v>0</v>
      </c>
      <c r="Q48" s="35">
        <v>0</v>
      </c>
      <c r="R48" s="200">
        <f>+J48*E$7</f>
        <v>0</v>
      </c>
    </row>
    <row r="49" spans="1:18" x14ac:dyDescent="0.2">
      <c r="A49" s="25"/>
      <c r="B49" s="25"/>
      <c r="C49" s="25"/>
      <c r="D49" s="25"/>
      <c r="E49" s="207"/>
      <c r="F49" s="21"/>
      <c r="G49" s="41"/>
      <c r="H49" s="196"/>
      <c r="I49" s="35"/>
      <c r="J49" s="182"/>
      <c r="K49" s="223"/>
      <c r="L49" s="196"/>
      <c r="M49" s="35"/>
      <c r="N49" s="182"/>
      <c r="O49" s="35"/>
      <c r="P49" s="182"/>
      <c r="Q49" s="35"/>
      <c r="R49" s="182"/>
    </row>
    <row r="50" spans="1:18" x14ac:dyDescent="0.2">
      <c r="A50" s="25"/>
      <c r="B50" s="25" t="s">
        <v>47</v>
      </c>
      <c r="C50" s="25"/>
      <c r="D50" s="25"/>
      <c r="E50" s="207"/>
      <c r="F50" s="21"/>
      <c r="G50" s="41"/>
      <c r="H50" s="197"/>
      <c r="I50" s="184"/>
      <c r="J50" s="182"/>
      <c r="K50" s="223"/>
      <c r="L50" s="197"/>
      <c r="M50" s="35"/>
      <c r="N50" s="182"/>
      <c r="O50" s="35"/>
      <c r="P50" s="182"/>
      <c r="Q50" s="35"/>
      <c r="R50" s="182"/>
    </row>
    <row r="51" spans="1:18" x14ac:dyDescent="0.2">
      <c r="A51" s="25"/>
      <c r="B51" s="25"/>
      <c r="C51" s="25" t="s">
        <v>102</v>
      </c>
      <c r="D51" s="25">
        <v>1</v>
      </c>
      <c r="E51" s="130"/>
      <c r="F51" s="224" t="s">
        <v>42</v>
      </c>
      <c r="G51" s="41">
        <v>26.25</v>
      </c>
      <c r="H51" s="131"/>
      <c r="I51" s="35">
        <v>26.25</v>
      </c>
      <c r="J51" s="200">
        <f t="shared" ref="J51:J56" si="12">E51*H51</f>
        <v>0</v>
      </c>
      <c r="K51" s="223">
        <v>0</v>
      </c>
      <c r="L51" s="212"/>
      <c r="M51" s="35">
        <v>0</v>
      </c>
      <c r="N51" s="200">
        <f t="shared" ref="N51:N56" si="13">J51*L51</f>
        <v>0</v>
      </c>
      <c r="O51" s="35">
        <v>26.25</v>
      </c>
      <c r="P51" s="200">
        <f t="shared" ref="P51:P56" si="14">+J51-N51</f>
        <v>0</v>
      </c>
      <c r="Q51" s="35">
        <v>2625</v>
      </c>
      <c r="R51" s="200">
        <f t="shared" ref="R51:R56" si="15">+J51*E$7</f>
        <v>0</v>
      </c>
    </row>
    <row r="52" spans="1:18" x14ac:dyDescent="0.2">
      <c r="A52" s="25"/>
      <c r="B52" s="25"/>
      <c r="C52" s="25" t="s">
        <v>46</v>
      </c>
      <c r="D52" s="25">
        <v>1</v>
      </c>
      <c r="E52" s="130"/>
      <c r="F52" s="224" t="s">
        <v>42</v>
      </c>
      <c r="G52" s="41">
        <v>20</v>
      </c>
      <c r="H52" s="131"/>
      <c r="I52" s="35">
        <v>20</v>
      </c>
      <c r="J52" s="200">
        <f t="shared" si="12"/>
        <v>0</v>
      </c>
      <c r="K52" s="223">
        <v>0</v>
      </c>
      <c r="L52" s="212"/>
      <c r="M52" s="35">
        <v>0</v>
      </c>
      <c r="N52" s="200">
        <f t="shared" si="13"/>
        <v>0</v>
      </c>
      <c r="O52" s="35">
        <v>20</v>
      </c>
      <c r="P52" s="200">
        <f t="shared" si="14"/>
        <v>0</v>
      </c>
      <c r="Q52" s="35">
        <v>2000</v>
      </c>
      <c r="R52" s="200">
        <f t="shared" si="15"/>
        <v>0</v>
      </c>
    </row>
    <row r="53" spans="1:18" x14ac:dyDescent="0.2">
      <c r="A53" s="25"/>
      <c r="B53" s="25"/>
      <c r="C53" s="25" t="s">
        <v>103</v>
      </c>
      <c r="D53" s="25">
        <v>1</v>
      </c>
      <c r="E53" s="130"/>
      <c r="F53" s="224" t="s">
        <v>42</v>
      </c>
      <c r="G53" s="41">
        <v>0</v>
      </c>
      <c r="H53" s="131"/>
      <c r="I53" s="35">
        <v>0</v>
      </c>
      <c r="J53" s="200">
        <f t="shared" si="12"/>
        <v>0</v>
      </c>
      <c r="K53" s="223">
        <v>0</v>
      </c>
      <c r="L53" s="212"/>
      <c r="M53" s="35">
        <v>0</v>
      </c>
      <c r="N53" s="200">
        <f t="shared" si="13"/>
        <v>0</v>
      </c>
      <c r="O53" s="35">
        <v>0</v>
      </c>
      <c r="P53" s="200">
        <f t="shared" si="14"/>
        <v>0</v>
      </c>
      <c r="Q53" s="35">
        <v>0</v>
      </c>
      <c r="R53" s="200">
        <f t="shared" si="15"/>
        <v>0</v>
      </c>
    </row>
    <row r="54" spans="1:18" x14ac:dyDescent="0.2">
      <c r="A54" s="25"/>
      <c r="B54" s="25"/>
      <c r="C54" s="25" t="s">
        <v>5</v>
      </c>
      <c r="D54" s="25">
        <v>1</v>
      </c>
      <c r="E54" s="130"/>
      <c r="F54" s="224" t="s">
        <v>42</v>
      </c>
      <c r="G54" s="41">
        <v>0</v>
      </c>
      <c r="H54" s="131"/>
      <c r="I54" s="35">
        <v>0</v>
      </c>
      <c r="J54" s="200">
        <f t="shared" si="12"/>
        <v>0</v>
      </c>
      <c r="K54" s="223">
        <v>0</v>
      </c>
      <c r="L54" s="212"/>
      <c r="M54" s="35">
        <v>0</v>
      </c>
      <c r="N54" s="200">
        <f t="shared" si="13"/>
        <v>0</v>
      </c>
      <c r="O54" s="35">
        <v>0</v>
      </c>
      <c r="P54" s="200">
        <f t="shared" si="14"/>
        <v>0</v>
      </c>
      <c r="Q54" s="35">
        <v>0</v>
      </c>
      <c r="R54" s="200">
        <f t="shared" si="15"/>
        <v>0</v>
      </c>
    </row>
    <row r="55" spans="1:18" x14ac:dyDescent="0.2">
      <c r="A55" s="25"/>
      <c r="B55" s="131"/>
      <c r="C55" s="131"/>
      <c r="D55" s="25"/>
      <c r="E55" s="130"/>
      <c r="F55" s="224"/>
      <c r="G55" s="41"/>
      <c r="H55" s="131"/>
      <c r="I55" s="35">
        <v>0</v>
      </c>
      <c r="J55" s="200">
        <f t="shared" si="12"/>
        <v>0</v>
      </c>
      <c r="K55" s="223">
        <v>0</v>
      </c>
      <c r="L55" s="212"/>
      <c r="M55" s="35">
        <v>0</v>
      </c>
      <c r="N55" s="200">
        <f t="shared" si="13"/>
        <v>0</v>
      </c>
      <c r="O55" s="35">
        <v>0</v>
      </c>
      <c r="P55" s="200">
        <f t="shared" si="14"/>
        <v>0</v>
      </c>
      <c r="Q55" s="35">
        <v>0</v>
      </c>
      <c r="R55" s="200">
        <f t="shared" si="15"/>
        <v>0</v>
      </c>
    </row>
    <row r="56" spans="1:18" x14ac:dyDescent="0.2">
      <c r="A56" s="25"/>
      <c r="B56" s="131"/>
      <c r="C56" s="131"/>
      <c r="D56" s="25"/>
      <c r="E56" s="130"/>
      <c r="F56" s="224"/>
      <c r="G56" s="41"/>
      <c r="H56" s="131"/>
      <c r="I56" s="35">
        <v>0</v>
      </c>
      <c r="J56" s="200">
        <f t="shared" si="12"/>
        <v>0</v>
      </c>
      <c r="K56" s="223">
        <v>0</v>
      </c>
      <c r="L56" s="212"/>
      <c r="M56" s="35">
        <v>0</v>
      </c>
      <c r="N56" s="200">
        <f t="shared" si="13"/>
        <v>0</v>
      </c>
      <c r="O56" s="35">
        <v>0</v>
      </c>
      <c r="P56" s="200">
        <f t="shared" si="14"/>
        <v>0</v>
      </c>
      <c r="Q56" s="35">
        <v>0</v>
      </c>
      <c r="R56" s="200">
        <f t="shared" si="15"/>
        <v>0</v>
      </c>
    </row>
    <row r="57" spans="1:18" ht="13.5" thickBot="1" x14ac:dyDescent="0.25">
      <c r="A57" s="25"/>
      <c r="B57" s="25" t="s">
        <v>32</v>
      </c>
      <c r="C57" s="25"/>
      <c r="D57" s="25"/>
      <c r="E57" s="195"/>
      <c r="F57" s="21"/>
      <c r="G57" s="39">
        <v>0.09</v>
      </c>
      <c r="H57" s="213"/>
      <c r="I57" s="42">
        <v>12.839025359589042</v>
      </c>
      <c r="J57" s="200">
        <f>+SUM(J17:J56)/2*H57</f>
        <v>0</v>
      </c>
      <c r="K57" s="86"/>
      <c r="L57" s="135"/>
      <c r="M57" s="42">
        <v>0</v>
      </c>
      <c r="N57" s="200">
        <f>+SUM(N17:N56)/2*L57</f>
        <v>0</v>
      </c>
      <c r="O57" s="42">
        <v>12.839025359589042</v>
      </c>
      <c r="P57" s="200">
        <f>+SUM(P17:P56)/2*L57</f>
        <v>0</v>
      </c>
      <c r="Q57" s="42">
        <v>1283.9025359589043</v>
      </c>
      <c r="R57" s="182">
        <f>+J57*E$7</f>
        <v>0</v>
      </c>
    </row>
    <row r="58" spans="1:18" ht="13.5" thickBot="1" x14ac:dyDescent="0.25">
      <c r="A58" s="25" t="s">
        <v>33</v>
      </c>
      <c r="B58" s="25"/>
      <c r="C58" s="25"/>
      <c r="D58" s="25"/>
      <c r="E58" s="198"/>
      <c r="F58" s="25"/>
      <c r="G58" s="25"/>
      <c r="H58" s="195"/>
      <c r="I58" s="87">
        <v>498.69308785958901</v>
      </c>
      <c r="J58" s="202">
        <f>SUM(J18:J57)</f>
        <v>0</v>
      </c>
      <c r="K58" s="35"/>
      <c r="L58" s="193"/>
      <c r="M58" s="87">
        <v>0</v>
      </c>
      <c r="N58" s="202">
        <f>SUM(N18:N57)</f>
        <v>0</v>
      </c>
      <c r="O58" s="87">
        <v>498.69308785958901</v>
      </c>
      <c r="P58" s="202">
        <f>SUM(P18:P57)</f>
        <v>0</v>
      </c>
      <c r="Q58" s="87">
        <v>49869.308785958907</v>
      </c>
      <c r="R58" s="202">
        <f>SUM(R18:R57)</f>
        <v>0</v>
      </c>
    </row>
    <row r="59" spans="1:18" ht="13.5" thickTop="1" x14ac:dyDescent="0.2">
      <c r="A59" s="25" t="s">
        <v>34</v>
      </c>
      <c r="B59" s="25"/>
      <c r="C59" s="25"/>
      <c r="D59" s="25"/>
      <c r="E59" s="198"/>
      <c r="F59" s="25"/>
      <c r="G59" s="25"/>
      <c r="H59" s="195"/>
      <c r="I59" s="35">
        <v>2101.306912140411</v>
      </c>
      <c r="J59" s="200">
        <f>+J13-J58</f>
        <v>0</v>
      </c>
      <c r="K59" s="35"/>
      <c r="L59" s="193"/>
      <c r="M59" s="35">
        <v>0</v>
      </c>
      <c r="N59" s="200">
        <f>+N13-N58</f>
        <v>0</v>
      </c>
      <c r="O59" s="35">
        <v>2101.306912140411</v>
      </c>
      <c r="P59" s="200">
        <f>+P13-P58</f>
        <v>0</v>
      </c>
      <c r="Q59" s="35">
        <v>210130.69121404109</v>
      </c>
      <c r="R59" s="200">
        <f>+R13-R58</f>
        <v>0</v>
      </c>
    </row>
    <row r="60" spans="1:18" x14ac:dyDescent="0.2">
      <c r="A60" s="25"/>
      <c r="B60" s="25" t="s">
        <v>35</v>
      </c>
      <c r="C60" s="25"/>
      <c r="D60" s="25"/>
      <c r="E60" s="208"/>
      <c r="F60" s="17"/>
      <c r="G60" s="40">
        <v>76.722013516859846</v>
      </c>
      <c r="H60" s="208" t="str">
        <f>IF(E10=0,"n/a",(YVarExp-(YTotExp+YTotRet-J10))/E10)</f>
        <v>n/a</v>
      </c>
      <c r="I60" s="25" t="s">
        <v>135</v>
      </c>
      <c r="J60" s="182"/>
      <c r="K60" s="25"/>
      <c r="L60" s="195"/>
      <c r="M60" s="25"/>
      <c r="N60" s="182"/>
      <c r="O60" s="25"/>
      <c r="P60" s="182"/>
      <c r="Q60" s="25"/>
      <c r="R60" s="182"/>
    </row>
    <row r="61" spans="1:18" x14ac:dyDescent="0.2">
      <c r="A61" s="25"/>
      <c r="B61" s="25"/>
      <c r="C61" s="25"/>
      <c r="D61" s="25"/>
      <c r="E61" s="176"/>
      <c r="F61" s="25"/>
      <c r="G61" s="25"/>
      <c r="H61" s="209"/>
      <c r="I61" s="25"/>
      <c r="J61" s="182"/>
      <c r="K61" s="25"/>
      <c r="L61" s="195"/>
      <c r="M61" s="25"/>
      <c r="N61" s="182"/>
      <c r="O61" s="25"/>
      <c r="P61" s="182"/>
      <c r="Q61" s="22" t="s">
        <v>19</v>
      </c>
      <c r="R61" s="182" t="s">
        <v>19</v>
      </c>
    </row>
    <row r="62" spans="1:18" x14ac:dyDescent="0.2">
      <c r="A62" s="23" t="s">
        <v>36</v>
      </c>
      <c r="B62" s="23"/>
      <c r="C62" s="23"/>
      <c r="D62" s="24" t="s">
        <v>2</v>
      </c>
      <c r="E62" s="194" t="s">
        <v>2</v>
      </c>
      <c r="F62" s="24" t="s">
        <v>21</v>
      </c>
      <c r="G62" s="24" t="s">
        <v>22</v>
      </c>
      <c r="H62" s="194" t="s">
        <v>22</v>
      </c>
      <c r="I62" s="24" t="s">
        <v>12</v>
      </c>
      <c r="J62" s="194" t="s">
        <v>12</v>
      </c>
      <c r="K62" s="24" t="s">
        <v>11</v>
      </c>
      <c r="L62" s="194" t="s">
        <v>11</v>
      </c>
      <c r="M62" s="24" t="s">
        <v>10</v>
      </c>
      <c r="N62" s="194" t="s">
        <v>10</v>
      </c>
      <c r="O62" s="24" t="s">
        <v>9</v>
      </c>
      <c r="P62" s="194" t="s">
        <v>9</v>
      </c>
      <c r="Q62" s="24" t="s">
        <v>12</v>
      </c>
      <c r="R62" s="206" t="s">
        <v>12</v>
      </c>
    </row>
    <row r="63" spans="1:18" x14ac:dyDescent="0.2">
      <c r="A63" s="25"/>
      <c r="B63" s="25" t="s">
        <v>104</v>
      </c>
      <c r="C63" s="25"/>
      <c r="D63" s="25"/>
      <c r="E63" s="176"/>
      <c r="F63" s="25"/>
      <c r="G63" s="25"/>
      <c r="H63" s="209"/>
      <c r="I63" s="184"/>
      <c r="J63" s="182"/>
      <c r="K63" s="223"/>
      <c r="L63" s="195"/>
      <c r="M63" s="25"/>
      <c r="N63" s="182"/>
      <c r="O63" s="25"/>
      <c r="P63" s="182"/>
      <c r="Q63" s="25"/>
      <c r="R63" s="182"/>
    </row>
    <row r="64" spans="1:18" x14ac:dyDescent="0.2">
      <c r="A64" s="25"/>
      <c r="B64" s="25"/>
      <c r="C64" s="25" t="s">
        <v>102</v>
      </c>
      <c r="D64" s="25">
        <v>1</v>
      </c>
      <c r="E64" s="130"/>
      <c r="F64" s="224" t="s">
        <v>42</v>
      </c>
      <c r="G64" s="41">
        <v>38.113750000000003</v>
      </c>
      <c r="H64" s="131"/>
      <c r="I64" s="35">
        <v>38.113750000000003</v>
      </c>
      <c r="J64" s="200">
        <f t="shared" ref="J64:J65" si="16">E64*H64</f>
        <v>0</v>
      </c>
      <c r="K64" s="223">
        <v>0</v>
      </c>
      <c r="L64" s="212"/>
      <c r="M64" s="35">
        <v>0</v>
      </c>
      <c r="N64" s="200">
        <f>J64*L64</f>
        <v>0</v>
      </c>
      <c r="O64" s="35">
        <v>38.113750000000003</v>
      </c>
      <c r="P64" s="200">
        <f t="shared" ref="P64:P65" si="17">+J64-N64</f>
        <v>0</v>
      </c>
      <c r="Q64" s="35">
        <v>3811.3750000000005</v>
      </c>
      <c r="R64" s="200">
        <f t="shared" ref="R64:R65" si="18">+J64*E$7</f>
        <v>0</v>
      </c>
    </row>
    <row r="65" spans="1:18" x14ac:dyDescent="0.2">
      <c r="A65" s="25"/>
      <c r="B65" s="25"/>
      <c r="C65" s="25" t="s">
        <v>46</v>
      </c>
      <c r="D65" s="25">
        <v>1</v>
      </c>
      <c r="E65" s="130"/>
      <c r="F65" s="224" t="s">
        <v>42</v>
      </c>
      <c r="G65" s="41">
        <v>18</v>
      </c>
      <c r="H65" s="131"/>
      <c r="I65" s="35">
        <v>18</v>
      </c>
      <c r="J65" s="200">
        <f t="shared" si="16"/>
        <v>0</v>
      </c>
      <c r="K65" s="223">
        <v>0</v>
      </c>
      <c r="L65" s="212"/>
      <c r="M65" s="35">
        <v>0</v>
      </c>
      <c r="N65" s="200">
        <f>J65*L65</f>
        <v>0</v>
      </c>
      <c r="O65" s="35">
        <v>18</v>
      </c>
      <c r="P65" s="200">
        <f t="shared" si="17"/>
        <v>0</v>
      </c>
      <c r="Q65" s="35">
        <v>1800</v>
      </c>
      <c r="R65" s="200">
        <f t="shared" si="18"/>
        <v>0</v>
      </c>
    </row>
    <row r="66" spans="1:18" x14ac:dyDescent="0.2">
      <c r="A66" s="25"/>
      <c r="B66" s="25" t="s">
        <v>88</v>
      </c>
      <c r="C66" s="25"/>
      <c r="D66" s="25"/>
      <c r="E66" s="195"/>
      <c r="F66" s="21"/>
      <c r="G66" s="41"/>
      <c r="H66" s="195"/>
      <c r="I66" s="184"/>
      <c r="J66" s="182"/>
      <c r="K66" s="223"/>
      <c r="L66" s="195"/>
      <c r="M66" s="35"/>
      <c r="N66" s="182"/>
      <c r="O66" s="35"/>
      <c r="P66" s="182"/>
      <c r="Q66" s="35"/>
      <c r="R66" s="182"/>
    </row>
    <row r="67" spans="1:18" x14ac:dyDescent="0.2">
      <c r="A67" s="25"/>
      <c r="B67" s="25"/>
      <c r="C67" s="25" t="s">
        <v>102</v>
      </c>
      <c r="D67" s="41">
        <v>296.93124999999998</v>
      </c>
      <c r="E67" s="130"/>
      <c r="F67" s="224" t="s">
        <v>99</v>
      </c>
      <c r="G67" s="39">
        <v>0.08</v>
      </c>
      <c r="H67" s="213"/>
      <c r="I67" s="35">
        <v>23.7545</v>
      </c>
      <c r="J67" s="200">
        <f t="shared" ref="J67:J75" si="19">E67*H67</f>
        <v>0</v>
      </c>
      <c r="K67" s="223">
        <v>0</v>
      </c>
      <c r="L67" s="212"/>
      <c r="M67" s="35">
        <v>0</v>
      </c>
      <c r="N67" s="200">
        <f>J67*L67</f>
        <v>0</v>
      </c>
      <c r="O67" s="35">
        <v>23.7545</v>
      </c>
      <c r="P67" s="200">
        <f t="shared" ref="P67:P68" si="20">+J67-N67</f>
        <v>0</v>
      </c>
      <c r="Q67" s="35">
        <v>2375.4499999999998</v>
      </c>
      <c r="R67" s="200">
        <f t="shared" ref="R67:R68" si="21">+J67*E$7</f>
        <v>0</v>
      </c>
    </row>
    <row r="68" spans="1:18" x14ac:dyDescent="0.2">
      <c r="A68" s="25"/>
      <c r="B68" s="25"/>
      <c r="C68" s="25" t="s">
        <v>46</v>
      </c>
      <c r="D68" s="41">
        <v>525</v>
      </c>
      <c r="E68" s="130"/>
      <c r="F68" s="224" t="s">
        <v>99</v>
      </c>
      <c r="G68" s="39">
        <v>0.08</v>
      </c>
      <c r="H68" s="213"/>
      <c r="I68" s="35">
        <v>42</v>
      </c>
      <c r="J68" s="200">
        <f t="shared" si="19"/>
        <v>0</v>
      </c>
      <c r="K68" s="223">
        <v>0</v>
      </c>
      <c r="L68" s="212"/>
      <c r="M68" s="35">
        <v>0</v>
      </c>
      <c r="N68" s="200">
        <f>J68*L68</f>
        <v>0</v>
      </c>
      <c r="O68" s="35">
        <v>42</v>
      </c>
      <c r="P68" s="200">
        <f t="shared" si="20"/>
        <v>0</v>
      </c>
      <c r="Q68" s="35">
        <v>4200</v>
      </c>
      <c r="R68" s="200">
        <f t="shared" si="21"/>
        <v>0</v>
      </c>
    </row>
    <row r="69" spans="1:18" x14ac:dyDescent="0.2">
      <c r="A69" s="25"/>
      <c r="B69" s="25" t="s">
        <v>156</v>
      </c>
      <c r="C69" s="25"/>
      <c r="D69" s="25">
        <v>1</v>
      </c>
      <c r="E69" s="130"/>
      <c r="F69" s="224" t="s">
        <v>42</v>
      </c>
      <c r="G69" s="41">
        <v>0</v>
      </c>
      <c r="H69" s="131"/>
      <c r="I69" s="35">
        <v>0</v>
      </c>
      <c r="J69" s="200">
        <f t="shared" si="19"/>
        <v>0</v>
      </c>
      <c r="K69" s="223">
        <v>0</v>
      </c>
      <c r="L69" s="212"/>
      <c r="M69" s="35">
        <v>0</v>
      </c>
      <c r="N69" s="200">
        <f t="shared" ref="N69:N76" si="22">J69*L69</f>
        <v>0</v>
      </c>
      <c r="O69" s="35">
        <v>0</v>
      </c>
      <c r="P69" s="200">
        <f t="shared" ref="P69:P76" si="23">+J69-N69</f>
        <v>0</v>
      </c>
      <c r="Q69" s="35">
        <v>0</v>
      </c>
      <c r="R69" s="200">
        <f t="shared" ref="R69:R76" si="24">+J69*E$7</f>
        <v>0</v>
      </c>
    </row>
    <row r="70" spans="1:18" x14ac:dyDescent="0.2">
      <c r="A70" s="25"/>
      <c r="B70" s="25" t="s">
        <v>152</v>
      </c>
      <c r="C70" s="25"/>
      <c r="D70" s="25">
        <v>1</v>
      </c>
      <c r="E70" s="130"/>
      <c r="F70" s="224" t="s">
        <v>42</v>
      </c>
      <c r="G70" s="41">
        <v>0</v>
      </c>
      <c r="H70" s="131"/>
      <c r="I70" s="35">
        <v>0</v>
      </c>
      <c r="J70" s="200">
        <f t="shared" si="19"/>
        <v>0</v>
      </c>
      <c r="K70" s="223">
        <v>0</v>
      </c>
      <c r="L70" s="212"/>
      <c r="M70" s="35">
        <v>0</v>
      </c>
      <c r="N70" s="200">
        <f t="shared" si="22"/>
        <v>0</v>
      </c>
      <c r="O70" s="35">
        <v>0</v>
      </c>
      <c r="P70" s="200">
        <f t="shared" si="23"/>
        <v>0</v>
      </c>
      <c r="Q70" s="35">
        <v>0</v>
      </c>
      <c r="R70" s="200">
        <f t="shared" si="24"/>
        <v>0</v>
      </c>
    </row>
    <row r="71" spans="1:18" x14ac:dyDescent="0.2">
      <c r="A71" s="25"/>
      <c r="B71" s="25" t="s">
        <v>137</v>
      </c>
      <c r="C71" s="25"/>
      <c r="D71" s="25">
        <v>1</v>
      </c>
      <c r="E71" s="130"/>
      <c r="F71" s="224" t="s">
        <v>42</v>
      </c>
      <c r="G71" s="41">
        <v>85.66</v>
      </c>
      <c r="H71" s="131"/>
      <c r="I71" s="35">
        <v>85.66</v>
      </c>
      <c r="J71" s="200">
        <f t="shared" si="19"/>
        <v>0</v>
      </c>
      <c r="K71" s="223">
        <v>0</v>
      </c>
      <c r="L71" s="212"/>
      <c r="M71" s="35">
        <v>0</v>
      </c>
      <c r="N71" s="200">
        <f t="shared" si="22"/>
        <v>0</v>
      </c>
      <c r="O71" s="35">
        <v>85.66</v>
      </c>
      <c r="P71" s="200">
        <f t="shared" si="23"/>
        <v>0</v>
      </c>
      <c r="Q71" s="35">
        <v>8566</v>
      </c>
      <c r="R71" s="200">
        <f t="shared" si="24"/>
        <v>0</v>
      </c>
    </row>
    <row r="72" spans="1:18" x14ac:dyDescent="0.2">
      <c r="A72" s="25"/>
      <c r="B72" s="25" t="s">
        <v>416</v>
      </c>
      <c r="C72" s="25"/>
      <c r="D72" s="25">
        <v>1</v>
      </c>
      <c r="E72" s="130"/>
      <c r="F72" s="224" t="s">
        <v>42</v>
      </c>
      <c r="G72" s="41">
        <v>90</v>
      </c>
      <c r="H72" s="131"/>
      <c r="I72" s="35">
        <v>90</v>
      </c>
      <c r="J72" s="200">
        <f t="shared" si="19"/>
        <v>0</v>
      </c>
      <c r="K72" s="223">
        <v>0</v>
      </c>
      <c r="L72" s="212"/>
      <c r="M72" s="35">
        <v>0</v>
      </c>
      <c r="N72" s="200">
        <f t="shared" si="22"/>
        <v>0</v>
      </c>
      <c r="O72" s="35">
        <v>90</v>
      </c>
      <c r="P72" s="200">
        <f t="shared" si="23"/>
        <v>0</v>
      </c>
      <c r="Q72" s="35">
        <v>9000</v>
      </c>
      <c r="R72" s="200">
        <f t="shared" si="24"/>
        <v>0</v>
      </c>
    </row>
    <row r="73" spans="1:18" x14ac:dyDescent="0.2">
      <c r="A73" s="25"/>
      <c r="B73" s="25" t="s">
        <v>159</v>
      </c>
      <c r="C73" s="25"/>
      <c r="D73" s="25">
        <v>1</v>
      </c>
      <c r="E73" s="130"/>
      <c r="F73" s="224" t="s">
        <v>42</v>
      </c>
      <c r="G73" s="41">
        <v>0</v>
      </c>
      <c r="H73" s="131"/>
      <c r="I73" s="35">
        <v>0</v>
      </c>
      <c r="J73" s="200">
        <f t="shared" si="19"/>
        <v>0</v>
      </c>
      <c r="K73" s="223">
        <v>0</v>
      </c>
      <c r="L73" s="212"/>
      <c r="M73" s="35">
        <v>0</v>
      </c>
      <c r="N73" s="200">
        <f t="shared" si="22"/>
        <v>0</v>
      </c>
      <c r="O73" s="35">
        <v>0</v>
      </c>
      <c r="P73" s="200">
        <f t="shared" si="23"/>
        <v>0</v>
      </c>
      <c r="Q73" s="35">
        <v>0</v>
      </c>
      <c r="R73" s="200">
        <f t="shared" si="24"/>
        <v>0</v>
      </c>
    </row>
    <row r="74" spans="1:18" x14ac:dyDescent="0.2">
      <c r="A74" s="25"/>
      <c r="B74" s="25" t="s">
        <v>160</v>
      </c>
      <c r="C74" s="25"/>
      <c r="D74" s="25">
        <v>1</v>
      </c>
      <c r="E74" s="130"/>
      <c r="F74" s="224" t="s">
        <v>42</v>
      </c>
      <c r="G74" s="41">
        <v>0</v>
      </c>
      <c r="H74" s="131"/>
      <c r="I74" s="35">
        <v>0</v>
      </c>
      <c r="J74" s="200">
        <f t="shared" si="19"/>
        <v>0</v>
      </c>
      <c r="K74" s="223">
        <v>0</v>
      </c>
      <c r="L74" s="212"/>
      <c r="M74" s="35">
        <v>0</v>
      </c>
      <c r="N74" s="200">
        <f t="shared" si="22"/>
        <v>0</v>
      </c>
      <c r="O74" s="35">
        <v>0</v>
      </c>
      <c r="P74" s="200">
        <f t="shared" si="23"/>
        <v>0</v>
      </c>
      <c r="Q74" s="35">
        <v>0</v>
      </c>
      <c r="R74" s="200">
        <f t="shared" si="24"/>
        <v>0</v>
      </c>
    </row>
    <row r="75" spans="1:18" x14ac:dyDescent="0.2">
      <c r="A75" s="25"/>
      <c r="B75" s="131"/>
      <c r="C75" s="131"/>
      <c r="D75" s="25">
        <v>1</v>
      </c>
      <c r="E75" s="130"/>
      <c r="F75" s="224"/>
      <c r="G75" s="41">
        <v>0</v>
      </c>
      <c r="H75" s="131"/>
      <c r="I75" s="35">
        <v>0</v>
      </c>
      <c r="J75" s="200">
        <f t="shared" si="19"/>
        <v>0</v>
      </c>
      <c r="K75" s="223">
        <v>0</v>
      </c>
      <c r="L75" s="212"/>
      <c r="M75" s="35">
        <v>0</v>
      </c>
      <c r="N75" s="200">
        <f t="shared" si="22"/>
        <v>0</v>
      </c>
      <c r="O75" s="35">
        <v>0</v>
      </c>
      <c r="P75" s="200">
        <f t="shared" si="23"/>
        <v>0</v>
      </c>
      <c r="Q75" s="35">
        <v>0</v>
      </c>
      <c r="R75" s="200">
        <f t="shared" si="24"/>
        <v>0</v>
      </c>
    </row>
    <row r="76" spans="1:18" ht="13.5" thickBot="1" x14ac:dyDescent="0.25">
      <c r="A76" s="25"/>
      <c r="B76" s="131"/>
      <c r="C76" s="131"/>
      <c r="D76" s="25">
        <v>1</v>
      </c>
      <c r="E76" s="130"/>
      <c r="F76" s="224"/>
      <c r="G76" s="41">
        <v>0</v>
      </c>
      <c r="H76" s="131"/>
      <c r="I76" s="35">
        <v>0</v>
      </c>
      <c r="J76" s="200">
        <f>E76*H76</f>
        <v>0</v>
      </c>
      <c r="K76" s="223">
        <v>0</v>
      </c>
      <c r="L76" s="212"/>
      <c r="M76" s="35">
        <v>0</v>
      </c>
      <c r="N76" s="200">
        <f t="shared" si="22"/>
        <v>0</v>
      </c>
      <c r="O76" s="35">
        <v>0</v>
      </c>
      <c r="P76" s="200">
        <f t="shared" si="23"/>
        <v>0</v>
      </c>
      <c r="Q76" s="35">
        <v>0</v>
      </c>
      <c r="R76" s="200">
        <f t="shared" si="24"/>
        <v>0</v>
      </c>
    </row>
    <row r="77" spans="1:18" ht="13.5" thickBot="1" x14ac:dyDescent="0.25">
      <c r="A77" s="25" t="s">
        <v>37</v>
      </c>
      <c r="B77" s="25"/>
      <c r="C77" s="25"/>
      <c r="D77" s="25"/>
      <c r="E77" s="195"/>
      <c r="F77" s="25"/>
      <c r="G77" s="25"/>
      <c r="H77" s="195"/>
      <c r="I77" s="118">
        <v>297.52825000000001</v>
      </c>
      <c r="J77" s="202">
        <f>+SUM(J64:J76)</f>
        <v>0</v>
      </c>
      <c r="K77" s="35"/>
      <c r="L77" s="193"/>
      <c r="M77" s="118">
        <v>0</v>
      </c>
      <c r="N77" s="202">
        <f>+SUM(N64:N76)</f>
        <v>0</v>
      </c>
      <c r="O77" s="118">
        <v>297.52825000000001</v>
      </c>
      <c r="P77" s="202">
        <f>+SUM(P64:P76)</f>
        <v>0</v>
      </c>
      <c r="Q77" s="118">
        <v>29752.825000000001</v>
      </c>
      <c r="R77" s="202">
        <f>+SUM(R64:R76)</f>
        <v>0</v>
      </c>
    </row>
    <row r="78" spans="1:18" ht="14.25" thickTop="1" thickBot="1" x14ac:dyDescent="0.25">
      <c r="A78" s="25" t="s">
        <v>52</v>
      </c>
      <c r="B78" s="25"/>
      <c r="C78" s="25"/>
      <c r="D78" s="25"/>
      <c r="E78" s="195"/>
      <c r="F78" s="25"/>
      <c r="G78" s="25"/>
      <c r="H78" s="195"/>
      <c r="I78" s="87">
        <v>796.22133785958908</v>
      </c>
      <c r="J78" s="203">
        <f>+J58+J77</f>
        <v>0</v>
      </c>
      <c r="K78" s="35"/>
      <c r="L78" s="193"/>
      <c r="M78" s="87">
        <v>0</v>
      </c>
      <c r="N78" s="203">
        <f>+N58+N77</f>
        <v>0</v>
      </c>
      <c r="O78" s="87">
        <v>796.22133785958908</v>
      </c>
      <c r="P78" s="203">
        <f>+P58+P77</f>
        <v>0</v>
      </c>
      <c r="Q78" s="87">
        <v>79622.133785958911</v>
      </c>
      <c r="R78" s="203">
        <f>+R58+R77</f>
        <v>0</v>
      </c>
    </row>
    <row r="79" spans="1:18" ht="13.5" thickTop="1" x14ac:dyDescent="0.2">
      <c r="A79" s="25"/>
      <c r="B79" s="25"/>
      <c r="C79" s="25"/>
      <c r="D79" s="25"/>
      <c r="E79" s="195"/>
      <c r="F79" s="25"/>
      <c r="G79" s="25"/>
      <c r="H79" s="195"/>
      <c r="I79" s="35"/>
      <c r="J79" s="182"/>
      <c r="K79" s="35"/>
      <c r="L79" s="193"/>
      <c r="M79" s="35"/>
      <c r="N79" s="182"/>
      <c r="O79" s="35"/>
      <c r="P79" s="182"/>
      <c r="Q79" s="35"/>
      <c r="R79" s="182"/>
    </row>
    <row r="80" spans="1:18" x14ac:dyDescent="0.2">
      <c r="A80" s="25" t="s">
        <v>153</v>
      </c>
      <c r="B80" s="25"/>
      <c r="C80" s="25"/>
      <c r="D80" s="25"/>
      <c r="E80" s="195"/>
      <c r="F80" s="25"/>
      <c r="G80" s="25"/>
      <c r="H80" s="195"/>
      <c r="I80" s="35">
        <v>1803.7786621404109</v>
      </c>
      <c r="J80" s="200">
        <f>+J13-J78</f>
        <v>0</v>
      </c>
      <c r="K80" s="35"/>
      <c r="L80" s="193"/>
      <c r="M80" s="35">
        <v>0</v>
      </c>
      <c r="N80" s="200">
        <f>+N13-N78</f>
        <v>0</v>
      </c>
      <c r="O80" s="35">
        <v>1803.7786621404109</v>
      </c>
      <c r="P80" s="200">
        <f>+P13-P78</f>
        <v>0</v>
      </c>
      <c r="Q80" s="35">
        <v>180377.86621404107</v>
      </c>
      <c r="R80" s="200">
        <f>+R13-R78</f>
        <v>0</v>
      </c>
    </row>
    <row r="81" spans="1:18" x14ac:dyDescent="0.2">
      <c r="A81" s="25"/>
      <c r="B81" s="25"/>
      <c r="C81" s="25"/>
      <c r="D81" s="25"/>
      <c r="E81" s="195"/>
      <c r="F81" s="25"/>
      <c r="G81" s="25"/>
      <c r="H81" s="195"/>
      <c r="I81" s="35"/>
      <c r="J81" s="204"/>
      <c r="K81" s="35"/>
      <c r="L81" s="193"/>
      <c r="M81" s="35"/>
      <c r="N81" s="193"/>
      <c r="O81" s="35"/>
      <c r="P81" s="193"/>
      <c r="Q81" s="35"/>
      <c r="R81" s="204"/>
    </row>
    <row r="82" spans="1:18" ht="13.5" thickBot="1" x14ac:dyDescent="0.25">
      <c r="A82" s="44" t="s">
        <v>38</v>
      </c>
      <c r="B82" s="44"/>
      <c r="C82" s="44"/>
      <c r="D82" s="44"/>
      <c r="E82" s="199"/>
      <c r="F82" s="44"/>
      <c r="G82" s="45">
        <v>122.49559043993678</v>
      </c>
      <c r="H82" s="210" t="str">
        <f>IF(E10=0,"n/a",(YTotExp-(YTotExp+YTotRet-J10))/E10)</f>
        <v>n/a</v>
      </c>
      <c r="I82" s="44" t="s">
        <v>135</v>
      </c>
      <c r="J82" s="205"/>
      <c r="K82" s="44"/>
      <c r="L82" s="199"/>
      <c r="M82" s="44"/>
      <c r="N82" s="199"/>
      <c r="O82" s="44"/>
      <c r="P82" s="199"/>
      <c r="Q82" s="44"/>
      <c r="R82" s="205"/>
    </row>
    <row r="83" spans="1:18" ht="13.5" thickTop="1" x14ac:dyDescent="0.2"/>
    <row r="84" spans="1:18" s="17" customFormat="1" ht="15.75" x14ac:dyDescent="0.25">
      <c r="A84"/>
      <c r="B84" s="88"/>
      <c r="C84" s="89"/>
      <c r="D84" s="234" t="s">
        <v>113</v>
      </c>
      <c r="E84" s="235"/>
      <c r="F84" s="235"/>
      <c r="G84" s="235"/>
      <c r="H84" s="235"/>
      <c r="I84" s="235"/>
      <c r="J84" s="99"/>
      <c r="K84" s="99"/>
      <c r="M84"/>
      <c r="N84"/>
    </row>
    <row r="85" spans="1:18" s="17" customFormat="1" ht="15.75" x14ac:dyDescent="0.25">
      <c r="A85"/>
      <c r="B85" s="19" t="s">
        <v>114</v>
      </c>
      <c r="C85" s="19" t="s">
        <v>114</v>
      </c>
      <c r="D85" s="123" t="s">
        <v>170</v>
      </c>
      <c r="E85" s="18"/>
      <c r="F85" s="18"/>
      <c r="G85" s="123" t="s">
        <v>170</v>
      </c>
      <c r="H85" s="18"/>
      <c r="I85" s="18"/>
      <c r="J85" s="18"/>
      <c r="K85" s="18"/>
      <c r="M85"/>
      <c r="N85"/>
    </row>
    <row r="86" spans="1:18" s="17" customFormat="1" x14ac:dyDescent="0.2">
      <c r="A86"/>
      <c r="B86" s="19" t="s">
        <v>80</v>
      </c>
      <c r="C86" s="19" t="s">
        <v>80</v>
      </c>
      <c r="D86" s="123" t="s">
        <v>157</v>
      </c>
      <c r="E86" s="119"/>
      <c r="F86" s="119"/>
      <c r="G86" s="123" t="s">
        <v>12</v>
      </c>
      <c r="H86" s="119"/>
      <c r="I86" s="119"/>
      <c r="J86" s="119"/>
      <c r="K86" s="119"/>
      <c r="M86"/>
      <c r="N86"/>
    </row>
    <row r="87" spans="1:18" s="17" customFormat="1" x14ac:dyDescent="0.2">
      <c r="A87"/>
      <c r="B87" s="19" t="s">
        <v>30</v>
      </c>
      <c r="C87" s="99" t="s">
        <v>135</v>
      </c>
      <c r="D87" s="123" t="s">
        <v>98</v>
      </c>
      <c r="E87" s="119"/>
      <c r="F87" s="119"/>
      <c r="G87" s="123" t="s">
        <v>98</v>
      </c>
      <c r="H87" s="19"/>
      <c r="I87" s="19"/>
      <c r="J87" s="19"/>
      <c r="K87" s="19"/>
      <c r="M87"/>
      <c r="N87"/>
    </row>
    <row r="88" spans="1:18" s="17" customFormat="1" x14ac:dyDescent="0.2">
      <c r="A88"/>
      <c r="B88" s="90">
        <v>0.75</v>
      </c>
      <c r="C88" s="91">
        <v>4.875</v>
      </c>
      <c r="D88" s="92">
        <v>102.2960180224798</v>
      </c>
      <c r="E88" s="93"/>
      <c r="F88" s="94"/>
      <c r="G88" s="92">
        <v>163.32745391991571</v>
      </c>
      <c r="H88" s="93"/>
      <c r="I88" s="93"/>
      <c r="M88"/>
      <c r="N88"/>
    </row>
    <row r="89" spans="1:18" s="17" customFormat="1" x14ac:dyDescent="0.2">
      <c r="A89"/>
      <c r="B89" s="95">
        <v>0.9</v>
      </c>
      <c r="C89" s="96">
        <v>5.8500000000000005</v>
      </c>
      <c r="D89" s="97">
        <v>85.246681685399821</v>
      </c>
      <c r="E89" s="83"/>
      <c r="F89" s="98"/>
      <c r="G89" s="97">
        <v>136.10621159992974</v>
      </c>
      <c r="H89" s="83"/>
      <c r="I89" s="83"/>
      <c r="M89"/>
      <c r="N89"/>
    </row>
    <row r="90" spans="1:18" s="17" customFormat="1" x14ac:dyDescent="0.2">
      <c r="A90"/>
      <c r="B90" s="90">
        <v>1</v>
      </c>
      <c r="C90" s="91">
        <v>6.5</v>
      </c>
      <c r="D90" s="92">
        <v>76.722013516859846</v>
      </c>
      <c r="E90" s="93"/>
      <c r="F90" s="94"/>
      <c r="G90" s="92">
        <v>122.49559043993678</v>
      </c>
      <c r="H90" s="93"/>
      <c r="I90" s="93"/>
      <c r="M90"/>
      <c r="N90"/>
    </row>
    <row r="91" spans="1:18" s="17" customFormat="1" x14ac:dyDescent="0.2">
      <c r="A91"/>
      <c r="B91" s="95">
        <v>1.1000000000000001</v>
      </c>
      <c r="C91" s="96">
        <v>7.15</v>
      </c>
      <c r="D91" s="97">
        <v>69.747285015327137</v>
      </c>
      <c r="E91" s="83"/>
      <c r="F91" s="98"/>
      <c r="G91" s="97">
        <v>111.3596276726698</v>
      </c>
      <c r="H91" s="83"/>
      <c r="I91" s="83"/>
      <c r="M91"/>
      <c r="N91"/>
    </row>
    <row r="92" spans="1:18" s="17" customFormat="1" x14ac:dyDescent="0.2">
      <c r="A92"/>
      <c r="B92" s="90">
        <v>1.25</v>
      </c>
      <c r="C92" s="91">
        <v>8.125</v>
      </c>
      <c r="D92" s="92">
        <v>61.377610813487877</v>
      </c>
      <c r="E92" s="93"/>
      <c r="F92" s="94"/>
      <c r="G92" s="92">
        <v>97.996472351949421</v>
      </c>
      <c r="H92" s="93"/>
      <c r="I92" s="93"/>
      <c r="M92"/>
      <c r="N92"/>
    </row>
    <row r="93" spans="1:18" s="17" customFormat="1" x14ac:dyDescent="0.2">
      <c r="A93"/>
      <c r="M93"/>
      <c r="N93"/>
    </row>
    <row r="94" spans="1:18" x14ac:dyDescent="0.2">
      <c r="A94" s="25" t="s">
        <v>434</v>
      </c>
      <c r="B94" s="17"/>
      <c r="C94" s="17"/>
      <c r="D94" s="17"/>
      <c r="E94" s="17"/>
      <c r="F94" s="17"/>
      <c r="G94" s="17"/>
      <c r="H94" s="17"/>
      <c r="I94" s="17"/>
      <c r="J94" s="28"/>
      <c r="K94" s="17"/>
      <c r="L94" s="17"/>
      <c r="M94" s="17"/>
      <c r="N94" s="17"/>
      <c r="O94" s="17"/>
      <c r="P94" s="17"/>
      <c r="Q94" s="17"/>
    </row>
    <row r="95" spans="1:18" x14ac:dyDescent="0.2">
      <c r="A95" s="17"/>
      <c r="B95" s="17"/>
      <c r="C95" s="17"/>
      <c r="D95" s="17"/>
      <c r="E95" s="17"/>
      <c r="F95" s="17"/>
      <c r="G95" s="17"/>
      <c r="H95" s="17"/>
      <c r="I95" s="17"/>
      <c r="J95" s="28"/>
      <c r="K95" s="17"/>
      <c r="L95" s="17"/>
      <c r="M95" s="17"/>
      <c r="N95" s="17"/>
      <c r="O95" s="17"/>
      <c r="P95" s="17"/>
      <c r="Q95" s="17"/>
    </row>
    <row r="96" spans="1:18" ht="26.25" customHeight="1" x14ac:dyDescent="0.2">
      <c r="A96" s="236" t="s">
        <v>140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19"/>
      <c r="N96" s="219"/>
      <c r="O96" s="219"/>
      <c r="P96" s="219"/>
      <c r="Q96" s="219"/>
      <c r="R96" s="219"/>
    </row>
  </sheetData>
  <sheetProtection sheet="1" objects="1" scenarios="1"/>
  <mergeCells count="6">
    <mergeCell ref="D84:I84"/>
    <mergeCell ref="A96:L96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1">
    <tabColor rgb="FF92D050"/>
    <pageSetUpPr fitToPage="1"/>
  </sheetPr>
  <dimension ref="A1:S96"/>
  <sheetViews>
    <sheetView showGridLines="0" workbookViewId="0">
      <selection activeCell="E7" sqref="E7"/>
    </sheetView>
  </sheetViews>
  <sheetFormatPr defaultColWidth="9.140625" defaultRowHeight="12.75" x14ac:dyDescent="0.2"/>
  <cols>
    <col min="1" max="1" width="3.42578125" customWidth="1"/>
    <col min="2" max="2" width="6.42578125" customWidth="1"/>
    <col min="3" max="3" width="31.42578125" customWidth="1"/>
    <col min="4" max="5" width="10.42578125" customWidth="1"/>
    <col min="6" max="6" width="10.5703125" customWidth="1"/>
    <col min="7" max="7" width="9.5703125" customWidth="1"/>
    <col min="8" max="8" width="9.140625" customWidth="1"/>
    <col min="9" max="9" width="13.140625" customWidth="1"/>
    <col min="10" max="10" width="11.5703125" style="83" customWidth="1"/>
    <col min="11" max="16" width="11.5703125" customWidth="1"/>
    <col min="17" max="17" width="15.5703125" customWidth="1"/>
    <col min="18" max="18" width="12.42578125" customWidth="1"/>
    <col min="22" max="22" width="9.140625" customWidth="1"/>
  </cols>
  <sheetData>
    <row r="1" spans="1:19" ht="12" customHeight="1" x14ac:dyDescent="0.2">
      <c r="A1" s="238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20"/>
      <c r="N1" s="220"/>
      <c r="O1" s="220"/>
      <c r="P1" s="220"/>
      <c r="Q1" s="220"/>
      <c r="R1" s="220"/>
    </row>
    <row r="2" spans="1:19" x14ac:dyDescent="0.2">
      <c r="A2" s="239" t="s">
        <v>484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1"/>
      <c r="N2" s="221"/>
      <c r="O2" s="221"/>
      <c r="P2" s="221"/>
      <c r="Q2" s="221"/>
      <c r="R2" s="221"/>
    </row>
    <row r="3" spans="1:19" x14ac:dyDescent="0.2">
      <c r="A3" s="240" t="s">
        <v>425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22"/>
      <c r="N3" s="222"/>
      <c r="O3" s="222"/>
      <c r="P3" s="222"/>
      <c r="Q3" s="222"/>
      <c r="R3" s="222"/>
    </row>
    <row r="4" spans="1:19" x14ac:dyDescent="0.2">
      <c r="A4" s="241" t="s">
        <v>485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105"/>
      <c r="N4" s="105"/>
      <c r="O4" s="105"/>
      <c r="P4" s="105"/>
      <c r="Q4" s="105"/>
      <c r="R4" s="105"/>
    </row>
    <row r="5" spans="1:19" x14ac:dyDescent="0.2">
      <c r="A5" s="120" t="s">
        <v>482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84"/>
      <c r="N5" s="84"/>
      <c r="O5" s="84"/>
      <c r="P5" s="84"/>
    </row>
    <row r="6" spans="1:19" x14ac:dyDescent="0.2">
      <c r="A6" s="105"/>
      <c r="B6" s="22"/>
      <c r="C6" s="22"/>
      <c r="D6" s="22"/>
      <c r="E6" s="188" t="s">
        <v>76</v>
      </c>
      <c r="F6" s="22"/>
      <c r="G6" s="22"/>
      <c r="H6" s="22"/>
      <c r="I6" s="22"/>
      <c r="J6" s="28"/>
      <c r="K6" s="22"/>
      <c r="L6" s="22"/>
      <c r="M6" s="84"/>
      <c r="N6" s="84"/>
      <c r="O6" s="84"/>
      <c r="P6" s="84"/>
      <c r="R6" s="191" t="s">
        <v>74</v>
      </c>
    </row>
    <row r="7" spans="1:19" x14ac:dyDescent="0.2">
      <c r="A7" s="85"/>
      <c r="B7" s="22"/>
      <c r="C7" s="85" t="s">
        <v>75</v>
      </c>
      <c r="D7" s="25">
        <v>640</v>
      </c>
      <c r="E7" s="211"/>
      <c r="F7" s="22"/>
      <c r="G7" s="22"/>
      <c r="H7" s="22"/>
      <c r="I7" s="22"/>
      <c r="J7" s="28"/>
      <c r="K7" s="22"/>
      <c r="L7" s="188" t="s">
        <v>74</v>
      </c>
      <c r="M7" s="84"/>
      <c r="N7" s="84"/>
      <c r="O7" s="84"/>
      <c r="P7" s="84"/>
      <c r="Q7" s="99" t="s">
        <v>19</v>
      </c>
      <c r="R7" s="190" t="s">
        <v>19</v>
      </c>
    </row>
    <row r="8" spans="1:19" x14ac:dyDescent="0.2">
      <c r="A8" s="25"/>
      <c r="B8" s="17"/>
      <c r="C8" s="25"/>
      <c r="D8" s="21"/>
      <c r="E8" s="188" t="s">
        <v>74</v>
      </c>
      <c r="F8" s="21"/>
      <c r="G8" s="21"/>
      <c r="H8" s="188" t="s">
        <v>74</v>
      </c>
      <c r="I8" s="113" t="s">
        <v>161</v>
      </c>
      <c r="J8" s="190" t="s">
        <v>74</v>
      </c>
      <c r="K8" s="21" t="s">
        <v>10</v>
      </c>
      <c r="L8" s="192" t="s">
        <v>10</v>
      </c>
      <c r="M8" s="21"/>
      <c r="N8" s="190" t="s">
        <v>74</v>
      </c>
      <c r="O8" s="21"/>
      <c r="P8" s="190" t="s">
        <v>74</v>
      </c>
      <c r="Q8" s="22" t="s">
        <v>12</v>
      </c>
      <c r="R8" s="188" t="s">
        <v>12</v>
      </c>
    </row>
    <row r="9" spans="1:19" x14ac:dyDescent="0.2">
      <c r="A9" s="23" t="s">
        <v>73</v>
      </c>
      <c r="B9" s="23"/>
      <c r="C9" s="23"/>
      <c r="D9" s="24" t="s">
        <v>2</v>
      </c>
      <c r="E9" s="189" t="s">
        <v>2</v>
      </c>
      <c r="F9" s="24" t="s">
        <v>21</v>
      </c>
      <c r="G9" s="24" t="s">
        <v>22</v>
      </c>
      <c r="H9" s="189" t="s">
        <v>22</v>
      </c>
      <c r="I9" s="24" t="s">
        <v>12</v>
      </c>
      <c r="J9" s="189" t="s">
        <v>12</v>
      </c>
      <c r="K9" s="24" t="s">
        <v>11</v>
      </c>
      <c r="L9" s="189" t="s">
        <v>11</v>
      </c>
      <c r="M9" s="24" t="s">
        <v>10</v>
      </c>
      <c r="N9" s="189" t="s">
        <v>10</v>
      </c>
      <c r="O9" s="24" t="s">
        <v>9</v>
      </c>
      <c r="P9" s="189" t="s">
        <v>9</v>
      </c>
      <c r="Q9" s="24" t="s">
        <v>486</v>
      </c>
      <c r="R9" s="189" t="str">
        <f>"(" &amp; E7 &amp; " acres)"</f>
        <v>( acres)</v>
      </c>
      <c r="S9" s="12"/>
    </row>
    <row r="10" spans="1:19" x14ac:dyDescent="0.2">
      <c r="A10" s="25"/>
      <c r="B10" t="s">
        <v>133</v>
      </c>
      <c r="C10" s="25"/>
      <c r="D10" s="50">
        <v>400</v>
      </c>
      <c r="E10" s="130"/>
      <c r="F10" s="224" t="s">
        <v>82</v>
      </c>
      <c r="G10" s="31">
        <v>0.81</v>
      </c>
      <c r="H10" s="131"/>
      <c r="I10" s="35">
        <v>324</v>
      </c>
      <c r="J10" s="200">
        <f t="shared" ref="J10:J13" si="0">E10*H10</f>
        <v>0</v>
      </c>
      <c r="K10" s="223">
        <v>0</v>
      </c>
      <c r="L10" s="212"/>
      <c r="M10" s="35">
        <v>0</v>
      </c>
      <c r="N10" s="200">
        <f t="shared" ref="N10:N13" si="1">J10*L10</f>
        <v>0</v>
      </c>
      <c r="O10" s="35">
        <v>324</v>
      </c>
      <c r="P10" s="200">
        <f>+J10-N10</f>
        <v>0</v>
      </c>
      <c r="Q10" s="35">
        <v>207360</v>
      </c>
      <c r="R10" s="200">
        <f t="shared" ref="R10:R13" si="2">+J10*E$7</f>
        <v>0</v>
      </c>
      <c r="S10" s="12"/>
    </row>
    <row r="11" spans="1:19" x14ac:dyDescent="0.2">
      <c r="A11" s="25"/>
      <c r="B11" t="s">
        <v>134</v>
      </c>
      <c r="C11" s="25"/>
      <c r="D11" s="50">
        <v>0.33003300330033003</v>
      </c>
      <c r="E11" s="130"/>
      <c r="F11" s="224" t="s">
        <v>135</v>
      </c>
      <c r="G11" s="31">
        <v>0.22</v>
      </c>
      <c r="H11" s="131"/>
      <c r="I11" s="35">
        <v>7.2607260726072612E-2</v>
      </c>
      <c r="J11" s="200">
        <f t="shared" si="0"/>
        <v>0</v>
      </c>
      <c r="K11" s="223">
        <v>0</v>
      </c>
      <c r="L11" s="212"/>
      <c r="M11" s="35">
        <v>0</v>
      </c>
      <c r="N11" s="200">
        <f t="shared" si="1"/>
        <v>0</v>
      </c>
      <c r="O11" s="35">
        <v>7.2607260726072612E-2</v>
      </c>
      <c r="P11" s="200">
        <f t="shared" ref="P11:P13" si="3">+J11-N11</f>
        <v>0</v>
      </c>
      <c r="Q11" s="35">
        <v>46.46864686468647</v>
      </c>
      <c r="R11" s="200">
        <f t="shared" si="2"/>
        <v>0</v>
      </c>
      <c r="S11" s="12"/>
    </row>
    <row r="12" spans="1:19" x14ac:dyDescent="0.2">
      <c r="A12" s="25"/>
      <c r="B12" s="131"/>
      <c r="C12" s="131"/>
      <c r="D12" s="50">
        <v>0</v>
      </c>
      <c r="E12" s="130"/>
      <c r="F12" s="224"/>
      <c r="G12" s="31">
        <v>0</v>
      </c>
      <c r="H12" s="131"/>
      <c r="I12" s="35">
        <v>0</v>
      </c>
      <c r="J12" s="200">
        <f t="shared" si="0"/>
        <v>0</v>
      </c>
      <c r="K12" s="223">
        <v>0</v>
      </c>
      <c r="L12" s="212"/>
      <c r="M12" s="35">
        <v>0</v>
      </c>
      <c r="N12" s="200">
        <f t="shared" si="1"/>
        <v>0</v>
      </c>
      <c r="O12" s="35">
        <v>0</v>
      </c>
      <c r="P12" s="200">
        <f t="shared" si="3"/>
        <v>0</v>
      </c>
      <c r="Q12" s="35">
        <v>0</v>
      </c>
      <c r="R12" s="200">
        <f t="shared" si="2"/>
        <v>0</v>
      </c>
    </row>
    <row r="13" spans="1:19" ht="13.5" thickBot="1" x14ac:dyDescent="0.25">
      <c r="A13" s="25"/>
      <c r="B13" s="131"/>
      <c r="C13" s="131"/>
      <c r="D13" s="50">
        <v>0</v>
      </c>
      <c r="E13" s="130"/>
      <c r="F13" s="224"/>
      <c r="G13" s="31">
        <v>0</v>
      </c>
      <c r="H13" s="131"/>
      <c r="I13" s="42">
        <v>0</v>
      </c>
      <c r="J13" s="200">
        <f t="shared" si="0"/>
        <v>0</v>
      </c>
      <c r="K13" s="223">
        <v>0</v>
      </c>
      <c r="L13" s="212"/>
      <c r="M13" s="42">
        <v>0</v>
      </c>
      <c r="N13" s="200">
        <f t="shared" si="1"/>
        <v>0</v>
      </c>
      <c r="O13" s="42">
        <v>0</v>
      </c>
      <c r="P13" s="200">
        <f t="shared" si="3"/>
        <v>0</v>
      </c>
      <c r="Q13" s="42">
        <v>0</v>
      </c>
      <c r="R13" s="182">
        <f t="shared" si="2"/>
        <v>0</v>
      </c>
    </row>
    <row r="14" spans="1:19" x14ac:dyDescent="0.2">
      <c r="A14" s="25" t="s">
        <v>24</v>
      </c>
      <c r="B14" s="25"/>
      <c r="C14" s="25"/>
      <c r="D14" s="25"/>
      <c r="E14" s="198"/>
      <c r="F14" s="25"/>
      <c r="G14" s="25"/>
      <c r="H14" s="195"/>
      <c r="I14" s="36">
        <v>324.07260726072604</v>
      </c>
      <c r="J14" s="201">
        <f>SUM(J10:J13)</f>
        <v>0</v>
      </c>
      <c r="K14" s="35"/>
      <c r="L14" s="193"/>
      <c r="M14" s="36">
        <v>0</v>
      </c>
      <c r="N14" s="201">
        <f>SUM(N10:N13)</f>
        <v>0</v>
      </c>
      <c r="O14" s="36">
        <v>324.07260726072604</v>
      </c>
      <c r="P14" s="201">
        <f>SUM(P10:P13)</f>
        <v>0</v>
      </c>
      <c r="Q14" s="36">
        <v>207406.4686468647</v>
      </c>
      <c r="R14" s="201">
        <f>SUM(R10:R13)</f>
        <v>0</v>
      </c>
    </row>
    <row r="15" spans="1:19" x14ac:dyDescent="0.2">
      <c r="A15" s="25"/>
      <c r="B15" s="25"/>
      <c r="C15" s="25"/>
      <c r="D15" s="25"/>
      <c r="E15" s="176"/>
      <c r="F15" s="25"/>
      <c r="G15" s="25"/>
      <c r="H15" s="209"/>
      <c r="I15" s="35"/>
      <c r="J15" s="182"/>
      <c r="K15" s="35"/>
      <c r="L15" s="193"/>
      <c r="M15" s="35"/>
      <c r="N15" s="182"/>
      <c r="O15" s="35"/>
      <c r="P15" s="182"/>
      <c r="Q15" s="22" t="s">
        <v>19</v>
      </c>
      <c r="R15" s="182" t="s">
        <v>19</v>
      </c>
    </row>
    <row r="16" spans="1:19" x14ac:dyDescent="0.2">
      <c r="A16" s="23" t="s">
        <v>25</v>
      </c>
      <c r="B16" s="23"/>
      <c r="C16" s="23"/>
      <c r="D16" s="24" t="s">
        <v>2</v>
      </c>
      <c r="E16" s="194" t="s">
        <v>2</v>
      </c>
      <c r="F16" s="24" t="s">
        <v>21</v>
      </c>
      <c r="G16" s="24" t="s">
        <v>22</v>
      </c>
      <c r="H16" s="194" t="s">
        <v>22</v>
      </c>
      <c r="I16" s="24" t="s">
        <v>12</v>
      </c>
      <c r="J16" s="194" t="s">
        <v>12</v>
      </c>
      <c r="K16" s="24" t="s">
        <v>11</v>
      </c>
      <c r="L16" s="194" t="s">
        <v>11</v>
      </c>
      <c r="M16" s="24" t="s">
        <v>10</v>
      </c>
      <c r="N16" s="194" t="s">
        <v>10</v>
      </c>
      <c r="O16" s="24" t="s">
        <v>9</v>
      </c>
      <c r="P16" s="194" t="s">
        <v>9</v>
      </c>
      <c r="Q16" s="24" t="s">
        <v>12</v>
      </c>
      <c r="R16" s="206" t="s">
        <v>12</v>
      </c>
    </row>
    <row r="17" spans="1:18" x14ac:dyDescent="0.2">
      <c r="A17" s="25" t="s">
        <v>26</v>
      </c>
      <c r="B17" s="25"/>
      <c r="C17" s="25"/>
      <c r="D17" s="25"/>
      <c r="E17" s="176"/>
      <c r="F17" s="25"/>
      <c r="G17" s="25"/>
      <c r="H17" s="209"/>
      <c r="I17" s="25"/>
      <c r="J17" s="182"/>
      <c r="K17" s="25"/>
      <c r="L17" s="195"/>
      <c r="M17" s="25"/>
      <c r="N17" s="182"/>
      <c r="O17" s="25"/>
      <c r="P17" s="182"/>
      <c r="Q17" s="25"/>
      <c r="R17" s="182"/>
    </row>
    <row r="18" spans="1:18" x14ac:dyDescent="0.2">
      <c r="A18" s="25"/>
      <c r="B18" s="25" t="s">
        <v>50</v>
      </c>
      <c r="C18" s="25"/>
      <c r="D18" s="25"/>
      <c r="E18" s="25"/>
      <c r="F18" s="25"/>
      <c r="G18" s="25"/>
      <c r="H18" s="25"/>
      <c r="I18" s="25"/>
      <c r="J18" s="25"/>
      <c r="K18" s="223"/>
      <c r="L18" s="25"/>
      <c r="M18" s="25"/>
      <c r="N18" s="25"/>
      <c r="O18" s="25"/>
      <c r="P18" s="25"/>
      <c r="Q18" s="25"/>
      <c r="R18" s="25"/>
    </row>
    <row r="19" spans="1:18" x14ac:dyDescent="0.2">
      <c r="A19" s="25"/>
      <c r="B19" s="25" t="s">
        <v>458</v>
      </c>
      <c r="C19" s="25" t="s">
        <v>317</v>
      </c>
      <c r="D19" s="25">
        <v>1</v>
      </c>
      <c r="E19" s="130"/>
      <c r="F19" s="224" t="s">
        <v>42</v>
      </c>
      <c r="G19" s="41">
        <v>5.5</v>
      </c>
      <c r="H19" s="131"/>
      <c r="I19" s="35">
        <v>5.5</v>
      </c>
      <c r="J19" s="200">
        <f t="shared" ref="J19:J34" si="4">E19*H19</f>
        <v>0</v>
      </c>
      <c r="K19" s="223">
        <v>0</v>
      </c>
      <c r="L19" s="212"/>
      <c r="M19" s="35">
        <v>0</v>
      </c>
      <c r="N19" s="200">
        <f t="shared" ref="N19:N34" si="5">J19*L19</f>
        <v>0</v>
      </c>
      <c r="O19" s="35">
        <v>5.5</v>
      </c>
      <c r="P19" s="200">
        <f t="shared" ref="P19:P34" si="6">+J19-N19</f>
        <v>0</v>
      </c>
      <c r="Q19" s="35">
        <v>3520</v>
      </c>
      <c r="R19" s="200">
        <f t="shared" ref="R19:R34" si="7">+J19*E$7</f>
        <v>0</v>
      </c>
    </row>
    <row r="20" spans="1:18" x14ac:dyDescent="0.2">
      <c r="A20" s="25"/>
      <c r="B20" s="25" t="s">
        <v>458</v>
      </c>
      <c r="C20" s="25" t="s">
        <v>382</v>
      </c>
      <c r="D20" s="25">
        <v>320</v>
      </c>
      <c r="E20" s="130"/>
      <c r="F20" s="224" t="s">
        <v>82</v>
      </c>
      <c r="G20" s="41">
        <v>0.13</v>
      </c>
      <c r="H20" s="131"/>
      <c r="I20" s="35">
        <v>41.6</v>
      </c>
      <c r="J20" s="200">
        <f t="shared" si="4"/>
        <v>0</v>
      </c>
      <c r="K20" s="223">
        <v>0</v>
      </c>
      <c r="L20" s="212"/>
      <c r="M20" s="35">
        <v>0</v>
      </c>
      <c r="N20" s="200">
        <f t="shared" si="5"/>
        <v>0</v>
      </c>
      <c r="O20" s="35">
        <v>41.6</v>
      </c>
      <c r="P20" s="200">
        <f t="shared" si="6"/>
        <v>0</v>
      </c>
      <c r="Q20" s="35">
        <v>26624</v>
      </c>
      <c r="R20" s="200">
        <f t="shared" si="7"/>
        <v>0</v>
      </c>
    </row>
    <row r="21" spans="1:18" x14ac:dyDescent="0.2">
      <c r="A21" s="25"/>
      <c r="B21" s="25" t="s">
        <v>458</v>
      </c>
      <c r="C21" s="25" t="s">
        <v>375</v>
      </c>
      <c r="D21" s="25">
        <v>320</v>
      </c>
      <c r="E21" s="130"/>
      <c r="F21" s="224" t="s">
        <v>82</v>
      </c>
      <c r="G21" s="41">
        <v>0.12</v>
      </c>
      <c r="H21" s="131"/>
      <c r="I21" s="35">
        <v>38.4</v>
      </c>
      <c r="J21" s="200">
        <f t="shared" si="4"/>
        <v>0</v>
      </c>
      <c r="K21" s="223">
        <v>0</v>
      </c>
      <c r="L21" s="212"/>
      <c r="M21" s="35">
        <v>0</v>
      </c>
      <c r="N21" s="200">
        <f t="shared" si="5"/>
        <v>0</v>
      </c>
      <c r="O21" s="35">
        <v>38.4</v>
      </c>
      <c r="P21" s="200">
        <f t="shared" si="6"/>
        <v>0</v>
      </c>
      <c r="Q21" s="35">
        <v>24576</v>
      </c>
      <c r="R21" s="200">
        <f t="shared" si="7"/>
        <v>0</v>
      </c>
    </row>
    <row r="22" spans="1:18" x14ac:dyDescent="0.2">
      <c r="A22" s="25"/>
      <c r="B22" s="25" t="s">
        <v>0</v>
      </c>
      <c r="C22" s="25"/>
      <c r="D22" s="25"/>
      <c r="E22" s="25"/>
      <c r="F22" s="25"/>
      <c r="G22" s="25"/>
      <c r="H22" s="25"/>
      <c r="I22" s="25"/>
      <c r="J22" s="25"/>
      <c r="K22" s="223"/>
      <c r="L22" s="25"/>
      <c r="M22" s="25"/>
      <c r="N22" s="25"/>
      <c r="O22" s="25"/>
      <c r="P22" s="25"/>
      <c r="Q22" s="25"/>
      <c r="R22" s="25"/>
    </row>
    <row r="23" spans="1:18" x14ac:dyDescent="0.2">
      <c r="A23" s="25"/>
      <c r="B23" s="25" t="s">
        <v>458</v>
      </c>
      <c r="C23" s="25" t="s">
        <v>342</v>
      </c>
      <c r="D23" s="25">
        <v>57</v>
      </c>
      <c r="E23" s="130"/>
      <c r="F23" s="224" t="s">
        <v>82</v>
      </c>
      <c r="G23" s="41">
        <v>0.53800000000000003</v>
      </c>
      <c r="H23" s="131"/>
      <c r="I23" s="35">
        <v>30.666</v>
      </c>
      <c r="J23" s="200">
        <f t="shared" si="4"/>
        <v>0</v>
      </c>
      <c r="K23" s="223">
        <v>0</v>
      </c>
      <c r="L23" s="212"/>
      <c r="M23" s="35">
        <v>0</v>
      </c>
      <c r="N23" s="200">
        <f t="shared" si="5"/>
        <v>0</v>
      </c>
      <c r="O23" s="35">
        <v>30.666</v>
      </c>
      <c r="P23" s="200">
        <f t="shared" si="6"/>
        <v>0</v>
      </c>
      <c r="Q23" s="35">
        <v>19626.240000000002</v>
      </c>
      <c r="R23" s="200">
        <f t="shared" si="7"/>
        <v>0</v>
      </c>
    </row>
    <row r="24" spans="1:18" x14ac:dyDescent="0.2">
      <c r="A24" s="25"/>
      <c r="B24" s="25" t="s">
        <v>49</v>
      </c>
      <c r="C24" s="25"/>
      <c r="D24" s="25"/>
      <c r="E24" s="25"/>
      <c r="F24" s="25"/>
      <c r="G24" s="25"/>
      <c r="H24" s="25"/>
      <c r="I24" s="25"/>
      <c r="J24" s="25"/>
      <c r="K24" s="223"/>
      <c r="L24" s="25"/>
      <c r="M24" s="25"/>
      <c r="N24" s="25"/>
      <c r="O24" s="25"/>
      <c r="P24" s="25"/>
      <c r="Q24" s="25"/>
      <c r="R24" s="25"/>
    </row>
    <row r="25" spans="1:18" x14ac:dyDescent="0.2">
      <c r="A25" s="25"/>
      <c r="B25" s="25" t="s">
        <v>458</v>
      </c>
      <c r="C25" s="25" t="s">
        <v>402</v>
      </c>
      <c r="D25" s="25">
        <v>2</v>
      </c>
      <c r="E25" s="130"/>
      <c r="F25" s="224" t="s">
        <v>316</v>
      </c>
      <c r="G25" s="41">
        <v>2.81</v>
      </c>
      <c r="H25" s="131"/>
      <c r="I25" s="35">
        <v>5.62</v>
      </c>
      <c r="J25" s="200">
        <f t="shared" si="4"/>
        <v>0</v>
      </c>
      <c r="K25" s="223">
        <v>0</v>
      </c>
      <c r="L25" s="212"/>
      <c r="M25" s="35">
        <v>0</v>
      </c>
      <c r="N25" s="200">
        <f t="shared" si="5"/>
        <v>0</v>
      </c>
      <c r="O25" s="35">
        <v>5.62</v>
      </c>
      <c r="P25" s="200">
        <f t="shared" si="6"/>
        <v>0</v>
      </c>
      <c r="Q25" s="35">
        <v>3596.8</v>
      </c>
      <c r="R25" s="200">
        <f t="shared" si="7"/>
        <v>0</v>
      </c>
    </row>
    <row r="26" spans="1:18" x14ac:dyDescent="0.2">
      <c r="A26" s="25"/>
      <c r="B26" s="25" t="s">
        <v>48</v>
      </c>
      <c r="C26" s="25"/>
      <c r="D26" s="25"/>
      <c r="E26" s="25"/>
      <c r="F26" s="25"/>
      <c r="G26" s="25"/>
      <c r="H26" s="25"/>
      <c r="I26" s="25"/>
      <c r="J26" s="25"/>
      <c r="K26" s="223"/>
      <c r="L26" s="25"/>
      <c r="M26" s="25"/>
      <c r="N26" s="25"/>
      <c r="O26" s="25"/>
      <c r="P26" s="25"/>
      <c r="Q26" s="25"/>
      <c r="R26" s="25"/>
    </row>
    <row r="27" spans="1:18" x14ac:dyDescent="0.2">
      <c r="A27" s="25"/>
      <c r="B27" s="25" t="s">
        <v>458</v>
      </c>
      <c r="C27" s="25" t="s">
        <v>392</v>
      </c>
      <c r="D27" s="25">
        <v>0.5</v>
      </c>
      <c r="E27" s="130"/>
      <c r="F27" s="224" t="s">
        <v>82</v>
      </c>
      <c r="G27" s="41">
        <v>7.2</v>
      </c>
      <c r="H27" s="131"/>
      <c r="I27" s="35">
        <v>3.6</v>
      </c>
      <c r="J27" s="200">
        <f t="shared" si="4"/>
        <v>0</v>
      </c>
      <c r="K27" s="223">
        <v>0</v>
      </c>
      <c r="L27" s="212"/>
      <c r="M27" s="35">
        <v>0</v>
      </c>
      <c r="N27" s="200">
        <f t="shared" si="5"/>
        <v>0</v>
      </c>
      <c r="O27" s="35">
        <v>3.6</v>
      </c>
      <c r="P27" s="200">
        <f t="shared" si="6"/>
        <v>0</v>
      </c>
      <c r="Q27" s="35">
        <v>2304</v>
      </c>
      <c r="R27" s="200">
        <f t="shared" si="7"/>
        <v>0</v>
      </c>
    </row>
    <row r="28" spans="1:18" x14ac:dyDescent="0.2">
      <c r="A28" s="25"/>
      <c r="B28" s="25" t="s">
        <v>458</v>
      </c>
      <c r="C28" s="25" t="s">
        <v>363</v>
      </c>
      <c r="D28" s="25">
        <v>1</v>
      </c>
      <c r="E28" s="130"/>
      <c r="F28" s="224" t="s">
        <v>42</v>
      </c>
      <c r="G28" s="41">
        <v>2.5</v>
      </c>
      <c r="H28" s="131"/>
      <c r="I28" s="35">
        <v>2.5</v>
      </c>
      <c r="J28" s="200">
        <f t="shared" si="4"/>
        <v>0</v>
      </c>
      <c r="K28" s="223">
        <v>0</v>
      </c>
      <c r="L28" s="212"/>
      <c r="M28" s="35">
        <v>0</v>
      </c>
      <c r="N28" s="200">
        <f t="shared" si="5"/>
        <v>0</v>
      </c>
      <c r="O28" s="35">
        <v>2.5</v>
      </c>
      <c r="P28" s="200">
        <f t="shared" si="6"/>
        <v>0</v>
      </c>
      <c r="Q28" s="35">
        <v>1600</v>
      </c>
      <c r="R28" s="200">
        <f t="shared" si="7"/>
        <v>0</v>
      </c>
    </row>
    <row r="29" spans="1:18" x14ac:dyDescent="0.2">
      <c r="A29" s="25"/>
      <c r="B29" s="25" t="s">
        <v>27</v>
      </c>
      <c r="C29" s="25"/>
      <c r="D29" s="25"/>
      <c r="E29" s="25"/>
      <c r="F29" s="25"/>
      <c r="G29" s="25"/>
      <c r="H29" s="25"/>
      <c r="I29" s="25"/>
      <c r="J29" s="25"/>
      <c r="K29" s="223"/>
      <c r="L29" s="25"/>
      <c r="M29" s="25"/>
      <c r="N29" s="25"/>
      <c r="O29" s="25"/>
      <c r="P29" s="25"/>
      <c r="Q29" s="25"/>
      <c r="R29" s="25"/>
    </row>
    <row r="30" spans="1:18" x14ac:dyDescent="0.2">
      <c r="A30" s="25"/>
      <c r="B30" s="25" t="s">
        <v>458</v>
      </c>
      <c r="C30" s="25" t="s">
        <v>394</v>
      </c>
      <c r="D30" s="25">
        <v>1</v>
      </c>
      <c r="E30" s="130"/>
      <c r="F30" s="224" t="s">
        <v>42</v>
      </c>
      <c r="G30" s="41">
        <v>15</v>
      </c>
      <c r="H30" s="131"/>
      <c r="I30" s="35">
        <v>15</v>
      </c>
      <c r="J30" s="200">
        <f t="shared" si="4"/>
        <v>0</v>
      </c>
      <c r="K30" s="223">
        <v>0</v>
      </c>
      <c r="L30" s="212"/>
      <c r="M30" s="35">
        <v>0</v>
      </c>
      <c r="N30" s="200">
        <f t="shared" si="5"/>
        <v>0</v>
      </c>
      <c r="O30" s="35">
        <v>15</v>
      </c>
      <c r="P30" s="200">
        <f t="shared" si="6"/>
        <v>0</v>
      </c>
      <c r="Q30" s="35">
        <v>9600</v>
      </c>
      <c r="R30" s="200">
        <f t="shared" si="7"/>
        <v>0</v>
      </c>
    </row>
    <row r="31" spans="1:18" x14ac:dyDescent="0.2">
      <c r="A31" s="25"/>
      <c r="B31" s="25" t="s">
        <v>1</v>
      </c>
      <c r="C31" s="25"/>
      <c r="D31" s="25"/>
      <c r="E31" s="25"/>
      <c r="F31" s="25"/>
      <c r="G31" s="25"/>
      <c r="H31" s="25"/>
      <c r="I31" s="25"/>
      <c r="J31" s="25"/>
      <c r="K31" s="223"/>
      <c r="L31" s="25"/>
      <c r="M31" s="25"/>
      <c r="N31" s="25"/>
      <c r="O31" s="25"/>
      <c r="P31" s="25"/>
      <c r="Q31" s="25"/>
      <c r="R31" s="25"/>
    </row>
    <row r="32" spans="1:18" x14ac:dyDescent="0.2">
      <c r="A32" s="25"/>
      <c r="B32" s="25" t="s">
        <v>458</v>
      </c>
      <c r="C32" s="25" t="s">
        <v>368</v>
      </c>
      <c r="D32" s="25">
        <v>5</v>
      </c>
      <c r="E32" s="130"/>
      <c r="F32" s="224" t="s">
        <v>82</v>
      </c>
      <c r="G32" s="41">
        <v>8</v>
      </c>
      <c r="H32" s="131"/>
      <c r="I32" s="35">
        <v>40</v>
      </c>
      <c r="J32" s="200">
        <f t="shared" si="4"/>
        <v>0</v>
      </c>
      <c r="K32" s="223">
        <v>0</v>
      </c>
      <c r="L32" s="212"/>
      <c r="M32" s="35">
        <v>0</v>
      </c>
      <c r="N32" s="200">
        <f t="shared" si="5"/>
        <v>0</v>
      </c>
      <c r="O32" s="35">
        <v>40</v>
      </c>
      <c r="P32" s="200">
        <f t="shared" si="6"/>
        <v>0</v>
      </c>
      <c r="Q32" s="35">
        <v>25600</v>
      </c>
      <c r="R32" s="200">
        <f t="shared" si="7"/>
        <v>0</v>
      </c>
    </row>
    <row r="33" spans="1:18" x14ac:dyDescent="0.2">
      <c r="A33" s="25"/>
      <c r="B33" s="131"/>
      <c r="C33" s="131"/>
      <c r="D33" s="25">
        <v>0</v>
      </c>
      <c r="E33" s="130"/>
      <c r="F33" s="224"/>
      <c r="G33" s="41">
        <v>0</v>
      </c>
      <c r="H33" s="131"/>
      <c r="I33" s="35">
        <v>0</v>
      </c>
      <c r="J33" s="200">
        <f t="shared" si="4"/>
        <v>0</v>
      </c>
      <c r="K33" s="223">
        <v>0</v>
      </c>
      <c r="L33" s="212"/>
      <c r="M33" s="35">
        <v>0</v>
      </c>
      <c r="N33" s="200">
        <f t="shared" si="5"/>
        <v>0</v>
      </c>
      <c r="O33" s="35">
        <v>0</v>
      </c>
      <c r="P33" s="200">
        <f t="shared" si="6"/>
        <v>0</v>
      </c>
      <c r="Q33" s="35">
        <v>0</v>
      </c>
      <c r="R33" s="200">
        <f t="shared" si="7"/>
        <v>0</v>
      </c>
    </row>
    <row r="34" spans="1:18" x14ac:dyDescent="0.2">
      <c r="A34" s="25"/>
      <c r="B34" s="131"/>
      <c r="C34" s="131"/>
      <c r="D34" s="25">
        <v>0</v>
      </c>
      <c r="E34" s="130"/>
      <c r="F34" s="224"/>
      <c r="G34" s="41">
        <v>0</v>
      </c>
      <c r="H34" s="131"/>
      <c r="I34" s="35">
        <v>0</v>
      </c>
      <c r="J34" s="200">
        <f t="shared" si="4"/>
        <v>0</v>
      </c>
      <c r="K34" s="223">
        <v>0</v>
      </c>
      <c r="L34" s="212"/>
      <c r="M34" s="35">
        <v>0</v>
      </c>
      <c r="N34" s="200">
        <f t="shared" si="5"/>
        <v>0</v>
      </c>
      <c r="O34" s="35">
        <v>0</v>
      </c>
      <c r="P34" s="200">
        <f t="shared" si="6"/>
        <v>0</v>
      </c>
      <c r="Q34" s="35">
        <v>0</v>
      </c>
      <c r="R34" s="200">
        <f t="shared" si="7"/>
        <v>0</v>
      </c>
    </row>
    <row r="35" spans="1:18" x14ac:dyDescent="0.2">
      <c r="A35" s="25"/>
      <c r="B35" s="131"/>
      <c r="C35" s="131"/>
      <c r="D35" s="25">
        <v>0</v>
      </c>
      <c r="E35" s="130"/>
      <c r="F35" s="224"/>
      <c r="G35" s="41">
        <v>0</v>
      </c>
      <c r="H35" s="131"/>
      <c r="I35" s="35">
        <v>0</v>
      </c>
      <c r="J35" s="200">
        <f>E35*H35</f>
        <v>0</v>
      </c>
      <c r="K35" s="223">
        <v>0</v>
      </c>
      <c r="L35" s="212"/>
      <c r="M35" s="35">
        <v>0</v>
      </c>
      <c r="N35" s="200">
        <f>J35*L35</f>
        <v>0</v>
      </c>
      <c r="O35" s="35">
        <v>0</v>
      </c>
      <c r="P35" s="200">
        <f>+J35-N35</f>
        <v>0</v>
      </c>
      <c r="Q35" s="35">
        <v>0</v>
      </c>
      <c r="R35" s="200">
        <f>+J35*E$7</f>
        <v>0</v>
      </c>
    </row>
    <row r="36" spans="1:18" x14ac:dyDescent="0.2">
      <c r="A36" s="25"/>
      <c r="B36" s="25" t="s">
        <v>106</v>
      </c>
      <c r="C36" s="25"/>
      <c r="D36" s="25"/>
      <c r="E36" s="104"/>
      <c r="H36" s="104"/>
      <c r="I36" s="121"/>
      <c r="J36" s="104"/>
      <c r="K36" s="223"/>
      <c r="L36" s="104"/>
      <c r="N36" s="104"/>
      <c r="P36" s="104"/>
      <c r="R36" s="104"/>
    </row>
    <row r="37" spans="1:18" x14ac:dyDescent="0.2">
      <c r="A37" s="25"/>
      <c r="B37" s="25"/>
      <c r="C37" s="25" t="s">
        <v>103</v>
      </c>
      <c r="D37" s="25">
        <v>0.51</v>
      </c>
      <c r="E37" s="130"/>
      <c r="F37" s="224" t="s">
        <v>44</v>
      </c>
      <c r="G37" s="41">
        <v>15</v>
      </c>
      <c r="H37" s="131"/>
      <c r="I37" s="35">
        <v>7.65</v>
      </c>
      <c r="J37" s="200">
        <f>E37*H37</f>
        <v>0</v>
      </c>
      <c r="K37" s="223">
        <v>0</v>
      </c>
      <c r="L37" s="212"/>
      <c r="M37" s="35">
        <v>0</v>
      </c>
      <c r="N37" s="200">
        <f>J37*L37</f>
        <v>0</v>
      </c>
      <c r="O37" s="35">
        <v>7.65</v>
      </c>
      <c r="P37" s="200">
        <f>+J37-N37</f>
        <v>0</v>
      </c>
      <c r="Q37" s="35">
        <v>4896</v>
      </c>
      <c r="R37" s="200">
        <f>+J37*E$7</f>
        <v>0</v>
      </c>
    </row>
    <row r="38" spans="1:18" x14ac:dyDescent="0.2">
      <c r="A38" s="25"/>
      <c r="B38" s="25"/>
      <c r="C38" s="25" t="s">
        <v>105</v>
      </c>
      <c r="D38" s="25">
        <v>0.62</v>
      </c>
      <c r="E38" s="130"/>
      <c r="F38" s="224" t="s">
        <v>44</v>
      </c>
      <c r="G38" s="41">
        <v>15</v>
      </c>
      <c r="H38" s="131"/>
      <c r="I38" s="35">
        <v>9.3000000000000007</v>
      </c>
      <c r="J38" s="200">
        <f>E38*H38</f>
        <v>0</v>
      </c>
      <c r="K38" s="223">
        <v>0</v>
      </c>
      <c r="L38" s="212"/>
      <c r="M38" s="35">
        <v>0</v>
      </c>
      <c r="N38" s="200">
        <f>J38*L38</f>
        <v>0</v>
      </c>
      <c r="O38" s="35">
        <v>9.3000000000000007</v>
      </c>
      <c r="P38" s="200">
        <f>+J38-N38</f>
        <v>0</v>
      </c>
      <c r="Q38" s="35">
        <v>5952</v>
      </c>
      <c r="R38" s="200">
        <f>+J38*E$7</f>
        <v>0</v>
      </c>
    </row>
    <row r="39" spans="1:18" x14ac:dyDescent="0.2">
      <c r="A39" s="25"/>
      <c r="B39" s="25"/>
      <c r="C39" s="25"/>
      <c r="D39" s="25"/>
      <c r="E39" s="207"/>
      <c r="F39" s="21"/>
      <c r="G39" s="41"/>
      <c r="H39" s="196"/>
      <c r="I39" s="35"/>
      <c r="J39" s="182"/>
      <c r="K39" s="223"/>
      <c r="L39" s="196"/>
      <c r="M39" s="35"/>
      <c r="N39" s="182"/>
      <c r="O39" s="35"/>
      <c r="P39" s="182"/>
      <c r="Q39" s="35"/>
      <c r="R39" s="182"/>
    </row>
    <row r="40" spans="1:18" x14ac:dyDescent="0.2">
      <c r="A40" s="25"/>
      <c r="B40" s="25" t="s">
        <v>51</v>
      </c>
      <c r="C40" s="25"/>
      <c r="D40" s="25"/>
      <c r="E40" s="207"/>
      <c r="F40" s="21"/>
      <c r="G40" s="41"/>
      <c r="H40" s="196"/>
      <c r="I40" s="184"/>
      <c r="J40" s="182"/>
      <c r="K40" s="223"/>
      <c r="L40" s="196"/>
      <c r="M40" s="35"/>
      <c r="N40" s="182"/>
      <c r="O40" s="35"/>
      <c r="P40" s="182"/>
      <c r="Q40" s="35"/>
      <c r="R40" s="182"/>
    </row>
    <row r="41" spans="1:18" x14ac:dyDescent="0.2">
      <c r="A41" s="25"/>
      <c r="B41" s="25"/>
      <c r="C41" s="25" t="s">
        <v>102</v>
      </c>
      <c r="D41" s="25">
        <v>1</v>
      </c>
      <c r="E41" s="130"/>
      <c r="F41" s="224" t="s">
        <v>42</v>
      </c>
      <c r="G41" s="41">
        <v>0</v>
      </c>
      <c r="H41" s="131"/>
      <c r="I41" s="35">
        <v>0</v>
      </c>
      <c r="J41" s="200">
        <f>E41*H41</f>
        <v>0</v>
      </c>
      <c r="K41" s="223">
        <v>0</v>
      </c>
      <c r="L41" s="212"/>
      <c r="M41" s="35">
        <v>0</v>
      </c>
      <c r="N41" s="200">
        <f>J41*L41</f>
        <v>0</v>
      </c>
      <c r="O41" s="35">
        <v>0</v>
      </c>
      <c r="P41" s="200">
        <f>+J41-N41</f>
        <v>0</v>
      </c>
      <c r="Q41" s="35">
        <v>0</v>
      </c>
      <c r="R41" s="200">
        <f>+J41*E$7</f>
        <v>0</v>
      </c>
    </row>
    <row r="42" spans="1:18" x14ac:dyDescent="0.2">
      <c r="A42" s="25"/>
      <c r="B42" s="25"/>
      <c r="C42" s="25" t="s">
        <v>103</v>
      </c>
      <c r="D42" s="25">
        <v>3.57</v>
      </c>
      <c r="E42" s="130"/>
      <c r="F42" s="224" t="s">
        <v>79</v>
      </c>
      <c r="G42" s="41">
        <v>3.0190000000000001</v>
      </c>
      <c r="H42" s="131"/>
      <c r="I42" s="35">
        <v>10.77783</v>
      </c>
      <c r="J42" s="200">
        <f>E42*H42</f>
        <v>0</v>
      </c>
      <c r="K42" s="223">
        <v>0</v>
      </c>
      <c r="L42" s="212"/>
      <c r="M42" s="35">
        <v>0</v>
      </c>
      <c r="N42" s="200">
        <f>J42*L42</f>
        <v>0</v>
      </c>
      <c r="O42" s="35">
        <v>10.77783</v>
      </c>
      <c r="P42" s="200">
        <f>+J42-N42</f>
        <v>0</v>
      </c>
      <c r="Q42" s="35">
        <v>6897.8112000000001</v>
      </c>
      <c r="R42" s="200">
        <f>+J42*E$7</f>
        <v>0</v>
      </c>
    </row>
    <row r="43" spans="1:18" x14ac:dyDescent="0.2">
      <c r="A43" s="25"/>
      <c r="B43" s="25"/>
      <c r="C43" s="25"/>
      <c r="D43" s="25"/>
      <c r="E43" s="207"/>
      <c r="F43" s="21"/>
      <c r="G43" s="41"/>
      <c r="H43" s="196"/>
      <c r="I43" s="35"/>
      <c r="J43" s="182"/>
      <c r="K43" s="223"/>
      <c r="L43" s="196"/>
      <c r="M43" s="35"/>
      <c r="N43" s="182"/>
      <c r="O43" s="35"/>
      <c r="P43" s="182"/>
      <c r="Q43" s="35"/>
      <c r="R43" s="182"/>
    </row>
    <row r="44" spans="1:18" x14ac:dyDescent="0.2">
      <c r="A44" s="25"/>
      <c r="B44" s="25" t="s">
        <v>29</v>
      </c>
      <c r="C44" s="25"/>
      <c r="D44" s="25"/>
      <c r="E44" s="207"/>
      <c r="F44" s="21"/>
      <c r="G44" s="41"/>
      <c r="H44" s="196"/>
      <c r="I44" s="184"/>
      <c r="J44" s="182"/>
      <c r="K44" s="223"/>
      <c r="L44" s="196"/>
      <c r="M44" s="35"/>
      <c r="N44" s="182"/>
      <c r="O44" s="35"/>
      <c r="P44" s="182"/>
      <c r="Q44" s="35"/>
      <c r="R44" s="182"/>
    </row>
    <row r="45" spans="1:18" x14ac:dyDescent="0.2">
      <c r="A45" s="25"/>
      <c r="B45" s="25"/>
      <c r="C45" s="25" t="s">
        <v>102</v>
      </c>
      <c r="D45" s="25">
        <v>1</v>
      </c>
      <c r="E45" s="130"/>
      <c r="F45" s="224" t="s">
        <v>42</v>
      </c>
      <c r="G45" s="41">
        <v>1.0546875</v>
      </c>
      <c r="H45" s="131"/>
      <c r="I45" s="35">
        <v>1.0546875</v>
      </c>
      <c r="J45" s="200">
        <f>E45*H45</f>
        <v>0</v>
      </c>
      <c r="K45" s="223">
        <v>0</v>
      </c>
      <c r="L45" s="212"/>
      <c r="M45" s="35">
        <v>0</v>
      </c>
      <c r="N45" s="200">
        <f>J45*L45</f>
        <v>0</v>
      </c>
      <c r="O45" s="35">
        <v>1.0546875</v>
      </c>
      <c r="P45" s="200">
        <f>+J45-N45</f>
        <v>0</v>
      </c>
      <c r="Q45" s="35">
        <v>675</v>
      </c>
      <c r="R45" s="200">
        <f>+J45*E$7</f>
        <v>0</v>
      </c>
    </row>
    <row r="46" spans="1:18" x14ac:dyDescent="0.2">
      <c r="A46" s="25"/>
      <c r="B46" s="25"/>
      <c r="C46" s="25" t="s">
        <v>103</v>
      </c>
      <c r="D46" s="25">
        <v>0</v>
      </c>
      <c r="E46" s="130"/>
      <c r="F46" s="224" t="s">
        <v>79</v>
      </c>
      <c r="G46" s="41">
        <v>3.09</v>
      </c>
      <c r="H46" s="131"/>
      <c r="I46" s="35">
        <v>0</v>
      </c>
      <c r="J46" s="200">
        <f>E46*H46</f>
        <v>0</v>
      </c>
      <c r="K46" s="223">
        <v>0</v>
      </c>
      <c r="L46" s="212"/>
      <c r="M46" s="35">
        <v>0</v>
      </c>
      <c r="N46" s="200">
        <f>J46*L46</f>
        <v>0</v>
      </c>
      <c r="O46" s="35">
        <v>0</v>
      </c>
      <c r="P46" s="200">
        <f>+J46-N46</f>
        <v>0</v>
      </c>
      <c r="Q46" s="35">
        <v>0</v>
      </c>
      <c r="R46" s="200">
        <f>+J46*E$7</f>
        <v>0</v>
      </c>
    </row>
    <row r="47" spans="1:18" x14ac:dyDescent="0.2">
      <c r="A47" s="25"/>
      <c r="B47" s="25"/>
      <c r="C47" s="25"/>
      <c r="D47" s="25"/>
      <c r="E47" s="207"/>
      <c r="F47" s="21"/>
      <c r="G47" s="41"/>
      <c r="H47" s="196"/>
      <c r="I47" s="35"/>
      <c r="J47" s="182"/>
      <c r="K47" s="223"/>
      <c r="L47" s="196"/>
      <c r="M47" s="35"/>
      <c r="N47" s="182"/>
      <c r="O47" s="35"/>
      <c r="P47" s="182"/>
      <c r="Q47" s="35"/>
      <c r="R47" s="182"/>
    </row>
    <row r="48" spans="1:18" x14ac:dyDescent="0.2">
      <c r="A48" s="25"/>
      <c r="B48" s="25" t="s">
        <v>47</v>
      </c>
      <c r="C48" s="25"/>
      <c r="D48" s="25"/>
      <c r="E48" s="207"/>
      <c r="F48" s="21"/>
      <c r="G48" s="41"/>
      <c r="H48" s="197"/>
      <c r="I48" s="184"/>
      <c r="J48" s="182"/>
      <c r="K48" s="223"/>
      <c r="L48" s="197"/>
      <c r="M48" s="35"/>
      <c r="N48" s="182"/>
      <c r="O48" s="35"/>
      <c r="P48" s="182"/>
      <c r="Q48" s="35"/>
      <c r="R48" s="182"/>
    </row>
    <row r="49" spans="1:18" x14ac:dyDescent="0.2">
      <c r="A49" s="25"/>
      <c r="B49" s="25"/>
      <c r="C49" s="25" t="s">
        <v>102</v>
      </c>
      <c r="D49" s="25">
        <v>1</v>
      </c>
      <c r="E49" s="130"/>
      <c r="F49" s="224" t="s">
        <v>42</v>
      </c>
      <c r="G49" s="41">
        <v>0.3515625</v>
      </c>
      <c r="H49" s="131"/>
      <c r="I49" s="35">
        <v>0.3515625</v>
      </c>
      <c r="J49" s="200">
        <f t="shared" ref="J49:J54" si="8">E49*H49</f>
        <v>0</v>
      </c>
      <c r="K49" s="223">
        <v>0</v>
      </c>
      <c r="L49" s="212"/>
      <c r="M49" s="35">
        <v>0</v>
      </c>
      <c r="N49" s="200">
        <f t="shared" ref="N49:N54" si="9">J49*L49</f>
        <v>0</v>
      </c>
      <c r="O49" s="35">
        <v>0.3515625</v>
      </c>
      <c r="P49" s="200">
        <f t="shared" ref="P49:P54" si="10">+J49-N49</f>
        <v>0</v>
      </c>
      <c r="Q49" s="35">
        <v>225</v>
      </c>
      <c r="R49" s="200">
        <f t="shared" ref="R49:R54" si="11">+J49*E$7</f>
        <v>0</v>
      </c>
    </row>
    <row r="50" spans="1:18" x14ac:dyDescent="0.2">
      <c r="A50" s="25"/>
      <c r="B50" s="25"/>
      <c r="C50" s="25" t="s">
        <v>46</v>
      </c>
      <c r="D50" s="25">
        <v>1</v>
      </c>
      <c r="E50" s="130"/>
      <c r="F50" s="224" t="s">
        <v>42</v>
      </c>
      <c r="G50" s="41">
        <v>0</v>
      </c>
      <c r="H50" s="131"/>
      <c r="I50" s="35">
        <v>0</v>
      </c>
      <c r="J50" s="200">
        <f t="shared" si="8"/>
        <v>0</v>
      </c>
      <c r="K50" s="223">
        <v>0</v>
      </c>
      <c r="L50" s="212"/>
      <c r="M50" s="35">
        <v>0</v>
      </c>
      <c r="N50" s="200">
        <f t="shared" si="9"/>
        <v>0</v>
      </c>
      <c r="O50" s="35">
        <v>0</v>
      </c>
      <c r="P50" s="200">
        <f t="shared" si="10"/>
        <v>0</v>
      </c>
      <c r="Q50" s="35">
        <v>0</v>
      </c>
      <c r="R50" s="200">
        <f t="shared" si="11"/>
        <v>0</v>
      </c>
    </row>
    <row r="51" spans="1:18" x14ac:dyDescent="0.2">
      <c r="A51" s="25"/>
      <c r="B51" s="25"/>
      <c r="C51" s="25" t="s">
        <v>103</v>
      </c>
      <c r="D51" s="25">
        <v>1</v>
      </c>
      <c r="E51" s="130"/>
      <c r="F51" s="224" t="s">
        <v>42</v>
      </c>
      <c r="G51" s="41">
        <v>7.6298725000400083</v>
      </c>
      <c r="H51" s="131"/>
      <c r="I51" s="35">
        <v>7.6298725000400083</v>
      </c>
      <c r="J51" s="200">
        <f t="shared" si="8"/>
        <v>0</v>
      </c>
      <c r="K51" s="223">
        <v>0</v>
      </c>
      <c r="L51" s="212"/>
      <c r="M51" s="35">
        <v>0</v>
      </c>
      <c r="N51" s="200">
        <f t="shared" si="9"/>
        <v>0</v>
      </c>
      <c r="O51" s="35">
        <v>7.6298725000400083</v>
      </c>
      <c r="P51" s="200">
        <f t="shared" si="10"/>
        <v>0</v>
      </c>
      <c r="Q51" s="35">
        <v>4883.1184000256053</v>
      </c>
      <c r="R51" s="200">
        <f t="shared" si="11"/>
        <v>0</v>
      </c>
    </row>
    <row r="52" spans="1:18" x14ac:dyDescent="0.2">
      <c r="A52" s="25"/>
      <c r="B52" s="25"/>
      <c r="C52" s="25" t="s">
        <v>5</v>
      </c>
      <c r="D52" s="25">
        <v>1</v>
      </c>
      <c r="E52" s="130"/>
      <c r="F52" s="224" t="s">
        <v>42</v>
      </c>
      <c r="G52" s="41">
        <v>8.6388798091272214</v>
      </c>
      <c r="H52" s="131"/>
      <c r="I52" s="35">
        <v>8.6388798091272214</v>
      </c>
      <c r="J52" s="200">
        <f t="shared" si="8"/>
        <v>0</v>
      </c>
      <c r="K52" s="223">
        <v>0</v>
      </c>
      <c r="L52" s="212"/>
      <c r="M52" s="35">
        <v>0</v>
      </c>
      <c r="N52" s="200">
        <f t="shared" si="9"/>
        <v>0</v>
      </c>
      <c r="O52" s="35">
        <v>8.6388798091272214</v>
      </c>
      <c r="P52" s="200">
        <f t="shared" si="10"/>
        <v>0</v>
      </c>
      <c r="Q52" s="35">
        <v>5528.8830778414213</v>
      </c>
      <c r="R52" s="200">
        <f t="shared" si="11"/>
        <v>0</v>
      </c>
    </row>
    <row r="53" spans="1:18" x14ac:dyDescent="0.2">
      <c r="A53" s="25"/>
      <c r="B53" s="131"/>
      <c r="C53" s="131"/>
      <c r="D53" s="25"/>
      <c r="E53" s="130"/>
      <c r="F53" s="224"/>
      <c r="G53" s="41"/>
      <c r="H53" s="131"/>
      <c r="I53" s="35">
        <v>0</v>
      </c>
      <c r="J53" s="200">
        <f t="shared" si="8"/>
        <v>0</v>
      </c>
      <c r="K53" s="223">
        <v>0</v>
      </c>
      <c r="L53" s="212"/>
      <c r="M53" s="35">
        <v>0</v>
      </c>
      <c r="N53" s="200">
        <f t="shared" si="9"/>
        <v>0</v>
      </c>
      <c r="O53" s="35">
        <v>0</v>
      </c>
      <c r="P53" s="200">
        <f t="shared" si="10"/>
        <v>0</v>
      </c>
      <c r="Q53" s="35">
        <v>0</v>
      </c>
      <c r="R53" s="200">
        <f t="shared" si="11"/>
        <v>0</v>
      </c>
    </row>
    <row r="54" spans="1:18" x14ac:dyDescent="0.2">
      <c r="A54" s="25"/>
      <c r="B54" s="131"/>
      <c r="C54" s="131"/>
      <c r="D54" s="25"/>
      <c r="E54" s="130"/>
      <c r="F54" s="224"/>
      <c r="G54" s="41"/>
      <c r="H54" s="131"/>
      <c r="I54" s="35">
        <v>0</v>
      </c>
      <c r="J54" s="200">
        <f t="shared" si="8"/>
        <v>0</v>
      </c>
      <c r="K54" s="223">
        <v>0</v>
      </c>
      <c r="L54" s="212"/>
      <c r="M54" s="35">
        <v>0</v>
      </c>
      <c r="N54" s="200">
        <f t="shared" si="9"/>
        <v>0</v>
      </c>
      <c r="O54" s="35">
        <v>0</v>
      </c>
      <c r="P54" s="200">
        <f t="shared" si="10"/>
        <v>0</v>
      </c>
      <c r="Q54" s="35">
        <v>0</v>
      </c>
      <c r="R54" s="200">
        <f t="shared" si="11"/>
        <v>0</v>
      </c>
    </row>
    <row r="55" spans="1:18" ht="13.5" thickBot="1" x14ac:dyDescent="0.25">
      <c r="A55" s="25"/>
      <c r="B55" s="25" t="s">
        <v>32</v>
      </c>
      <c r="C55" s="25"/>
      <c r="D55" s="25"/>
      <c r="E55" s="195"/>
      <c r="F55" s="21"/>
      <c r="G55" s="39">
        <v>0.09</v>
      </c>
      <c r="H55" s="213"/>
      <c r="I55" s="42">
        <v>7.2665465463876782</v>
      </c>
      <c r="J55" s="200">
        <f>+SUM(J18:J54)/2*H55</f>
        <v>0</v>
      </c>
      <c r="K55" s="86"/>
      <c r="L55" s="135"/>
      <c r="M55" s="42">
        <v>0</v>
      </c>
      <c r="N55" s="200">
        <f>+SUM(N18:N54)/2*L55</f>
        <v>0</v>
      </c>
      <c r="O55" s="42">
        <v>7.2665465463876782</v>
      </c>
      <c r="P55" s="200">
        <f>+SUM(P18:P54)/2*L55</f>
        <v>0</v>
      </c>
      <c r="Q55" s="42">
        <v>4650.5897896881143</v>
      </c>
      <c r="R55" s="182">
        <f>+J55*E$7</f>
        <v>0</v>
      </c>
    </row>
    <row r="56" spans="1:18" ht="13.5" thickBot="1" x14ac:dyDescent="0.25">
      <c r="A56" s="25" t="s">
        <v>33</v>
      </c>
      <c r="B56" s="25"/>
      <c r="C56" s="25"/>
      <c r="D56" s="25"/>
      <c r="E56" s="198"/>
      <c r="F56" s="25"/>
      <c r="G56" s="25"/>
      <c r="H56" s="195"/>
      <c r="I56" s="87">
        <v>235.55537885555489</v>
      </c>
      <c r="J56" s="202">
        <f>SUM(J19:J55)</f>
        <v>0</v>
      </c>
      <c r="K56" s="35"/>
      <c r="L56" s="193"/>
      <c r="M56" s="87">
        <v>0</v>
      </c>
      <c r="N56" s="202">
        <f>SUM(N19:N55)</f>
        <v>0</v>
      </c>
      <c r="O56" s="87">
        <v>235.55537885555489</v>
      </c>
      <c r="P56" s="202">
        <f>SUM(P19:P55)</f>
        <v>0</v>
      </c>
      <c r="Q56" s="87">
        <v>150755.44246755517</v>
      </c>
      <c r="R56" s="202">
        <f>SUM(R19:R55)</f>
        <v>0</v>
      </c>
    </row>
    <row r="57" spans="1:18" ht="13.5" thickTop="1" x14ac:dyDescent="0.2">
      <c r="A57" s="25" t="s">
        <v>34</v>
      </c>
      <c r="B57" s="25"/>
      <c r="C57" s="25"/>
      <c r="D57" s="25"/>
      <c r="E57" s="198"/>
      <c r="F57" s="25"/>
      <c r="G57" s="25"/>
      <c r="H57" s="195"/>
      <c r="I57" s="35">
        <v>88.517228405171153</v>
      </c>
      <c r="J57" s="200">
        <f>+J14-J56</f>
        <v>0</v>
      </c>
      <c r="K57" s="35"/>
      <c r="L57" s="193"/>
      <c r="M57" s="35">
        <v>0</v>
      </c>
      <c r="N57" s="200">
        <f>+N14-N56</f>
        <v>0</v>
      </c>
      <c r="O57" s="35">
        <v>88.517228405171153</v>
      </c>
      <c r="P57" s="200">
        <f>+P14-P56</f>
        <v>0</v>
      </c>
      <c r="Q57" s="35">
        <v>56651.026179309527</v>
      </c>
      <c r="R57" s="200">
        <f>+R14-R56</f>
        <v>0</v>
      </c>
    </row>
    <row r="58" spans="1:18" x14ac:dyDescent="0.2">
      <c r="A58" s="25"/>
      <c r="B58" s="25" t="s">
        <v>35</v>
      </c>
      <c r="C58" s="25"/>
      <c r="D58" s="25"/>
      <c r="E58" s="208"/>
      <c r="F58" s="17"/>
      <c r="G58" s="40">
        <v>0.588706928987072</v>
      </c>
      <c r="H58" s="208" t="str">
        <f>IF(E10=0,"n/a",(YVarExp-(YTotExp+YTotRet-J10))/E10)</f>
        <v>n/a</v>
      </c>
      <c r="I58" s="25" t="s">
        <v>82</v>
      </c>
      <c r="J58" s="182"/>
      <c r="K58" s="25"/>
      <c r="L58" s="195"/>
      <c r="M58" s="25"/>
      <c r="N58" s="182"/>
      <c r="O58" s="25"/>
      <c r="P58" s="182"/>
      <c r="Q58" s="25"/>
      <c r="R58" s="182"/>
    </row>
    <row r="59" spans="1:18" x14ac:dyDescent="0.2">
      <c r="A59" s="25"/>
      <c r="B59" s="25"/>
      <c r="C59" s="25"/>
      <c r="D59" s="25"/>
      <c r="E59" s="176"/>
      <c r="F59" s="25"/>
      <c r="G59" s="25"/>
      <c r="H59" s="209"/>
      <c r="I59" s="25"/>
      <c r="J59" s="182"/>
      <c r="K59" s="25"/>
      <c r="L59" s="195"/>
      <c r="M59" s="25"/>
      <c r="N59" s="182"/>
      <c r="O59" s="25"/>
      <c r="P59" s="182"/>
      <c r="Q59" s="22" t="s">
        <v>19</v>
      </c>
      <c r="R59" s="182" t="s">
        <v>19</v>
      </c>
    </row>
    <row r="60" spans="1:18" x14ac:dyDescent="0.2">
      <c r="A60" s="23" t="s">
        <v>36</v>
      </c>
      <c r="B60" s="23"/>
      <c r="C60" s="23"/>
      <c r="D60" s="24" t="s">
        <v>2</v>
      </c>
      <c r="E60" s="194" t="s">
        <v>2</v>
      </c>
      <c r="F60" s="24" t="s">
        <v>21</v>
      </c>
      <c r="G60" s="24" t="s">
        <v>22</v>
      </c>
      <c r="H60" s="194" t="s">
        <v>22</v>
      </c>
      <c r="I60" s="24" t="s">
        <v>12</v>
      </c>
      <c r="J60" s="194" t="s">
        <v>12</v>
      </c>
      <c r="K60" s="24" t="s">
        <v>11</v>
      </c>
      <c r="L60" s="194" t="s">
        <v>11</v>
      </c>
      <c r="M60" s="24" t="s">
        <v>10</v>
      </c>
      <c r="N60" s="194" t="s">
        <v>10</v>
      </c>
      <c r="O60" s="24" t="s">
        <v>9</v>
      </c>
      <c r="P60" s="194" t="s">
        <v>9</v>
      </c>
      <c r="Q60" s="24" t="s">
        <v>12</v>
      </c>
      <c r="R60" s="206" t="s">
        <v>12</v>
      </c>
    </row>
    <row r="61" spans="1:18" x14ac:dyDescent="0.2">
      <c r="A61" s="25"/>
      <c r="B61" s="25" t="s">
        <v>104</v>
      </c>
      <c r="C61" s="25"/>
      <c r="D61" s="25"/>
      <c r="E61" s="176"/>
      <c r="F61" s="25"/>
      <c r="G61" s="25"/>
      <c r="H61" s="209"/>
      <c r="I61" s="184"/>
      <c r="J61" s="182"/>
      <c r="K61" s="223"/>
      <c r="L61" s="195"/>
      <c r="M61" s="25"/>
      <c r="N61" s="182"/>
      <c r="O61" s="25"/>
      <c r="P61" s="182"/>
      <c r="Q61" s="25"/>
      <c r="R61" s="182"/>
    </row>
    <row r="62" spans="1:18" x14ac:dyDescent="0.2">
      <c r="A62" s="25"/>
      <c r="B62" s="25"/>
      <c r="C62" s="25" t="s">
        <v>102</v>
      </c>
      <c r="D62" s="25">
        <v>1</v>
      </c>
      <c r="E62" s="130"/>
      <c r="F62" s="224" t="s">
        <v>42</v>
      </c>
      <c r="G62" s="41">
        <v>0.48808593750000001</v>
      </c>
      <c r="H62" s="131"/>
      <c r="I62" s="35">
        <v>0.48808593750000001</v>
      </c>
      <c r="J62" s="200">
        <f t="shared" ref="J62:J64" si="12">E62*H62</f>
        <v>0</v>
      </c>
      <c r="K62" s="223">
        <v>0</v>
      </c>
      <c r="L62" s="212"/>
      <c r="M62" s="35">
        <v>0</v>
      </c>
      <c r="N62" s="200">
        <f>J62*L62</f>
        <v>0</v>
      </c>
      <c r="O62" s="35">
        <v>0.48808593750000001</v>
      </c>
      <c r="P62" s="200">
        <f t="shared" ref="P62:P64" si="13">+J62-N62</f>
        <v>0</v>
      </c>
      <c r="Q62" s="35">
        <v>312.375</v>
      </c>
      <c r="R62" s="200">
        <f t="shared" ref="R62:R64" si="14">+J62*E$7</f>
        <v>0</v>
      </c>
    </row>
    <row r="63" spans="1:18" x14ac:dyDescent="0.2">
      <c r="A63" s="25"/>
      <c r="B63" s="25"/>
      <c r="C63" s="25" t="s">
        <v>103</v>
      </c>
      <c r="D63" s="25">
        <v>1</v>
      </c>
      <c r="E63" s="130"/>
      <c r="F63" s="224" t="s">
        <v>42</v>
      </c>
      <c r="G63" s="41">
        <v>7.8842015833746775</v>
      </c>
      <c r="H63" s="131"/>
      <c r="I63" s="35">
        <v>7.8842015833746775</v>
      </c>
      <c r="J63" s="200">
        <f t="shared" si="12"/>
        <v>0</v>
      </c>
      <c r="K63" s="223">
        <v>0</v>
      </c>
      <c r="L63" s="212"/>
      <c r="M63" s="35">
        <v>0</v>
      </c>
      <c r="N63" s="200">
        <f>J63*L63</f>
        <v>0</v>
      </c>
      <c r="O63" s="35">
        <v>7.8842015833746775</v>
      </c>
      <c r="P63" s="200">
        <f t="shared" si="13"/>
        <v>0</v>
      </c>
      <c r="Q63" s="35">
        <v>5045.8890133597934</v>
      </c>
      <c r="R63" s="200">
        <f t="shared" si="14"/>
        <v>0</v>
      </c>
    </row>
    <row r="64" spans="1:18" x14ac:dyDescent="0.2">
      <c r="A64" s="25"/>
      <c r="B64" s="25"/>
      <c r="C64" s="25" t="s">
        <v>5</v>
      </c>
      <c r="D64" s="25">
        <v>1</v>
      </c>
      <c r="E64" s="130"/>
      <c r="F64" s="224" t="s">
        <v>42</v>
      </c>
      <c r="G64" s="41">
        <v>10.446695191370555</v>
      </c>
      <c r="H64" s="131"/>
      <c r="I64" s="35">
        <v>10.446695191370555</v>
      </c>
      <c r="J64" s="200">
        <f t="shared" si="12"/>
        <v>0</v>
      </c>
      <c r="K64" s="223">
        <v>0</v>
      </c>
      <c r="L64" s="212"/>
      <c r="M64" s="35">
        <v>0</v>
      </c>
      <c r="N64" s="200">
        <f>J64*L64</f>
        <v>0</v>
      </c>
      <c r="O64" s="35">
        <v>10.446695191370555</v>
      </c>
      <c r="P64" s="200">
        <f t="shared" si="13"/>
        <v>0</v>
      </c>
      <c r="Q64" s="35">
        <v>6685.8849224771548</v>
      </c>
      <c r="R64" s="200">
        <f t="shared" si="14"/>
        <v>0</v>
      </c>
    </row>
    <row r="65" spans="1:18" x14ac:dyDescent="0.2">
      <c r="A65" s="25"/>
      <c r="B65" s="25" t="s">
        <v>88</v>
      </c>
      <c r="C65" s="25"/>
      <c r="D65" s="25"/>
      <c r="E65" s="195"/>
      <c r="F65" s="21"/>
      <c r="G65" s="41"/>
      <c r="H65" s="195"/>
      <c r="I65" s="184"/>
      <c r="J65" s="182"/>
      <c r="K65" s="223"/>
      <c r="L65" s="195"/>
      <c r="M65" s="35"/>
      <c r="N65" s="182"/>
      <c r="O65" s="35"/>
      <c r="P65" s="182"/>
      <c r="Q65" s="35"/>
      <c r="R65" s="182"/>
    </row>
    <row r="66" spans="1:18" x14ac:dyDescent="0.2">
      <c r="A66" s="25"/>
      <c r="B66" s="25"/>
      <c r="C66" s="25" t="s">
        <v>102</v>
      </c>
      <c r="D66" s="41">
        <v>3.4189453125</v>
      </c>
      <c r="E66" s="130"/>
      <c r="F66" s="224" t="s">
        <v>99</v>
      </c>
      <c r="G66" s="39">
        <v>0.08</v>
      </c>
      <c r="H66" s="213"/>
      <c r="I66" s="35">
        <v>0.27351562499999998</v>
      </c>
      <c r="J66" s="200">
        <f t="shared" ref="J66:J75" si="15">E66*H66</f>
        <v>0</v>
      </c>
      <c r="K66" s="223">
        <v>0</v>
      </c>
      <c r="L66" s="212"/>
      <c r="M66" s="35">
        <v>0</v>
      </c>
      <c r="N66" s="200">
        <f>J66*L66</f>
        <v>0</v>
      </c>
      <c r="O66" s="35">
        <v>0.27351562499999998</v>
      </c>
      <c r="P66" s="200">
        <f t="shared" ref="P66:P68" si="16">+J66-N66</f>
        <v>0</v>
      </c>
      <c r="Q66" s="35">
        <v>175.04999999999998</v>
      </c>
      <c r="R66" s="200">
        <f t="shared" ref="R66:R68" si="17">+J66*E$7</f>
        <v>0</v>
      </c>
    </row>
    <row r="67" spans="1:18" x14ac:dyDescent="0.2">
      <c r="A67" s="25"/>
      <c r="B67" s="25"/>
      <c r="C67" s="25" t="s">
        <v>103</v>
      </c>
      <c r="D67" s="41">
        <v>61.420473625322074</v>
      </c>
      <c r="E67" s="130"/>
      <c r="F67" s="224" t="s">
        <v>99</v>
      </c>
      <c r="G67" s="39">
        <v>0.08</v>
      </c>
      <c r="H67" s="213"/>
      <c r="I67" s="35">
        <v>4.9136378900257665</v>
      </c>
      <c r="J67" s="200">
        <f t="shared" si="15"/>
        <v>0</v>
      </c>
      <c r="K67" s="223">
        <v>0</v>
      </c>
      <c r="L67" s="212"/>
      <c r="M67" s="35">
        <v>0</v>
      </c>
      <c r="N67" s="200">
        <f>J67*L67</f>
        <v>0</v>
      </c>
      <c r="O67" s="35">
        <v>4.9136378900257665</v>
      </c>
      <c r="P67" s="200">
        <f t="shared" si="16"/>
        <v>0</v>
      </c>
      <c r="Q67" s="35">
        <v>3144.7282496164908</v>
      </c>
      <c r="R67" s="200">
        <f t="shared" si="17"/>
        <v>0</v>
      </c>
    </row>
    <row r="68" spans="1:18" x14ac:dyDescent="0.2">
      <c r="A68" s="25"/>
      <c r="B68" s="25"/>
      <c r="C68" s="25" t="s">
        <v>5</v>
      </c>
      <c r="D68" s="41">
        <v>44.688640540862927</v>
      </c>
      <c r="E68" s="130"/>
      <c r="F68" s="224" t="s">
        <v>99</v>
      </c>
      <c r="G68" s="39">
        <v>0.08</v>
      </c>
      <c r="H68" s="213"/>
      <c r="I68" s="35">
        <v>3.5750912432690343</v>
      </c>
      <c r="J68" s="200">
        <f t="shared" si="15"/>
        <v>0</v>
      </c>
      <c r="K68" s="223">
        <v>0</v>
      </c>
      <c r="L68" s="212"/>
      <c r="M68" s="35">
        <v>0</v>
      </c>
      <c r="N68" s="200">
        <f>J68*L68</f>
        <v>0</v>
      </c>
      <c r="O68" s="35">
        <v>3.5750912432690343</v>
      </c>
      <c r="P68" s="200">
        <f t="shared" si="16"/>
        <v>0</v>
      </c>
      <c r="Q68" s="35">
        <v>2288.0583956921819</v>
      </c>
      <c r="R68" s="200">
        <f t="shared" si="17"/>
        <v>0</v>
      </c>
    </row>
    <row r="69" spans="1:18" x14ac:dyDescent="0.2">
      <c r="A69" s="25"/>
      <c r="B69" s="25" t="s">
        <v>156</v>
      </c>
      <c r="C69" s="25"/>
      <c r="D69" s="25">
        <v>1</v>
      </c>
      <c r="E69" s="130"/>
      <c r="F69" s="224" t="s">
        <v>42</v>
      </c>
      <c r="G69" s="41">
        <v>0</v>
      </c>
      <c r="H69" s="131"/>
      <c r="I69" s="35">
        <v>0</v>
      </c>
      <c r="J69" s="200">
        <f t="shared" si="15"/>
        <v>0</v>
      </c>
      <c r="K69" s="223">
        <v>0</v>
      </c>
      <c r="L69" s="212"/>
      <c r="M69" s="35">
        <v>0</v>
      </c>
      <c r="N69" s="200">
        <f t="shared" ref="N69:N76" si="18">J69*L69</f>
        <v>0</v>
      </c>
      <c r="O69" s="35">
        <v>0</v>
      </c>
      <c r="P69" s="200">
        <f t="shared" ref="P69:P76" si="19">+J69-N69</f>
        <v>0</v>
      </c>
      <c r="Q69" s="35">
        <v>0</v>
      </c>
      <c r="R69" s="200">
        <f t="shared" ref="R69:R76" si="20">+J69*E$7</f>
        <v>0</v>
      </c>
    </row>
    <row r="70" spans="1:18" x14ac:dyDescent="0.2">
      <c r="A70" s="25"/>
      <c r="B70" s="25" t="s">
        <v>152</v>
      </c>
      <c r="C70" s="25"/>
      <c r="D70" s="25">
        <v>1</v>
      </c>
      <c r="E70" s="130"/>
      <c r="F70" s="224" t="s">
        <v>42</v>
      </c>
      <c r="G70" s="41">
        <v>0</v>
      </c>
      <c r="H70" s="131"/>
      <c r="I70" s="35">
        <v>0</v>
      </c>
      <c r="J70" s="200">
        <f t="shared" si="15"/>
        <v>0</v>
      </c>
      <c r="K70" s="223">
        <v>0</v>
      </c>
      <c r="L70" s="212"/>
      <c r="M70" s="35">
        <v>0</v>
      </c>
      <c r="N70" s="200">
        <f t="shared" si="18"/>
        <v>0</v>
      </c>
      <c r="O70" s="35">
        <v>0</v>
      </c>
      <c r="P70" s="200">
        <f t="shared" si="19"/>
        <v>0</v>
      </c>
      <c r="Q70" s="35">
        <v>0</v>
      </c>
      <c r="R70" s="200">
        <f t="shared" si="20"/>
        <v>0</v>
      </c>
    </row>
    <row r="71" spans="1:18" x14ac:dyDescent="0.2">
      <c r="A71" s="25"/>
      <c r="B71" s="25" t="s">
        <v>137</v>
      </c>
      <c r="C71" s="25"/>
      <c r="D71" s="25">
        <v>1</v>
      </c>
      <c r="E71" s="130"/>
      <c r="F71" s="224" t="s">
        <v>42</v>
      </c>
      <c r="G71" s="41">
        <v>0</v>
      </c>
      <c r="H71" s="131"/>
      <c r="I71" s="35">
        <v>0</v>
      </c>
      <c r="J71" s="200">
        <f t="shared" si="15"/>
        <v>0</v>
      </c>
      <c r="K71" s="223">
        <v>0</v>
      </c>
      <c r="L71" s="212"/>
      <c r="M71" s="35">
        <v>0</v>
      </c>
      <c r="N71" s="200">
        <f t="shared" si="18"/>
        <v>0</v>
      </c>
      <c r="O71" s="35">
        <v>0</v>
      </c>
      <c r="P71" s="200">
        <f t="shared" si="19"/>
        <v>0</v>
      </c>
      <c r="Q71" s="35">
        <v>0</v>
      </c>
      <c r="R71" s="200">
        <f t="shared" si="20"/>
        <v>0</v>
      </c>
    </row>
    <row r="72" spans="1:18" x14ac:dyDescent="0.2">
      <c r="A72" s="25"/>
      <c r="B72" s="25" t="s">
        <v>414</v>
      </c>
      <c r="C72" s="25"/>
      <c r="D72" s="25">
        <v>1</v>
      </c>
      <c r="E72" s="130"/>
      <c r="F72" s="224" t="s">
        <v>42</v>
      </c>
      <c r="G72" s="41">
        <v>30</v>
      </c>
      <c r="H72" s="131"/>
      <c r="I72" s="35">
        <v>30</v>
      </c>
      <c r="J72" s="200">
        <f t="shared" si="15"/>
        <v>0</v>
      </c>
      <c r="K72" s="223">
        <v>0</v>
      </c>
      <c r="L72" s="212"/>
      <c r="M72" s="35">
        <v>0</v>
      </c>
      <c r="N72" s="200">
        <f t="shared" si="18"/>
        <v>0</v>
      </c>
      <c r="O72" s="35">
        <v>30</v>
      </c>
      <c r="P72" s="200">
        <f t="shared" si="19"/>
        <v>0</v>
      </c>
      <c r="Q72" s="35">
        <v>19200</v>
      </c>
      <c r="R72" s="200">
        <f t="shared" si="20"/>
        <v>0</v>
      </c>
    </row>
    <row r="73" spans="1:18" x14ac:dyDescent="0.2">
      <c r="A73" s="25"/>
      <c r="B73" s="25" t="s">
        <v>159</v>
      </c>
      <c r="C73" s="25"/>
      <c r="D73" s="25">
        <v>1</v>
      </c>
      <c r="E73" s="130"/>
      <c r="F73" s="224" t="s">
        <v>42</v>
      </c>
      <c r="G73" s="41">
        <v>0</v>
      </c>
      <c r="H73" s="131"/>
      <c r="I73" s="35">
        <v>0</v>
      </c>
      <c r="J73" s="200">
        <f t="shared" si="15"/>
        <v>0</v>
      </c>
      <c r="K73" s="223">
        <v>0</v>
      </c>
      <c r="L73" s="212"/>
      <c r="M73" s="35">
        <v>0</v>
      </c>
      <c r="N73" s="200">
        <f t="shared" si="18"/>
        <v>0</v>
      </c>
      <c r="O73" s="35">
        <v>0</v>
      </c>
      <c r="P73" s="200">
        <f t="shared" si="19"/>
        <v>0</v>
      </c>
      <c r="Q73" s="35">
        <v>0</v>
      </c>
      <c r="R73" s="200">
        <f t="shared" si="20"/>
        <v>0</v>
      </c>
    </row>
    <row r="74" spans="1:18" x14ac:dyDescent="0.2">
      <c r="A74" s="25"/>
      <c r="B74" s="25" t="s">
        <v>160</v>
      </c>
      <c r="C74" s="25"/>
      <c r="D74" s="25">
        <v>1</v>
      </c>
      <c r="E74" s="130"/>
      <c r="F74" s="224" t="s">
        <v>42</v>
      </c>
      <c r="G74" s="41">
        <v>0</v>
      </c>
      <c r="H74" s="131"/>
      <c r="I74" s="35">
        <v>0</v>
      </c>
      <c r="J74" s="200">
        <f t="shared" si="15"/>
        <v>0</v>
      </c>
      <c r="K74" s="223">
        <v>0</v>
      </c>
      <c r="L74" s="212"/>
      <c r="M74" s="35">
        <v>0</v>
      </c>
      <c r="N74" s="200">
        <f t="shared" si="18"/>
        <v>0</v>
      </c>
      <c r="O74" s="35">
        <v>0</v>
      </c>
      <c r="P74" s="200">
        <f t="shared" si="19"/>
        <v>0</v>
      </c>
      <c r="Q74" s="35">
        <v>0</v>
      </c>
      <c r="R74" s="200">
        <f t="shared" si="20"/>
        <v>0</v>
      </c>
    </row>
    <row r="75" spans="1:18" x14ac:dyDescent="0.2">
      <c r="A75" s="25"/>
      <c r="B75" s="131"/>
      <c r="C75" s="131"/>
      <c r="D75" s="25">
        <v>1</v>
      </c>
      <c r="E75" s="130"/>
      <c r="F75" s="224"/>
      <c r="G75" s="41">
        <v>0</v>
      </c>
      <c r="H75" s="131"/>
      <c r="I75" s="35">
        <v>0</v>
      </c>
      <c r="J75" s="200">
        <f t="shared" si="15"/>
        <v>0</v>
      </c>
      <c r="K75" s="223">
        <v>0</v>
      </c>
      <c r="L75" s="212"/>
      <c r="M75" s="35">
        <v>0</v>
      </c>
      <c r="N75" s="200">
        <f t="shared" si="18"/>
        <v>0</v>
      </c>
      <c r="O75" s="35">
        <v>0</v>
      </c>
      <c r="P75" s="200">
        <f t="shared" si="19"/>
        <v>0</v>
      </c>
      <c r="Q75" s="35">
        <v>0</v>
      </c>
      <c r="R75" s="200">
        <f t="shared" si="20"/>
        <v>0</v>
      </c>
    </row>
    <row r="76" spans="1:18" ht="13.5" thickBot="1" x14ac:dyDescent="0.25">
      <c r="A76" s="25"/>
      <c r="B76" s="131"/>
      <c r="C76" s="131"/>
      <c r="D76" s="25">
        <v>1</v>
      </c>
      <c r="E76" s="130"/>
      <c r="F76" s="224"/>
      <c r="G76" s="41">
        <v>0</v>
      </c>
      <c r="H76" s="131"/>
      <c r="I76" s="35">
        <v>0</v>
      </c>
      <c r="J76" s="200">
        <f>E76*H76</f>
        <v>0</v>
      </c>
      <c r="K76" s="223">
        <v>0</v>
      </c>
      <c r="L76" s="212"/>
      <c r="M76" s="35">
        <v>0</v>
      </c>
      <c r="N76" s="200">
        <f t="shared" si="18"/>
        <v>0</v>
      </c>
      <c r="O76" s="35">
        <v>0</v>
      </c>
      <c r="P76" s="200">
        <f t="shared" si="19"/>
        <v>0</v>
      </c>
      <c r="Q76" s="35">
        <v>0</v>
      </c>
      <c r="R76" s="200">
        <f t="shared" si="20"/>
        <v>0</v>
      </c>
    </row>
    <row r="77" spans="1:18" ht="13.5" thickBot="1" x14ac:dyDescent="0.25">
      <c r="A77" s="25" t="s">
        <v>37</v>
      </c>
      <c r="B77" s="25"/>
      <c r="C77" s="25"/>
      <c r="D77" s="25"/>
      <c r="E77" s="195"/>
      <c r="F77" s="25"/>
      <c r="G77" s="25"/>
      <c r="H77" s="195"/>
      <c r="I77" s="118">
        <v>57.581227470540036</v>
      </c>
      <c r="J77" s="202">
        <f>+SUM(J62:J76)</f>
        <v>0</v>
      </c>
      <c r="K77" s="35"/>
      <c r="L77" s="193"/>
      <c r="M77" s="118">
        <v>0</v>
      </c>
      <c r="N77" s="202">
        <f>+SUM(N62:N76)</f>
        <v>0</v>
      </c>
      <c r="O77" s="118">
        <v>57.581227470540036</v>
      </c>
      <c r="P77" s="202">
        <f>+SUM(P62:P76)</f>
        <v>0</v>
      </c>
      <c r="Q77" s="118">
        <v>36851.985581145622</v>
      </c>
      <c r="R77" s="202">
        <f>+SUM(R62:R76)</f>
        <v>0</v>
      </c>
    </row>
    <row r="78" spans="1:18" ht="14.25" thickTop="1" thickBot="1" x14ac:dyDescent="0.25">
      <c r="A78" s="25" t="s">
        <v>52</v>
      </c>
      <c r="B78" s="25"/>
      <c r="C78" s="25"/>
      <c r="D78" s="25"/>
      <c r="E78" s="195"/>
      <c r="F78" s="25"/>
      <c r="G78" s="25"/>
      <c r="H78" s="195"/>
      <c r="I78" s="87">
        <v>293.13660632609492</v>
      </c>
      <c r="J78" s="203">
        <f>+J56+J77</f>
        <v>0</v>
      </c>
      <c r="K78" s="35"/>
      <c r="L78" s="193"/>
      <c r="M78" s="87">
        <v>0</v>
      </c>
      <c r="N78" s="203">
        <f>+N56+N77</f>
        <v>0</v>
      </c>
      <c r="O78" s="87">
        <v>293.13660632609492</v>
      </c>
      <c r="P78" s="203">
        <f>+P56+P77</f>
        <v>0</v>
      </c>
      <c r="Q78" s="87">
        <v>187607.42804870079</v>
      </c>
      <c r="R78" s="203">
        <f>+R56+R77</f>
        <v>0</v>
      </c>
    </row>
    <row r="79" spans="1:18" ht="13.5" thickTop="1" x14ac:dyDescent="0.2">
      <c r="A79" s="25"/>
      <c r="B79" s="25"/>
      <c r="C79" s="25"/>
      <c r="D79" s="25"/>
      <c r="E79" s="195"/>
      <c r="F79" s="25"/>
      <c r="G79" s="25"/>
      <c r="H79" s="195"/>
      <c r="I79" s="35"/>
      <c r="J79" s="182"/>
      <c r="K79" s="35"/>
      <c r="L79" s="193"/>
      <c r="M79" s="35"/>
      <c r="N79" s="182"/>
      <c r="O79" s="35"/>
      <c r="P79" s="182"/>
      <c r="Q79" s="35"/>
      <c r="R79" s="182"/>
    </row>
    <row r="80" spans="1:18" x14ac:dyDescent="0.2">
      <c r="A80" s="25" t="s">
        <v>153</v>
      </c>
      <c r="B80" s="25"/>
      <c r="C80" s="25"/>
      <c r="D80" s="25"/>
      <c r="E80" s="195"/>
      <c r="F80" s="25"/>
      <c r="G80" s="25"/>
      <c r="H80" s="195"/>
      <c r="I80" s="35">
        <v>30.936000934631124</v>
      </c>
      <c r="J80" s="200">
        <f>+J14-J78</f>
        <v>0</v>
      </c>
      <c r="K80" s="35"/>
      <c r="L80" s="193"/>
      <c r="M80" s="35">
        <v>0</v>
      </c>
      <c r="N80" s="200">
        <f>+N14-N78</f>
        <v>0</v>
      </c>
      <c r="O80" s="35">
        <v>30.936000934631124</v>
      </c>
      <c r="P80" s="200">
        <f>+P14-P78</f>
        <v>0</v>
      </c>
      <c r="Q80" s="35">
        <v>19799.040598163905</v>
      </c>
      <c r="R80" s="200">
        <f>+R14-R78</f>
        <v>0</v>
      </c>
    </row>
    <row r="81" spans="1:18" x14ac:dyDescent="0.2">
      <c r="A81" s="25"/>
      <c r="B81" s="25"/>
      <c r="C81" s="25"/>
      <c r="D81" s="25"/>
      <c r="E81" s="195"/>
      <c r="F81" s="25"/>
      <c r="G81" s="25"/>
      <c r="H81" s="195"/>
      <c r="I81" s="35"/>
      <c r="J81" s="204"/>
      <c r="K81" s="35"/>
      <c r="L81" s="193"/>
      <c r="M81" s="35"/>
      <c r="N81" s="193"/>
      <c r="O81" s="35"/>
      <c r="P81" s="193"/>
      <c r="Q81" s="35"/>
      <c r="R81" s="204"/>
    </row>
    <row r="82" spans="1:18" ht="13.5" thickBot="1" x14ac:dyDescent="0.25">
      <c r="A82" s="44" t="s">
        <v>38</v>
      </c>
      <c r="B82" s="44"/>
      <c r="C82" s="44"/>
      <c r="D82" s="44"/>
      <c r="E82" s="199"/>
      <c r="F82" s="44"/>
      <c r="G82" s="45">
        <v>0.73265999766342216</v>
      </c>
      <c r="H82" s="210" t="str">
        <f>IF(E10=0,"n/a",(YTotExp-(YTotExp+YTotRet-J10))/E10)</f>
        <v>n/a</v>
      </c>
      <c r="I82" s="44" t="s">
        <v>82</v>
      </c>
      <c r="J82" s="205"/>
      <c r="K82" s="44"/>
      <c r="L82" s="199"/>
      <c r="M82" s="44"/>
      <c r="N82" s="199"/>
      <c r="O82" s="44"/>
      <c r="P82" s="199"/>
      <c r="Q82" s="44"/>
      <c r="R82" s="205"/>
    </row>
    <row r="83" spans="1:18" ht="13.5" thickTop="1" x14ac:dyDescent="0.2"/>
    <row r="84" spans="1:18" s="17" customFormat="1" ht="15.75" x14ac:dyDescent="0.25">
      <c r="A84"/>
      <c r="B84" s="88"/>
      <c r="C84" s="89"/>
      <c r="D84" s="234" t="s">
        <v>113</v>
      </c>
      <c r="E84" s="235"/>
      <c r="F84" s="235"/>
      <c r="G84" s="235"/>
      <c r="H84" s="235"/>
      <c r="I84" s="235"/>
      <c r="J84" s="99"/>
      <c r="K84" s="99"/>
      <c r="M84"/>
      <c r="N84"/>
    </row>
    <row r="85" spans="1:18" s="17" customFormat="1" ht="15.75" x14ac:dyDescent="0.25">
      <c r="A85"/>
      <c r="B85" s="19" t="s">
        <v>114</v>
      </c>
      <c r="C85" s="19" t="s">
        <v>114</v>
      </c>
      <c r="D85" s="123" t="s">
        <v>170</v>
      </c>
      <c r="E85" s="18"/>
      <c r="F85" s="18"/>
      <c r="G85" s="123" t="s">
        <v>170</v>
      </c>
      <c r="H85" s="18"/>
      <c r="I85" s="18"/>
      <c r="J85" s="18"/>
      <c r="K85" s="18"/>
      <c r="M85"/>
      <c r="N85"/>
    </row>
    <row r="86" spans="1:18" s="17" customFormat="1" x14ac:dyDescent="0.2">
      <c r="A86"/>
      <c r="B86" s="19" t="s">
        <v>80</v>
      </c>
      <c r="C86" s="19" t="s">
        <v>80</v>
      </c>
      <c r="D86" s="123" t="s">
        <v>157</v>
      </c>
      <c r="E86" s="119"/>
      <c r="F86" s="119"/>
      <c r="G86" s="123" t="s">
        <v>12</v>
      </c>
      <c r="H86" s="119"/>
      <c r="I86" s="119"/>
      <c r="J86" s="119"/>
      <c r="K86" s="119"/>
      <c r="M86"/>
      <c r="N86"/>
    </row>
    <row r="87" spans="1:18" s="17" customFormat="1" x14ac:dyDescent="0.2">
      <c r="A87"/>
      <c r="B87" s="19" t="s">
        <v>30</v>
      </c>
      <c r="C87" s="99" t="s">
        <v>82</v>
      </c>
      <c r="D87" s="123" t="s">
        <v>98</v>
      </c>
      <c r="E87" s="119"/>
      <c r="F87" s="119"/>
      <c r="G87" s="123" t="s">
        <v>98</v>
      </c>
      <c r="H87" s="19"/>
      <c r="I87" s="19"/>
      <c r="J87" s="19"/>
      <c r="K87" s="19"/>
      <c r="M87"/>
      <c r="N87"/>
    </row>
    <row r="88" spans="1:18" s="17" customFormat="1" x14ac:dyDescent="0.2">
      <c r="A88"/>
      <c r="B88" s="90">
        <v>0.75</v>
      </c>
      <c r="C88" s="91">
        <v>300</v>
      </c>
      <c r="D88" s="92">
        <v>0.78494257198276274</v>
      </c>
      <c r="E88" s="93"/>
      <c r="F88" s="94"/>
      <c r="G88" s="92">
        <v>0.97687999688456295</v>
      </c>
      <c r="H88" s="93"/>
      <c r="I88" s="93"/>
      <c r="M88"/>
      <c r="N88"/>
    </row>
    <row r="89" spans="1:18" s="17" customFormat="1" x14ac:dyDescent="0.2">
      <c r="A89"/>
      <c r="B89" s="95">
        <v>0.9</v>
      </c>
      <c r="C89" s="96">
        <v>360</v>
      </c>
      <c r="D89" s="97">
        <v>0.65411880998563565</v>
      </c>
      <c r="E89" s="83"/>
      <c r="F89" s="98"/>
      <c r="G89" s="97">
        <v>0.81406666407046913</v>
      </c>
      <c r="H89" s="83"/>
      <c r="I89" s="83"/>
      <c r="M89"/>
      <c r="N89"/>
    </row>
    <row r="90" spans="1:18" s="17" customFormat="1" x14ac:dyDescent="0.2">
      <c r="A90"/>
      <c r="B90" s="90">
        <v>1</v>
      </c>
      <c r="C90" s="91">
        <v>400</v>
      </c>
      <c r="D90" s="92">
        <v>0.588706928987072</v>
      </c>
      <c r="E90" s="93"/>
      <c r="F90" s="94"/>
      <c r="G90" s="92">
        <v>0.73265999766342216</v>
      </c>
      <c r="H90" s="93"/>
      <c r="I90" s="93"/>
      <c r="M90"/>
      <c r="N90"/>
    </row>
    <row r="91" spans="1:18" s="17" customFormat="1" x14ac:dyDescent="0.2">
      <c r="A91"/>
      <c r="B91" s="95">
        <v>1.1000000000000001</v>
      </c>
      <c r="C91" s="96">
        <v>440.00000000000006</v>
      </c>
      <c r="D91" s="97">
        <v>0.53518811726097448</v>
      </c>
      <c r="E91" s="83"/>
      <c r="F91" s="98"/>
      <c r="G91" s="97">
        <v>0.66605454333038372</v>
      </c>
      <c r="H91" s="83"/>
      <c r="I91" s="83"/>
      <c r="M91"/>
      <c r="N91"/>
    </row>
    <row r="92" spans="1:18" s="17" customFormat="1" x14ac:dyDescent="0.2">
      <c r="A92"/>
      <c r="B92" s="90">
        <v>1.25</v>
      </c>
      <c r="C92" s="91">
        <v>500</v>
      </c>
      <c r="D92" s="92">
        <v>0.47096554318965766</v>
      </c>
      <c r="E92" s="93"/>
      <c r="F92" s="94"/>
      <c r="G92" s="92">
        <v>0.58612799813073779</v>
      </c>
      <c r="H92" s="93"/>
      <c r="I92" s="93"/>
      <c r="M92"/>
      <c r="N92"/>
    </row>
    <row r="93" spans="1:18" s="17" customFormat="1" x14ac:dyDescent="0.2">
      <c r="A93"/>
      <c r="M93"/>
      <c r="N93"/>
    </row>
    <row r="94" spans="1:18" x14ac:dyDescent="0.2">
      <c r="A94" s="25" t="s">
        <v>434</v>
      </c>
      <c r="B94" s="17"/>
      <c r="C94" s="17"/>
      <c r="D94" s="17"/>
      <c r="E94" s="17"/>
      <c r="F94" s="17"/>
      <c r="G94" s="17"/>
      <c r="H94" s="17"/>
      <c r="I94" s="17"/>
      <c r="J94" s="28"/>
      <c r="K94" s="17"/>
      <c r="L94" s="17"/>
      <c r="M94" s="17"/>
      <c r="N94" s="17"/>
      <c r="O94" s="17"/>
      <c r="P94" s="17"/>
      <c r="Q94" s="17"/>
    </row>
    <row r="95" spans="1:18" x14ac:dyDescent="0.2">
      <c r="A95" s="17"/>
      <c r="B95" s="17"/>
      <c r="C95" s="17"/>
      <c r="D95" s="17"/>
      <c r="E95" s="17"/>
      <c r="F95" s="17"/>
      <c r="G95" s="17"/>
      <c r="H95" s="17"/>
      <c r="I95" s="17"/>
      <c r="J95" s="28"/>
      <c r="K95" s="17"/>
      <c r="L95" s="17"/>
      <c r="M95" s="17"/>
      <c r="N95" s="17"/>
      <c r="O95" s="17"/>
      <c r="P95" s="17"/>
      <c r="Q95" s="17"/>
    </row>
    <row r="96" spans="1:18" ht="26.25" customHeight="1" x14ac:dyDescent="0.2">
      <c r="A96" s="236" t="s">
        <v>140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19"/>
      <c r="N96" s="219"/>
      <c r="O96" s="219"/>
      <c r="P96" s="219"/>
      <c r="Q96" s="219"/>
      <c r="R96" s="219"/>
    </row>
  </sheetData>
  <sheetProtection sheet="1" objects="1" scenarios="1"/>
  <mergeCells count="6">
    <mergeCell ref="D84:I84"/>
    <mergeCell ref="A96:L96"/>
    <mergeCell ref="A1:L1"/>
    <mergeCell ref="A2:L2"/>
    <mergeCell ref="A3:L3"/>
    <mergeCell ref="A4:L4"/>
  </mergeCells>
  <printOptions horizontalCentered="1" verticalCentered="1"/>
  <pageMargins left="0.7" right="0.7" top="0.75" bottom="0.75" header="0.3" footer="0.3"/>
  <pageSetup scale="4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EB9D28BC8FD43BDAF7BF6B08A0C24" ma:contentTypeVersion="13" ma:contentTypeDescription="Create a new document." ma:contentTypeScope="" ma:versionID="7602e8d7b2fb7084c2ab06ae8f95f175">
  <xsd:schema xmlns:xsd="http://www.w3.org/2001/XMLSchema" xmlns:xs="http://www.w3.org/2001/XMLSchema" xmlns:p="http://schemas.microsoft.com/office/2006/metadata/properties" xmlns:ns3="944db5d3-f0aa-4de4-943a-ebeeeed0e18a" xmlns:ns4="e267ba10-46c5-43ff-8614-23b1d55ba001" targetNamespace="http://schemas.microsoft.com/office/2006/metadata/properties" ma:root="true" ma:fieldsID="f19cac43581158c9fae966f35d3cc474" ns3:_="" ns4:_="">
    <xsd:import namespace="944db5d3-f0aa-4de4-943a-ebeeeed0e18a"/>
    <xsd:import namespace="e267ba10-46c5-43ff-8614-23b1d55ba0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db5d3-f0aa-4de4-943a-ebeeeed0e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7ba10-46c5-43ff-8614-23b1d55ba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286245-73AD-4CD5-AB77-D6B48CB61BE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44db5d3-f0aa-4de4-943a-ebeeeed0e18a"/>
    <ds:schemaRef ds:uri="e267ba10-46c5-43ff-8614-23b1d55ba00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B83D35-3E2B-4C80-8175-99E6DA533E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344CDC-1A86-4237-BFA2-A1D9B56787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4db5d3-f0aa-4de4-943a-ebeeeed0e18a"/>
    <ds:schemaRef ds:uri="e267ba10-46c5-43ff-8614-23b1d55ba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957</vt:i4>
      </vt:variant>
    </vt:vector>
  </HeadingPairs>
  <TitlesOfParts>
    <vt:vector size="998" baseType="lpstr">
      <vt:lpstr>Menu</vt:lpstr>
      <vt:lpstr>Links</vt:lpstr>
      <vt:lpstr>AlfalfaDrylandEstablish</vt:lpstr>
      <vt:lpstr>CoastalEstab</vt:lpstr>
      <vt:lpstr>AlfalfaHayDryland</vt:lpstr>
      <vt:lpstr>CoastalDryland</vt:lpstr>
      <vt:lpstr>AlfalfaIrrigatedEstablish</vt:lpstr>
      <vt:lpstr>AlfalfaHayIrrigated</vt:lpstr>
      <vt:lpstr>CottonDryland2X1</vt:lpstr>
      <vt:lpstr>CottonDrylandSolid</vt:lpstr>
      <vt:lpstr>Red Till Irrig Cotton</vt:lpstr>
      <vt:lpstr>Conv M Irrig Cotton</vt:lpstr>
      <vt:lpstr>Conv L Irrig Cotton</vt:lpstr>
      <vt:lpstr>Red Till L Irrig Cotton</vt:lpstr>
      <vt:lpstr>No Till Dryland Cotton</vt:lpstr>
      <vt:lpstr>NT Irrig M Cotton</vt:lpstr>
      <vt:lpstr>NT-CC2 Irr M Cotton</vt:lpstr>
      <vt:lpstr>NT-CC Irrig M Cotton</vt:lpstr>
      <vt:lpstr>NT-CC Irrig L Cotton</vt:lpstr>
      <vt:lpstr>NT Irrig L Cotton</vt:lpstr>
      <vt:lpstr>CottonIrrigated</vt:lpstr>
      <vt:lpstr>Peanuts</vt:lpstr>
      <vt:lpstr>SorghumDryland</vt:lpstr>
      <vt:lpstr>WheatDryland</vt:lpstr>
      <vt:lpstr>NoTill Wheat Dryland</vt:lpstr>
      <vt:lpstr>Wheat Irrigated</vt:lpstr>
      <vt:lpstr>OrganicDrylandWheat</vt:lpstr>
      <vt:lpstr>OrganicWheat Year 3</vt:lpstr>
      <vt:lpstr>Organic Summer HayCrop</vt:lpstr>
      <vt:lpstr>SmallGrain</vt:lpstr>
      <vt:lpstr>SD Fescue</vt:lpstr>
      <vt:lpstr>CanolaDryland</vt:lpstr>
      <vt:lpstr>CowCalf</vt:lpstr>
      <vt:lpstr>StockersMar1</vt:lpstr>
      <vt:lpstr>StockerGrazeOut</vt:lpstr>
      <vt:lpstr>Livestock Budget</vt:lpstr>
      <vt:lpstr>Crop Budget</vt:lpstr>
      <vt:lpstr>Comparative Returns - Cash Rent</vt:lpstr>
      <vt:lpstr>Comparative Returns-Share Rent</vt:lpstr>
      <vt:lpstr>Your Returns - Cash Rent</vt:lpstr>
      <vt:lpstr>Your Returns-Share Rent</vt:lpstr>
      <vt:lpstr>AlfalfaDrylandEstablish!LTotExp</vt:lpstr>
      <vt:lpstr>AlfalfaHayDryland!LTotExp</vt:lpstr>
      <vt:lpstr>AlfalfaHayIrrigated!LTotExp</vt:lpstr>
      <vt:lpstr>AlfalfaIrrigatedEstablish!LTotExp</vt:lpstr>
      <vt:lpstr>CanolaDryland!LTotExp</vt:lpstr>
      <vt:lpstr>CoastalDryland!LTotExp</vt:lpstr>
      <vt:lpstr>CoastalEstab!LTotExp</vt:lpstr>
      <vt:lpstr>'Conv L Irrig Cotton'!LTotExp</vt:lpstr>
      <vt:lpstr>'Conv M Irrig Cotton'!LTotExp</vt:lpstr>
      <vt:lpstr>CottonDryland2X1!LTotExp</vt:lpstr>
      <vt:lpstr>CottonDrylandSolid!LTotExp</vt:lpstr>
      <vt:lpstr>CottonIrrigated!LTotExp</vt:lpstr>
      <vt:lpstr>'No Till Dryland Cotton'!LTotExp</vt:lpstr>
      <vt:lpstr>'NoTill Wheat Dryland'!LTotExp</vt:lpstr>
      <vt:lpstr>'NT Irrig L Cotton'!LTotExp</vt:lpstr>
      <vt:lpstr>'NT Irrig M Cotton'!LTotExp</vt:lpstr>
      <vt:lpstr>'NT-CC Irrig L Cotton'!LTotExp</vt:lpstr>
      <vt:lpstr>'NT-CC Irrig M Cotton'!LTotExp</vt:lpstr>
      <vt:lpstr>'NT-CC2 Irr M Cotton'!LTotExp</vt:lpstr>
      <vt:lpstr>'Organic Summer HayCrop'!LTotExp</vt:lpstr>
      <vt:lpstr>OrganicDrylandWheat!LTotExp</vt:lpstr>
      <vt:lpstr>'OrganicWheat Year 3'!LTotExp</vt:lpstr>
      <vt:lpstr>Peanuts!LTotExp</vt:lpstr>
      <vt:lpstr>'Red Till Irrig Cotton'!LTotExp</vt:lpstr>
      <vt:lpstr>'Red Till L Irrig Cotton'!LTotExp</vt:lpstr>
      <vt:lpstr>'SD Fescue'!LTotExp</vt:lpstr>
      <vt:lpstr>SmallGrain!LTotExp</vt:lpstr>
      <vt:lpstr>SorghumDryland!LTotExp</vt:lpstr>
      <vt:lpstr>'Wheat Irrigated'!LTotExp</vt:lpstr>
      <vt:lpstr>WheatDryland!LTotExp</vt:lpstr>
      <vt:lpstr>AlfalfaDrylandEstablish!LTotRet</vt:lpstr>
      <vt:lpstr>AlfalfaHayDryland!LTotRet</vt:lpstr>
      <vt:lpstr>AlfalfaHayIrrigated!LTotRet</vt:lpstr>
      <vt:lpstr>AlfalfaIrrigatedEstablish!LTotRet</vt:lpstr>
      <vt:lpstr>CanolaDryland!LTotRet</vt:lpstr>
      <vt:lpstr>CoastalDryland!LTotRet</vt:lpstr>
      <vt:lpstr>CoastalEstab!LTotRet</vt:lpstr>
      <vt:lpstr>'Conv L Irrig Cotton'!LTotRet</vt:lpstr>
      <vt:lpstr>'Conv M Irrig Cotton'!LTotRet</vt:lpstr>
      <vt:lpstr>CottonDryland2X1!LTotRet</vt:lpstr>
      <vt:lpstr>CottonDrylandSolid!LTotRet</vt:lpstr>
      <vt:lpstr>CottonIrrigated!LTotRet</vt:lpstr>
      <vt:lpstr>'No Till Dryland Cotton'!LTotRet</vt:lpstr>
      <vt:lpstr>'NoTill Wheat Dryland'!LTotRet</vt:lpstr>
      <vt:lpstr>'NT Irrig L Cotton'!LTotRet</vt:lpstr>
      <vt:lpstr>'NT Irrig M Cotton'!LTotRet</vt:lpstr>
      <vt:lpstr>'NT-CC Irrig L Cotton'!LTotRet</vt:lpstr>
      <vt:lpstr>'NT-CC Irrig M Cotton'!LTotRet</vt:lpstr>
      <vt:lpstr>'NT-CC2 Irr M Cotton'!LTotRet</vt:lpstr>
      <vt:lpstr>'Organic Summer HayCrop'!LTotRet</vt:lpstr>
      <vt:lpstr>OrganicDrylandWheat!LTotRet</vt:lpstr>
      <vt:lpstr>'OrganicWheat Year 3'!LTotRet</vt:lpstr>
      <vt:lpstr>Peanuts!LTotRet</vt:lpstr>
      <vt:lpstr>'Red Till Irrig Cotton'!LTotRet</vt:lpstr>
      <vt:lpstr>'Red Till L Irrig Cotton'!LTotRet</vt:lpstr>
      <vt:lpstr>'SD Fescue'!LTotRet</vt:lpstr>
      <vt:lpstr>SmallGrain!LTotRet</vt:lpstr>
      <vt:lpstr>SorghumDryland!LTotRet</vt:lpstr>
      <vt:lpstr>'Wheat Irrigated'!LTotRet</vt:lpstr>
      <vt:lpstr>WheatDryland!LTotRet</vt:lpstr>
      <vt:lpstr>AlfalfaDrylandEstablish!LVarExp</vt:lpstr>
      <vt:lpstr>AlfalfaHayDryland!LVarExp</vt:lpstr>
      <vt:lpstr>AlfalfaHayIrrigated!LVarExp</vt:lpstr>
      <vt:lpstr>AlfalfaIrrigatedEstablish!LVarExp</vt:lpstr>
      <vt:lpstr>CanolaDryland!LVarExp</vt:lpstr>
      <vt:lpstr>CoastalDryland!LVarExp</vt:lpstr>
      <vt:lpstr>CoastalEstab!LVarExp</vt:lpstr>
      <vt:lpstr>'Conv L Irrig Cotton'!LVarExp</vt:lpstr>
      <vt:lpstr>'Conv M Irrig Cotton'!LVarExp</vt:lpstr>
      <vt:lpstr>CottonDryland2X1!LVarExp</vt:lpstr>
      <vt:lpstr>CottonDrylandSolid!LVarExp</vt:lpstr>
      <vt:lpstr>CottonIrrigated!LVarExp</vt:lpstr>
      <vt:lpstr>'No Till Dryland Cotton'!LVarExp</vt:lpstr>
      <vt:lpstr>'NoTill Wheat Dryland'!LVarExp</vt:lpstr>
      <vt:lpstr>'NT Irrig L Cotton'!LVarExp</vt:lpstr>
      <vt:lpstr>'NT Irrig M Cotton'!LVarExp</vt:lpstr>
      <vt:lpstr>'NT-CC Irrig L Cotton'!LVarExp</vt:lpstr>
      <vt:lpstr>'NT-CC Irrig M Cotton'!LVarExp</vt:lpstr>
      <vt:lpstr>'NT-CC2 Irr M Cotton'!LVarExp</vt:lpstr>
      <vt:lpstr>'Organic Summer HayCrop'!LVarExp</vt:lpstr>
      <vt:lpstr>OrganicDrylandWheat!LVarExp</vt:lpstr>
      <vt:lpstr>'OrganicWheat Year 3'!LVarExp</vt:lpstr>
      <vt:lpstr>Peanuts!LVarExp</vt:lpstr>
      <vt:lpstr>'Red Till Irrig Cotton'!LVarExp</vt:lpstr>
      <vt:lpstr>'Red Till L Irrig Cotton'!LVarExp</vt:lpstr>
      <vt:lpstr>'SD Fescue'!LVarExp</vt:lpstr>
      <vt:lpstr>SmallGrain!LVarExp</vt:lpstr>
      <vt:lpstr>SorghumDryland!LVarExp</vt:lpstr>
      <vt:lpstr>'Wheat Irrigated'!LVarExp</vt:lpstr>
      <vt:lpstr>WheatDryland!LVarExp</vt:lpstr>
      <vt:lpstr>AlfalfaDrylandEstablish!LVarRet</vt:lpstr>
      <vt:lpstr>AlfalfaHayDryland!LVarRet</vt:lpstr>
      <vt:lpstr>AlfalfaHayIrrigated!LVarRet</vt:lpstr>
      <vt:lpstr>AlfalfaIrrigatedEstablish!LVarRet</vt:lpstr>
      <vt:lpstr>CanolaDryland!LVarRet</vt:lpstr>
      <vt:lpstr>CoastalDryland!LVarRet</vt:lpstr>
      <vt:lpstr>CoastalEstab!LVarRet</vt:lpstr>
      <vt:lpstr>'Conv L Irrig Cotton'!LVarRet</vt:lpstr>
      <vt:lpstr>'Conv M Irrig Cotton'!LVarRet</vt:lpstr>
      <vt:lpstr>CottonDryland2X1!LVarRet</vt:lpstr>
      <vt:lpstr>CottonDrylandSolid!LVarRet</vt:lpstr>
      <vt:lpstr>CottonIrrigated!LVarRet</vt:lpstr>
      <vt:lpstr>'No Till Dryland Cotton'!LVarRet</vt:lpstr>
      <vt:lpstr>'NoTill Wheat Dryland'!LVarRet</vt:lpstr>
      <vt:lpstr>'NT Irrig L Cotton'!LVarRet</vt:lpstr>
      <vt:lpstr>'NT Irrig M Cotton'!LVarRet</vt:lpstr>
      <vt:lpstr>'NT-CC Irrig L Cotton'!LVarRet</vt:lpstr>
      <vt:lpstr>'NT-CC Irrig M Cotton'!LVarRet</vt:lpstr>
      <vt:lpstr>'NT-CC2 Irr M Cotton'!LVarRet</vt:lpstr>
      <vt:lpstr>'Organic Summer HayCrop'!LVarRet</vt:lpstr>
      <vt:lpstr>OrganicDrylandWheat!LVarRet</vt:lpstr>
      <vt:lpstr>'OrganicWheat Year 3'!LVarRet</vt:lpstr>
      <vt:lpstr>Peanuts!LVarRet</vt:lpstr>
      <vt:lpstr>'Red Till Irrig Cotton'!LVarRet</vt:lpstr>
      <vt:lpstr>'Red Till L Irrig Cotton'!LVarRet</vt:lpstr>
      <vt:lpstr>'SD Fescue'!LVarRet</vt:lpstr>
      <vt:lpstr>SmallGrain!LVarRet</vt:lpstr>
      <vt:lpstr>SorghumDryland!LVarRet</vt:lpstr>
      <vt:lpstr>'Wheat Irrigated'!LVarRet</vt:lpstr>
      <vt:lpstr>WheatDryland!LVarRet</vt:lpstr>
      <vt:lpstr>AlfalfaDrylandEstablish!Price</vt:lpstr>
      <vt:lpstr>AlfalfaHayDryland!Price</vt:lpstr>
      <vt:lpstr>AlfalfaHayIrrigated!Price</vt:lpstr>
      <vt:lpstr>AlfalfaIrrigatedEstablish!Price</vt:lpstr>
      <vt:lpstr>CanolaDryland!Price</vt:lpstr>
      <vt:lpstr>CoastalDryland!Price</vt:lpstr>
      <vt:lpstr>CoastalEstab!Price</vt:lpstr>
      <vt:lpstr>'Conv L Irrig Cotton'!Price</vt:lpstr>
      <vt:lpstr>'Conv M Irrig Cotton'!Price</vt:lpstr>
      <vt:lpstr>CottonDryland2X1!Price</vt:lpstr>
      <vt:lpstr>CottonDrylandSolid!Price</vt:lpstr>
      <vt:lpstr>CottonIrrigated!Price</vt:lpstr>
      <vt:lpstr>CowCalf!Price</vt:lpstr>
      <vt:lpstr>'No Till Dryland Cotton'!Price</vt:lpstr>
      <vt:lpstr>'NoTill Wheat Dryland'!Price</vt:lpstr>
      <vt:lpstr>'NT Irrig L Cotton'!Price</vt:lpstr>
      <vt:lpstr>'NT Irrig M Cotton'!Price</vt:lpstr>
      <vt:lpstr>'NT-CC Irrig L Cotton'!Price</vt:lpstr>
      <vt:lpstr>'NT-CC Irrig M Cotton'!Price</vt:lpstr>
      <vt:lpstr>'NT-CC2 Irr M Cotton'!Price</vt:lpstr>
      <vt:lpstr>'Organic Summer HayCrop'!Price</vt:lpstr>
      <vt:lpstr>OrganicDrylandWheat!Price</vt:lpstr>
      <vt:lpstr>'OrganicWheat Year 3'!Price</vt:lpstr>
      <vt:lpstr>Peanuts!Price</vt:lpstr>
      <vt:lpstr>'Red Till Irrig Cotton'!Price</vt:lpstr>
      <vt:lpstr>'Red Till L Irrig Cotton'!Price</vt:lpstr>
      <vt:lpstr>'SD Fescue'!Price</vt:lpstr>
      <vt:lpstr>SmallGrain!Price</vt:lpstr>
      <vt:lpstr>SorghumDryland!Price</vt:lpstr>
      <vt:lpstr>StockerGrazeOut!Price</vt:lpstr>
      <vt:lpstr>StockersMar1!Price</vt:lpstr>
      <vt:lpstr>'Wheat Irrigated'!Price</vt:lpstr>
      <vt:lpstr>WheatDryland!Price</vt:lpstr>
      <vt:lpstr>AlfalfaDrylandEstablish!Print_Area</vt:lpstr>
      <vt:lpstr>AlfalfaHayDryland!Print_Area</vt:lpstr>
      <vt:lpstr>AlfalfaHayIrrigated!Print_Area</vt:lpstr>
      <vt:lpstr>AlfalfaIrrigatedEstablish!Print_Area</vt:lpstr>
      <vt:lpstr>CanolaDryland!Print_Area</vt:lpstr>
      <vt:lpstr>CoastalDryland!Print_Area</vt:lpstr>
      <vt:lpstr>CoastalEstab!Print_Area</vt:lpstr>
      <vt:lpstr>'Comparative Returns - Cash Rent'!Print_Area</vt:lpstr>
      <vt:lpstr>'Comparative Returns-Share Rent'!Print_Area</vt:lpstr>
      <vt:lpstr>'Conv L Irrig Cotton'!Print_Area</vt:lpstr>
      <vt:lpstr>'Conv M Irrig Cotton'!Print_Area</vt:lpstr>
      <vt:lpstr>CottonDryland2X1!Print_Area</vt:lpstr>
      <vt:lpstr>CottonDrylandSolid!Print_Area</vt:lpstr>
      <vt:lpstr>CottonIrrigated!Print_Area</vt:lpstr>
      <vt:lpstr>CowCalf!Print_Area</vt:lpstr>
      <vt:lpstr>Links!Print_Area</vt:lpstr>
      <vt:lpstr>'No Till Dryland Cotton'!Print_Area</vt:lpstr>
      <vt:lpstr>'NoTill Wheat Dryland'!Print_Area</vt:lpstr>
      <vt:lpstr>'NT Irrig L Cotton'!Print_Area</vt:lpstr>
      <vt:lpstr>'NT Irrig M Cotton'!Print_Area</vt:lpstr>
      <vt:lpstr>'NT-CC Irrig L Cotton'!Print_Area</vt:lpstr>
      <vt:lpstr>'NT-CC Irrig M Cotton'!Print_Area</vt:lpstr>
      <vt:lpstr>'NT-CC2 Irr M Cotton'!Print_Area</vt:lpstr>
      <vt:lpstr>'Organic Summer HayCrop'!Print_Area</vt:lpstr>
      <vt:lpstr>OrganicDrylandWheat!Print_Area</vt:lpstr>
      <vt:lpstr>'OrganicWheat Year 3'!Print_Area</vt:lpstr>
      <vt:lpstr>Peanuts!Print_Area</vt:lpstr>
      <vt:lpstr>'Red Till Irrig Cotton'!Print_Area</vt:lpstr>
      <vt:lpstr>'Red Till L Irrig Cotton'!Print_Area</vt:lpstr>
      <vt:lpstr>'SD Fescue'!Print_Area</vt:lpstr>
      <vt:lpstr>SmallGrain!Print_Area</vt:lpstr>
      <vt:lpstr>SorghumDryland!Print_Area</vt:lpstr>
      <vt:lpstr>StockerGrazeOut!Print_Area</vt:lpstr>
      <vt:lpstr>StockersMar1!Print_Area</vt:lpstr>
      <vt:lpstr>'Wheat Irrigated'!Print_Area</vt:lpstr>
      <vt:lpstr>WheatDryland!Print_Area</vt:lpstr>
      <vt:lpstr>'Your Returns - Cash Rent'!Print_Area</vt:lpstr>
      <vt:lpstr>'Your Returns-Share Rent'!Print_Area</vt:lpstr>
      <vt:lpstr>'Comparative Returns - Cash Rent'!Print_Titles</vt:lpstr>
      <vt:lpstr>'Comparative Returns-Share Rent'!Print_Titles</vt:lpstr>
      <vt:lpstr>'Your Returns - Cash Rent'!Print_Titles</vt:lpstr>
      <vt:lpstr>'Your Returns-Share Rent'!Print_Titles</vt:lpstr>
      <vt:lpstr>AlfalfaDrylandEstablish!TotExp</vt:lpstr>
      <vt:lpstr>AlfalfaHayDryland!TotExp</vt:lpstr>
      <vt:lpstr>AlfalfaHayIrrigated!TotExp</vt:lpstr>
      <vt:lpstr>AlfalfaIrrigatedEstablish!TotExp</vt:lpstr>
      <vt:lpstr>CanolaDryland!TotExp</vt:lpstr>
      <vt:lpstr>CoastalDryland!TotExp</vt:lpstr>
      <vt:lpstr>CoastalEstab!TotExp</vt:lpstr>
      <vt:lpstr>'Conv L Irrig Cotton'!TotExp</vt:lpstr>
      <vt:lpstr>'Conv M Irrig Cotton'!TotExp</vt:lpstr>
      <vt:lpstr>CottonDryland2X1!TotExp</vt:lpstr>
      <vt:lpstr>CottonDrylandSolid!TotExp</vt:lpstr>
      <vt:lpstr>CottonIrrigated!TotExp</vt:lpstr>
      <vt:lpstr>CowCalf!TotExp</vt:lpstr>
      <vt:lpstr>'No Till Dryland Cotton'!TotExp</vt:lpstr>
      <vt:lpstr>'NoTill Wheat Dryland'!TotExp</vt:lpstr>
      <vt:lpstr>'NT Irrig L Cotton'!TotExp</vt:lpstr>
      <vt:lpstr>'NT Irrig M Cotton'!TotExp</vt:lpstr>
      <vt:lpstr>'NT-CC Irrig L Cotton'!TotExp</vt:lpstr>
      <vt:lpstr>'NT-CC Irrig M Cotton'!TotExp</vt:lpstr>
      <vt:lpstr>'NT-CC2 Irr M Cotton'!TotExp</vt:lpstr>
      <vt:lpstr>'Organic Summer HayCrop'!TotExp</vt:lpstr>
      <vt:lpstr>OrganicDrylandWheat!TotExp</vt:lpstr>
      <vt:lpstr>'OrganicWheat Year 3'!TotExp</vt:lpstr>
      <vt:lpstr>Peanuts!TotExp</vt:lpstr>
      <vt:lpstr>'Red Till Irrig Cotton'!TotExp</vt:lpstr>
      <vt:lpstr>'Red Till L Irrig Cotton'!TotExp</vt:lpstr>
      <vt:lpstr>'SD Fescue'!TotExp</vt:lpstr>
      <vt:lpstr>SmallGrain!TotExp</vt:lpstr>
      <vt:lpstr>SorghumDryland!TotExp</vt:lpstr>
      <vt:lpstr>StockerGrazeOut!TotExp</vt:lpstr>
      <vt:lpstr>StockersMar1!TotExp</vt:lpstr>
      <vt:lpstr>'Wheat Irrigated'!TotExp</vt:lpstr>
      <vt:lpstr>WheatDryland!TotExp</vt:lpstr>
      <vt:lpstr>AlfalfaDrylandEstablish!TotRet</vt:lpstr>
      <vt:lpstr>AlfalfaHayDryland!TotRet</vt:lpstr>
      <vt:lpstr>AlfalfaHayIrrigated!TotRet</vt:lpstr>
      <vt:lpstr>AlfalfaIrrigatedEstablish!TotRet</vt:lpstr>
      <vt:lpstr>CanolaDryland!TotRet</vt:lpstr>
      <vt:lpstr>CoastalDryland!TotRet</vt:lpstr>
      <vt:lpstr>CoastalEstab!TotRet</vt:lpstr>
      <vt:lpstr>'Conv L Irrig Cotton'!TotRet</vt:lpstr>
      <vt:lpstr>'Conv M Irrig Cotton'!TotRet</vt:lpstr>
      <vt:lpstr>CottonDryland2X1!TotRet</vt:lpstr>
      <vt:lpstr>CottonDrylandSolid!TotRet</vt:lpstr>
      <vt:lpstr>CottonIrrigated!TotRet</vt:lpstr>
      <vt:lpstr>CowCalf!TotRet</vt:lpstr>
      <vt:lpstr>'No Till Dryland Cotton'!TotRet</vt:lpstr>
      <vt:lpstr>'NoTill Wheat Dryland'!TotRet</vt:lpstr>
      <vt:lpstr>'NT Irrig L Cotton'!TotRet</vt:lpstr>
      <vt:lpstr>'NT Irrig M Cotton'!TotRet</vt:lpstr>
      <vt:lpstr>'NT-CC Irrig L Cotton'!TotRet</vt:lpstr>
      <vt:lpstr>'NT-CC Irrig M Cotton'!TotRet</vt:lpstr>
      <vt:lpstr>'NT-CC2 Irr M Cotton'!TotRet</vt:lpstr>
      <vt:lpstr>'Organic Summer HayCrop'!TotRet</vt:lpstr>
      <vt:lpstr>OrganicDrylandWheat!TotRet</vt:lpstr>
      <vt:lpstr>'OrganicWheat Year 3'!TotRet</vt:lpstr>
      <vt:lpstr>Peanuts!TotRet</vt:lpstr>
      <vt:lpstr>'Red Till Irrig Cotton'!TotRet</vt:lpstr>
      <vt:lpstr>'Red Till L Irrig Cotton'!TotRet</vt:lpstr>
      <vt:lpstr>'SD Fescue'!TotRet</vt:lpstr>
      <vt:lpstr>SmallGrain!TotRet</vt:lpstr>
      <vt:lpstr>SorghumDryland!TotRet</vt:lpstr>
      <vt:lpstr>StockerGrazeOut!TotRet</vt:lpstr>
      <vt:lpstr>StockersMar1!TotRet</vt:lpstr>
      <vt:lpstr>'Wheat Irrigated'!TotRet</vt:lpstr>
      <vt:lpstr>WheatDryland!TotRet</vt:lpstr>
      <vt:lpstr>AlfalfaDrylandEstablish!TTotExp</vt:lpstr>
      <vt:lpstr>AlfalfaHayDryland!TTotExp</vt:lpstr>
      <vt:lpstr>AlfalfaHayIrrigated!TTotExp</vt:lpstr>
      <vt:lpstr>AlfalfaIrrigatedEstablish!TTotExp</vt:lpstr>
      <vt:lpstr>CanolaDryland!TTotExp</vt:lpstr>
      <vt:lpstr>CoastalDryland!TTotExp</vt:lpstr>
      <vt:lpstr>CoastalEstab!TTotExp</vt:lpstr>
      <vt:lpstr>'Conv L Irrig Cotton'!TTotExp</vt:lpstr>
      <vt:lpstr>'Conv M Irrig Cotton'!TTotExp</vt:lpstr>
      <vt:lpstr>CottonDryland2X1!TTotExp</vt:lpstr>
      <vt:lpstr>CottonDrylandSolid!TTotExp</vt:lpstr>
      <vt:lpstr>CottonIrrigated!TTotExp</vt:lpstr>
      <vt:lpstr>'No Till Dryland Cotton'!TTotExp</vt:lpstr>
      <vt:lpstr>'NoTill Wheat Dryland'!TTotExp</vt:lpstr>
      <vt:lpstr>'NT Irrig L Cotton'!TTotExp</vt:lpstr>
      <vt:lpstr>'NT Irrig M Cotton'!TTotExp</vt:lpstr>
      <vt:lpstr>'NT-CC Irrig L Cotton'!TTotExp</vt:lpstr>
      <vt:lpstr>'NT-CC Irrig M Cotton'!TTotExp</vt:lpstr>
      <vt:lpstr>'NT-CC2 Irr M Cotton'!TTotExp</vt:lpstr>
      <vt:lpstr>'Organic Summer HayCrop'!TTotExp</vt:lpstr>
      <vt:lpstr>OrganicDrylandWheat!TTotExp</vt:lpstr>
      <vt:lpstr>'OrganicWheat Year 3'!TTotExp</vt:lpstr>
      <vt:lpstr>Peanuts!TTotExp</vt:lpstr>
      <vt:lpstr>'Red Till Irrig Cotton'!TTotExp</vt:lpstr>
      <vt:lpstr>'Red Till L Irrig Cotton'!TTotExp</vt:lpstr>
      <vt:lpstr>'SD Fescue'!TTotExp</vt:lpstr>
      <vt:lpstr>SmallGrain!TTotExp</vt:lpstr>
      <vt:lpstr>SorghumDryland!TTotExp</vt:lpstr>
      <vt:lpstr>'Wheat Irrigated'!TTotExp</vt:lpstr>
      <vt:lpstr>WheatDryland!TTotExp</vt:lpstr>
      <vt:lpstr>AlfalfaDrylandEstablish!TTotRet</vt:lpstr>
      <vt:lpstr>AlfalfaHayDryland!TTotRet</vt:lpstr>
      <vt:lpstr>AlfalfaHayIrrigated!TTotRet</vt:lpstr>
      <vt:lpstr>AlfalfaIrrigatedEstablish!TTotRet</vt:lpstr>
      <vt:lpstr>CanolaDryland!TTotRet</vt:lpstr>
      <vt:lpstr>CoastalDryland!TTotRet</vt:lpstr>
      <vt:lpstr>CoastalEstab!TTotRet</vt:lpstr>
      <vt:lpstr>'Conv L Irrig Cotton'!TTotRet</vt:lpstr>
      <vt:lpstr>'Conv M Irrig Cotton'!TTotRet</vt:lpstr>
      <vt:lpstr>CottonDryland2X1!TTotRet</vt:lpstr>
      <vt:lpstr>CottonDrylandSolid!TTotRet</vt:lpstr>
      <vt:lpstr>CottonIrrigated!TTotRet</vt:lpstr>
      <vt:lpstr>'No Till Dryland Cotton'!TTotRet</vt:lpstr>
      <vt:lpstr>'NoTill Wheat Dryland'!TTotRet</vt:lpstr>
      <vt:lpstr>'NT Irrig L Cotton'!TTotRet</vt:lpstr>
      <vt:lpstr>'NT Irrig M Cotton'!TTotRet</vt:lpstr>
      <vt:lpstr>'NT-CC Irrig L Cotton'!TTotRet</vt:lpstr>
      <vt:lpstr>'NT-CC Irrig M Cotton'!TTotRet</vt:lpstr>
      <vt:lpstr>'NT-CC2 Irr M Cotton'!TTotRet</vt:lpstr>
      <vt:lpstr>'Organic Summer HayCrop'!TTotRet</vt:lpstr>
      <vt:lpstr>OrganicDrylandWheat!TTotRet</vt:lpstr>
      <vt:lpstr>'OrganicWheat Year 3'!TTotRet</vt:lpstr>
      <vt:lpstr>Peanuts!TTotRet</vt:lpstr>
      <vt:lpstr>'Red Till Irrig Cotton'!TTotRet</vt:lpstr>
      <vt:lpstr>'Red Till L Irrig Cotton'!TTotRet</vt:lpstr>
      <vt:lpstr>'SD Fescue'!TTotRet</vt:lpstr>
      <vt:lpstr>SmallGrain!TTotRet</vt:lpstr>
      <vt:lpstr>SorghumDryland!TTotRet</vt:lpstr>
      <vt:lpstr>'Wheat Irrigated'!TTotRet</vt:lpstr>
      <vt:lpstr>WheatDryland!TTotRet</vt:lpstr>
      <vt:lpstr>AlfalfaDrylandEstablish!TVarExp</vt:lpstr>
      <vt:lpstr>AlfalfaHayDryland!TVarExp</vt:lpstr>
      <vt:lpstr>AlfalfaHayIrrigated!TVarExp</vt:lpstr>
      <vt:lpstr>AlfalfaIrrigatedEstablish!TVarExp</vt:lpstr>
      <vt:lpstr>CanolaDryland!TVarExp</vt:lpstr>
      <vt:lpstr>CoastalDryland!TVarExp</vt:lpstr>
      <vt:lpstr>CoastalEstab!TVarExp</vt:lpstr>
      <vt:lpstr>'Conv L Irrig Cotton'!TVarExp</vt:lpstr>
      <vt:lpstr>'Conv M Irrig Cotton'!TVarExp</vt:lpstr>
      <vt:lpstr>CottonDryland2X1!TVarExp</vt:lpstr>
      <vt:lpstr>CottonDrylandSolid!TVarExp</vt:lpstr>
      <vt:lpstr>CottonIrrigated!TVarExp</vt:lpstr>
      <vt:lpstr>'No Till Dryland Cotton'!TVarExp</vt:lpstr>
      <vt:lpstr>'NoTill Wheat Dryland'!TVarExp</vt:lpstr>
      <vt:lpstr>'NT Irrig L Cotton'!TVarExp</vt:lpstr>
      <vt:lpstr>'NT Irrig M Cotton'!TVarExp</vt:lpstr>
      <vt:lpstr>'NT-CC Irrig L Cotton'!TVarExp</vt:lpstr>
      <vt:lpstr>'NT-CC Irrig M Cotton'!TVarExp</vt:lpstr>
      <vt:lpstr>'NT-CC2 Irr M Cotton'!TVarExp</vt:lpstr>
      <vt:lpstr>'Organic Summer HayCrop'!TVarExp</vt:lpstr>
      <vt:lpstr>OrganicDrylandWheat!TVarExp</vt:lpstr>
      <vt:lpstr>'OrganicWheat Year 3'!TVarExp</vt:lpstr>
      <vt:lpstr>Peanuts!TVarExp</vt:lpstr>
      <vt:lpstr>'Red Till Irrig Cotton'!TVarExp</vt:lpstr>
      <vt:lpstr>'Red Till L Irrig Cotton'!TVarExp</vt:lpstr>
      <vt:lpstr>'SD Fescue'!TVarExp</vt:lpstr>
      <vt:lpstr>SmallGrain!TVarExp</vt:lpstr>
      <vt:lpstr>SorghumDryland!TVarExp</vt:lpstr>
      <vt:lpstr>'Wheat Irrigated'!TVarExp</vt:lpstr>
      <vt:lpstr>WheatDryland!TVarExp</vt:lpstr>
      <vt:lpstr>AlfalfaDrylandEstablish!TVarRet</vt:lpstr>
      <vt:lpstr>AlfalfaHayDryland!TVarRet</vt:lpstr>
      <vt:lpstr>AlfalfaHayIrrigated!TVarRet</vt:lpstr>
      <vt:lpstr>AlfalfaIrrigatedEstablish!TVarRet</vt:lpstr>
      <vt:lpstr>CanolaDryland!TVarRet</vt:lpstr>
      <vt:lpstr>CoastalDryland!TVarRet</vt:lpstr>
      <vt:lpstr>CoastalEstab!TVarRet</vt:lpstr>
      <vt:lpstr>'Conv L Irrig Cotton'!TVarRet</vt:lpstr>
      <vt:lpstr>'Conv M Irrig Cotton'!TVarRet</vt:lpstr>
      <vt:lpstr>CottonDryland2X1!TVarRet</vt:lpstr>
      <vt:lpstr>CottonDrylandSolid!TVarRet</vt:lpstr>
      <vt:lpstr>CottonIrrigated!TVarRet</vt:lpstr>
      <vt:lpstr>'No Till Dryland Cotton'!TVarRet</vt:lpstr>
      <vt:lpstr>'NoTill Wheat Dryland'!TVarRet</vt:lpstr>
      <vt:lpstr>'NT Irrig L Cotton'!TVarRet</vt:lpstr>
      <vt:lpstr>'NT Irrig M Cotton'!TVarRet</vt:lpstr>
      <vt:lpstr>'NT-CC Irrig L Cotton'!TVarRet</vt:lpstr>
      <vt:lpstr>'NT-CC Irrig M Cotton'!TVarRet</vt:lpstr>
      <vt:lpstr>'NT-CC2 Irr M Cotton'!TVarRet</vt:lpstr>
      <vt:lpstr>'Organic Summer HayCrop'!TVarRet</vt:lpstr>
      <vt:lpstr>OrganicDrylandWheat!TVarRet</vt:lpstr>
      <vt:lpstr>'OrganicWheat Year 3'!TVarRet</vt:lpstr>
      <vt:lpstr>Peanuts!TVarRet</vt:lpstr>
      <vt:lpstr>'Red Till Irrig Cotton'!TVarRet</vt:lpstr>
      <vt:lpstr>'Red Till L Irrig Cotton'!TVarRet</vt:lpstr>
      <vt:lpstr>'SD Fescue'!TVarRet</vt:lpstr>
      <vt:lpstr>SmallGrain!TVarRet</vt:lpstr>
      <vt:lpstr>SorghumDryland!TVarRet</vt:lpstr>
      <vt:lpstr>'Wheat Irrigated'!TVarRet</vt:lpstr>
      <vt:lpstr>WheatDryland!TVarRet</vt:lpstr>
      <vt:lpstr>AlfalfaDrylandEstablish!Unit</vt:lpstr>
      <vt:lpstr>AlfalfaHayDryland!Unit</vt:lpstr>
      <vt:lpstr>AlfalfaHayIrrigated!Unit</vt:lpstr>
      <vt:lpstr>AlfalfaIrrigatedEstablish!Unit</vt:lpstr>
      <vt:lpstr>CanolaDryland!Unit</vt:lpstr>
      <vt:lpstr>CoastalDryland!Unit</vt:lpstr>
      <vt:lpstr>CoastalEstab!Unit</vt:lpstr>
      <vt:lpstr>'Conv L Irrig Cotton'!Unit</vt:lpstr>
      <vt:lpstr>'Conv M Irrig Cotton'!Unit</vt:lpstr>
      <vt:lpstr>CottonDryland2X1!Unit</vt:lpstr>
      <vt:lpstr>CottonDrylandSolid!Unit</vt:lpstr>
      <vt:lpstr>CottonIrrigated!Unit</vt:lpstr>
      <vt:lpstr>CowCalf!Unit</vt:lpstr>
      <vt:lpstr>'Crop Budget'!Unit</vt:lpstr>
      <vt:lpstr>'Livestock Budget'!Unit</vt:lpstr>
      <vt:lpstr>'No Till Dryland Cotton'!Unit</vt:lpstr>
      <vt:lpstr>'NoTill Wheat Dryland'!Unit</vt:lpstr>
      <vt:lpstr>'NT Irrig L Cotton'!Unit</vt:lpstr>
      <vt:lpstr>'NT Irrig M Cotton'!Unit</vt:lpstr>
      <vt:lpstr>'NT-CC Irrig L Cotton'!Unit</vt:lpstr>
      <vt:lpstr>'NT-CC Irrig M Cotton'!Unit</vt:lpstr>
      <vt:lpstr>'NT-CC2 Irr M Cotton'!Unit</vt:lpstr>
      <vt:lpstr>'Organic Summer HayCrop'!Unit</vt:lpstr>
      <vt:lpstr>OrganicDrylandWheat!Unit</vt:lpstr>
      <vt:lpstr>'OrganicWheat Year 3'!Unit</vt:lpstr>
      <vt:lpstr>Peanuts!Unit</vt:lpstr>
      <vt:lpstr>'Red Till Irrig Cotton'!Unit</vt:lpstr>
      <vt:lpstr>'Red Till L Irrig Cotton'!Unit</vt:lpstr>
      <vt:lpstr>'SD Fescue'!Unit</vt:lpstr>
      <vt:lpstr>SmallGrain!Unit</vt:lpstr>
      <vt:lpstr>SorghumDryland!Unit</vt:lpstr>
      <vt:lpstr>StockerGrazeOut!Unit</vt:lpstr>
      <vt:lpstr>StockersMar1!Unit</vt:lpstr>
      <vt:lpstr>'Wheat Irrigated'!Unit</vt:lpstr>
      <vt:lpstr>WheatDryland!Unit</vt:lpstr>
      <vt:lpstr>AlfalfaDrylandEstablish!VarExp</vt:lpstr>
      <vt:lpstr>AlfalfaHayDryland!VarExp</vt:lpstr>
      <vt:lpstr>AlfalfaHayIrrigated!VarExp</vt:lpstr>
      <vt:lpstr>AlfalfaIrrigatedEstablish!VarExp</vt:lpstr>
      <vt:lpstr>CanolaDryland!VarExp</vt:lpstr>
      <vt:lpstr>CoastalDryland!VarExp</vt:lpstr>
      <vt:lpstr>CoastalEstab!VarExp</vt:lpstr>
      <vt:lpstr>'Conv L Irrig Cotton'!VarExp</vt:lpstr>
      <vt:lpstr>'Conv M Irrig Cotton'!VarExp</vt:lpstr>
      <vt:lpstr>CottonDryland2X1!VarExp</vt:lpstr>
      <vt:lpstr>CottonDrylandSolid!VarExp</vt:lpstr>
      <vt:lpstr>CottonIrrigated!VarExp</vt:lpstr>
      <vt:lpstr>CowCalf!VarExp</vt:lpstr>
      <vt:lpstr>'No Till Dryland Cotton'!VarExp</vt:lpstr>
      <vt:lpstr>'NoTill Wheat Dryland'!VarExp</vt:lpstr>
      <vt:lpstr>'NT Irrig L Cotton'!VarExp</vt:lpstr>
      <vt:lpstr>'NT Irrig M Cotton'!VarExp</vt:lpstr>
      <vt:lpstr>'NT-CC Irrig L Cotton'!VarExp</vt:lpstr>
      <vt:lpstr>'NT-CC Irrig M Cotton'!VarExp</vt:lpstr>
      <vt:lpstr>'NT-CC2 Irr M Cotton'!VarExp</vt:lpstr>
      <vt:lpstr>'Organic Summer HayCrop'!VarExp</vt:lpstr>
      <vt:lpstr>OrganicDrylandWheat!VarExp</vt:lpstr>
      <vt:lpstr>'OrganicWheat Year 3'!VarExp</vt:lpstr>
      <vt:lpstr>Peanuts!VarExp</vt:lpstr>
      <vt:lpstr>'Red Till Irrig Cotton'!VarExp</vt:lpstr>
      <vt:lpstr>'Red Till L Irrig Cotton'!VarExp</vt:lpstr>
      <vt:lpstr>'SD Fescue'!VarExp</vt:lpstr>
      <vt:lpstr>SmallGrain!VarExp</vt:lpstr>
      <vt:lpstr>SorghumDryland!VarExp</vt:lpstr>
      <vt:lpstr>StockerGrazeOut!VarExp</vt:lpstr>
      <vt:lpstr>StockersMar1!VarExp</vt:lpstr>
      <vt:lpstr>'Wheat Irrigated'!VarExp</vt:lpstr>
      <vt:lpstr>WheatDryland!VarExp</vt:lpstr>
      <vt:lpstr>AlfalfaDrylandEstablish!VarRet</vt:lpstr>
      <vt:lpstr>AlfalfaHayDryland!VarRet</vt:lpstr>
      <vt:lpstr>AlfalfaHayIrrigated!VarRet</vt:lpstr>
      <vt:lpstr>AlfalfaIrrigatedEstablish!VarRet</vt:lpstr>
      <vt:lpstr>CanolaDryland!VarRet</vt:lpstr>
      <vt:lpstr>CoastalDryland!VarRet</vt:lpstr>
      <vt:lpstr>CoastalEstab!VarRet</vt:lpstr>
      <vt:lpstr>'Conv L Irrig Cotton'!VarRet</vt:lpstr>
      <vt:lpstr>'Conv M Irrig Cotton'!VarRet</vt:lpstr>
      <vt:lpstr>CottonDryland2X1!VarRet</vt:lpstr>
      <vt:lpstr>CottonDrylandSolid!VarRet</vt:lpstr>
      <vt:lpstr>CottonIrrigated!VarRet</vt:lpstr>
      <vt:lpstr>CowCalf!VarRet</vt:lpstr>
      <vt:lpstr>'No Till Dryland Cotton'!VarRet</vt:lpstr>
      <vt:lpstr>'NoTill Wheat Dryland'!VarRet</vt:lpstr>
      <vt:lpstr>'NT Irrig L Cotton'!VarRet</vt:lpstr>
      <vt:lpstr>'NT Irrig M Cotton'!VarRet</vt:lpstr>
      <vt:lpstr>'NT-CC Irrig L Cotton'!VarRet</vt:lpstr>
      <vt:lpstr>'NT-CC Irrig M Cotton'!VarRet</vt:lpstr>
      <vt:lpstr>'NT-CC2 Irr M Cotton'!VarRet</vt:lpstr>
      <vt:lpstr>'Organic Summer HayCrop'!VarRet</vt:lpstr>
      <vt:lpstr>OrganicDrylandWheat!VarRet</vt:lpstr>
      <vt:lpstr>'OrganicWheat Year 3'!VarRet</vt:lpstr>
      <vt:lpstr>Peanuts!VarRet</vt:lpstr>
      <vt:lpstr>'Red Till Irrig Cotton'!VarRet</vt:lpstr>
      <vt:lpstr>'Red Till L Irrig Cotton'!VarRet</vt:lpstr>
      <vt:lpstr>'SD Fescue'!VarRet</vt:lpstr>
      <vt:lpstr>SmallGrain!VarRet</vt:lpstr>
      <vt:lpstr>SorghumDryland!VarRet</vt:lpstr>
      <vt:lpstr>StockerGrazeOut!VarRet</vt:lpstr>
      <vt:lpstr>StockersMar1!VarRet</vt:lpstr>
      <vt:lpstr>'Wheat Irrigated'!VarRet</vt:lpstr>
      <vt:lpstr>WheatDryland!VarRet</vt:lpstr>
      <vt:lpstr>AlfalfaDrylandEstablish!YBT</vt:lpstr>
      <vt:lpstr>AlfalfaHayDryland!YBT</vt:lpstr>
      <vt:lpstr>AlfalfaHayIrrigated!YBT</vt:lpstr>
      <vt:lpstr>AlfalfaIrrigatedEstablish!YBT</vt:lpstr>
      <vt:lpstr>CanolaDryland!YBT</vt:lpstr>
      <vt:lpstr>CoastalDryland!YBT</vt:lpstr>
      <vt:lpstr>CoastalEstab!YBT</vt:lpstr>
      <vt:lpstr>'Conv L Irrig Cotton'!YBT</vt:lpstr>
      <vt:lpstr>'Conv M Irrig Cotton'!YBT</vt:lpstr>
      <vt:lpstr>CottonDryland2X1!YBT</vt:lpstr>
      <vt:lpstr>CottonDrylandSolid!YBT</vt:lpstr>
      <vt:lpstr>CottonIrrigated!YBT</vt:lpstr>
      <vt:lpstr>'No Till Dryland Cotton'!YBT</vt:lpstr>
      <vt:lpstr>'NoTill Wheat Dryland'!YBT</vt:lpstr>
      <vt:lpstr>'NT Irrig L Cotton'!YBT</vt:lpstr>
      <vt:lpstr>'NT Irrig M Cotton'!YBT</vt:lpstr>
      <vt:lpstr>'NT-CC Irrig L Cotton'!YBT</vt:lpstr>
      <vt:lpstr>'NT-CC Irrig M Cotton'!YBT</vt:lpstr>
      <vt:lpstr>'NT-CC2 Irr M Cotton'!YBT</vt:lpstr>
      <vt:lpstr>'Organic Summer HayCrop'!YBT</vt:lpstr>
      <vt:lpstr>OrganicDrylandWheat!YBT</vt:lpstr>
      <vt:lpstr>'OrganicWheat Year 3'!YBT</vt:lpstr>
      <vt:lpstr>Peanuts!YBT</vt:lpstr>
      <vt:lpstr>'Red Till Irrig Cotton'!YBT</vt:lpstr>
      <vt:lpstr>'Red Till L Irrig Cotton'!YBT</vt:lpstr>
      <vt:lpstr>'SD Fescue'!YBT</vt:lpstr>
      <vt:lpstr>SmallGrain!YBT</vt:lpstr>
      <vt:lpstr>SorghumDryland!YBT</vt:lpstr>
      <vt:lpstr>'Wheat Irrigated'!YBT</vt:lpstr>
      <vt:lpstr>WheatDryland!YBT</vt:lpstr>
      <vt:lpstr>AlfalfaDrylandEstablish!YBV</vt:lpstr>
      <vt:lpstr>AlfalfaHayDryland!YBV</vt:lpstr>
      <vt:lpstr>AlfalfaHayIrrigated!YBV</vt:lpstr>
      <vt:lpstr>AlfalfaIrrigatedEstablish!YBV</vt:lpstr>
      <vt:lpstr>CanolaDryland!YBV</vt:lpstr>
      <vt:lpstr>CoastalDryland!YBV</vt:lpstr>
      <vt:lpstr>CoastalEstab!YBV</vt:lpstr>
      <vt:lpstr>'Conv L Irrig Cotton'!YBV</vt:lpstr>
      <vt:lpstr>'Conv M Irrig Cotton'!YBV</vt:lpstr>
      <vt:lpstr>CottonDryland2X1!YBV</vt:lpstr>
      <vt:lpstr>CottonDrylandSolid!YBV</vt:lpstr>
      <vt:lpstr>CottonIrrigated!YBV</vt:lpstr>
      <vt:lpstr>'No Till Dryland Cotton'!YBV</vt:lpstr>
      <vt:lpstr>'NoTill Wheat Dryland'!YBV</vt:lpstr>
      <vt:lpstr>'NT Irrig L Cotton'!YBV</vt:lpstr>
      <vt:lpstr>'NT Irrig M Cotton'!YBV</vt:lpstr>
      <vt:lpstr>'NT-CC Irrig L Cotton'!YBV</vt:lpstr>
      <vt:lpstr>'NT-CC Irrig M Cotton'!YBV</vt:lpstr>
      <vt:lpstr>'NT-CC2 Irr M Cotton'!YBV</vt:lpstr>
      <vt:lpstr>'Organic Summer HayCrop'!YBV</vt:lpstr>
      <vt:lpstr>OrganicDrylandWheat!YBV</vt:lpstr>
      <vt:lpstr>'OrganicWheat Year 3'!YBV</vt:lpstr>
      <vt:lpstr>Peanuts!YBV</vt:lpstr>
      <vt:lpstr>'Red Till Irrig Cotton'!YBV</vt:lpstr>
      <vt:lpstr>'Red Till L Irrig Cotton'!YBV</vt:lpstr>
      <vt:lpstr>'SD Fescue'!YBV</vt:lpstr>
      <vt:lpstr>SmallGrain!YBV</vt:lpstr>
      <vt:lpstr>SorghumDryland!YBV</vt:lpstr>
      <vt:lpstr>'Wheat Irrigated'!YBV</vt:lpstr>
      <vt:lpstr>WheatDryland!YBV</vt:lpstr>
      <vt:lpstr>'Crop Budget'!Yeild3</vt:lpstr>
      <vt:lpstr>AlfalfaDrylandEstablish!YLTotExp</vt:lpstr>
      <vt:lpstr>AlfalfaHayDryland!YLTotExp</vt:lpstr>
      <vt:lpstr>AlfalfaHayIrrigated!YLTotExp</vt:lpstr>
      <vt:lpstr>AlfalfaIrrigatedEstablish!YLTotExp</vt:lpstr>
      <vt:lpstr>CanolaDryland!YLTotExp</vt:lpstr>
      <vt:lpstr>CoastalDryland!YLTotExp</vt:lpstr>
      <vt:lpstr>CoastalEstab!YLTotExp</vt:lpstr>
      <vt:lpstr>'Conv L Irrig Cotton'!YLTotExp</vt:lpstr>
      <vt:lpstr>'Conv M Irrig Cotton'!YLTotExp</vt:lpstr>
      <vt:lpstr>CottonDryland2X1!YLTotExp</vt:lpstr>
      <vt:lpstr>CottonDrylandSolid!YLTotExp</vt:lpstr>
      <vt:lpstr>CottonIrrigated!YLTotExp</vt:lpstr>
      <vt:lpstr>'No Till Dryland Cotton'!YLTotExp</vt:lpstr>
      <vt:lpstr>'NoTill Wheat Dryland'!YLTotExp</vt:lpstr>
      <vt:lpstr>'NT Irrig L Cotton'!YLTotExp</vt:lpstr>
      <vt:lpstr>'NT Irrig M Cotton'!YLTotExp</vt:lpstr>
      <vt:lpstr>'NT-CC Irrig L Cotton'!YLTotExp</vt:lpstr>
      <vt:lpstr>'NT-CC Irrig M Cotton'!YLTotExp</vt:lpstr>
      <vt:lpstr>'NT-CC2 Irr M Cotton'!YLTotExp</vt:lpstr>
      <vt:lpstr>'Organic Summer HayCrop'!YLTotExp</vt:lpstr>
      <vt:lpstr>OrganicDrylandWheat!YLTotExp</vt:lpstr>
      <vt:lpstr>'OrganicWheat Year 3'!YLTotExp</vt:lpstr>
      <vt:lpstr>Peanuts!YLTotExp</vt:lpstr>
      <vt:lpstr>'Red Till Irrig Cotton'!YLTotExp</vt:lpstr>
      <vt:lpstr>'Red Till L Irrig Cotton'!YLTotExp</vt:lpstr>
      <vt:lpstr>'SD Fescue'!YLTotExp</vt:lpstr>
      <vt:lpstr>SmallGrain!YLTotExp</vt:lpstr>
      <vt:lpstr>SorghumDryland!YLTotExp</vt:lpstr>
      <vt:lpstr>'Wheat Irrigated'!YLTotExp</vt:lpstr>
      <vt:lpstr>WheatDryland!YLTotExp</vt:lpstr>
      <vt:lpstr>AlfalfaDrylandEstablish!YLTotRet</vt:lpstr>
      <vt:lpstr>AlfalfaHayDryland!YLTotRet</vt:lpstr>
      <vt:lpstr>AlfalfaHayIrrigated!YLTotRet</vt:lpstr>
      <vt:lpstr>AlfalfaIrrigatedEstablish!YLTotRet</vt:lpstr>
      <vt:lpstr>CanolaDryland!YLTotRet</vt:lpstr>
      <vt:lpstr>CoastalDryland!YLTotRet</vt:lpstr>
      <vt:lpstr>CoastalEstab!YLTotRet</vt:lpstr>
      <vt:lpstr>'Conv L Irrig Cotton'!YLTotRet</vt:lpstr>
      <vt:lpstr>'Conv M Irrig Cotton'!YLTotRet</vt:lpstr>
      <vt:lpstr>CottonDryland2X1!YLTotRet</vt:lpstr>
      <vt:lpstr>CottonDrylandSolid!YLTotRet</vt:lpstr>
      <vt:lpstr>CottonIrrigated!YLTotRet</vt:lpstr>
      <vt:lpstr>'No Till Dryland Cotton'!YLTotRet</vt:lpstr>
      <vt:lpstr>'NoTill Wheat Dryland'!YLTotRet</vt:lpstr>
      <vt:lpstr>'NT Irrig L Cotton'!YLTotRet</vt:lpstr>
      <vt:lpstr>'NT Irrig M Cotton'!YLTotRet</vt:lpstr>
      <vt:lpstr>'NT-CC Irrig L Cotton'!YLTotRet</vt:lpstr>
      <vt:lpstr>'NT-CC Irrig M Cotton'!YLTotRet</vt:lpstr>
      <vt:lpstr>'NT-CC2 Irr M Cotton'!YLTotRet</vt:lpstr>
      <vt:lpstr>'Organic Summer HayCrop'!YLTotRet</vt:lpstr>
      <vt:lpstr>OrganicDrylandWheat!YLTotRet</vt:lpstr>
      <vt:lpstr>'OrganicWheat Year 3'!YLTotRet</vt:lpstr>
      <vt:lpstr>Peanuts!YLTotRet</vt:lpstr>
      <vt:lpstr>'Red Till Irrig Cotton'!YLTotRet</vt:lpstr>
      <vt:lpstr>'Red Till L Irrig Cotton'!YLTotRet</vt:lpstr>
      <vt:lpstr>'SD Fescue'!YLTotRet</vt:lpstr>
      <vt:lpstr>SmallGrain!YLTotRet</vt:lpstr>
      <vt:lpstr>SorghumDryland!YLTotRet</vt:lpstr>
      <vt:lpstr>'Wheat Irrigated'!YLTotRet</vt:lpstr>
      <vt:lpstr>WheatDryland!YLTotRet</vt:lpstr>
      <vt:lpstr>AlfalfaDrylandEstablish!YLVarExp</vt:lpstr>
      <vt:lpstr>AlfalfaHayDryland!YLVarExp</vt:lpstr>
      <vt:lpstr>AlfalfaHayIrrigated!YLVarExp</vt:lpstr>
      <vt:lpstr>AlfalfaIrrigatedEstablish!YLVarExp</vt:lpstr>
      <vt:lpstr>CanolaDryland!YLVarExp</vt:lpstr>
      <vt:lpstr>CoastalDryland!YLVarExp</vt:lpstr>
      <vt:lpstr>CoastalEstab!YLVarExp</vt:lpstr>
      <vt:lpstr>'Conv L Irrig Cotton'!YLVarExp</vt:lpstr>
      <vt:lpstr>'Conv M Irrig Cotton'!YLVarExp</vt:lpstr>
      <vt:lpstr>CottonDryland2X1!YLVarExp</vt:lpstr>
      <vt:lpstr>CottonDrylandSolid!YLVarExp</vt:lpstr>
      <vt:lpstr>CottonIrrigated!YLVarExp</vt:lpstr>
      <vt:lpstr>'No Till Dryland Cotton'!YLVarExp</vt:lpstr>
      <vt:lpstr>'NoTill Wheat Dryland'!YLVarExp</vt:lpstr>
      <vt:lpstr>'NT Irrig L Cotton'!YLVarExp</vt:lpstr>
      <vt:lpstr>'NT Irrig M Cotton'!YLVarExp</vt:lpstr>
      <vt:lpstr>'NT-CC Irrig L Cotton'!YLVarExp</vt:lpstr>
      <vt:lpstr>'NT-CC Irrig M Cotton'!YLVarExp</vt:lpstr>
      <vt:lpstr>'NT-CC2 Irr M Cotton'!YLVarExp</vt:lpstr>
      <vt:lpstr>'Organic Summer HayCrop'!YLVarExp</vt:lpstr>
      <vt:lpstr>OrganicDrylandWheat!YLVarExp</vt:lpstr>
      <vt:lpstr>'OrganicWheat Year 3'!YLVarExp</vt:lpstr>
      <vt:lpstr>Peanuts!YLVarExp</vt:lpstr>
      <vt:lpstr>'Red Till Irrig Cotton'!YLVarExp</vt:lpstr>
      <vt:lpstr>'Red Till L Irrig Cotton'!YLVarExp</vt:lpstr>
      <vt:lpstr>'SD Fescue'!YLVarExp</vt:lpstr>
      <vt:lpstr>SmallGrain!YLVarExp</vt:lpstr>
      <vt:lpstr>SorghumDryland!YLVarExp</vt:lpstr>
      <vt:lpstr>'Wheat Irrigated'!YLVarExp</vt:lpstr>
      <vt:lpstr>WheatDryland!YLVarExp</vt:lpstr>
      <vt:lpstr>AlfalfaDrylandEstablish!YLVarRet</vt:lpstr>
      <vt:lpstr>AlfalfaHayDryland!YLVarRet</vt:lpstr>
      <vt:lpstr>AlfalfaHayIrrigated!YLVarRet</vt:lpstr>
      <vt:lpstr>AlfalfaIrrigatedEstablish!YLVarRet</vt:lpstr>
      <vt:lpstr>CanolaDryland!YLVarRet</vt:lpstr>
      <vt:lpstr>CoastalDryland!YLVarRet</vt:lpstr>
      <vt:lpstr>CoastalEstab!YLVarRet</vt:lpstr>
      <vt:lpstr>'Conv L Irrig Cotton'!YLVarRet</vt:lpstr>
      <vt:lpstr>'Conv M Irrig Cotton'!YLVarRet</vt:lpstr>
      <vt:lpstr>CottonDryland2X1!YLVarRet</vt:lpstr>
      <vt:lpstr>CottonDrylandSolid!YLVarRet</vt:lpstr>
      <vt:lpstr>CottonIrrigated!YLVarRet</vt:lpstr>
      <vt:lpstr>'No Till Dryland Cotton'!YLVarRet</vt:lpstr>
      <vt:lpstr>'NoTill Wheat Dryland'!YLVarRet</vt:lpstr>
      <vt:lpstr>'NT Irrig L Cotton'!YLVarRet</vt:lpstr>
      <vt:lpstr>'NT Irrig M Cotton'!YLVarRet</vt:lpstr>
      <vt:lpstr>'NT-CC Irrig L Cotton'!YLVarRet</vt:lpstr>
      <vt:lpstr>'NT-CC Irrig M Cotton'!YLVarRet</vt:lpstr>
      <vt:lpstr>'NT-CC2 Irr M Cotton'!YLVarRet</vt:lpstr>
      <vt:lpstr>'Organic Summer HayCrop'!YLVarRet</vt:lpstr>
      <vt:lpstr>OrganicDrylandWheat!YLVarRet</vt:lpstr>
      <vt:lpstr>'OrganicWheat Year 3'!YLVarRet</vt:lpstr>
      <vt:lpstr>Peanuts!YLVarRet</vt:lpstr>
      <vt:lpstr>'Red Till Irrig Cotton'!YLVarRet</vt:lpstr>
      <vt:lpstr>'Red Till L Irrig Cotton'!YLVarRet</vt:lpstr>
      <vt:lpstr>'SD Fescue'!YLVarRet</vt:lpstr>
      <vt:lpstr>SmallGrain!YLVarRet</vt:lpstr>
      <vt:lpstr>SorghumDryland!YLVarRet</vt:lpstr>
      <vt:lpstr>'Wheat Irrigated'!YLVarRet</vt:lpstr>
      <vt:lpstr>WheatDryland!YLVarRet</vt:lpstr>
      <vt:lpstr>AlfalfaDrylandEstablish!YPrice</vt:lpstr>
      <vt:lpstr>AlfalfaHayDryland!YPrice</vt:lpstr>
      <vt:lpstr>AlfalfaHayIrrigated!YPrice</vt:lpstr>
      <vt:lpstr>AlfalfaIrrigatedEstablish!YPrice</vt:lpstr>
      <vt:lpstr>CanolaDryland!YPrice</vt:lpstr>
      <vt:lpstr>CoastalDryland!YPrice</vt:lpstr>
      <vt:lpstr>CoastalEstab!YPrice</vt:lpstr>
      <vt:lpstr>'Conv L Irrig Cotton'!YPrice</vt:lpstr>
      <vt:lpstr>'Conv M Irrig Cotton'!YPrice</vt:lpstr>
      <vt:lpstr>CottonDryland2X1!YPrice</vt:lpstr>
      <vt:lpstr>CottonDrylandSolid!YPrice</vt:lpstr>
      <vt:lpstr>CottonIrrigated!YPrice</vt:lpstr>
      <vt:lpstr>'Crop Budget'!YPrice</vt:lpstr>
      <vt:lpstr>'Livestock Budget'!YPrice</vt:lpstr>
      <vt:lpstr>'No Till Dryland Cotton'!YPrice</vt:lpstr>
      <vt:lpstr>'NoTill Wheat Dryland'!YPrice</vt:lpstr>
      <vt:lpstr>'NT Irrig L Cotton'!YPrice</vt:lpstr>
      <vt:lpstr>'NT Irrig M Cotton'!YPrice</vt:lpstr>
      <vt:lpstr>'NT-CC Irrig L Cotton'!YPrice</vt:lpstr>
      <vt:lpstr>'NT-CC Irrig M Cotton'!YPrice</vt:lpstr>
      <vt:lpstr>'NT-CC2 Irr M Cotton'!YPrice</vt:lpstr>
      <vt:lpstr>'Organic Summer HayCrop'!YPrice</vt:lpstr>
      <vt:lpstr>OrganicDrylandWheat!YPrice</vt:lpstr>
      <vt:lpstr>'OrganicWheat Year 3'!YPrice</vt:lpstr>
      <vt:lpstr>Peanuts!YPrice</vt:lpstr>
      <vt:lpstr>'Red Till Irrig Cotton'!YPrice</vt:lpstr>
      <vt:lpstr>'Red Till L Irrig Cotton'!YPrice</vt:lpstr>
      <vt:lpstr>'SD Fescue'!YPrice</vt:lpstr>
      <vt:lpstr>SmallGrain!YPrice</vt:lpstr>
      <vt:lpstr>SorghumDryland!YPrice</vt:lpstr>
      <vt:lpstr>StockerGrazeOut!YPrice</vt:lpstr>
      <vt:lpstr>StockersMar1!YPrice</vt:lpstr>
      <vt:lpstr>'Wheat Irrigated'!YPrice</vt:lpstr>
      <vt:lpstr>WheatDryland!YPrice</vt:lpstr>
      <vt:lpstr>AlfalfaDrylandEstablish!YTotExp</vt:lpstr>
      <vt:lpstr>AlfalfaHayDryland!YTotExp</vt:lpstr>
      <vt:lpstr>AlfalfaHayIrrigated!YTotExp</vt:lpstr>
      <vt:lpstr>AlfalfaIrrigatedEstablish!YTotExp</vt:lpstr>
      <vt:lpstr>CanolaDryland!YTotExp</vt:lpstr>
      <vt:lpstr>CoastalDryland!YTotExp</vt:lpstr>
      <vt:lpstr>CoastalEstab!YTotExp</vt:lpstr>
      <vt:lpstr>'Conv L Irrig Cotton'!YTotExp</vt:lpstr>
      <vt:lpstr>'Conv M Irrig Cotton'!YTotExp</vt:lpstr>
      <vt:lpstr>CottonDryland2X1!YTotExp</vt:lpstr>
      <vt:lpstr>CottonDrylandSolid!YTotExp</vt:lpstr>
      <vt:lpstr>CottonIrrigated!YTotExp</vt:lpstr>
      <vt:lpstr>CowCalf!YTotExp</vt:lpstr>
      <vt:lpstr>'Crop Budget'!YTotExp</vt:lpstr>
      <vt:lpstr>'Livestock Budget'!YTotExp</vt:lpstr>
      <vt:lpstr>'No Till Dryland Cotton'!YTotExp</vt:lpstr>
      <vt:lpstr>'NoTill Wheat Dryland'!YTotExp</vt:lpstr>
      <vt:lpstr>'NT Irrig L Cotton'!YTotExp</vt:lpstr>
      <vt:lpstr>'NT Irrig M Cotton'!YTotExp</vt:lpstr>
      <vt:lpstr>'NT-CC Irrig L Cotton'!YTotExp</vt:lpstr>
      <vt:lpstr>'NT-CC Irrig M Cotton'!YTotExp</vt:lpstr>
      <vt:lpstr>'NT-CC2 Irr M Cotton'!YTotExp</vt:lpstr>
      <vt:lpstr>'Organic Summer HayCrop'!YTotExp</vt:lpstr>
      <vt:lpstr>OrganicDrylandWheat!YTotExp</vt:lpstr>
      <vt:lpstr>'OrganicWheat Year 3'!YTotExp</vt:lpstr>
      <vt:lpstr>Peanuts!YTotExp</vt:lpstr>
      <vt:lpstr>'Red Till Irrig Cotton'!YTotExp</vt:lpstr>
      <vt:lpstr>'Red Till L Irrig Cotton'!YTotExp</vt:lpstr>
      <vt:lpstr>'SD Fescue'!YTotExp</vt:lpstr>
      <vt:lpstr>SmallGrain!YTotExp</vt:lpstr>
      <vt:lpstr>SorghumDryland!YTotExp</vt:lpstr>
      <vt:lpstr>StockerGrazeOut!YTotExp</vt:lpstr>
      <vt:lpstr>StockersMar1!YTotExp</vt:lpstr>
      <vt:lpstr>'Wheat Irrigated'!YTotExp</vt:lpstr>
      <vt:lpstr>WheatDryland!YTotExp</vt:lpstr>
      <vt:lpstr>AlfalfaDrylandEstablish!YTotRet</vt:lpstr>
      <vt:lpstr>AlfalfaHayDryland!YTotRet</vt:lpstr>
      <vt:lpstr>AlfalfaHayIrrigated!YTotRet</vt:lpstr>
      <vt:lpstr>AlfalfaIrrigatedEstablish!YTotRet</vt:lpstr>
      <vt:lpstr>CanolaDryland!YTotRet</vt:lpstr>
      <vt:lpstr>CoastalDryland!YTotRet</vt:lpstr>
      <vt:lpstr>CoastalEstab!YTotRet</vt:lpstr>
      <vt:lpstr>'Conv L Irrig Cotton'!YTotRet</vt:lpstr>
      <vt:lpstr>'Conv M Irrig Cotton'!YTotRet</vt:lpstr>
      <vt:lpstr>CottonDryland2X1!YTotRet</vt:lpstr>
      <vt:lpstr>CottonDrylandSolid!YTotRet</vt:lpstr>
      <vt:lpstr>CottonIrrigated!YTotRet</vt:lpstr>
      <vt:lpstr>CowCalf!YTotRet</vt:lpstr>
      <vt:lpstr>'Crop Budget'!YTotRet</vt:lpstr>
      <vt:lpstr>'Livestock Budget'!YTotRet</vt:lpstr>
      <vt:lpstr>'No Till Dryland Cotton'!YTotRet</vt:lpstr>
      <vt:lpstr>'NoTill Wheat Dryland'!YTotRet</vt:lpstr>
      <vt:lpstr>'NT Irrig L Cotton'!YTotRet</vt:lpstr>
      <vt:lpstr>'NT Irrig M Cotton'!YTotRet</vt:lpstr>
      <vt:lpstr>'NT-CC Irrig L Cotton'!YTotRet</vt:lpstr>
      <vt:lpstr>'NT-CC Irrig M Cotton'!YTotRet</vt:lpstr>
      <vt:lpstr>'NT-CC2 Irr M Cotton'!YTotRet</vt:lpstr>
      <vt:lpstr>'Organic Summer HayCrop'!YTotRet</vt:lpstr>
      <vt:lpstr>OrganicDrylandWheat!YTotRet</vt:lpstr>
      <vt:lpstr>'OrganicWheat Year 3'!YTotRet</vt:lpstr>
      <vt:lpstr>Peanuts!YTotRet</vt:lpstr>
      <vt:lpstr>'Red Till Irrig Cotton'!YTotRet</vt:lpstr>
      <vt:lpstr>'Red Till L Irrig Cotton'!YTotRet</vt:lpstr>
      <vt:lpstr>'SD Fescue'!YTotRet</vt:lpstr>
      <vt:lpstr>SmallGrain!YTotRet</vt:lpstr>
      <vt:lpstr>SorghumDryland!YTotRet</vt:lpstr>
      <vt:lpstr>StockerGrazeOut!YTotRet</vt:lpstr>
      <vt:lpstr>StockersMar1!YTotRet</vt:lpstr>
      <vt:lpstr>'Wheat Irrigated'!YTotRet</vt:lpstr>
      <vt:lpstr>WheatDryland!YTotRet</vt:lpstr>
      <vt:lpstr>AlfalfaDrylandEstablish!YTTotExp</vt:lpstr>
      <vt:lpstr>AlfalfaHayDryland!YTTotExp</vt:lpstr>
      <vt:lpstr>AlfalfaHayIrrigated!YTTotExp</vt:lpstr>
      <vt:lpstr>AlfalfaIrrigatedEstablish!YTTotExp</vt:lpstr>
      <vt:lpstr>CanolaDryland!YTTotExp</vt:lpstr>
      <vt:lpstr>CoastalDryland!YTTotExp</vt:lpstr>
      <vt:lpstr>CoastalEstab!YTTotExp</vt:lpstr>
      <vt:lpstr>'Conv L Irrig Cotton'!YTTotExp</vt:lpstr>
      <vt:lpstr>'Conv M Irrig Cotton'!YTTotExp</vt:lpstr>
      <vt:lpstr>CottonDryland2X1!YTTotExp</vt:lpstr>
      <vt:lpstr>CottonDrylandSolid!YTTotExp</vt:lpstr>
      <vt:lpstr>CottonIrrigated!YTTotExp</vt:lpstr>
      <vt:lpstr>'No Till Dryland Cotton'!YTTotExp</vt:lpstr>
      <vt:lpstr>'NoTill Wheat Dryland'!YTTotExp</vt:lpstr>
      <vt:lpstr>'NT Irrig L Cotton'!YTTotExp</vt:lpstr>
      <vt:lpstr>'NT Irrig M Cotton'!YTTotExp</vt:lpstr>
      <vt:lpstr>'NT-CC Irrig L Cotton'!YTTotExp</vt:lpstr>
      <vt:lpstr>'NT-CC Irrig M Cotton'!YTTotExp</vt:lpstr>
      <vt:lpstr>'NT-CC2 Irr M Cotton'!YTTotExp</vt:lpstr>
      <vt:lpstr>'Organic Summer HayCrop'!YTTotExp</vt:lpstr>
      <vt:lpstr>OrganicDrylandWheat!YTTotExp</vt:lpstr>
      <vt:lpstr>'OrganicWheat Year 3'!YTTotExp</vt:lpstr>
      <vt:lpstr>Peanuts!YTTotExp</vt:lpstr>
      <vt:lpstr>'Red Till Irrig Cotton'!YTTotExp</vt:lpstr>
      <vt:lpstr>'Red Till L Irrig Cotton'!YTTotExp</vt:lpstr>
      <vt:lpstr>'SD Fescue'!YTTotExp</vt:lpstr>
      <vt:lpstr>SmallGrain!YTTotExp</vt:lpstr>
      <vt:lpstr>SorghumDryland!YTTotExp</vt:lpstr>
      <vt:lpstr>'Wheat Irrigated'!YTTotExp</vt:lpstr>
      <vt:lpstr>WheatDryland!YTTotExp</vt:lpstr>
      <vt:lpstr>AlfalfaDrylandEstablish!YTTotRet</vt:lpstr>
      <vt:lpstr>AlfalfaHayDryland!YTTotRet</vt:lpstr>
      <vt:lpstr>AlfalfaHayIrrigated!YTTotRet</vt:lpstr>
      <vt:lpstr>AlfalfaIrrigatedEstablish!YTTotRet</vt:lpstr>
      <vt:lpstr>CanolaDryland!YTTotRet</vt:lpstr>
      <vt:lpstr>CoastalDryland!YTTotRet</vt:lpstr>
      <vt:lpstr>CoastalEstab!YTTotRet</vt:lpstr>
      <vt:lpstr>'Conv L Irrig Cotton'!YTTotRet</vt:lpstr>
      <vt:lpstr>'Conv M Irrig Cotton'!YTTotRet</vt:lpstr>
      <vt:lpstr>CottonDryland2X1!YTTotRet</vt:lpstr>
      <vt:lpstr>CottonDrylandSolid!YTTotRet</vt:lpstr>
      <vt:lpstr>CottonIrrigated!YTTotRet</vt:lpstr>
      <vt:lpstr>'No Till Dryland Cotton'!YTTotRet</vt:lpstr>
      <vt:lpstr>'NoTill Wheat Dryland'!YTTotRet</vt:lpstr>
      <vt:lpstr>'NT Irrig L Cotton'!YTTotRet</vt:lpstr>
      <vt:lpstr>'NT Irrig M Cotton'!YTTotRet</vt:lpstr>
      <vt:lpstr>'NT-CC Irrig L Cotton'!YTTotRet</vt:lpstr>
      <vt:lpstr>'NT-CC Irrig M Cotton'!YTTotRet</vt:lpstr>
      <vt:lpstr>'NT-CC2 Irr M Cotton'!YTTotRet</vt:lpstr>
      <vt:lpstr>'Organic Summer HayCrop'!YTTotRet</vt:lpstr>
      <vt:lpstr>OrganicDrylandWheat!YTTotRet</vt:lpstr>
      <vt:lpstr>'OrganicWheat Year 3'!YTTotRet</vt:lpstr>
      <vt:lpstr>Peanuts!YTTotRet</vt:lpstr>
      <vt:lpstr>'Red Till Irrig Cotton'!YTTotRet</vt:lpstr>
      <vt:lpstr>'Red Till L Irrig Cotton'!YTTotRet</vt:lpstr>
      <vt:lpstr>'SD Fescue'!YTTotRet</vt:lpstr>
      <vt:lpstr>SmallGrain!YTTotRet</vt:lpstr>
      <vt:lpstr>SorghumDryland!YTTotRet</vt:lpstr>
      <vt:lpstr>'Wheat Irrigated'!YTTotRet</vt:lpstr>
      <vt:lpstr>WheatDryland!YTTotRet</vt:lpstr>
      <vt:lpstr>AlfalfaDrylandEstablish!YTVarExp</vt:lpstr>
      <vt:lpstr>AlfalfaHayDryland!YTVarExp</vt:lpstr>
      <vt:lpstr>AlfalfaHayIrrigated!YTVarExp</vt:lpstr>
      <vt:lpstr>AlfalfaIrrigatedEstablish!YTVarExp</vt:lpstr>
      <vt:lpstr>CanolaDryland!YTVarExp</vt:lpstr>
      <vt:lpstr>CoastalDryland!YTVarExp</vt:lpstr>
      <vt:lpstr>CoastalEstab!YTVarExp</vt:lpstr>
      <vt:lpstr>'Conv L Irrig Cotton'!YTVarExp</vt:lpstr>
      <vt:lpstr>'Conv M Irrig Cotton'!YTVarExp</vt:lpstr>
      <vt:lpstr>CottonDryland2X1!YTVarExp</vt:lpstr>
      <vt:lpstr>CottonDrylandSolid!YTVarExp</vt:lpstr>
      <vt:lpstr>CottonIrrigated!YTVarExp</vt:lpstr>
      <vt:lpstr>'No Till Dryland Cotton'!YTVarExp</vt:lpstr>
      <vt:lpstr>'NoTill Wheat Dryland'!YTVarExp</vt:lpstr>
      <vt:lpstr>'NT Irrig L Cotton'!YTVarExp</vt:lpstr>
      <vt:lpstr>'NT Irrig M Cotton'!YTVarExp</vt:lpstr>
      <vt:lpstr>'NT-CC Irrig L Cotton'!YTVarExp</vt:lpstr>
      <vt:lpstr>'NT-CC Irrig M Cotton'!YTVarExp</vt:lpstr>
      <vt:lpstr>'NT-CC2 Irr M Cotton'!YTVarExp</vt:lpstr>
      <vt:lpstr>'Organic Summer HayCrop'!YTVarExp</vt:lpstr>
      <vt:lpstr>OrganicDrylandWheat!YTVarExp</vt:lpstr>
      <vt:lpstr>'OrganicWheat Year 3'!YTVarExp</vt:lpstr>
      <vt:lpstr>Peanuts!YTVarExp</vt:lpstr>
      <vt:lpstr>'Red Till Irrig Cotton'!YTVarExp</vt:lpstr>
      <vt:lpstr>'Red Till L Irrig Cotton'!YTVarExp</vt:lpstr>
      <vt:lpstr>'SD Fescue'!YTVarExp</vt:lpstr>
      <vt:lpstr>SmallGrain!YTVarExp</vt:lpstr>
      <vt:lpstr>SorghumDryland!YTVarExp</vt:lpstr>
      <vt:lpstr>'Wheat Irrigated'!YTVarExp</vt:lpstr>
      <vt:lpstr>WheatDryland!YTVarExp</vt:lpstr>
      <vt:lpstr>AlfalfaDrylandEstablish!YTVarRet</vt:lpstr>
      <vt:lpstr>AlfalfaHayDryland!YTVarRet</vt:lpstr>
      <vt:lpstr>AlfalfaHayIrrigated!YTVarRet</vt:lpstr>
      <vt:lpstr>AlfalfaIrrigatedEstablish!YTVarRet</vt:lpstr>
      <vt:lpstr>CanolaDryland!YTVarRet</vt:lpstr>
      <vt:lpstr>CoastalDryland!YTVarRet</vt:lpstr>
      <vt:lpstr>CoastalEstab!YTVarRet</vt:lpstr>
      <vt:lpstr>'Conv L Irrig Cotton'!YTVarRet</vt:lpstr>
      <vt:lpstr>'Conv M Irrig Cotton'!YTVarRet</vt:lpstr>
      <vt:lpstr>CottonDryland2X1!YTVarRet</vt:lpstr>
      <vt:lpstr>CottonDrylandSolid!YTVarRet</vt:lpstr>
      <vt:lpstr>CottonIrrigated!YTVarRet</vt:lpstr>
      <vt:lpstr>'No Till Dryland Cotton'!YTVarRet</vt:lpstr>
      <vt:lpstr>'NoTill Wheat Dryland'!YTVarRet</vt:lpstr>
      <vt:lpstr>'NT Irrig L Cotton'!YTVarRet</vt:lpstr>
      <vt:lpstr>'NT Irrig M Cotton'!YTVarRet</vt:lpstr>
      <vt:lpstr>'NT-CC Irrig L Cotton'!YTVarRet</vt:lpstr>
      <vt:lpstr>'NT-CC Irrig M Cotton'!YTVarRet</vt:lpstr>
      <vt:lpstr>'NT-CC2 Irr M Cotton'!YTVarRet</vt:lpstr>
      <vt:lpstr>'Organic Summer HayCrop'!YTVarRet</vt:lpstr>
      <vt:lpstr>OrganicDrylandWheat!YTVarRet</vt:lpstr>
      <vt:lpstr>'OrganicWheat Year 3'!YTVarRet</vt:lpstr>
      <vt:lpstr>Peanuts!YTVarRet</vt:lpstr>
      <vt:lpstr>'Red Till Irrig Cotton'!YTVarRet</vt:lpstr>
      <vt:lpstr>'Red Till L Irrig Cotton'!YTVarRet</vt:lpstr>
      <vt:lpstr>'SD Fescue'!YTVarRet</vt:lpstr>
      <vt:lpstr>SmallGrain!YTVarRet</vt:lpstr>
      <vt:lpstr>SorghumDryland!YTVarRet</vt:lpstr>
      <vt:lpstr>'Wheat Irrigated'!YTVarRet</vt:lpstr>
      <vt:lpstr>WheatDryland!YTVarRet</vt:lpstr>
      <vt:lpstr>AlfalfaDrylandEstablish!YVarExp</vt:lpstr>
      <vt:lpstr>AlfalfaHayDryland!YVarExp</vt:lpstr>
      <vt:lpstr>AlfalfaHayIrrigated!YVarExp</vt:lpstr>
      <vt:lpstr>AlfalfaIrrigatedEstablish!YVarExp</vt:lpstr>
      <vt:lpstr>CanolaDryland!YVarExp</vt:lpstr>
      <vt:lpstr>CoastalDryland!YVarExp</vt:lpstr>
      <vt:lpstr>CoastalEstab!YVarExp</vt:lpstr>
      <vt:lpstr>'Conv L Irrig Cotton'!YVarExp</vt:lpstr>
      <vt:lpstr>'Conv M Irrig Cotton'!YVarExp</vt:lpstr>
      <vt:lpstr>CottonDryland2X1!YVarExp</vt:lpstr>
      <vt:lpstr>CottonDrylandSolid!YVarExp</vt:lpstr>
      <vt:lpstr>CottonIrrigated!YVarExp</vt:lpstr>
      <vt:lpstr>CowCalf!YVarExp</vt:lpstr>
      <vt:lpstr>'Crop Budget'!YVarExp</vt:lpstr>
      <vt:lpstr>'Livestock Budget'!YVarExp</vt:lpstr>
      <vt:lpstr>'No Till Dryland Cotton'!YVarExp</vt:lpstr>
      <vt:lpstr>'NoTill Wheat Dryland'!YVarExp</vt:lpstr>
      <vt:lpstr>'NT Irrig L Cotton'!YVarExp</vt:lpstr>
      <vt:lpstr>'NT Irrig M Cotton'!YVarExp</vt:lpstr>
      <vt:lpstr>'NT-CC Irrig L Cotton'!YVarExp</vt:lpstr>
      <vt:lpstr>'NT-CC Irrig M Cotton'!YVarExp</vt:lpstr>
      <vt:lpstr>'NT-CC2 Irr M Cotton'!YVarExp</vt:lpstr>
      <vt:lpstr>'Organic Summer HayCrop'!YVarExp</vt:lpstr>
      <vt:lpstr>OrganicDrylandWheat!YVarExp</vt:lpstr>
      <vt:lpstr>'OrganicWheat Year 3'!YVarExp</vt:lpstr>
      <vt:lpstr>Peanuts!YVarExp</vt:lpstr>
      <vt:lpstr>'Red Till Irrig Cotton'!YVarExp</vt:lpstr>
      <vt:lpstr>'Red Till L Irrig Cotton'!YVarExp</vt:lpstr>
      <vt:lpstr>'SD Fescue'!YVarExp</vt:lpstr>
      <vt:lpstr>SmallGrain!YVarExp</vt:lpstr>
      <vt:lpstr>SorghumDryland!YVarExp</vt:lpstr>
      <vt:lpstr>StockerGrazeOut!YVarExp</vt:lpstr>
      <vt:lpstr>StockersMar1!YVarExp</vt:lpstr>
      <vt:lpstr>'Wheat Irrigated'!YVarExp</vt:lpstr>
      <vt:lpstr>WheatDryland!YVarExp</vt:lpstr>
      <vt:lpstr>AlfalfaDrylandEstablish!YVarRet</vt:lpstr>
      <vt:lpstr>AlfalfaHayDryland!YVarRet</vt:lpstr>
      <vt:lpstr>AlfalfaHayIrrigated!YVarRet</vt:lpstr>
      <vt:lpstr>AlfalfaIrrigatedEstablish!YVarRet</vt:lpstr>
      <vt:lpstr>CanolaDryland!YVarRet</vt:lpstr>
      <vt:lpstr>CoastalDryland!YVarRet</vt:lpstr>
      <vt:lpstr>CoastalEstab!YVarRet</vt:lpstr>
      <vt:lpstr>'Conv L Irrig Cotton'!YVarRet</vt:lpstr>
      <vt:lpstr>'Conv M Irrig Cotton'!YVarRet</vt:lpstr>
      <vt:lpstr>CottonDryland2X1!YVarRet</vt:lpstr>
      <vt:lpstr>CottonDrylandSolid!YVarRet</vt:lpstr>
      <vt:lpstr>CottonIrrigated!YVarRet</vt:lpstr>
      <vt:lpstr>CowCalf!YVarRet</vt:lpstr>
      <vt:lpstr>'Crop Budget'!YVarRet</vt:lpstr>
      <vt:lpstr>'Livestock Budget'!YVarRet</vt:lpstr>
      <vt:lpstr>'No Till Dryland Cotton'!YVarRet</vt:lpstr>
      <vt:lpstr>'NoTill Wheat Dryland'!YVarRet</vt:lpstr>
      <vt:lpstr>'NT Irrig L Cotton'!YVarRet</vt:lpstr>
      <vt:lpstr>'NT Irrig M Cotton'!YVarRet</vt:lpstr>
      <vt:lpstr>'NT-CC Irrig L Cotton'!YVarRet</vt:lpstr>
      <vt:lpstr>'NT-CC Irrig M Cotton'!YVarRet</vt:lpstr>
      <vt:lpstr>'NT-CC2 Irr M Cotton'!YVarRet</vt:lpstr>
      <vt:lpstr>'Organic Summer HayCrop'!YVarRet</vt:lpstr>
      <vt:lpstr>OrganicDrylandWheat!YVarRet</vt:lpstr>
      <vt:lpstr>'OrganicWheat Year 3'!YVarRet</vt:lpstr>
      <vt:lpstr>Peanuts!YVarRet</vt:lpstr>
      <vt:lpstr>'Red Till Irrig Cotton'!YVarRet</vt:lpstr>
      <vt:lpstr>'Red Till L Irrig Cotton'!YVarRet</vt:lpstr>
      <vt:lpstr>'SD Fescue'!YVarRet</vt:lpstr>
      <vt:lpstr>SmallGrain!YVarRet</vt:lpstr>
      <vt:lpstr>SorghumDryland!YVarRet</vt:lpstr>
      <vt:lpstr>StockerGrazeOut!YVarRet</vt:lpstr>
      <vt:lpstr>StockersMar1!YVarRet</vt:lpstr>
      <vt:lpstr>'Wheat Irrigated'!YVarRet</vt:lpstr>
      <vt:lpstr>WheatDryland!YVarRet</vt:lpstr>
    </vt:vector>
  </TitlesOfParts>
  <Company>Texas AgriLIFE Extension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Texas A&amp;M AgriLife Extension Service</dc:title>
  <dc:subject>Version 01.02.2012</dc:subject>
  <dc:creator>Cornforth, Gerald C</dc:creator>
  <cp:lastModifiedBy>Natalie A. Outlaw</cp:lastModifiedBy>
  <cp:lastPrinted>2024-03-07T17:19:36Z</cp:lastPrinted>
  <dcterms:created xsi:type="dcterms:W3CDTF">2005-09-27T19:38:29Z</dcterms:created>
  <dcterms:modified xsi:type="dcterms:W3CDTF">2024-03-12T15:30:28Z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0x0101009D9EB9D28BC8FD43BDAF7BF6B08A0C24</vt:lpwstr>
  </property>
</Properties>
</file>