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TAMU Additions 1-27-2020\A.Cow-Calf Bid Price and Budgets\"/>
    </mc:Choice>
  </mc:AlternateContent>
  <xr:revisionPtr revIDLastSave="0" documentId="13_ncr:1_{8F7877F4-7B72-47E5-8A37-631431EB900E}" xr6:coauthVersionLast="45" xr6:coauthVersionMax="45" xr10:uidLastSave="{00000000-0000-0000-0000-000000000000}"/>
  <bookViews>
    <workbookView xWindow="-103" yWindow="-103" windowWidth="16663" windowHeight="8863" tabRatio="934" xr2:uid="{00000000-000D-0000-FFFF-FFFF00000000}"/>
  </bookViews>
  <sheets>
    <sheet name="1. Total Unit Cost&amp;ROA " sheetId="5" r:id="rId1"/>
    <sheet name="2. ROA-Ave. Calf Price Required" sheetId="6" r:id="rId2"/>
    <sheet name="3. Steer Vs. Heifer Price &amp; ROA" sheetId="7" r:id="rId3"/>
    <sheet name="4. Capital Asset  Costs" sheetId="8" r:id="rId4"/>
  </sheets>
  <definedNames>
    <definedName name="_xlnm.Print_Area" localSheetId="0">'1. Total Unit Cost&amp;ROA '!$B$1:$I$110</definedName>
    <definedName name="_xlnm.Print_Area" localSheetId="1">'2. ROA-Ave. Calf Price Required'!$B$1:$E$50</definedName>
    <definedName name="_xlnm.Print_Area" localSheetId="2">'3. Steer Vs. Heifer Price &amp; ROA'!$B$1:$I$62</definedName>
    <definedName name="_xlnm.Print_Area" localSheetId="3">'4. Capital Asset  Costs'!$B$1:$I$40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5" l="1"/>
  <c r="I59" i="5"/>
  <c r="I58" i="5"/>
  <c r="I57" i="5"/>
  <c r="I55" i="5"/>
  <c r="I50" i="5"/>
  <c r="I49" i="5"/>
  <c r="I48" i="5"/>
  <c r="I45" i="5"/>
  <c r="I44" i="5"/>
  <c r="I39" i="5"/>
  <c r="I37" i="5"/>
  <c r="I36" i="5"/>
  <c r="I35" i="5"/>
  <c r="I33" i="5"/>
  <c r="I26" i="5"/>
  <c r="I12" i="5"/>
  <c r="I52" i="5" s="1"/>
  <c r="G14" i="5"/>
  <c r="I53" i="5" l="1"/>
  <c r="I34" i="5"/>
  <c r="I47" i="5"/>
  <c r="B38" i="8"/>
  <c r="B37" i="8"/>
  <c r="B36" i="8"/>
  <c r="B35" i="8"/>
  <c r="B34" i="8"/>
  <c r="B33" i="8"/>
  <c r="B32" i="8"/>
  <c r="B31" i="8"/>
  <c r="B30" i="8"/>
  <c r="B29" i="8"/>
  <c r="B28" i="8"/>
  <c r="C20" i="8"/>
  <c r="I19" i="8"/>
  <c r="H38" i="8" s="1"/>
  <c r="I38" i="8" s="1"/>
  <c r="G19" i="8"/>
  <c r="F38" i="8" s="1"/>
  <c r="G38" i="8" s="1"/>
  <c r="F19" i="8"/>
  <c r="C38" i="8" s="1"/>
  <c r="E38" i="8" s="1"/>
  <c r="I18" i="8"/>
  <c r="H37" i="8" s="1"/>
  <c r="I37" i="8" s="1"/>
  <c r="G18" i="8"/>
  <c r="F37" i="8" s="1"/>
  <c r="G37" i="8" s="1"/>
  <c r="F18" i="8"/>
  <c r="C37" i="8" s="1"/>
  <c r="E37" i="8" s="1"/>
  <c r="I17" i="8"/>
  <c r="H36" i="8" s="1"/>
  <c r="I36" i="8" s="1"/>
  <c r="G17" i="8"/>
  <c r="F36" i="8" s="1"/>
  <c r="G36" i="8" s="1"/>
  <c r="F17" i="8"/>
  <c r="C36" i="8" s="1"/>
  <c r="E36" i="8" s="1"/>
  <c r="I16" i="8"/>
  <c r="H35" i="8" s="1"/>
  <c r="I35" i="8" s="1"/>
  <c r="G16" i="8"/>
  <c r="F35" i="8" s="1"/>
  <c r="G35" i="8" s="1"/>
  <c r="F16" i="8"/>
  <c r="C35" i="8" s="1"/>
  <c r="E35" i="8" s="1"/>
  <c r="I15" i="8"/>
  <c r="H34" i="8" s="1"/>
  <c r="I34" i="8" s="1"/>
  <c r="G15" i="8"/>
  <c r="F34" i="8" s="1"/>
  <c r="G34" i="8" s="1"/>
  <c r="F15" i="8"/>
  <c r="C34" i="8" s="1"/>
  <c r="E34" i="8" s="1"/>
  <c r="I14" i="8"/>
  <c r="H33" i="8" s="1"/>
  <c r="I33" i="8" s="1"/>
  <c r="G14" i="8"/>
  <c r="F33" i="8" s="1"/>
  <c r="G33" i="8" s="1"/>
  <c r="F14" i="8"/>
  <c r="C33" i="8" s="1"/>
  <c r="E33" i="8" s="1"/>
  <c r="I13" i="8"/>
  <c r="H32" i="8" s="1"/>
  <c r="I32" i="8" s="1"/>
  <c r="G13" i="8"/>
  <c r="F32" i="8" s="1"/>
  <c r="G32" i="8" s="1"/>
  <c r="F13" i="8"/>
  <c r="C32" i="8" s="1"/>
  <c r="E32" i="8" s="1"/>
  <c r="I12" i="8"/>
  <c r="H31" i="8" s="1"/>
  <c r="I31" i="8" s="1"/>
  <c r="G12" i="8"/>
  <c r="F31" i="8" s="1"/>
  <c r="G31" i="8" s="1"/>
  <c r="F12" i="8"/>
  <c r="C31" i="8" s="1"/>
  <c r="E31" i="8" s="1"/>
  <c r="I11" i="8"/>
  <c r="H30" i="8" s="1"/>
  <c r="I30" i="8" s="1"/>
  <c r="G11" i="8"/>
  <c r="F30" i="8" s="1"/>
  <c r="G30" i="8" s="1"/>
  <c r="F11" i="8"/>
  <c r="C30" i="8" s="1"/>
  <c r="E30" i="8" s="1"/>
  <c r="I10" i="8"/>
  <c r="H29" i="8" s="1"/>
  <c r="I29" i="8" s="1"/>
  <c r="G10" i="8"/>
  <c r="F29" i="8" s="1"/>
  <c r="G29" i="8" s="1"/>
  <c r="F10" i="8"/>
  <c r="C29" i="8" s="1"/>
  <c r="E29" i="8" s="1"/>
  <c r="I9" i="8"/>
  <c r="H28" i="8" s="1"/>
  <c r="I28" i="8" s="1"/>
  <c r="G9" i="8"/>
  <c r="F9" i="8"/>
  <c r="C28" i="8" s="1"/>
  <c r="E28" i="8" s="1"/>
  <c r="G20" i="8" l="1"/>
  <c r="F28" i="8"/>
  <c r="I39" i="8"/>
  <c r="I40" i="8" s="1"/>
  <c r="I4" i="8" s="1"/>
  <c r="F46" i="5" s="1"/>
  <c r="I46" i="5" s="1"/>
  <c r="E39" i="8"/>
  <c r="E40" i="8" s="1"/>
  <c r="F4" i="8" s="1"/>
  <c r="F51" i="5" s="1"/>
  <c r="I51" i="5" s="1"/>
  <c r="I20" i="8"/>
  <c r="F20" i="8"/>
  <c r="G28" i="8" l="1"/>
  <c r="G39" i="8" s="1"/>
  <c r="G40" i="8" s="1"/>
  <c r="D18" i="6" s="1"/>
  <c r="F39" i="8"/>
  <c r="B25" i="5"/>
  <c r="E29" i="6"/>
  <c r="E42" i="6" s="1"/>
  <c r="H61" i="5" l="1"/>
  <c r="E5" i="6"/>
  <c r="H3" i="7"/>
  <c r="B3" i="7"/>
  <c r="C18" i="7" l="1"/>
  <c r="C56" i="7" s="1"/>
  <c r="C7" i="7" l="1"/>
  <c r="C37" i="7" s="1"/>
  <c r="E11" i="7" l="1"/>
  <c r="D10" i="7"/>
  <c r="D54" i="7" s="1"/>
  <c r="C10" i="7"/>
  <c r="C9" i="7"/>
  <c r="D9" i="7"/>
  <c r="D53" i="7" s="1"/>
  <c r="C13" i="7" l="1"/>
  <c r="E30" i="7"/>
  <c r="E45" i="7" s="1"/>
  <c r="C23" i="7"/>
  <c r="C28" i="7" s="1"/>
  <c r="F28" i="7" s="1"/>
  <c r="F43" i="7"/>
  <c r="C43" i="7"/>
  <c r="C22" i="7"/>
  <c r="C27" i="7" s="1"/>
  <c r="F27" i="7" s="1"/>
  <c r="F9" i="7"/>
  <c r="F42" i="7"/>
  <c r="C42" i="7"/>
  <c r="F29" i="7" l="1"/>
  <c r="G11" i="7"/>
  <c r="F22" i="7"/>
  <c r="F23" i="7"/>
  <c r="F10" i="7"/>
  <c r="G10" i="7" s="1"/>
  <c r="G30" i="7" l="1"/>
  <c r="G45" i="7"/>
  <c r="F24" i="7"/>
  <c r="G9" i="7"/>
  <c r="F14" i="7"/>
  <c r="I10" i="7" l="1"/>
  <c r="G14" i="7"/>
  <c r="F32" i="7"/>
  <c r="F47" i="7" s="1"/>
  <c r="F13" i="6"/>
  <c r="L100" i="5"/>
  <c r="H70" i="5" l="1"/>
  <c r="H14" i="7" l="1"/>
  <c r="K34" i="5"/>
  <c r="K35" i="5" s="1"/>
  <c r="F38" i="5" l="1"/>
  <c r="I38" i="5" s="1"/>
  <c r="C83" i="5" l="1"/>
  <c r="H82" i="5" s="1"/>
  <c r="C12" i="7" l="1"/>
  <c r="E10" i="7"/>
  <c r="H69" i="5" l="1"/>
  <c r="C71" i="5"/>
  <c r="C77" i="5"/>
  <c r="H81" i="5"/>
  <c r="C89" i="5"/>
  <c r="D78" i="5" l="1"/>
  <c r="H71" i="5"/>
  <c r="H99" i="5" s="1"/>
  <c r="C90" i="5"/>
  <c r="C91" i="5" s="1"/>
  <c r="D92" i="5" s="1"/>
  <c r="H83" i="5"/>
  <c r="H86" i="5" s="1"/>
  <c r="H88" i="5" s="1"/>
  <c r="H37" i="5"/>
  <c r="H49" i="5"/>
  <c r="H48" i="5"/>
  <c r="F22" i="5"/>
  <c r="I22" i="5" s="1"/>
  <c r="F25" i="5"/>
  <c r="I25" i="5" s="1"/>
  <c r="D16" i="6"/>
  <c r="K18" i="5"/>
  <c r="D13" i="6" s="1"/>
  <c r="G13" i="6" s="1"/>
  <c r="L11" i="5"/>
  <c r="D94" i="5" l="1"/>
  <c r="F16" i="5" s="1"/>
  <c r="D39" i="7" s="1"/>
  <c r="F100" i="5"/>
  <c r="H100" i="5" s="1"/>
  <c r="H101" i="5" s="1"/>
  <c r="H72" i="5"/>
  <c r="H96" i="5" s="1"/>
  <c r="F20" i="5"/>
  <c r="B5" i="7" s="1"/>
  <c r="C50" i="7" s="1"/>
  <c r="G19" i="6"/>
  <c r="D6" i="6" l="1"/>
  <c r="D44" i="6" s="1"/>
  <c r="F63" i="5"/>
  <c r="D13" i="5"/>
  <c r="F12" i="5"/>
  <c r="D21" i="6" s="1"/>
  <c r="F11" i="5"/>
  <c r="F10" i="5"/>
  <c r="G21" i="6" l="1"/>
  <c r="D15" i="5"/>
  <c r="F13" i="5"/>
  <c r="E13" i="5" s="1"/>
  <c r="B4" i="6" l="1"/>
  <c r="F15" i="5" l="1"/>
  <c r="E15" i="5" s="1"/>
  <c r="D17" i="5"/>
  <c r="F31" i="5"/>
  <c r="F30" i="5"/>
  <c r="F29" i="5"/>
  <c r="I29" i="5" s="1"/>
  <c r="F28" i="5"/>
  <c r="I28" i="5" s="1"/>
  <c r="F27" i="5"/>
  <c r="I27" i="5" s="1"/>
  <c r="H30" i="5" l="1"/>
  <c r="I30" i="5"/>
  <c r="H31" i="5"/>
  <c r="I31" i="5"/>
  <c r="H27" i="5"/>
  <c r="F32" i="5"/>
  <c r="I32" i="5" s="1"/>
  <c r="G38" i="6"/>
  <c r="D9" i="6"/>
  <c r="G25" i="6" l="1"/>
  <c r="D25" i="6" s="1"/>
  <c r="H16" i="6"/>
  <c r="I16" i="6" s="1"/>
  <c r="D11" i="6" l="1"/>
  <c r="F41" i="5"/>
  <c r="I41" i="5" s="1"/>
  <c r="D17" i="6" l="1"/>
  <c r="D19" i="6" s="1"/>
  <c r="D45" i="6" s="1"/>
  <c r="D23" i="6" l="1"/>
  <c r="D28" i="6"/>
  <c r="E45" i="6"/>
  <c r="C64" i="5"/>
  <c r="F54" i="5"/>
  <c r="I54" i="5" s="1"/>
  <c r="F40" i="5"/>
  <c r="F42" i="5" l="1"/>
  <c r="I40" i="5"/>
  <c r="E16" i="5"/>
  <c r="D40" i="6"/>
  <c r="F17" i="5"/>
  <c r="H16" i="5" l="1"/>
  <c r="I17" i="5"/>
  <c r="F43" i="5"/>
  <c r="I42" i="5"/>
  <c r="H15" i="5"/>
  <c r="E17" i="5"/>
  <c r="I43" i="5" l="1"/>
  <c r="F56" i="5"/>
  <c r="H25" i="5" s="1"/>
  <c r="H58" i="5"/>
  <c r="I56" i="5" l="1"/>
  <c r="K56" i="5"/>
  <c r="D8" i="6"/>
  <c r="D10" i="6" s="1"/>
  <c r="F60" i="5"/>
  <c r="H36" i="5" s="1"/>
  <c r="H22" i="5"/>
  <c r="I60" i="5" l="1"/>
  <c r="K61" i="5"/>
  <c r="H42" i="5"/>
  <c r="H43" i="5"/>
  <c r="H33" i="5"/>
  <c r="H52" i="5"/>
  <c r="H28" i="5"/>
  <c r="H47" i="5"/>
  <c r="H54" i="5"/>
  <c r="H51" i="5"/>
  <c r="H35" i="5"/>
  <c r="H29" i="5"/>
  <c r="H53" i="5"/>
  <c r="H34" i="5"/>
  <c r="H56" i="5"/>
  <c r="H60" i="5"/>
  <c r="H41" i="5"/>
  <c r="H40" i="5"/>
  <c r="H46" i="5"/>
  <c r="C39" i="7"/>
  <c r="E39" i="7" s="1"/>
  <c r="H32" i="5"/>
  <c r="F62" i="5"/>
  <c r="O56" i="5" l="1"/>
  <c r="D64" i="5"/>
  <c r="F64" i="5" s="1"/>
  <c r="C16" i="7" s="1"/>
  <c r="C52" i="7" s="1"/>
  <c r="D30" i="6"/>
  <c r="I62" i="5"/>
  <c r="E30" i="6" l="1"/>
  <c r="H62" i="5" s="1"/>
  <c r="D32" i="6"/>
  <c r="E9" i="7"/>
  <c r="E13" i="7" s="1"/>
  <c r="D13" i="7"/>
  <c r="D43" i="7" s="1"/>
  <c r="G19" i="7" l="1"/>
  <c r="D23" i="7" s="1"/>
  <c r="D33" i="6"/>
  <c r="D34" i="6" s="1"/>
  <c r="D39" i="6" l="1"/>
  <c r="D41" i="6" s="1"/>
  <c r="F38" i="6"/>
  <c r="H38" i="6" s="1"/>
  <c r="I38" i="6" s="1"/>
  <c r="E34" i="6" s="1"/>
  <c r="H19" i="7"/>
  <c r="C25" i="7"/>
  <c r="D28" i="7" s="1"/>
  <c r="D27" i="7" s="1"/>
  <c r="D22" i="7"/>
  <c r="G23" i="7"/>
  <c r="E23" i="7"/>
  <c r="D37" i="6" l="1"/>
  <c r="D58" i="7"/>
  <c r="E28" i="7"/>
  <c r="G28" i="7"/>
  <c r="H28" i="7" s="1"/>
  <c r="E40" i="6"/>
  <c r="D43" i="6"/>
  <c r="E43" i="6" s="1"/>
  <c r="E39" i="6"/>
  <c r="D57" i="7"/>
  <c r="D36" i="6"/>
  <c r="G27" i="7"/>
  <c r="H27" i="7" s="1"/>
  <c r="G22" i="7"/>
  <c r="G24" i="7" s="1"/>
  <c r="H24" i="7" s="1"/>
  <c r="E22" i="7"/>
  <c r="E27" i="7"/>
  <c r="I28" i="7" l="1"/>
  <c r="J28" i="7" s="1"/>
  <c r="J30" i="7" s="1"/>
  <c r="G29" i="7"/>
  <c r="H29" i="7" s="1"/>
  <c r="D62" i="7"/>
  <c r="E43" i="7"/>
  <c r="G43" i="7"/>
  <c r="D42" i="7"/>
  <c r="D44" i="7" s="1"/>
  <c r="G32" i="7" l="1"/>
  <c r="H32" i="7" s="1"/>
  <c r="D61" i="7"/>
  <c r="G42" i="7"/>
  <c r="G44" i="7" s="1"/>
  <c r="E42" i="7"/>
  <c r="G47" i="7" l="1"/>
  <c r="H47" i="7" s="1"/>
  <c r="I44" i="7"/>
  <c r="J47" i="7"/>
</calcChain>
</file>

<file path=xl/sharedStrings.xml><?xml version="1.0" encoding="utf-8"?>
<sst xmlns="http://schemas.openxmlformats.org/spreadsheetml/2006/main" count="381" uniqueCount="283">
  <si>
    <t>Lb.</t>
  </si>
  <si>
    <t>%</t>
  </si>
  <si>
    <t xml:space="preserve">   Other</t>
  </si>
  <si>
    <t>Depreciation</t>
  </si>
  <si>
    <t>% of Total</t>
  </si>
  <si>
    <t>$/BCU</t>
  </si>
  <si>
    <t>Weaning %</t>
  </si>
  <si>
    <t>Calf Sales - Lb. Weaned/Exposed Female</t>
  </si>
  <si>
    <t>Cow Cost</t>
  </si>
  <si>
    <t>Salvage Value</t>
  </si>
  <si>
    <t>Cow Depreciation</t>
  </si>
  <si>
    <t>Bull Cost</t>
  </si>
  <si>
    <t>Raised feed at market value.</t>
  </si>
  <si>
    <t>Average Weaning Wt.</t>
  </si>
  <si>
    <t>Wt./Female Exposed</t>
  </si>
  <si>
    <t>Subtotal Grazing &amp; Stored Feed Costs</t>
  </si>
  <si>
    <t>Assets or Investment Per BCU</t>
  </si>
  <si>
    <t>Total Assets per BCU</t>
  </si>
  <si>
    <t>Check</t>
  </si>
  <si>
    <t>Herd Bull Depreciation</t>
  </si>
  <si>
    <t>Land and improvements per BCU.</t>
  </si>
  <si>
    <t>Direct Costs</t>
  </si>
  <si>
    <t>Indirect Costs</t>
  </si>
  <si>
    <t>Total Direct Costs</t>
  </si>
  <si>
    <t xml:space="preserve">  Herd Bull</t>
  </si>
  <si>
    <t>Total Indirect Costs</t>
  </si>
  <si>
    <t>Cull Cow &amp; Bull Revenue</t>
  </si>
  <si>
    <t>Target Return on Assets (ROA)    %</t>
  </si>
  <si>
    <t>Utilities</t>
  </si>
  <si>
    <t xml:space="preserve"> Other</t>
  </si>
  <si>
    <t>Land &amp; Improvements  Acres per BCU</t>
  </si>
  <si>
    <t>Land &amp; Improvements - Market Value per Acre</t>
  </si>
  <si>
    <t>Land &amp; Improvements  - Investment per BCU</t>
  </si>
  <si>
    <t>Breeding Stock Investment</t>
  </si>
  <si>
    <t>Current market value</t>
  </si>
  <si>
    <t>Total cost or operating plus finance cost.</t>
  </si>
  <si>
    <t>Finance Cost</t>
  </si>
  <si>
    <t>Return to land investment</t>
  </si>
  <si>
    <t>This does not include potential land appreciation.</t>
  </si>
  <si>
    <t>Cull Bull Price $/Cwt.</t>
  </si>
  <si>
    <t>Cull Cow Price $/Cwt.</t>
  </si>
  <si>
    <t>Check on ROA</t>
  </si>
  <si>
    <t>Hay</t>
  </si>
  <si>
    <t>Protein Supplement</t>
  </si>
  <si>
    <t>Salt &amp; Mineral</t>
  </si>
  <si>
    <t>Other</t>
  </si>
  <si>
    <t>Quantity</t>
  </si>
  <si>
    <t>$/Unit</t>
  </si>
  <si>
    <t>Rolls</t>
  </si>
  <si>
    <t>Cwt.</t>
  </si>
  <si>
    <t>Lbs.</t>
  </si>
  <si>
    <t>A net cash lease or a return to owned land is gross lease minus property tax, maintenance and other cost paid by land owner.</t>
  </si>
  <si>
    <t>Rent Value</t>
  </si>
  <si>
    <t>This is comparable to the financial statement net income at target price of calves..</t>
  </si>
  <si>
    <t>Target Return on Assets (ROA) Including Land Investment:</t>
  </si>
  <si>
    <t>Rent % of Land and Improvements Investment.</t>
  </si>
  <si>
    <t>Cow - Calf Production Area:</t>
  </si>
  <si>
    <t>Breeding Cow Cost</t>
  </si>
  <si>
    <t xml:space="preserve">Herd Bull Investment  </t>
  </si>
  <si>
    <t xml:space="preserve">Breeding Cow Investment  </t>
  </si>
  <si>
    <t>Key Cow-Calf Price and Production Data</t>
  </si>
  <si>
    <t>From sheet 1 estimates operating cost</t>
  </si>
  <si>
    <t>Cull Cow Weight</t>
  </si>
  <si>
    <t>Bull Cost Per head</t>
  </si>
  <si>
    <t>Cull Weight</t>
  </si>
  <si>
    <t>User manual identifies limitations and decision aids for more complete calculations.</t>
  </si>
  <si>
    <t>Finance Cost - Interest Paid**</t>
  </si>
  <si>
    <t xml:space="preserve">   land and other assets invested.</t>
  </si>
  <si>
    <t>Herd Bull Death Loss</t>
  </si>
  <si>
    <t>Breeding Cow Death Loss</t>
  </si>
  <si>
    <t>Cow-Bull Ratio - Cows/Bull</t>
  </si>
  <si>
    <t>Revenue from Culls</t>
  </si>
  <si>
    <t>Revenue based on bull culling rate and death loss.</t>
  </si>
  <si>
    <t>Bull Depreciation/BCU</t>
  </si>
  <si>
    <t>Simplified estimation of costs but accounts for major items.</t>
  </si>
  <si>
    <t>Total Operating Costs - See Page 1.</t>
  </si>
  <si>
    <t>See user guide on estimating costs and limitations of simple approach</t>
  </si>
  <si>
    <t>Must include owner operator compensation equal to an hired  employee.</t>
  </si>
  <si>
    <t>The animal units per breeding cow-unit will vary based on the weight of the cows and bulls and weaned calf and the grazing system.</t>
  </si>
  <si>
    <t>Subtotal Breeding Stock Depreciation</t>
  </si>
  <si>
    <t>Breeding Cow Unit (BCU) includes replacement heifers and bulls.</t>
  </si>
  <si>
    <t>Vehicles, Machinery &amp; Equipment Investment will be highly variable.</t>
  </si>
  <si>
    <t>This is financial cost as no economic or opportunity cost for capital is included.</t>
  </si>
  <si>
    <t>Operating cost without cow depreciation.</t>
  </si>
  <si>
    <t>BCU is breeding cow unit  is the breeding cow, calf, a portion of a replacement heifer and bull or approximately 1.6 AU's.</t>
  </si>
  <si>
    <t>Net Income - $/BCU</t>
  </si>
  <si>
    <t>Net + Finance Cost</t>
  </si>
  <si>
    <t>Assets/BCU</t>
  </si>
  <si>
    <t>Total Assets Invested</t>
  </si>
  <si>
    <t>ROA</t>
  </si>
  <si>
    <t>Recall finance cost is added to net income to calculate return on assets (ROA)</t>
  </si>
  <si>
    <t xml:space="preserve">**Finance cost will depend on the debt used to finance operating costs, breeding cattle and </t>
  </si>
  <si>
    <t>Necessary Calf Price Required For Target ROA</t>
  </si>
  <si>
    <r>
      <t xml:space="preserve">General &amp; Administration </t>
    </r>
    <r>
      <rPr>
        <sz val="10"/>
        <rFont val="Arial"/>
        <family val="2"/>
      </rPr>
      <t>(accounting and other services)</t>
    </r>
  </si>
  <si>
    <t xml:space="preserve">           $/BCU</t>
  </si>
  <si>
    <t xml:space="preserve">  $/Head</t>
  </si>
  <si>
    <t>Breeding Cow Units (BCU) at Beginning Year Fiscal Year</t>
  </si>
  <si>
    <t xml:space="preserve">Average Weaning Weight and Price </t>
  </si>
  <si>
    <t>Premium  Return on Assets (ROA)    %</t>
  </si>
  <si>
    <t>Weaning Weight &amp; Price of Steer Calves</t>
  </si>
  <si>
    <t xml:space="preserve">Weaned Calf Crop - % (based on exposed females)* </t>
  </si>
  <si>
    <t>Weaning Weight &amp; Price of Heifer Calves</t>
  </si>
  <si>
    <t>Total Revenue per BCU</t>
  </si>
  <si>
    <t>% of Rev.</t>
  </si>
  <si>
    <t>Premium Offered by Buyer</t>
  </si>
  <si>
    <t>Net $/Cwt.</t>
  </si>
  <si>
    <t>Weight/Hd.</t>
  </si>
  <si>
    <t>With adjustment for cull cow and bulls revenue</t>
  </si>
  <si>
    <t xml:space="preserve">  Additional Income Minus Interest Cost</t>
  </si>
  <si>
    <t xml:space="preserve">  Additional Income Per Cwt. Produced Per Cwt.</t>
  </si>
  <si>
    <t>Price difference steers minus heifers</t>
  </si>
  <si>
    <t xml:space="preserve">Difference </t>
  </si>
  <si>
    <t xml:space="preserve">                      Required</t>
  </si>
  <si>
    <t>Input Value</t>
  </si>
  <si>
    <t>Change Needed To Achieved Target ROA</t>
  </si>
  <si>
    <t>Increase</t>
  </si>
  <si>
    <t>% Increase</t>
  </si>
  <si>
    <t>Acres/BCU</t>
  </si>
  <si>
    <t xml:space="preserve">Calf Price </t>
  </si>
  <si>
    <t>$/Acre</t>
  </si>
  <si>
    <t>Costs (TUC)</t>
  </si>
  <si>
    <t>___________________________________________________________________________________________________</t>
  </si>
  <si>
    <t>Land Cash Lease Rate</t>
  </si>
  <si>
    <t>Total Operating Cost (Direct + Indirect)</t>
  </si>
  <si>
    <t>Net Income (Gross Income Minus TUC) - Profit</t>
  </si>
  <si>
    <t>Average Productive Life</t>
  </si>
  <si>
    <t>Years</t>
  </si>
  <si>
    <t>Replacement or Culling Rate plus death loss</t>
  </si>
  <si>
    <t>Bull and replacement feed with BCU</t>
  </si>
  <si>
    <t>Veterinarian, Medicine &amp; Breeding</t>
  </si>
  <si>
    <t>Total Average Investment in Breeding stock</t>
  </si>
  <si>
    <t>__________________________________________________________________________________________________</t>
  </si>
  <si>
    <t>*Breeding Cow Unit (BCU) includes portion of replacement heifers and bulls.</t>
  </si>
  <si>
    <t>Land Grazing - Cash Lease</t>
  </si>
  <si>
    <t>Notes</t>
  </si>
  <si>
    <t>***See the Standardized Performance Analysis (SPA) reproduction decision aid in software tools.</t>
  </si>
  <si>
    <t>Cow-Calf Annual Revenue, Total Unit Cost (TUC), ROA &amp; Profit per BCU*</t>
  </si>
  <si>
    <t>Weaned Calf Crop</t>
  </si>
  <si>
    <t>TUC</t>
  </si>
  <si>
    <t xml:space="preserve">   $/BCU</t>
  </si>
  <si>
    <t xml:space="preserve"> Necessary Heifer Price To Cover TUC</t>
  </si>
  <si>
    <t>Date of Analysis</t>
  </si>
  <si>
    <t>Income*</t>
  </si>
  <si>
    <t>Price difference Steers Versus Heifers</t>
  </si>
  <si>
    <t xml:space="preserve">   Weight/Hd.</t>
  </si>
  <si>
    <t>Lb. Weaned/Exposed Female &amp; Revenue</t>
  </si>
  <si>
    <t>% of Income</t>
  </si>
  <si>
    <r>
      <t xml:space="preserve">Gross </t>
    </r>
    <r>
      <rPr>
        <b/>
        <sz val="12"/>
        <rFont val="Arial"/>
        <family val="2"/>
      </rPr>
      <t>Calf</t>
    </r>
    <r>
      <rPr>
        <sz val="12"/>
        <rFont val="Arial"/>
        <family val="2"/>
      </rPr>
      <t xml:space="preserve"> Income Per BCU at Target ROA</t>
    </r>
  </si>
  <si>
    <r>
      <t>Total Gross Income (</t>
    </r>
    <r>
      <rPr>
        <b/>
        <sz val="11"/>
        <rFont val="Arial"/>
        <family val="2"/>
      </rPr>
      <t xml:space="preserve"> Calf + Cull Cow &amp; Bull Income)</t>
    </r>
  </si>
  <si>
    <t>*Total at target ROA plus interest cost.</t>
  </si>
  <si>
    <t>**Total at target ROA.</t>
  </si>
  <si>
    <t>Net Income (Gross Income Minus TUC) - Profit**</t>
  </si>
  <si>
    <r>
      <t xml:space="preserve">Depreciation </t>
    </r>
    <r>
      <rPr>
        <sz val="11"/>
        <rFont val="Arial"/>
        <family val="2"/>
      </rPr>
      <t>(see calculations below)</t>
    </r>
  </si>
  <si>
    <t>Calf Premium Offered by Buyer</t>
  </si>
  <si>
    <t>Bull Culling Rate</t>
  </si>
  <si>
    <t>Salvage Value $/Head</t>
  </si>
  <si>
    <t>Cull Cow &amp; Bull Revenue/BCU</t>
  </si>
  <si>
    <t xml:space="preserve">       Value</t>
  </si>
  <si>
    <r>
      <t xml:space="preserve">  Breeding Cow -</t>
    </r>
    <r>
      <rPr>
        <sz val="11"/>
        <rFont val="Arial"/>
        <family val="2"/>
      </rPr>
      <t>(raised and purchased depreciated)</t>
    </r>
  </si>
  <si>
    <t>Raised replacement cost is capitalized and depreciated as if purchased.</t>
  </si>
  <si>
    <t>Net Salvage Value $/Head</t>
  </si>
  <si>
    <t>Fuel and Lube</t>
  </si>
  <si>
    <t>Subtotal Other Direct Costs</t>
  </si>
  <si>
    <t>Repair &amp; Maintenance of Vehicle, Machinery &amp; Equipment</t>
  </si>
  <si>
    <t xml:space="preserve">Hired Labor </t>
  </si>
  <si>
    <t>Owner Labor &amp; Management</t>
  </si>
  <si>
    <t>User Defined Lease Units</t>
  </si>
  <si>
    <t>Grazing Land &amp; Feed Costs</t>
  </si>
  <si>
    <t>Feed</t>
  </si>
  <si>
    <t>Total Unit Cost (TUC)</t>
  </si>
  <si>
    <t>Annual manager compensation</t>
  </si>
  <si>
    <t>Bull Replacement Rate</t>
  </si>
  <si>
    <t>________________________________________________________________________________________________</t>
  </si>
  <si>
    <t>Based live culling rate net of death loss</t>
  </si>
  <si>
    <t>Net Cull Bull Income*</t>
  </si>
  <si>
    <t>Cow Herd Replacement Rate</t>
  </si>
  <si>
    <t xml:space="preserve">Cull Cow Income* </t>
  </si>
  <si>
    <t>Bull Depreciation per Head</t>
  </si>
  <si>
    <t>Cull Bull Income $/hd.**</t>
  </si>
  <si>
    <t>** Based on replacement rate.</t>
  </si>
  <si>
    <t xml:space="preserve">*Adjusted for death loss. </t>
  </si>
  <si>
    <t>Cull Bull/Exposed Female</t>
  </si>
  <si>
    <t>Total Depreciation of Cows and Bull per BCU</t>
  </si>
  <si>
    <t>Replacement is based on culling rate and death loss.</t>
  </si>
  <si>
    <t>Average Cow Investment</t>
  </si>
  <si>
    <t>Cows and replacements valued the same.</t>
  </si>
  <si>
    <t>Cows per bull</t>
  </si>
  <si>
    <t>See calculations in sheet 1.</t>
  </si>
  <si>
    <t>Average Breeding Stock Investment per BCU</t>
  </si>
  <si>
    <t>Repl. Productive Life</t>
  </si>
  <si>
    <t>Cow Depreciation - $/BCU</t>
  </si>
  <si>
    <t xml:space="preserve">  Revenue</t>
  </si>
  <si>
    <t xml:space="preserve"> $/Per BCU</t>
  </si>
  <si>
    <t>Average Bull Investment $/Head &amp; BCU</t>
  </si>
  <si>
    <t xml:space="preserve">      $/Per Head</t>
  </si>
  <si>
    <t>Total Unit Cost - (TUC) per $/BCU</t>
  </si>
  <si>
    <t>See sheet 2.</t>
  </si>
  <si>
    <t>Net depreciation costs include the adjustment for the salvage value of culls.</t>
  </si>
  <si>
    <t>________________________________________________________________________________________________________________</t>
  </si>
  <si>
    <t>See sheet 2 for total assets.</t>
  </si>
  <si>
    <t xml:space="preserve">Cull </t>
  </si>
  <si>
    <t>____________________________________________________________________________________________________________________________________</t>
  </si>
  <si>
    <t>Wt./BCU</t>
  </si>
  <si>
    <t>Change in Revenue to Reach Target ROA</t>
  </si>
  <si>
    <t xml:space="preserve"> Necessary Change in Steer Price </t>
  </si>
  <si>
    <t xml:space="preserve"> Necessary Change in Heifer Price </t>
  </si>
  <si>
    <t>Steer Price to Reach Target (ROA)</t>
  </si>
  <si>
    <t>Heifer Price to Reach Target (ROA)</t>
  </si>
  <si>
    <t>Error</t>
  </si>
  <si>
    <t>Pricing Steer and Heifer Calves and Necessary Price to Cover Total Unit Cost (TUC)</t>
  </si>
  <si>
    <t>Calf Rev.</t>
  </si>
  <si>
    <t>Pricing Steer and Heifer Calves With Target ROA and Maintain Steer - Heifer Price Difference</t>
  </si>
  <si>
    <t>Steer Price to Reach Target (ROA) - $/Cwt.</t>
  </si>
  <si>
    <t>Heifer Price to Reach Target (ROA) - $/Cwt.</t>
  </si>
  <si>
    <t xml:space="preserve"> Necessary Steer Price To Cover TUC</t>
  </si>
  <si>
    <t>Target ROA</t>
  </si>
  <si>
    <t>ROA=0</t>
  </si>
  <si>
    <t>Average Price Before Premium</t>
  </si>
  <si>
    <t>Cost to Cover</t>
  </si>
  <si>
    <t>Total Revenue to Meet Target ROA</t>
  </si>
  <si>
    <t>Price Difference Steers Versus Heifers</t>
  </si>
  <si>
    <t>*Included premium per weaned calf per head.</t>
  </si>
  <si>
    <t>Weaning Per Exposed Female -Lb. and Values*</t>
  </si>
  <si>
    <t xml:space="preserve"> $/Cwt. Net</t>
  </si>
  <si>
    <t>Production, Revenue and Price Including Premium*</t>
  </si>
  <si>
    <t>Calculated ROA</t>
  </si>
  <si>
    <t xml:space="preserve"> From sheet 1.</t>
  </si>
  <si>
    <t>Return to Total Assets + Interest at Target (ROA)*</t>
  </si>
  <si>
    <t>Recorded Values in Sheet 1.</t>
  </si>
  <si>
    <t>Zero ROA is breakeven or revenue equals TUC!</t>
  </si>
  <si>
    <t>Calculated -ROA</t>
  </si>
  <si>
    <t>Calf Price</t>
  </si>
  <si>
    <t>ROA and Calf Price Summary</t>
  </si>
  <si>
    <t>TUC after cull revenue and premium for calves.</t>
  </si>
  <si>
    <t xml:space="preserve">  Owned Grazing Land =1, Leased Land =2</t>
  </si>
  <si>
    <t>Zero ROA covers TUC or is a TUC breakeven!</t>
  </si>
  <si>
    <t>Is the premium adequate to offset additional costs to justify participation?</t>
  </si>
  <si>
    <t>Calf Price With Premium  Meet Target ROA</t>
  </si>
  <si>
    <t>With premium the average net of price of both heifers and steers. Replacements heifers valued as if sold.</t>
  </si>
  <si>
    <t>Owned Land - maintenance &amp; Tax</t>
  </si>
  <si>
    <t>This decision aids is based on purchasing replacements and calculating depreciation on purchased females.</t>
  </si>
  <si>
    <t>Calculating Cost of Vehicle, Machinery and Equipment at Replacement Cost</t>
  </si>
  <si>
    <t>Replacement</t>
  </si>
  <si>
    <t xml:space="preserve">Useful </t>
  </si>
  <si>
    <t xml:space="preserve">Salvage </t>
  </si>
  <si>
    <t>Average</t>
  </si>
  <si>
    <t>Repairs %</t>
  </si>
  <si>
    <t>Annual</t>
  </si>
  <si>
    <t>Cost</t>
  </si>
  <si>
    <t>Life</t>
  </si>
  <si>
    <t>Value %</t>
  </si>
  <si>
    <t xml:space="preserve">Annual </t>
  </si>
  <si>
    <t>Investment</t>
  </si>
  <si>
    <t xml:space="preserve">   of Cost</t>
  </si>
  <si>
    <t xml:space="preserve">Repairs* </t>
  </si>
  <si>
    <t>Pickups (2)</t>
  </si>
  <si>
    <t>Trailers (2)</t>
  </si>
  <si>
    <t>Tractor</t>
  </si>
  <si>
    <t>Feeders</t>
  </si>
  <si>
    <t>Cattle equipment</t>
  </si>
  <si>
    <t>Totals</t>
  </si>
  <si>
    <t>Investment at Replacement Cost and Ownership and Repair Cost Allocated to Cow-Calf</t>
  </si>
  <si>
    <t>Percent To</t>
  </si>
  <si>
    <t>Allocated</t>
  </si>
  <si>
    <t>To Cow-Calf</t>
  </si>
  <si>
    <t>Total Costs Ownership &amp; Repairs to Cow-Calf</t>
  </si>
  <si>
    <t>Per BCU</t>
  </si>
  <si>
    <t>____________________________________</t>
  </si>
  <si>
    <t xml:space="preserve">  Vehicles, Machinery &amp; Equipment (see sheet 3.)</t>
  </si>
  <si>
    <t>Repairs</t>
  </si>
  <si>
    <t>For budgeting straight line depreciation is used. For financial statements the base value method is used for raised breeding stock.</t>
  </si>
  <si>
    <t>((Cost Salvage Value)/2)</t>
  </si>
  <si>
    <t xml:space="preserve">Per month </t>
  </si>
  <si>
    <t>Can also be viewed as family living withdrawals.</t>
  </si>
  <si>
    <t>BCU</t>
  </si>
  <si>
    <t>*Repairs and maintenance cost as % of initial cost. Fuel and oil input in main budget.</t>
  </si>
  <si>
    <t>Herd Totals</t>
  </si>
  <si>
    <t xml:space="preserve">               BCU</t>
  </si>
  <si>
    <r>
      <t>Vehicles, Machinery &amp; Equipment Investment  (S</t>
    </r>
    <r>
      <rPr>
        <sz val="10"/>
        <rFont val="Arial"/>
        <family val="2"/>
      </rPr>
      <t>heet 4.)</t>
    </r>
  </si>
  <si>
    <t>Investment Replacement Cost (Depreciation) and Ownership and Repair Cost</t>
  </si>
  <si>
    <t xml:space="preserve">     Weaning %</t>
  </si>
  <si>
    <t>Vaccination &amp; Precondition Calves</t>
  </si>
  <si>
    <t>Cow-Calf in Rolling Plains TX - Precondition Calves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</si>
</sst>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;[Red]#,##0"/>
    <numFmt numFmtId="165" formatCode="#,##0.0;[Red]#,##0.0"/>
    <numFmt numFmtId="166" formatCode="&quot;$&quot;#,##0.00"/>
    <numFmt numFmtId="167" formatCode="&quot;$&quot;#,##0"/>
    <numFmt numFmtId="168" formatCode="0.0%"/>
    <numFmt numFmtId="169" formatCode="0.0"/>
    <numFmt numFmtId="170" formatCode="[$-409]d\-mmm\-yy;@"/>
    <numFmt numFmtId="171" formatCode="&quot;$&quot;#,##0.000_);\(&quot;$&quot;#,##0.000\)"/>
    <numFmt numFmtId="172" formatCode="&quot;$&quot;#,##0.0000_);\(&quot;$&quot;#,##0.0000\)"/>
  </numFmts>
  <fonts count="27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color indexed="3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33CC"/>
      <name val="Arial"/>
      <family val="2"/>
    </font>
    <font>
      <b/>
      <sz val="11"/>
      <name val="Arial"/>
      <family val="2"/>
    </font>
    <font>
      <sz val="12"/>
      <color indexed="39"/>
      <name val="Arial"/>
      <family val="2"/>
    </font>
    <font>
      <b/>
      <sz val="12"/>
      <color rgb="FF0033CC"/>
      <name val="Arial"/>
      <family val="2"/>
    </font>
    <font>
      <b/>
      <sz val="12"/>
      <color indexed="39"/>
      <name val="Arial"/>
      <family val="2"/>
    </font>
    <font>
      <sz val="10"/>
      <color rgb="FF0033CC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33CC"/>
      <name val="Arial"/>
      <family val="2"/>
    </font>
    <font>
      <u/>
      <sz val="12"/>
      <color theme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u/>
      <sz val="8"/>
      <color theme="10"/>
      <name val="Arial"/>
      <family val="2"/>
    </font>
    <font>
      <u/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2" fontId="1" fillId="3" borderId="0"/>
    <xf numFmtId="0" fontId="20" fillId="0" borderId="0" applyNumberFormat="0" applyFill="0" applyBorder="0" applyAlignment="0" applyProtection="0"/>
  </cellStyleXfs>
  <cellXfs count="235">
    <xf numFmtId="0" fontId="0" fillId="0" borderId="0" xfId="0"/>
    <xf numFmtId="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/>
    <xf numFmtId="9" fontId="4" fillId="0" borderId="0" xfId="1" applyFont="1"/>
    <xf numFmtId="0" fontId="4" fillId="0" borderId="0" xfId="0" applyFont="1"/>
    <xf numFmtId="1" fontId="3" fillId="0" borderId="0" xfId="0" applyNumberFormat="1" applyFont="1" applyProtection="1">
      <protection locked="0"/>
    </xf>
    <xf numFmtId="6" fontId="4" fillId="0" borderId="0" xfId="0" applyNumberFormat="1" applyFont="1" applyProtection="1"/>
    <xf numFmtId="0" fontId="4" fillId="0" borderId="0" xfId="0" applyFont="1" applyProtection="1">
      <protection locked="0"/>
    </xf>
    <xf numFmtId="6" fontId="8" fillId="0" borderId="0" xfId="0" applyNumberFormat="1" applyFont="1"/>
    <xf numFmtId="0" fontId="8" fillId="0" borderId="0" xfId="0" applyFont="1"/>
    <xf numFmtId="0" fontId="7" fillId="0" borderId="0" xfId="0" applyFont="1"/>
    <xf numFmtId="164" fontId="3" fillId="0" borderId="0" xfId="0" applyNumberFormat="1" applyFont="1"/>
    <xf numFmtId="8" fontId="0" fillId="0" borderId="0" xfId="0" applyNumberFormat="1"/>
    <xf numFmtId="8" fontId="9" fillId="0" borderId="0" xfId="0" applyNumberFormat="1" applyFont="1"/>
    <xf numFmtId="6" fontId="4" fillId="0" borderId="0" xfId="0" applyNumberFormat="1" applyFont="1"/>
    <xf numFmtId="6" fontId="7" fillId="0" borderId="0" xfId="0" applyNumberFormat="1" applyFont="1"/>
    <xf numFmtId="0" fontId="10" fillId="0" borderId="0" xfId="0" applyFont="1"/>
    <xf numFmtId="9" fontId="8" fillId="0" borderId="0" xfId="1" applyFont="1"/>
    <xf numFmtId="166" fontId="8" fillId="0" borderId="0" xfId="0" applyNumberFormat="1" applyFont="1"/>
    <xf numFmtId="166" fontId="0" fillId="0" borderId="0" xfId="0" applyNumberFormat="1"/>
    <xf numFmtId="8" fontId="8" fillId="0" borderId="0" xfId="0" applyNumberFormat="1" applyFont="1"/>
    <xf numFmtId="6" fontId="0" fillId="0" borderId="0" xfId="0" applyNumberFormat="1"/>
    <xf numFmtId="165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9" fontId="8" fillId="0" borderId="0" xfId="1" applyFont="1" applyProtection="1">
      <protection locked="0"/>
    </xf>
    <xf numFmtId="0" fontId="8" fillId="0" borderId="0" xfId="0" applyFont="1" applyProtection="1"/>
    <xf numFmtId="167" fontId="0" fillId="0" borderId="0" xfId="0" applyNumberFormat="1"/>
    <xf numFmtId="167" fontId="8" fillId="0" borderId="0" xfId="0" applyNumberFormat="1" applyFont="1"/>
    <xf numFmtId="0" fontId="10" fillId="0" borderId="0" xfId="0" applyFont="1" applyAlignment="1">
      <alignment horizontal="center"/>
    </xf>
    <xf numFmtId="0" fontId="8" fillId="2" borderId="0" xfId="0" applyFont="1" applyFill="1"/>
    <xf numFmtId="1" fontId="8" fillId="0" borderId="0" xfId="0" applyNumberFormat="1" applyFont="1"/>
    <xf numFmtId="0" fontId="8" fillId="0" borderId="0" xfId="0" applyFont="1" applyProtection="1">
      <protection locked="0"/>
    </xf>
    <xf numFmtId="0" fontId="12" fillId="0" borderId="0" xfId="0" applyFont="1" applyAlignment="1">
      <alignment horizontal="center"/>
    </xf>
    <xf numFmtId="6" fontId="8" fillId="0" borderId="0" xfId="0" applyNumberFormat="1" applyFont="1" applyProtection="1"/>
    <xf numFmtId="9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Protection="1">
      <protection locked="0"/>
    </xf>
    <xf numFmtId="8" fontId="4" fillId="0" borderId="0" xfId="0" applyNumberFormat="1" applyFont="1"/>
    <xf numFmtId="40" fontId="8" fillId="0" borderId="0" xfId="0" applyNumberFormat="1" applyFont="1"/>
    <xf numFmtId="9" fontId="4" fillId="0" borderId="0" xfId="0" applyNumberFormat="1" applyFont="1"/>
    <xf numFmtId="10" fontId="4" fillId="0" borderId="0" xfId="1" applyNumberFormat="1" applyFont="1"/>
    <xf numFmtId="6" fontId="8" fillId="2" borderId="0" xfId="0" applyNumberFormat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11" fillId="0" borderId="0" xfId="0" applyFont="1" applyProtection="1">
      <protection locked="0"/>
    </xf>
    <xf numFmtId="6" fontId="4" fillId="0" borderId="0" xfId="0" applyNumberFormat="1" applyFont="1" applyProtection="1">
      <protection locked="0"/>
    </xf>
    <xf numFmtId="1" fontId="11" fillId="0" borderId="0" xfId="0" applyNumberFormat="1" applyFont="1" applyProtection="1">
      <protection locked="0"/>
    </xf>
    <xf numFmtId="6" fontId="11" fillId="0" borderId="0" xfId="0" applyNumberFormat="1" applyFont="1" applyProtection="1">
      <protection locked="0"/>
    </xf>
    <xf numFmtId="169" fontId="11" fillId="0" borderId="0" xfId="0" applyNumberFormat="1" applyFont="1" applyProtection="1">
      <protection locked="0"/>
    </xf>
    <xf numFmtId="8" fontId="11" fillId="0" borderId="0" xfId="0" applyNumberFormat="1" applyFont="1" applyProtection="1">
      <protection locked="0"/>
    </xf>
    <xf numFmtId="0" fontId="14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Protection="1"/>
    <xf numFmtId="164" fontId="8" fillId="0" borderId="0" xfId="0" applyNumberFormat="1" applyFont="1" applyProtection="1"/>
    <xf numFmtId="165" fontId="1" fillId="0" borderId="0" xfId="0" applyNumberFormat="1" applyFont="1" applyProtection="1"/>
    <xf numFmtId="6" fontId="1" fillId="0" borderId="0" xfId="0" applyNumberFormat="1" applyFont="1" applyProtection="1"/>
    <xf numFmtId="164" fontId="8" fillId="0" borderId="0" xfId="0" applyNumberFormat="1" applyFont="1"/>
    <xf numFmtId="0" fontId="0" fillId="0" borderId="0" xfId="0" applyBorder="1" applyAlignment="1" applyProtection="1"/>
    <xf numFmtId="9" fontId="1" fillId="0" borderId="0" xfId="1" applyFont="1" applyProtection="1"/>
    <xf numFmtId="9" fontId="7" fillId="0" borderId="0" xfId="1" applyFont="1"/>
    <xf numFmtId="167" fontId="8" fillId="0" borderId="0" xfId="0" applyNumberFormat="1" applyFont="1" applyProtection="1"/>
    <xf numFmtId="40" fontId="1" fillId="0" borderId="0" xfId="0" applyNumberFormat="1" applyFont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4" xfId="0" applyNumberFormat="1" applyFont="1" applyBorder="1" applyProtection="1">
      <protection locked="0"/>
    </xf>
    <xf numFmtId="10" fontId="7" fillId="0" borderId="0" xfId="1" applyNumberFormat="1" applyFont="1"/>
    <xf numFmtId="1" fontId="3" fillId="0" borderId="0" xfId="0" applyNumberFormat="1" applyFont="1" applyBorder="1" applyProtection="1">
      <protection locked="0"/>
    </xf>
    <xf numFmtId="0" fontId="12" fillId="0" borderId="0" xfId="0" applyFont="1"/>
    <xf numFmtId="167" fontId="1" fillId="0" borderId="0" xfId="0" applyNumberFormat="1" applyFont="1" applyBorder="1" applyProtection="1"/>
    <xf numFmtId="9" fontId="0" fillId="0" borderId="0" xfId="1" applyNumberFormat="1" applyFont="1"/>
    <xf numFmtId="1" fontId="15" fillId="0" borderId="0" xfId="0" applyNumberFormat="1" applyFont="1" applyBorder="1" applyProtection="1">
      <protection locked="0"/>
    </xf>
    <xf numFmtId="6" fontId="3" fillId="0" borderId="5" xfId="0" applyNumberFormat="1" applyFont="1" applyBorder="1" applyProtection="1">
      <protection locked="0"/>
    </xf>
    <xf numFmtId="6" fontId="1" fillId="0" borderId="0" xfId="0" applyNumberFormat="1" applyFont="1"/>
    <xf numFmtId="0" fontId="12" fillId="0" borderId="0" xfId="0" applyFont="1" applyFill="1"/>
    <xf numFmtId="10" fontId="8" fillId="0" borderId="0" xfId="0" applyNumberFormat="1" applyFont="1"/>
    <xf numFmtId="168" fontId="8" fillId="0" borderId="0" xfId="1" applyNumberFormat="1" applyFont="1"/>
    <xf numFmtId="166" fontId="8" fillId="0" borderId="0" xfId="1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7" fontId="8" fillId="2" borderId="0" xfId="0" applyNumberFormat="1" applyFont="1" applyFill="1" applyBorder="1" applyProtection="1">
      <protection locked="0"/>
    </xf>
    <xf numFmtId="10" fontId="8" fillId="2" borderId="0" xfId="1" applyNumberFormat="1" applyFont="1" applyFill="1"/>
    <xf numFmtId="6" fontId="8" fillId="2" borderId="0" xfId="0" applyNumberFormat="1" applyFont="1" applyFill="1" applyProtection="1"/>
    <xf numFmtId="0" fontId="7" fillId="2" borderId="0" xfId="0" applyFont="1" applyFill="1"/>
    <xf numFmtId="167" fontId="4" fillId="0" borderId="0" xfId="0" applyNumberFormat="1" applyFont="1"/>
    <xf numFmtId="167" fontId="7" fillId="0" borderId="0" xfId="0" applyNumberFormat="1" applyFont="1"/>
    <xf numFmtId="0" fontId="12" fillId="2" borderId="0" xfId="0" applyFont="1" applyFill="1"/>
    <xf numFmtId="9" fontId="8" fillId="0" borderId="0" xfId="0" applyNumberFormat="1" applyFont="1"/>
    <xf numFmtId="6" fontId="1" fillId="0" borderId="0" xfId="0" applyNumberFormat="1" applyFont="1" applyAlignment="1">
      <alignment horizontal="right"/>
    </xf>
    <xf numFmtId="9" fontId="1" fillId="0" borderId="0" xfId="1" applyFont="1"/>
    <xf numFmtId="168" fontId="1" fillId="0" borderId="0" xfId="1" applyNumberFormat="1" applyFont="1"/>
    <xf numFmtId="0" fontId="4" fillId="0" borderId="0" xfId="0" applyFont="1" applyBorder="1"/>
    <xf numFmtId="0" fontId="0" fillId="0" borderId="6" xfId="0" applyBorder="1"/>
    <xf numFmtId="0" fontId="7" fillId="0" borderId="6" xfId="0" applyFont="1" applyBorder="1"/>
    <xf numFmtId="1" fontId="3" fillId="0" borderId="5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8" fillId="2" borderId="0" xfId="0" applyFont="1" applyFill="1" applyProtection="1"/>
    <xf numFmtId="9" fontId="8" fillId="2" borderId="0" xfId="1" applyFont="1" applyFill="1"/>
    <xf numFmtId="0" fontId="8" fillId="2" borderId="0" xfId="0" applyFont="1" applyFill="1" applyProtection="1">
      <protection locked="0"/>
    </xf>
    <xf numFmtId="9" fontId="8" fillId="0" borderId="0" xfId="1" applyNumberFormat="1" applyFont="1"/>
    <xf numFmtId="0" fontId="0" fillId="0" borderId="2" xfId="0" applyBorder="1" applyAlignment="1" applyProtection="1">
      <protection locked="0"/>
    </xf>
    <xf numFmtId="2" fontId="0" fillId="0" borderId="0" xfId="0" applyNumberFormat="1"/>
    <xf numFmtId="0" fontId="1" fillId="0" borderId="0" xfId="0" applyFont="1" applyFill="1" applyBorder="1"/>
    <xf numFmtId="7" fontId="0" fillId="0" borderId="0" xfId="0" applyNumberFormat="1"/>
    <xf numFmtId="2" fontId="1" fillId="0" borderId="0" xfId="2" applyNumberFormat="1" applyFont="1" applyFill="1" applyProtection="1"/>
    <xf numFmtId="0" fontId="8" fillId="0" borderId="0" xfId="0" applyFont="1" applyFill="1"/>
    <xf numFmtId="164" fontId="8" fillId="0" borderId="0" xfId="0" applyNumberFormat="1" applyFont="1" applyFill="1" applyProtection="1"/>
    <xf numFmtId="6" fontId="8" fillId="0" borderId="0" xfId="0" applyNumberFormat="1" applyFont="1" applyFill="1"/>
    <xf numFmtId="6" fontId="0" fillId="0" borderId="0" xfId="0" applyNumberFormat="1" applyFill="1"/>
    <xf numFmtId="0" fontId="1" fillId="0" borderId="2" xfId="0" applyFont="1" applyBorder="1" applyAlignment="1" applyProtection="1">
      <protection locked="0"/>
    </xf>
    <xf numFmtId="170" fontId="3" fillId="0" borderId="5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167" fontId="8" fillId="0" borderId="0" xfId="0" applyNumberFormat="1" applyFont="1" applyFill="1"/>
    <xf numFmtId="0" fontId="8" fillId="0" borderId="0" xfId="0" applyFont="1" applyBorder="1" applyAlignment="1" applyProtection="1">
      <alignment horizontal="center"/>
    </xf>
    <xf numFmtId="167" fontId="8" fillId="0" borderId="0" xfId="0" applyNumberFormat="1" applyFont="1" applyAlignment="1">
      <alignment horizontal="center"/>
    </xf>
    <xf numFmtId="169" fontId="14" fillId="0" borderId="0" xfId="1" applyNumberFormat="1" applyFont="1" applyBorder="1" applyProtection="1">
      <protection locked="0"/>
    </xf>
    <xf numFmtId="9" fontId="1" fillId="0" borderId="0" xfId="1" applyNumberFormat="1" applyFont="1" applyProtection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8" fontId="8" fillId="0" borderId="0" xfId="0" applyNumberFormat="1" applyFont="1" applyFill="1"/>
    <xf numFmtId="9" fontId="8" fillId="0" borderId="0" xfId="1" applyFont="1" applyProtection="1"/>
    <xf numFmtId="0" fontId="8" fillId="2" borderId="0" xfId="0" applyFont="1" applyFill="1" applyAlignment="1">
      <alignment horizontal="left"/>
    </xf>
    <xf numFmtId="167" fontId="8" fillId="2" borderId="0" xfId="0" applyNumberFormat="1" applyFont="1" applyFill="1"/>
    <xf numFmtId="169" fontId="1" fillId="0" borderId="0" xfId="1" applyNumberFormat="1" applyFont="1"/>
    <xf numFmtId="0" fontId="9" fillId="0" borderId="0" xfId="0" applyFont="1" applyAlignment="1">
      <alignment horizontal="left"/>
    </xf>
    <xf numFmtId="164" fontId="0" fillId="0" borderId="0" xfId="0" applyNumberFormat="1"/>
    <xf numFmtId="1" fontId="0" fillId="0" borderId="0" xfId="0" applyNumberFormat="1" applyProtection="1"/>
    <xf numFmtId="6" fontId="0" fillId="0" borderId="0" xfId="0" applyNumberFormat="1" applyProtection="1"/>
    <xf numFmtId="0" fontId="0" fillId="0" borderId="0" xfId="0" applyProtection="1"/>
    <xf numFmtId="0" fontId="17" fillId="0" borderId="0" xfId="0" applyFont="1"/>
    <xf numFmtId="2" fontId="17" fillId="0" borderId="0" xfId="2" applyNumberFormat="1" applyFont="1" applyFill="1" applyProtection="1"/>
    <xf numFmtId="171" fontId="0" fillId="0" borderId="0" xfId="0" applyNumberFormat="1"/>
    <xf numFmtId="7" fontId="8" fillId="0" borderId="0" xfId="0" applyNumberFormat="1" applyFont="1"/>
    <xf numFmtId="7" fontId="1" fillId="0" borderId="0" xfId="2" applyNumberFormat="1" applyFont="1" applyFill="1" applyProtection="1"/>
    <xf numFmtId="8" fontId="1" fillId="0" borderId="0" xfId="0" applyNumberFormat="1" applyFont="1" applyProtection="1">
      <protection locked="0"/>
    </xf>
    <xf numFmtId="8" fontId="1" fillId="0" borderId="0" xfId="0" applyNumberFormat="1" applyFont="1" applyProtection="1"/>
    <xf numFmtId="172" fontId="0" fillId="0" borderId="0" xfId="0" applyNumberFormat="1"/>
    <xf numFmtId="171" fontId="1" fillId="0" borderId="0" xfId="2" applyNumberFormat="1" applyFont="1" applyFill="1" applyProtection="1"/>
    <xf numFmtId="6" fontId="17" fillId="0" borderId="0" xfId="0" applyNumberFormat="1" applyFont="1"/>
    <xf numFmtId="0" fontId="7" fillId="0" borderId="0" xfId="0" applyFont="1" applyFill="1"/>
    <xf numFmtId="9" fontId="8" fillId="0" borderId="0" xfId="0" applyNumberFormat="1" applyFont="1" applyFill="1"/>
    <xf numFmtId="2" fontId="8" fillId="0" borderId="0" xfId="2" applyNumberFormat="1" applyFont="1" applyFill="1" applyProtection="1"/>
    <xf numFmtId="8" fontId="18" fillId="0" borderId="0" xfId="0" applyNumberFormat="1" applyFont="1" applyFill="1"/>
    <xf numFmtId="8" fontId="8" fillId="2" borderId="0" xfId="0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6" fontId="1" fillId="0" borderId="0" xfId="0" applyNumberFormat="1" applyFont="1" applyBorder="1" applyProtection="1"/>
    <xf numFmtId="164" fontId="8" fillId="0" borderId="0" xfId="0" applyNumberFormat="1" applyFont="1" applyProtection="1">
      <protection locked="0"/>
    </xf>
    <xf numFmtId="8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8" fillId="0" borderId="0" xfId="0" applyNumberFormat="1" applyFont="1" applyAlignment="1" applyProtection="1">
      <alignment horizontal="right"/>
      <protection locked="0"/>
    </xf>
    <xf numFmtId="2" fontId="8" fillId="2" borderId="0" xfId="2" applyNumberFormat="1" applyFont="1" applyFill="1" applyProtection="1"/>
    <xf numFmtId="0" fontId="1" fillId="2" borderId="0" xfId="0" applyFont="1" applyFill="1"/>
    <xf numFmtId="7" fontId="8" fillId="2" borderId="0" xfId="0" applyNumberFormat="1" applyFont="1" applyFill="1"/>
    <xf numFmtId="168" fontId="8" fillId="2" borderId="0" xfId="1" applyNumberFormat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0" fontId="1" fillId="0" borderId="0" xfId="0" applyNumberFormat="1" applyFont="1" applyBorder="1" applyProtection="1"/>
    <xf numFmtId="170" fontId="7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 applyProtection="1"/>
    <xf numFmtId="8" fontId="1" fillId="0" borderId="0" xfId="0" applyNumberFormat="1" applyFont="1" applyFill="1"/>
    <xf numFmtId="8" fontId="1" fillId="0" borderId="0" xfId="0" applyNumberFormat="1" applyFont="1"/>
    <xf numFmtId="9" fontId="1" fillId="0" borderId="0" xfId="1" applyFont="1" applyProtection="1">
      <protection locked="0"/>
    </xf>
    <xf numFmtId="168" fontId="8" fillId="2" borderId="0" xfId="0" applyNumberFormat="1" applyFont="1" applyFill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1" applyNumberFormat="1" applyFont="1" applyAlignment="1" applyProtection="1">
      <alignment horizontal="right"/>
      <protection locked="0"/>
    </xf>
    <xf numFmtId="168" fontId="8" fillId="0" borderId="0" xfId="0" applyNumberFormat="1" applyFont="1"/>
    <xf numFmtId="6" fontId="1" fillId="0" borderId="0" xfId="2" applyNumberFormat="1" applyFont="1" applyFill="1" applyProtection="1"/>
    <xf numFmtId="168" fontId="0" fillId="0" borderId="0" xfId="0" applyNumberFormat="1"/>
    <xf numFmtId="8" fontId="1" fillId="0" borderId="0" xfId="2" applyNumberFormat="1" applyFont="1" applyFill="1" applyProtection="1"/>
    <xf numFmtId="7" fontId="8" fillId="2" borderId="0" xfId="2" applyNumberFormat="1" applyFont="1" applyFill="1" applyProtection="1"/>
    <xf numFmtId="8" fontId="3" fillId="0" borderId="0" xfId="0" applyNumberFormat="1" applyFont="1" applyProtection="1">
      <protection locked="0"/>
    </xf>
    <xf numFmtId="40" fontId="10" fillId="0" borderId="0" xfId="0" applyNumberFormat="1" applyFont="1"/>
    <xf numFmtId="164" fontId="1" fillId="0" borderId="0" xfId="0" applyNumberFormat="1" applyFont="1"/>
    <xf numFmtId="8" fontId="10" fillId="0" borderId="0" xfId="0" applyNumberFormat="1" applyFont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6" fillId="0" borderId="0" xfId="0" applyFont="1" applyFill="1"/>
    <xf numFmtId="6" fontId="22" fillId="0" borderId="0" xfId="0" applyNumberFormat="1" applyFont="1" applyFill="1" applyProtection="1">
      <protection locked="0"/>
    </xf>
    <xf numFmtId="0" fontId="23" fillId="0" borderId="0" xfId="0" applyFont="1" applyFill="1" applyProtection="1">
      <protection locked="0"/>
    </xf>
    <xf numFmtId="6" fontId="9" fillId="0" borderId="0" xfId="0" applyNumberFormat="1" applyFont="1" applyFill="1"/>
    <xf numFmtId="0" fontId="16" fillId="0" borderId="0" xfId="0" applyFont="1" applyFill="1" applyProtection="1">
      <protection locked="0"/>
    </xf>
    <xf numFmtId="6" fontId="21" fillId="0" borderId="0" xfId="0" applyNumberFormat="1" applyFont="1" applyFill="1"/>
    <xf numFmtId="0" fontId="9" fillId="0" borderId="0" xfId="0" applyFont="1" applyFill="1"/>
    <xf numFmtId="0" fontId="0" fillId="0" borderId="0" xfId="0" applyNumberFormat="1" applyFill="1"/>
    <xf numFmtId="0" fontId="3" fillId="0" borderId="0" xfId="0" applyFont="1" applyFill="1"/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8" fillId="0" borderId="0" xfId="0" applyNumberFormat="1" applyFont="1" applyProtection="1">
      <protection locked="0"/>
    </xf>
    <xf numFmtId="6" fontId="12" fillId="0" borderId="0" xfId="0" applyNumberFormat="1" applyFont="1" applyFill="1"/>
    <xf numFmtId="8" fontId="0" fillId="0" borderId="0" xfId="0" applyNumberFormat="1" applyFill="1"/>
    <xf numFmtId="0" fontId="6" fillId="0" borderId="0" xfId="0" applyFont="1" applyAlignment="1">
      <alignment horizontal="center"/>
    </xf>
    <xf numFmtId="0" fontId="25" fillId="0" borderId="0" xfId="3" applyFont="1" applyBorder="1" applyAlignment="1">
      <alignment vertical="center"/>
    </xf>
    <xf numFmtId="0" fontId="0" fillId="0" borderId="0" xfId="0" applyBorder="1"/>
    <xf numFmtId="0" fontId="24" fillId="0" borderId="0" xfId="3" applyFont="1" applyBorder="1" applyAlignment="1">
      <alignment vertical="center"/>
    </xf>
    <xf numFmtId="0" fontId="26" fillId="0" borderId="0" xfId="3" applyFont="1" applyAlignment="1">
      <alignment vertical="center"/>
    </xf>
    <xf numFmtId="9" fontId="1" fillId="0" borderId="0" xfId="1" applyFont="1" applyBorder="1" applyProtection="1"/>
    <xf numFmtId="167" fontId="10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6" fontId="12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1" fillId="0" borderId="7" xfId="0" applyFont="1" applyBorder="1" applyAlignment="1">
      <alignment horizontal="left"/>
    </xf>
    <xf numFmtId="0" fontId="19" fillId="0" borderId="1" xfId="0" applyFont="1" applyBorder="1" applyAlignment="1" applyProtection="1">
      <protection locked="0"/>
    </xf>
    <xf numFmtId="0" fontId="10" fillId="0" borderId="2" xfId="0" applyFont="1" applyBorder="1" applyAlignment="1"/>
    <xf numFmtId="0" fontId="10" fillId="0" borderId="3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/>
    <xf numFmtId="0" fontId="0" fillId="0" borderId="0" xfId="0" applyAlignment="1"/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</cellXfs>
  <cellStyles count="4">
    <cellStyle name="Hyperlink" xfId="3" builtinId="8"/>
    <cellStyle name="Normal" xfId="0" builtinId="0"/>
    <cellStyle name="Normal_Cow Calf Budget" xfId="2" xr:uid="{00000000-0005-0000-0000-000002000000}"/>
    <cellStyle name="Percent" xfId="1" builtinId="5"/>
  </cellStyles>
  <dxfs count="0"/>
  <tableStyles count="0" defaultTableStyle="TableStyleMedium9" defaultPivotStyle="PivotStyleLight16"/>
  <colors>
    <mruColors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21771</xdr:colOff>
      <xdr:row>1</xdr:row>
      <xdr:rowOff>5444</xdr:rowOff>
    </xdr:from>
    <xdr:to>
      <xdr:col>11</xdr:col>
      <xdr:colOff>140424</xdr:colOff>
      <xdr:row>2</xdr:row>
      <xdr:rowOff>174173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06BF0E-2F0A-46F1-8AAE-0B81DABA0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585" y="228601"/>
          <a:ext cx="1310639" cy="39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2"/>
  <sheetViews>
    <sheetView tabSelected="1" topLeftCell="B1" zoomScaleNormal="100" workbookViewId="0">
      <selection activeCell="I7" sqref="I7"/>
    </sheetView>
  </sheetViews>
  <sheetFormatPr defaultRowHeight="15"/>
  <cols>
    <col min="1" max="1" width="4.4375" customWidth="1"/>
    <col min="2" max="2" width="23.4375" customWidth="1"/>
    <col min="3" max="3" width="9.5625" customWidth="1"/>
    <col min="4" max="4" width="9.75" customWidth="1"/>
    <col min="5" max="5" width="11.375" bestFit="1" customWidth="1"/>
    <col min="6" max="6" width="13.3125" customWidth="1"/>
    <col min="7" max="7" width="4.8125" customWidth="1"/>
    <col min="8" max="8" width="10.3125" customWidth="1"/>
    <col min="9" max="9" width="11.375" customWidth="1"/>
    <col min="10" max="10" width="2.1875" customWidth="1"/>
    <col min="11" max="11" width="13.6875" customWidth="1"/>
  </cols>
  <sheetData>
    <row r="1" spans="2:13" ht="17.600000000000001">
      <c r="B1" s="227" t="s">
        <v>136</v>
      </c>
      <c r="C1" s="228"/>
      <c r="D1" s="228"/>
      <c r="E1" s="228"/>
      <c r="F1" s="228"/>
      <c r="G1" s="228"/>
      <c r="H1" s="228"/>
      <c r="I1" s="229"/>
      <c r="J1" s="210"/>
    </row>
    <row r="2" spans="2:13" ht="17.600000000000001">
      <c r="B2" s="179"/>
      <c r="C2" s="153"/>
      <c r="D2" s="153"/>
      <c r="E2" s="153"/>
      <c r="F2" s="178"/>
      <c r="G2" s="178"/>
      <c r="H2" s="178"/>
      <c r="I2" s="178"/>
      <c r="J2" s="210"/>
    </row>
    <row r="3" spans="2:13" ht="17.600000000000001">
      <c r="B3" s="179"/>
      <c r="C3" s="153"/>
      <c r="D3" s="153"/>
      <c r="E3" s="153"/>
      <c r="F3" s="67"/>
      <c r="G3" s="67"/>
      <c r="H3" s="67"/>
      <c r="I3" s="67"/>
      <c r="J3" s="210"/>
    </row>
    <row r="4" spans="2:13" ht="8.0500000000000007" customHeight="1">
      <c r="B4" s="179"/>
      <c r="C4" s="153"/>
      <c r="D4" s="153"/>
      <c r="E4" s="153"/>
      <c r="F4" s="178"/>
      <c r="G4" s="178"/>
      <c r="H4" s="178"/>
      <c r="I4" s="178"/>
      <c r="J4" s="210"/>
    </row>
    <row r="5" spans="2:13" ht="20.05" customHeight="1">
      <c r="B5" s="224" t="s">
        <v>282</v>
      </c>
      <c r="C5" s="225"/>
      <c r="D5" s="225"/>
      <c r="E5" s="226"/>
      <c r="F5" s="117" t="s">
        <v>141</v>
      </c>
      <c r="G5" s="108"/>
      <c r="H5" s="118">
        <v>43857</v>
      </c>
    </row>
    <row r="6" spans="2:13" ht="15" customHeight="1">
      <c r="B6" t="s">
        <v>96</v>
      </c>
      <c r="F6" s="72">
        <v>400</v>
      </c>
      <c r="G6" s="68" t="s">
        <v>274</v>
      </c>
      <c r="I6" s="30"/>
      <c r="J6" s="30"/>
      <c r="K6" s="17" t="s">
        <v>84</v>
      </c>
    </row>
    <row r="7" spans="2:13" ht="8.0500000000000007" customHeight="1">
      <c r="F7" s="74"/>
      <c r="G7" s="68"/>
      <c r="I7" s="30"/>
      <c r="J7" s="30"/>
      <c r="K7" s="17"/>
    </row>
    <row r="8" spans="2:13" ht="15" customHeight="1">
      <c r="B8" s="17" t="s">
        <v>100</v>
      </c>
      <c r="F8" s="24">
        <v>85</v>
      </c>
      <c r="G8" s="10" t="s">
        <v>1</v>
      </c>
      <c r="I8" s="30"/>
      <c r="J8" s="30"/>
      <c r="K8" s="17"/>
    </row>
    <row r="9" spans="2:13" ht="15" customHeight="1">
      <c r="B9" s="17"/>
      <c r="D9" s="69" t="s">
        <v>106</v>
      </c>
      <c r="E9" s="10" t="s">
        <v>105</v>
      </c>
      <c r="F9" s="10" t="s">
        <v>95</v>
      </c>
      <c r="H9" s="10" t="s">
        <v>103</v>
      </c>
      <c r="I9" s="30"/>
      <c r="J9" s="30"/>
      <c r="K9" s="17"/>
    </row>
    <row r="10" spans="2:13" ht="15" customHeight="1">
      <c r="B10" s="17" t="s">
        <v>99</v>
      </c>
      <c r="D10" s="24">
        <v>560</v>
      </c>
      <c r="E10" s="186">
        <v>185</v>
      </c>
      <c r="F10" s="22">
        <f>D10*E10*0.01</f>
        <v>1036</v>
      </c>
      <c r="H10" s="77"/>
      <c r="I10" s="30"/>
      <c r="J10" s="30"/>
      <c r="K10" s="17" t="s">
        <v>240</v>
      </c>
    </row>
    <row r="11" spans="2:13" ht="15" customHeight="1">
      <c r="B11" s="17" t="s">
        <v>101</v>
      </c>
      <c r="D11" s="24">
        <v>530</v>
      </c>
      <c r="E11" s="186">
        <v>165</v>
      </c>
      <c r="F11" s="22">
        <f>D11*E11*0.01</f>
        <v>874.5</v>
      </c>
      <c r="H11" s="77"/>
      <c r="I11" s="34" t="s">
        <v>277</v>
      </c>
      <c r="J11" s="30"/>
      <c r="L11" s="21">
        <f>E10-E11</f>
        <v>20</v>
      </c>
      <c r="M11" s="10" t="s">
        <v>110</v>
      </c>
    </row>
    <row r="12" spans="2:13" ht="15" customHeight="1">
      <c r="B12" s="75" t="s">
        <v>104</v>
      </c>
      <c r="C12" s="79">
        <v>80</v>
      </c>
      <c r="D12" s="24"/>
      <c r="E12" s="1"/>
      <c r="F12" s="22">
        <f>C12*F8*0.01</f>
        <v>68</v>
      </c>
      <c r="H12" s="77"/>
      <c r="I12" s="218">
        <f>F6</f>
        <v>400</v>
      </c>
      <c r="J12" s="189"/>
      <c r="K12" s="10"/>
    </row>
    <row r="13" spans="2:13" ht="15" customHeight="1">
      <c r="B13" s="94" t="s">
        <v>97</v>
      </c>
      <c r="D13" s="57">
        <f>((D10+D11)*0.5)</f>
        <v>545</v>
      </c>
      <c r="E13" s="44">
        <f>((F13/D13)*100)</f>
        <v>189.95412844036696</v>
      </c>
      <c r="F13" s="9">
        <f>(F10*0.5+F11*0.5)+C12</f>
        <v>1035.25</v>
      </c>
      <c r="G13" s="78"/>
      <c r="H13" s="77"/>
      <c r="I13" s="34"/>
      <c r="J13" s="30"/>
      <c r="K13" s="10"/>
    </row>
    <row r="14" spans="2:13" ht="15" customHeight="1">
      <c r="B14" s="17"/>
      <c r="D14" s="56"/>
      <c r="E14" s="80"/>
      <c r="F14" s="80" t="s">
        <v>280</v>
      </c>
      <c r="G14" s="215">
        <f>F8*0.01</f>
        <v>0.85</v>
      </c>
      <c r="H14" s="77"/>
      <c r="I14" s="10" t="s">
        <v>276</v>
      </c>
      <c r="J14" s="30"/>
      <c r="K14" s="10"/>
    </row>
    <row r="15" spans="2:13" ht="15" customHeight="1">
      <c r="B15" s="81" t="s">
        <v>145</v>
      </c>
      <c r="D15">
        <f>D13*F8*0.01</f>
        <v>463.25</v>
      </c>
      <c r="E15" s="80">
        <f>((F15/$D$15)*100)</f>
        <v>189.95412844036696</v>
      </c>
      <c r="F15" s="9">
        <f>D15*E13*0.01</f>
        <v>879.96249999999998</v>
      </c>
      <c r="G15" s="78"/>
      <c r="H15" s="77">
        <f>F15/$F$17</f>
        <v>0.86828658822763238</v>
      </c>
      <c r="I15" s="30"/>
      <c r="J15" s="30"/>
      <c r="K15" s="10"/>
    </row>
    <row r="16" spans="2:13" ht="15" customHeight="1">
      <c r="B16" s="5" t="s">
        <v>26</v>
      </c>
      <c r="E16" s="80">
        <f>((F16/$D$15)*100)</f>
        <v>28.814802251175699</v>
      </c>
      <c r="F16" s="76">
        <f>D94</f>
        <v>133.48457142857143</v>
      </c>
      <c r="G16" s="68"/>
      <c r="H16" s="77">
        <f>F16/$F$17</f>
        <v>0.13171341177236756</v>
      </c>
      <c r="I16" s="30"/>
      <c r="J16" s="30"/>
      <c r="K16" s="10" t="s">
        <v>196</v>
      </c>
    </row>
    <row r="17" spans="2:17" ht="15" customHeight="1">
      <c r="B17" s="31" t="s">
        <v>102</v>
      </c>
      <c r="C17" s="31"/>
      <c r="D17" s="31">
        <f>D15</f>
        <v>463.25</v>
      </c>
      <c r="E17" s="44">
        <f>((F17/D17)*100)</f>
        <v>218.76893069154266</v>
      </c>
      <c r="F17" s="88">
        <f>F15+F16</f>
        <v>1013.4470714285715</v>
      </c>
      <c r="G17" s="68"/>
      <c r="H17" s="77"/>
      <c r="I17" s="217">
        <f>IF(F17=0," ",F17*$I$12)</f>
        <v>405378.8285714286</v>
      </c>
      <c r="J17" s="30"/>
      <c r="K17" s="75" t="s">
        <v>107</v>
      </c>
    </row>
    <row r="18" spans="2:17" ht="15" customHeight="1">
      <c r="B18" s="10" t="s">
        <v>21</v>
      </c>
      <c r="F18" s="74"/>
      <c r="G18" s="68"/>
      <c r="I18" s="30"/>
      <c r="J18" s="30"/>
      <c r="K18" t="str">
        <f>IF(E20=1,"Owned Land","Leased Land")</f>
        <v>Owned Land</v>
      </c>
    </row>
    <row r="19" spans="2:17" ht="15" customHeight="1">
      <c r="B19" s="55" t="s">
        <v>167</v>
      </c>
      <c r="F19" s="74"/>
      <c r="G19" s="68"/>
      <c r="I19" s="30"/>
      <c r="J19" s="30"/>
    </row>
    <row r="20" spans="2:17" ht="15.45">
      <c r="B20" s="10" t="s">
        <v>234</v>
      </c>
      <c r="C20" s="61"/>
      <c r="D20" s="61"/>
      <c r="E20" s="102">
        <v>1</v>
      </c>
      <c r="F20" s="55" t="str">
        <f>K18</f>
        <v>Owned Land</v>
      </c>
      <c r="H20" s="34" t="s">
        <v>4</v>
      </c>
      <c r="I20" s="30"/>
      <c r="J20" s="30"/>
      <c r="K20" s="55" t="s">
        <v>82</v>
      </c>
    </row>
    <row r="21" spans="2:17" ht="15.45">
      <c r="D21" s="75" t="s">
        <v>117</v>
      </c>
      <c r="E21" s="85" t="s">
        <v>119</v>
      </c>
      <c r="F21" s="38" t="s">
        <v>5</v>
      </c>
      <c r="H21" s="34" t="s">
        <v>120</v>
      </c>
      <c r="I21" s="10" t="s">
        <v>276</v>
      </c>
      <c r="J21" s="30"/>
      <c r="K21" s="70" t="s">
        <v>76</v>
      </c>
      <c r="L21" s="71"/>
      <c r="M21" s="71"/>
      <c r="N21" s="71"/>
      <c r="O21" s="71"/>
      <c r="P21" s="71"/>
      <c r="Q21" s="71"/>
    </row>
    <row r="22" spans="2:17">
      <c r="B22" s="55" t="s">
        <v>239</v>
      </c>
      <c r="D22" s="6">
        <v>12</v>
      </c>
      <c r="E22" s="52">
        <v>5</v>
      </c>
      <c r="F22" s="96">
        <f>IF(E20=1,D22*E22,0)</f>
        <v>60</v>
      </c>
      <c r="H22" s="4">
        <f>IF(F22=0," ",F22/$F$56)</f>
        <v>8.4772232653355734E-2</v>
      </c>
      <c r="I22" s="216">
        <f>IF(F22=0," ",F22*$I$12)</f>
        <v>24000</v>
      </c>
      <c r="J22" s="30"/>
      <c r="K22" s="70"/>
      <c r="L22" s="87"/>
      <c r="M22" s="87"/>
      <c r="N22" s="87"/>
      <c r="O22" s="87"/>
      <c r="P22" s="87"/>
      <c r="Q22" s="87"/>
    </row>
    <row r="23" spans="2:17" ht="15.45">
      <c r="B23" s="55" t="s">
        <v>133</v>
      </c>
      <c r="F23" s="85"/>
      <c r="H23" s="34"/>
      <c r="I23" s="30"/>
      <c r="J23" s="30"/>
      <c r="K23" s="70"/>
      <c r="L23" s="87"/>
      <c r="M23" s="87"/>
      <c r="N23" s="87"/>
      <c r="O23" s="87"/>
      <c r="P23" s="87"/>
      <c r="Q23" s="87"/>
    </row>
    <row r="24" spans="2:17" ht="15.45">
      <c r="B24" s="17" t="s">
        <v>166</v>
      </c>
      <c r="D24" s="220" t="s">
        <v>117</v>
      </c>
      <c r="E24" s="220" t="s">
        <v>119</v>
      </c>
      <c r="F24" s="103" t="s">
        <v>5</v>
      </c>
      <c r="I24" s="55"/>
      <c r="K24" s="5" t="s">
        <v>51</v>
      </c>
    </row>
    <row r="25" spans="2:17" ht="15.45">
      <c r="B25" s="10" t="str">
        <f>IF(E20=2,"Lease Cost per Year"," ")</f>
        <v xml:space="preserve"> </v>
      </c>
      <c r="D25" s="6">
        <v>20</v>
      </c>
      <c r="E25" s="1">
        <v>12</v>
      </c>
      <c r="F25" s="7">
        <f>IF(E20=2,E25*D25,0)</f>
        <v>0</v>
      </c>
      <c r="H25" s="4" t="str">
        <f>IF(F25=0," ",F25/$F$56)</f>
        <v xml:space="preserve"> </v>
      </c>
      <c r="I25" s="216" t="str">
        <f t="shared" ref="I25:I62" si="0">IF(F25=0," ",F25*$I$12)</f>
        <v xml:space="preserve"> </v>
      </c>
      <c r="J25" s="4"/>
      <c r="K25" s="17" t="s">
        <v>78</v>
      </c>
    </row>
    <row r="26" spans="2:17">
      <c r="B26" s="55" t="s">
        <v>168</v>
      </c>
      <c r="D26" s="25" t="s">
        <v>46</v>
      </c>
      <c r="E26" s="46" t="s">
        <v>47</v>
      </c>
      <c r="I26" s="216" t="str">
        <f t="shared" si="0"/>
        <v xml:space="preserve"> </v>
      </c>
    </row>
    <row r="27" spans="2:17">
      <c r="B27" s="47" t="s">
        <v>42</v>
      </c>
      <c r="C27" s="47" t="s">
        <v>48</v>
      </c>
      <c r="D27" s="51">
        <v>0</v>
      </c>
      <c r="E27" s="52">
        <v>0</v>
      </c>
      <c r="F27" s="48">
        <f>D27*E27</f>
        <v>0</v>
      </c>
      <c r="H27" s="97" t="str">
        <f t="shared" ref="H27:H37" si="1">IF(F27=0," ",F27/$F$60)</f>
        <v xml:space="preserve"> </v>
      </c>
      <c r="I27" s="216" t="str">
        <f t="shared" si="0"/>
        <v xml:space="preserve"> </v>
      </c>
      <c r="J27" s="4"/>
      <c r="K27" t="s">
        <v>12</v>
      </c>
    </row>
    <row r="28" spans="2:17">
      <c r="B28" s="47" t="s">
        <v>43</v>
      </c>
      <c r="C28" s="47" t="s">
        <v>49</v>
      </c>
      <c r="D28" s="51">
        <v>5</v>
      </c>
      <c r="E28" s="52">
        <v>20</v>
      </c>
      <c r="F28" s="48">
        <f t="shared" ref="F28:F31" si="2">D28*E28</f>
        <v>100</v>
      </c>
      <c r="H28" s="98">
        <f t="shared" si="1"/>
        <v>0.14128705442225956</v>
      </c>
      <c r="I28" s="216">
        <f t="shared" si="0"/>
        <v>40000</v>
      </c>
      <c r="J28" s="4"/>
    </row>
    <row r="29" spans="2:17">
      <c r="B29" s="47" t="s">
        <v>44</v>
      </c>
      <c r="C29" s="47" t="s">
        <v>50</v>
      </c>
      <c r="D29" s="49">
        <v>30</v>
      </c>
      <c r="E29" s="52">
        <v>0.45</v>
      </c>
      <c r="F29" s="48">
        <f t="shared" si="2"/>
        <v>13.5</v>
      </c>
      <c r="H29" s="98">
        <f t="shared" si="1"/>
        <v>1.9073752347005039E-2</v>
      </c>
      <c r="I29" s="216">
        <f t="shared" si="0"/>
        <v>5400</v>
      </c>
      <c r="J29" s="4"/>
    </row>
    <row r="30" spans="2:17">
      <c r="B30" s="47" t="s">
        <v>45</v>
      </c>
      <c r="C30" s="47"/>
      <c r="D30" s="47"/>
      <c r="E30" s="50">
        <v>0</v>
      </c>
      <c r="F30" s="48">
        <f t="shared" si="2"/>
        <v>0</v>
      </c>
      <c r="H30" s="97" t="str">
        <f t="shared" si="1"/>
        <v xml:space="preserve"> </v>
      </c>
      <c r="I30" s="216" t="str">
        <f t="shared" si="0"/>
        <v xml:space="preserve"> </v>
      </c>
      <c r="J30" s="4"/>
    </row>
    <row r="31" spans="2:17">
      <c r="B31" s="47" t="s">
        <v>45</v>
      </c>
      <c r="C31" s="47"/>
      <c r="D31" s="47"/>
      <c r="E31" s="50">
        <v>0</v>
      </c>
      <c r="F31" s="48">
        <f t="shared" si="2"/>
        <v>0</v>
      </c>
      <c r="H31" s="97" t="str">
        <f t="shared" si="1"/>
        <v xml:space="preserve"> </v>
      </c>
      <c r="I31" s="216" t="str">
        <f t="shared" si="0"/>
        <v xml:space="preserve"> </v>
      </c>
      <c r="J31" s="30"/>
    </row>
    <row r="32" spans="2:17" ht="15.45">
      <c r="B32" s="27" t="s">
        <v>15</v>
      </c>
      <c r="F32" s="9">
        <f>SUM(F22:F31)</f>
        <v>173.5</v>
      </c>
      <c r="H32" s="107">
        <f t="shared" si="1"/>
        <v>0.24513303942262032</v>
      </c>
      <c r="I32" s="217">
        <f t="shared" si="0"/>
        <v>69400</v>
      </c>
      <c r="J32" s="18"/>
      <c r="K32" s="55" t="s">
        <v>128</v>
      </c>
    </row>
    <row r="33" spans="2:12" ht="15.45">
      <c r="B33" t="s">
        <v>164</v>
      </c>
      <c r="F33" s="1">
        <v>50</v>
      </c>
      <c r="H33" s="18">
        <f t="shared" si="1"/>
        <v>7.0643527211129778E-2</v>
      </c>
      <c r="I33" s="216">
        <f t="shared" si="0"/>
        <v>20000</v>
      </c>
      <c r="J33" s="18"/>
      <c r="K33" s="55" t="s">
        <v>77</v>
      </c>
    </row>
    <row r="34" spans="2:12" ht="15.45">
      <c r="B34" t="s">
        <v>165</v>
      </c>
      <c r="F34" s="1">
        <v>150</v>
      </c>
      <c r="H34" s="18">
        <f t="shared" si="1"/>
        <v>0.21193058163338935</v>
      </c>
      <c r="I34" s="216">
        <f t="shared" si="0"/>
        <v>60000</v>
      </c>
      <c r="J34" s="18"/>
      <c r="K34" s="9">
        <f>F34*F6</f>
        <v>60000</v>
      </c>
      <c r="L34" s="55" t="s">
        <v>170</v>
      </c>
    </row>
    <row r="35" spans="2:12">
      <c r="B35" s="55" t="s">
        <v>129</v>
      </c>
      <c r="F35" s="1">
        <v>35</v>
      </c>
      <c r="H35" s="97">
        <f t="shared" si="1"/>
        <v>4.9450469047790845E-2</v>
      </c>
      <c r="I35" s="216">
        <f t="shared" si="0"/>
        <v>14000</v>
      </c>
      <c r="J35" s="4"/>
      <c r="K35" s="13">
        <f>K34/12</f>
        <v>5000</v>
      </c>
      <c r="L35" s="55" t="s">
        <v>272</v>
      </c>
    </row>
    <row r="36" spans="2:12">
      <c r="B36" s="2" t="s">
        <v>281</v>
      </c>
      <c r="F36" s="1">
        <v>40</v>
      </c>
      <c r="H36" s="97">
        <f t="shared" si="1"/>
        <v>5.6514821768903822E-2</v>
      </c>
      <c r="I36" s="216">
        <f t="shared" si="0"/>
        <v>16000</v>
      </c>
      <c r="J36" s="4"/>
      <c r="K36" s="5"/>
      <c r="L36" s="55" t="s">
        <v>273</v>
      </c>
    </row>
    <row r="37" spans="2:12" ht="15.45">
      <c r="B37" s="2" t="s">
        <v>2</v>
      </c>
      <c r="F37" s="1">
        <v>0</v>
      </c>
      <c r="H37" s="97" t="str">
        <f t="shared" si="1"/>
        <v xml:space="preserve"> </v>
      </c>
      <c r="I37" s="216" t="str">
        <f t="shared" si="0"/>
        <v xml:space="preserve"> </v>
      </c>
      <c r="J37" s="18"/>
      <c r="K37" s="5"/>
    </row>
    <row r="38" spans="2:12" ht="15.45">
      <c r="B38" s="66" t="s">
        <v>162</v>
      </c>
      <c r="F38" s="35">
        <f>SUM(F33:F37)</f>
        <v>275</v>
      </c>
      <c r="H38" s="97"/>
      <c r="I38" s="217">
        <f t="shared" si="0"/>
        <v>110000</v>
      </c>
      <c r="J38" s="18"/>
      <c r="K38" s="5"/>
    </row>
    <row r="39" spans="2:12" ht="15.45">
      <c r="B39" s="55" t="s">
        <v>152</v>
      </c>
      <c r="F39" s="1"/>
      <c r="H39" s="4"/>
      <c r="I39" s="216" t="str">
        <f t="shared" si="0"/>
        <v xml:space="preserve"> </v>
      </c>
      <c r="J39" s="18"/>
      <c r="K39" s="55" t="s">
        <v>197</v>
      </c>
    </row>
    <row r="40" spans="2:12" ht="15.45">
      <c r="B40" s="3" t="s">
        <v>158</v>
      </c>
      <c r="F40" s="59">
        <f>'1. Total Unit Cost&amp;ROA '!H72</f>
        <v>88.571428571428569</v>
      </c>
      <c r="H40" s="97">
        <f>IF(F40=0," ",F40/$F$60)</f>
        <v>0.12513996248828704</v>
      </c>
      <c r="I40" s="216">
        <f t="shared" si="0"/>
        <v>35428.571428571428</v>
      </c>
      <c r="J40" s="18"/>
      <c r="K40" s="55" t="s">
        <v>159</v>
      </c>
    </row>
    <row r="41" spans="2:12">
      <c r="B41" s="8" t="s">
        <v>24</v>
      </c>
      <c r="F41" s="7">
        <f>'1. Total Unit Cost&amp;ROA '!H88</f>
        <v>25.6</v>
      </c>
      <c r="H41" s="97">
        <f>IF(F41=0," ",F41/$F$60)</f>
        <v>3.6169485932098448E-2</v>
      </c>
      <c r="I41" s="216">
        <f t="shared" si="0"/>
        <v>10240</v>
      </c>
      <c r="J41" s="4"/>
    </row>
    <row r="42" spans="2:12" ht="15.45">
      <c r="B42" s="33" t="s">
        <v>79</v>
      </c>
      <c r="C42" s="10"/>
      <c r="D42" s="10"/>
      <c r="E42" s="10"/>
      <c r="F42" s="35">
        <f>F40+F41</f>
        <v>114.17142857142858</v>
      </c>
      <c r="G42" s="10"/>
      <c r="H42" s="18">
        <f>IF(F42=0," ",F42/$F$60)</f>
        <v>0.1613094484203855</v>
      </c>
      <c r="I42" s="216">
        <f t="shared" si="0"/>
        <v>45668.571428571435</v>
      </c>
      <c r="J42" s="4"/>
    </row>
    <row r="43" spans="2:12" ht="15.45">
      <c r="B43" s="106" t="s">
        <v>23</v>
      </c>
      <c r="C43" s="45"/>
      <c r="D43" s="45"/>
      <c r="E43" s="45"/>
      <c r="F43" s="90">
        <f>F32+F38+F42</f>
        <v>562.67142857142858</v>
      </c>
      <c r="G43" s="31"/>
      <c r="H43" s="105">
        <f t="shared" ref="H43" si="3">IF(F43=0," ",F43/$F$60)</f>
        <v>0.79498188750421961</v>
      </c>
      <c r="I43" s="217">
        <f t="shared" si="0"/>
        <v>225068.57142857142</v>
      </c>
      <c r="J43" s="18"/>
      <c r="K43" s="5"/>
    </row>
    <row r="44" spans="2:12" ht="15.45">
      <c r="B44" s="27"/>
      <c r="F44" s="9"/>
      <c r="H44" s="18"/>
      <c r="I44" s="216" t="str">
        <f t="shared" si="0"/>
        <v xml:space="preserve"> </v>
      </c>
      <c r="J44" s="18"/>
      <c r="K44" s="5"/>
    </row>
    <row r="45" spans="2:12" ht="15.45">
      <c r="B45" s="33" t="s">
        <v>22</v>
      </c>
      <c r="I45" s="216" t="str">
        <f t="shared" si="0"/>
        <v xml:space="preserve"> </v>
      </c>
    </row>
    <row r="46" spans="2:12" ht="15.45">
      <c r="B46" s="55" t="s">
        <v>163</v>
      </c>
      <c r="F46" s="207">
        <f>'4. Capital Asset  Costs'!I4</f>
        <v>19.75</v>
      </c>
      <c r="H46" s="4">
        <f t="shared" ref="H46:H49" si="4">IF(F46=0," ",F46/$F$60)</f>
        <v>2.7904193248396263E-2</v>
      </c>
      <c r="I46" s="216">
        <f t="shared" si="0"/>
        <v>7900</v>
      </c>
      <c r="J46" s="4"/>
      <c r="K46" s="55"/>
    </row>
    <row r="47" spans="2:12">
      <c r="B47" s="55" t="s">
        <v>161</v>
      </c>
      <c r="F47" s="1">
        <v>35</v>
      </c>
      <c r="H47" s="4">
        <f t="shared" si="4"/>
        <v>4.9450469047790845E-2</v>
      </c>
      <c r="I47" s="216">
        <f t="shared" si="0"/>
        <v>14000</v>
      </c>
      <c r="J47" s="4"/>
    </row>
    <row r="48" spans="2:12">
      <c r="B48" s="39" t="s">
        <v>29</v>
      </c>
      <c r="F48" s="1">
        <v>0</v>
      </c>
      <c r="H48" s="4" t="str">
        <f t="shared" si="4"/>
        <v xml:space="preserve"> </v>
      </c>
      <c r="I48" s="216" t="str">
        <f t="shared" si="0"/>
        <v xml:space="preserve"> </v>
      </c>
      <c r="J48" s="4"/>
    </row>
    <row r="49" spans="2:16">
      <c r="B49" s="39" t="s">
        <v>29</v>
      </c>
      <c r="F49" s="1">
        <v>0</v>
      </c>
      <c r="H49" s="4" t="str">
        <f t="shared" si="4"/>
        <v xml:space="preserve"> </v>
      </c>
      <c r="I49" s="216" t="str">
        <f t="shared" si="0"/>
        <v xml:space="preserve"> </v>
      </c>
      <c r="J49" s="4"/>
    </row>
    <row r="50" spans="2:16">
      <c r="B50" s="3" t="s">
        <v>3</v>
      </c>
      <c r="F50" s="1"/>
      <c r="H50" s="4"/>
      <c r="I50" s="216" t="str">
        <f t="shared" si="0"/>
        <v xml:space="preserve"> </v>
      </c>
      <c r="J50" s="4"/>
    </row>
    <row r="51" spans="2:16" ht="15.45">
      <c r="B51" s="3" t="s">
        <v>268</v>
      </c>
      <c r="F51" s="35">
        <f>'4. Capital Asset  Costs'!F4</f>
        <v>55.357500000000002</v>
      </c>
      <c r="H51" s="4">
        <f t="shared" ref="H51:H54" si="5">IF(F51=0," ",F51/$F$60)</f>
        <v>7.8212981151802335E-2</v>
      </c>
      <c r="I51" s="216">
        <f t="shared" si="0"/>
        <v>22143</v>
      </c>
      <c r="J51" s="4"/>
    </row>
    <row r="52" spans="2:16">
      <c r="B52" s="8" t="s">
        <v>28</v>
      </c>
      <c r="F52" s="1">
        <v>10</v>
      </c>
      <c r="H52" s="4">
        <f t="shared" si="5"/>
        <v>1.4128705442225956E-2</v>
      </c>
      <c r="I52" s="216">
        <f t="shared" si="0"/>
        <v>4000</v>
      </c>
      <c r="J52" s="4"/>
    </row>
    <row r="53" spans="2:16">
      <c r="B53" s="66" t="s">
        <v>93</v>
      </c>
      <c r="F53" s="1">
        <v>25</v>
      </c>
      <c r="H53" s="4">
        <f t="shared" si="5"/>
        <v>3.5321763605564889E-2</v>
      </c>
      <c r="I53" s="216">
        <f t="shared" si="0"/>
        <v>10000</v>
      </c>
      <c r="J53" s="4"/>
    </row>
    <row r="54" spans="2:16" ht="15.45">
      <c r="B54" s="104" t="s">
        <v>25</v>
      </c>
      <c r="C54" s="45"/>
      <c r="D54" s="45"/>
      <c r="E54" s="45"/>
      <c r="F54" s="90">
        <f>SUM(F46:F53)</f>
        <v>145.10750000000002</v>
      </c>
      <c r="G54" s="45"/>
      <c r="H54" s="105">
        <f t="shared" si="5"/>
        <v>0.20501811249578031</v>
      </c>
      <c r="I54" s="217">
        <f t="shared" si="0"/>
        <v>58043.000000000007</v>
      </c>
      <c r="J54" s="26"/>
    </row>
    <row r="55" spans="2:16">
      <c r="I55" s="216" t="str">
        <f t="shared" si="0"/>
        <v xml:space="preserve"> </v>
      </c>
    </row>
    <row r="56" spans="2:16" ht="15.45">
      <c r="B56" s="31" t="s">
        <v>123</v>
      </c>
      <c r="C56" s="31"/>
      <c r="D56" s="31"/>
      <c r="E56" s="31"/>
      <c r="F56" s="44">
        <f>F43+F54</f>
        <v>707.77892857142865</v>
      </c>
      <c r="G56" s="45"/>
      <c r="H56" s="105">
        <f>IF(F56=0," ",F56/$F$60)</f>
        <v>1</v>
      </c>
      <c r="I56" s="217">
        <f t="shared" si="0"/>
        <v>283111.57142857148</v>
      </c>
      <c r="J56" s="4"/>
      <c r="K56" s="15">
        <f>F56-F40</f>
        <v>619.2075000000001</v>
      </c>
      <c r="L56" t="s">
        <v>83</v>
      </c>
      <c r="O56" s="36">
        <f>H43+H54</f>
        <v>0.99999999999999989</v>
      </c>
      <c r="P56" t="s">
        <v>18</v>
      </c>
    </row>
    <row r="57" spans="2:16" ht="15.45">
      <c r="B57" s="55"/>
      <c r="C57" s="10"/>
      <c r="D57" s="10"/>
      <c r="E57" s="10"/>
      <c r="F57" s="9"/>
      <c r="I57" s="216" t="str">
        <f t="shared" si="0"/>
        <v xml:space="preserve"> </v>
      </c>
      <c r="J57" s="4"/>
      <c r="K57" s="36"/>
    </row>
    <row r="58" spans="2:16" ht="15.45">
      <c r="B58" s="10" t="s">
        <v>66</v>
      </c>
      <c r="C58" s="10"/>
      <c r="D58" s="10"/>
      <c r="E58" s="10"/>
      <c r="F58" s="1">
        <v>0</v>
      </c>
      <c r="H58" s="4" t="str">
        <f>IF(F58=0," ",F58/$F$60)</f>
        <v xml:space="preserve"> </v>
      </c>
      <c r="I58" s="216" t="str">
        <f t="shared" si="0"/>
        <v xml:space="preserve"> </v>
      </c>
      <c r="J58" s="4"/>
      <c r="K58" s="42"/>
    </row>
    <row r="59" spans="2:16">
      <c r="B59" s="55"/>
      <c r="C59" s="11"/>
      <c r="D59" s="16"/>
      <c r="E59" s="16"/>
      <c r="F59" s="16"/>
      <c r="H59" s="12"/>
      <c r="I59" s="216" t="str">
        <f t="shared" si="0"/>
        <v xml:space="preserve"> </v>
      </c>
      <c r="J59" s="5"/>
      <c r="K59" s="55"/>
    </row>
    <row r="60" spans="2:16" ht="15.45">
      <c r="B60" s="31" t="s">
        <v>195</v>
      </c>
      <c r="C60" s="31"/>
      <c r="D60" s="31"/>
      <c r="E60" s="31"/>
      <c r="F60" s="90">
        <f>F56+F58+F59</f>
        <v>707.77892857142865</v>
      </c>
      <c r="H60" s="4">
        <f>IF(F60=0," ",F60/$F$60)</f>
        <v>1</v>
      </c>
      <c r="I60" s="217">
        <f t="shared" si="0"/>
        <v>283111.57142857148</v>
      </c>
      <c r="J60" s="4"/>
      <c r="K60" s="5" t="s">
        <v>35</v>
      </c>
    </row>
    <row r="61" spans="2:16" ht="15.45">
      <c r="B61" s="10"/>
      <c r="H61" s="125" t="str">
        <f>'2. ROA-Ave. Calf Price Required'!E29</f>
        <v>Per Acre</v>
      </c>
      <c r="I61" s="216" t="str">
        <f t="shared" si="0"/>
        <v xml:space="preserve"> </v>
      </c>
      <c r="J61" s="4"/>
      <c r="K61" s="40">
        <f>F60/D17*100</f>
        <v>152.7855215480688</v>
      </c>
      <c r="L61" t="s">
        <v>138</v>
      </c>
    </row>
    <row r="62" spans="2:16" ht="15.45">
      <c r="B62" s="31" t="s">
        <v>124</v>
      </c>
      <c r="C62" s="45"/>
      <c r="D62" s="45"/>
      <c r="E62" s="45"/>
      <c r="F62" s="44">
        <f>F17-F60</f>
        <v>305.66814285714281</v>
      </c>
      <c r="H62" s="19">
        <f>'2. ROA-Ave. Calf Price Required'!E30</f>
        <v>25.472345238095233</v>
      </c>
      <c r="I62" s="219">
        <f t="shared" si="0"/>
        <v>122267.25714285712</v>
      </c>
      <c r="J62" s="4"/>
    </row>
    <row r="63" spans="2:16" ht="15.45">
      <c r="B63" s="10"/>
      <c r="C63" s="68" t="s">
        <v>87</v>
      </c>
      <c r="D63" s="68" t="s">
        <v>86</v>
      </c>
      <c r="F63" s="82" t="str">
        <f>F20</f>
        <v>Owned Land</v>
      </c>
      <c r="I63" s="216"/>
      <c r="J63" s="4"/>
      <c r="K63" s="17" t="s">
        <v>199</v>
      </c>
    </row>
    <row r="64" spans="2:16" ht="15.45">
      <c r="B64" s="10" t="s">
        <v>88</v>
      </c>
      <c r="C64" s="22">
        <f>'2. ROA-Ave. Calf Price Required'!D19</f>
        <v>11611.3</v>
      </c>
      <c r="D64" s="22">
        <f>F58+F62</f>
        <v>305.66814285714281</v>
      </c>
      <c r="E64" s="31" t="s">
        <v>89</v>
      </c>
      <c r="F64" s="89">
        <f>D64/C64</f>
        <v>2.6325057733168795E-2</v>
      </c>
      <c r="I64" s="216"/>
      <c r="J64" s="4"/>
      <c r="K64" s="17" t="s">
        <v>90</v>
      </c>
    </row>
    <row r="65" spans="2:21" ht="15.45">
      <c r="B65" s="10" t="s">
        <v>198</v>
      </c>
      <c r="K65" s="137" t="s">
        <v>229</v>
      </c>
    </row>
    <row r="66" spans="2:21" ht="15.45">
      <c r="B66" s="86" t="s">
        <v>60</v>
      </c>
    </row>
    <row r="67" spans="2:21" ht="15.45">
      <c r="C67" s="86"/>
      <c r="D67" s="11"/>
      <c r="M67" s="10"/>
    </row>
    <row r="68" spans="2:21" ht="15.45">
      <c r="B68" s="10" t="s">
        <v>59</v>
      </c>
      <c r="C68" s="54" t="s">
        <v>94</v>
      </c>
      <c r="D68" s="11"/>
      <c r="E68" s="10" t="s">
        <v>10</v>
      </c>
      <c r="F68" s="11"/>
      <c r="H68" s="19" t="s">
        <v>157</v>
      </c>
      <c r="I68" s="5"/>
      <c r="J68" s="5"/>
      <c r="K68" s="5"/>
    </row>
    <row r="69" spans="2:21">
      <c r="B69" s="55" t="s">
        <v>57</v>
      </c>
      <c r="C69" s="1">
        <v>1400</v>
      </c>
      <c r="D69" s="11"/>
      <c r="E69" s="5" t="s">
        <v>8</v>
      </c>
      <c r="H69" s="59">
        <f>'1. Total Unit Cost&amp;ROA '!C69</f>
        <v>1400</v>
      </c>
      <c r="K69" s="55" t="s">
        <v>185</v>
      </c>
    </row>
    <row r="70" spans="2:21" ht="15.45">
      <c r="B70" s="55" t="s">
        <v>125</v>
      </c>
      <c r="C70" s="24">
        <v>7</v>
      </c>
      <c r="D70" s="55" t="s">
        <v>126</v>
      </c>
      <c r="E70" s="55" t="s">
        <v>189</v>
      </c>
      <c r="H70" s="131">
        <f>C70</f>
        <v>7</v>
      </c>
      <c r="I70" s="10"/>
      <c r="J70" s="10"/>
      <c r="K70" s="97" t="s">
        <v>183</v>
      </c>
      <c r="M70" s="10"/>
    </row>
    <row r="71" spans="2:21" ht="15.45">
      <c r="B71" s="75" t="s">
        <v>175</v>
      </c>
      <c r="C71" s="128">
        <f>1/C70</f>
        <v>0.14285714285714285</v>
      </c>
      <c r="D71" s="11"/>
      <c r="E71" s="55" t="s">
        <v>9</v>
      </c>
      <c r="H71" s="22">
        <f>C77</f>
        <v>780</v>
      </c>
      <c r="K71" s="211" t="s">
        <v>270</v>
      </c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2:21" ht="15.45">
      <c r="B72" s="55" t="s">
        <v>69</v>
      </c>
      <c r="C72" s="23">
        <v>1</v>
      </c>
      <c r="D72" s="11"/>
      <c r="E72" s="31" t="s">
        <v>190</v>
      </c>
      <c r="F72" s="45"/>
      <c r="G72" s="45"/>
      <c r="H72" s="44">
        <f>((H69-H71)/H70)</f>
        <v>88.571428571428569</v>
      </c>
    </row>
    <row r="73" spans="2:21">
      <c r="B73" s="55"/>
      <c r="C73" s="62"/>
      <c r="D73" s="11"/>
      <c r="E73" s="5"/>
      <c r="H73" s="59"/>
    </row>
    <row r="74" spans="2:21" ht="15.45">
      <c r="B74" s="10" t="s">
        <v>9</v>
      </c>
      <c r="C74" s="15"/>
      <c r="D74" s="11"/>
      <c r="K74" s="5"/>
    </row>
    <row r="75" spans="2:21">
      <c r="B75" s="55" t="s">
        <v>62</v>
      </c>
      <c r="C75" s="24">
        <v>1300</v>
      </c>
      <c r="D75" s="11"/>
    </row>
    <row r="76" spans="2:21" ht="15.45">
      <c r="B76" s="5" t="s">
        <v>40</v>
      </c>
      <c r="C76" s="1">
        <v>60</v>
      </c>
      <c r="D76" s="11"/>
      <c r="E76" s="126"/>
      <c r="H76" s="16"/>
    </row>
    <row r="77" spans="2:21">
      <c r="B77" s="5" t="s">
        <v>9</v>
      </c>
      <c r="C77" s="16">
        <f>C75*C76*0.01</f>
        <v>780</v>
      </c>
      <c r="D77" s="55" t="s">
        <v>191</v>
      </c>
      <c r="K77" s="55" t="s">
        <v>71</v>
      </c>
    </row>
    <row r="78" spans="2:21" ht="15.45">
      <c r="B78" s="129" t="s">
        <v>176</v>
      </c>
      <c r="D78" s="130">
        <f>((C77*(C71+C72*0.01)))</f>
        <v>119.22857142857143</v>
      </c>
      <c r="E78" s="86"/>
      <c r="K78" s="10" t="s">
        <v>173</v>
      </c>
    </row>
    <row r="79" spans="2:21">
      <c r="B79" s="55" t="s">
        <v>172</v>
      </c>
      <c r="D79" s="11"/>
    </row>
    <row r="80" spans="2:21" ht="15.45">
      <c r="B80" s="10" t="s">
        <v>58</v>
      </c>
      <c r="C80" s="24"/>
      <c r="D80" s="11"/>
      <c r="E80" s="10" t="s">
        <v>19</v>
      </c>
      <c r="H80" s="19" t="s">
        <v>157</v>
      </c>
      <c r="I80" s="11"/>
      <c r="J80" s="11"/>
    </row>
    <row r="81" spans="2:13">
      <c r="B81" s="55" t="s">
        <v>63</v>
      </c>
      <c r="C81" s="1">
        <v>4000</v>
      </c>
      <c r="D81" s="11"/>
      <c r="E81" s="5" t="s">
        <v>11</v>
      </c>
      <c r="H81" s="59">
        <f>'1. Total Unit Cost&amp;ROA '!C81</f>
        <v>4000</v>
      </c>
      <c r="I81" s="11"/>
      <c r="J81" s="11"/>
      <c r="K81" s="97" t="s">
        <v>127</v>
      </c>
    </row>
    <row r="82" spans="2:13" ht="15.45">
      <c r="B82" s="55" t="s">
        <v>125</v>
      </c>
      <c r="C82" s="24">
        <v>4</v>
      </c>
      <c r="D82" s="11"/>
      <c r="E82" s="55" t="s">
        <v>171</v>
      </c>
      <c r="H82" s="62">
        <f>C83</f>
        <v>0.25</v>
      </c>
      <c r="I82" s="107"/>
      <c r="J82" s="107"/>
      <c r="K82" s="55"/>
      <c r="M82" s="10"/>
    </row>
    <row r="83" spans="2:13" ht="15.45">
      <c r="B83" s="55" t="s">
        <v>154</v>
      </c>
      <c r="C83" s="62">
        <f>1/C82</f>
        <v>0.25</v>
      </c>
      <c r="D83" s="11"/>
      <c r="E83" s="55" t="s">
        <v>160</v>
      </c>
      <c r="H83" s="80">
        <f>C89</f>
        <v>1440</v>
      </c>
      <c r="I83" s="107"/>
      <c r="J83" s="107"/>
      <c r="K83" s="55" t="s">
        <v>72</v>
      </c>
      <c r="M83" s="10"/>
    </row>
    <row r="84" spans="2:13" ht="15.45">
      <c r="B84" s="55" t="s">
        <v>68</v>
      </c>
      <c r="C84" s="23">
        <v>1</v>
      </c>
      <c r="D84" s="11"/>
      <c r="E84" s="5"/>
      <c r="H84" s="59"/>
      <c r="I84" s="16"/>
      <c r="J84" s="16"/>
      <c r="K84" s="55"/>
      <c r="M84" s="10"/>
    </row>
    <row r="85" spans="2:13" ht="15.45">
      <c r="B85" s="55"/>
      <c r="C85" s="23"/>
      <c r="D85" s="11"/>
      <c r="E85" s="5"/>
      <c r="H85" s="59"/>
      <c r="I85" s="16"/>
      <c r="J85" s="16"/>
      <c r="K85" s="55"/>
      <c r="M85" s="10"/>
    </row>
    <row r="86" spans="2:13" ht="15.45">
      <c r="B86" s="10" t="s">
        <v>9</v>
      </c>
      <c r="C86" s="124"/>
      <c r="D86" s="11"/>
      <c r="E86" s="10" t="s">
        <v>177</v>
      </c>
      <c r="H86" s="28">
        <f>((H81-H83)*H82)</f>
        <v>640</v>
      </c>
      <c r="I86" s="11"/>
      <c r="J86" s="11"/>
      <c r="K86" s="55"/>
      <c r="M86" s="10"/>
    </row>
    <row r="87" spans="2:13">
      <c r="B87" s="55" t="s">
        <v>64</v>
      </c>
      <c r="C87" s="24">
        <v>1800</v>
      </c>
      <c r="D87" s="11"/>
      <c r="E87" s="75" t="s">
        <v>70</v>
      </c>
      <c r="H87" s="24">
        <v>25</v>
      </c>
      <c r="K87" s="55"/>
    </row>
    <row r="88" spans="2:13" ht="15.45">
      <c r="B88" s="5" t="s">
        <v>39</v>
      </c>
      <c r="C88" s="1">
        <v>80</v>
      </c>
      <c r="D88" s="10"/>
      <c r="E88" s="31" t="s">
        <v>73</v>
      </c>
      <c r="F88" s="45"/>
      <c r="G88" s="45"/>
      <c r="H88" s="130">
        <f>H86/H87</f>
        <v>25.6</v>
      </c>
      <c r="I88" s="11"/>
      <c r="J88" s="11"/>
      <c r="K88" s="55"/>
    </row>
    <row r="89" spans="2:13">
      <c r="B89" s="55" t="s">
        <v>155</v>
      </c>
      <c r="C89" s="16">
        <f>C87*C88*0.01</f>
        <v>1440</v>
      </c>
      <c r="D89" s="11"/>
      <c r="E89" s="55"/>
      <c r="K89" s="55"/>
    </row>
    <row r="90" spans="2:13" ht="15.45">
      <c r="B90" s="10" t="s">
        <v>174</v>
      </c>
      <c r="C90" s="64">
        <f>C89*(1-C84*0.01)</f>
        <v>1425.6</v>
      </c>
      <c r="D90" s="11"/>
      <c r="E90" s="10"/>
      <c r="K90" s="55"/>
    </row>
    <row r="91" spans="2:13">
      <c r="B91" s="55" t="s">
        <v>178</v>
      </c>
      <c r="C91" s="20">
        <f>C90*C83</f>
        <v>356.4</v>
      </c>
      <c r="D91" s="55" t="s">
        <v>191</v>
      </c>
      <c r="F91" s="55"/>
      <c r="K91" s="55" t="s">
        <v>72</v>
      </c>
    </row>
    <row r="92" spans="2:13" ht="15.45">
      <c r="B92" s="10" t="s">
        <v>181</v>
      </c>
      <c r="D92" s="130">
        <f>C91/H87</f>
        <v>14.255999999999998</v>
      </c>
      <c r="F92" s="55"/>
      <c r="K92" s="10"/>
    </row>
    <row r="93" spans="2:13" ht="15.45">
      <c r="B93" s="10"/>
      <c r="D93" s="29"/>
      <c r="F93" s="55"/>
      <c r="K93" s="10"/>
    </row>
    <row r="94" spans="2:13" ht="15.45">
      <c r="B94" s="10" t="s">
        <v>156</v>
      </c>
      <c r="C94" s="20"/>
      <c r="D94" s="44">
        <f>D78+D92</f>
        <v>133.48457142857143</v>
      </c>
      <c r="F94" s="55"/>
    </row>
    <row r="95" spans="2:13">
      <c r="B95" s="132" t="s">
        <v>180</v>
      </c>
    </row>
    <row r="96" spans="2:13" ht="15.45">
      <c r="B96" s="68" t="s">
        <v>179</v>
      </c>
      <c r="C96" s="10" t="s">
        <v>182</v>
      </c>
      <c r="E96" s="10"/>
      <c r="H96" s="44">
        <f>H72+H88</f>
        <v>114.17142857142858</v>
      </c>
    </row>
    <row r="97" spans="2:12">
      <c r="B97" s="55" t="s">
        <v>121</v>
      </c>
    </row>
    <row r="98" spans="2:12" ht="15.45">
      <c r="B98" s="10" t="s">
        <v>33</v>
      </c>
      <c r="F98" s="55" t="s">
        <v>194</v>
      </c>
      <c r="G98" s="11"/>
      <c r="H98" s="10" t="s">
        <v>192</v>
      </c>
    </row>
    <row r="99" spans="2:12">
      <c r="B99" s="55" t="s">
        <v>184</v>
      </c>
      <c r="D99" s="55" t="s">
        <v>271</v>
      </c>
      <c r="H99" s="28">
        <f>(H69+H71)/2</f>
        <v>1090</v>
      </c>
      <c r="K99" s="55" t="s">
        <v>185</v>
      </c>
    </row>
    <row r="100" spans="2:12">
      <c r="B100" s="55" t="s">
        <v>193</v>
      </c>
      <c r="D100" s="55" t="s">
        <v>271</v>
      </c>
      <c r="F100" s="28">
        <f>(H81+H83)/2</f>
        <v>2720</v>
      </c>
      <c r="G100" s="11"/>
      <c r="H100" s="20">
        <f>F100/H87</f>
        <v>108.8</v>
      </c>
      <c r="K100" t="s">
        <v>186</v>
      </c>
      <c r="L100" s="133">
        <f>H87</f>
        <v>25</v>
      </c>
    </row>
    <row r="101" spans="2:12" ht="15.45">
      <c r="B101" s="31" t="s">
        <v>130</v>
      </c>
      <c r="C101" s="45"/>
      <c r="D101" s="45"/>
      <c r="E101" s="45"/>
      <c r="F101" s="45"/>
      <c r="G101" s="45"/>
      <c r="H101" s="130">
        <f>H99+H100</f>
        <v>1198.8</v>
      </c>
    </row>
    <row r="102" spans="2:12" ht="15.45">
      <c r="B102" s="55" t="s">
        <v>131</v>
      </c>
      <c r="E102" s="29"/>
      <c r="F102" s="10"/>
    </row>
    <row r="103" spans="2:12">
      <c r="B103" s="17" t="s">
        <v>132</v>
      </c>
    </row>
    <row r="104" spans="2:12">
      <c r="B104" s="17" t="s">
        <v>91</v>
      </c>
    </row>
    <row r="105" spans="2:12">
      <c r="B105" s="17" t="s">
        <v>67</v>
      </c>
    </row>
    <row r="106" spans="2:12">
      <c r="B106" s="68" t="s">
        <v>135</v>
      </c>
    </row>
    <row r="107" spans="2:12">
      <c r="B107" s="214" t="s">
        <v>270</v>
      </c>
    </row>
    <row r="108" spans="2:12" ht="20.05" customHeight="1">
      <c r="B108" s="221" t="s">
        <v>134</v>
      </c>
      <c r="C108" s="223"/>
      <c r="D108" s="223"/>
      <c r="E108" s="223"/>
      <c r="F108" s="223"/>
      <c r="G108" s="223"/>
      <c r="H108" s="223"/>
    </row>
    <row r="109" spans="2:12" ht="20.05" customHeight="1">
      <c r="B109" s="221"/>
      <c r="C109" s="222"/>
      <c r="D109" s="222"/>
      <c r="E109" s="222"/>
      <c r="F109" s="222"/>
      <c r="G109" s="222"/>
      <c r="H109" s="222"/>
    </row>
    <row r="110" spans="2:12" ht="20.05" customHeight="1">
      <c r="B110" s="221"/>
      <c r="C110" s="222"/>
      <c r="D110" s="222"/>
      <c r="E110" s="222"/>
      <c r="F110" s="222"/>
      <c r="G110" s="222"/>
      <c r="H110" s="222"/>
    </row>
    <row r="112" spans="2:12">
      <c r="B112" s="213"/>
      <c r="C112" s="212"/>
      <c r="D112" s="212"/>
      <c r="E112" s="212"/>
      <c r="F112" s="212"/>
      <c r="G112" s="212"/>
    </row>
  </sheetData>
  <sheetProtection sheet="1" objects="1" scenarios="1"/>
  <mergeCells count="5">
    <mergeCell ref="B110:H110"/>
    <mergeCell ref="B108:H108"/>
    <mergeCell ref="B109:H109"/>
    <mergeCell ref="B5:E5"/>
    <mergeCell ref="B1:I1"/>
  </mergeCells>
  <phoneticPr fontId="2" type="noConversion"/>
  <pageMargins left="1" right="0.5" top="1" bottom="1" header="0.5" footer="0.5"/>
  <pageSetup scale="67" orientation="portrait" r:id="rId1"/>
  <headerFooter alignWithMargins="0">
    <oddFooter>&amp;L&amp;F&amp;R&amp;A
Page &amp;P of &amp;N</oddFooter>
  </headerFooter>
  <rowBreaks count="1" manualBreakCount="1">
    <brk id="6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50"/>
  <sheetViews>
    <sheetView topLeftCell="A9" workbookViewId="0">
      <selection activeCell="D28" sqref="D28"/>
    </sheetView>
  </sheetViews>
  <sheetFormatPr defaultRowHeight="15"/>
  <cols>
    <col min="1" max="1" width="3" customWidth="1"/>
    <col min="2" max="2" width="10" customWidth="1"/>
    <col min="3" max="3" width="33.9375" customWidth="1"/>
    <col min="4" max="4" width="13.75" customWidth="1"/>
    <col min="5" max="5" width="11.0625" customWidth="1"/>
    <col min="6" max="6" width="21" customWidth="1"/>
    <col min="7" max="7" width="9.4375" customWidth="1"/>
    <col min="8" max="8" width="12.0625" customWidth="1"/>
    <col min="9" max="9" width="10.25" customWidth="1"/>
    <col min="10" max="10" width="11.9375" customWidth="1"/>
  </cols>
  <sheetData>
    <row r="1" spans="2:11" ht="15.45">
      <c r="B1" s="230" t="s">
        <v>54</v>
      </c>
      <c r="C1" s="229"/>
      <c r="D1" s="229"/>
      <c r="E1" s="11"/>
      <c r="G1" s="11"/>
    </row>
    <row r="2" spans="2:11" ht="15.45">
      <c r="B2" s="230" t="s">
        <v>92</v>
      </c>
      <c r="C2" s="229"/>
      <c r="D2" s="229"/>
      <c r="E2" s="11"/>
      <c r="F2" s="10" t="s">
        <v>74</v>
      </c>
      <c r="G2" s="11"/>
    </row>
    <row r="3" spans="2:11" ht="15.45">
      <c r="B3" s="165"/>
      <c r="C3" s="166"/>
      <c r="D3" s="166"/>
      <c r="E3" s="11"/>
      <c r="F3" s="10"/>
      <c r="G3" s="11"/>
    </row>
    <row r="4" spans="2:11" ht="15.45">
      <c r="B4" s="231" t="str">
        <f>'1. Total Unit Cost&amp;ROA '!B5</f>
        <v>Cow-Calf in Rolling Plains TX - Precondition Calves</v>
      </c>
      <c r="C4" s="231"/>
      <c r="D4" s="231"/>
      <c r="E4" s="11"/>
      <c r="F4" s="55" t="s">
        <v>65</v>
      </c>
      <c r="G4" s="11"/>
    </row>
    <row r="5" spans="2:11">
      <c r="D5" s="117" t="s">
        <v>141</v>
      </c>
      <c r="E5" s="171">
        <f>'1. Total Unit Cost&amp;ROA '!H5</f>
        <v>43857</v>
      </c>
      <c r="F5" s="11"/>
      <c r="G5" s="11"/>
    </row>
    <row r="6" spans="2:11" ht="15.45">
      <c r="B6" s="10" t="s">
        <v>56</v>
      </c>
      <c r="C6" s="11"/>
      <c r="D6" s="121" t="str">
        <f>'1. Total Unit Cost&amp;ROA '!F20</f>
        <v>Owned Land</v>
      </c>
      <c r="E6" s="11"/>
      <c r="F6" s="55"/>
      <c r="G6" s="11"/>
    </row>
    <row r="7" spans="2:11" ht="15.45">
      <c r="B7" s="11"/>
      <c r="C7" s="11"/>
      <c r="D7" s="37" t="s">
        <v>5</v>
      </c>
      <c r="E7" s="11"/>
      <c r="F7" s="17" t="s">
        <v>80</v>
      </c>
      <c r="G7" s="11"/>
    </row>
    <row r="8" spans="2:11">
      <c r="B8" s="55" t="s">
        <v>75</v>
      </c>
      <c r="C8" s="11"/>
      <c r="D8" s="15">
        <f>'1. Total Unit Cost&amp;ROA '!F56</f>
        <v>707.77892857142865</v>
      </c>
      <c r="E8" s="11"/>
      <c r="F8" s="55" t="s">
        <v>61</v>
      </c>
      <c r="G8" s="12"/>
      <c r="H8" s="5"/>
    </row>
    <row r="9" spans="2:11">
      <c r="B9" s="5" t="s">
        <v>36</v>
      </c>
      <c r="C9" s="11"/>
      <c r="D9" s="15">
        <f>'1. Total Unit Cost&amp;ROA '!F58</f>
        <v>0</v>
      </c>
      <c r="E9" s="11"/>
      <c r="F9" s="5"/>
      <c r="G9" s="12"/>
      <c r="H9" s="5"/>
    </row>
    <row r="10" spans="2:11" ht="15.45">
      <c r="B10" s="31" t="s">
        <v>169</v>
      </c>
      <c r="C10" s="31"/>
      <c r="D10" s="44">
        <f>SUM(D8:D9)</f>
        <v>707.77892857142865</v>
      </c>
      <c r="E10" s="11"/>
      <c r="F10" s="5"/>
      <c r="G10" s="12"/>
      <c r="H10" s="5"/>
    </row>
    <row r="11" spans="2:11">
      <c r="B11" s="55" t="s">
        <v>122</v>
      </c>
      <c r="C11" s="11"/>
      <c r="D11" s="15">
        <f>'1. Total Unit Cost&amp;ROA '!F25</f>
        <v>0</v>
      </c>
      <c r="E11" s="11"/>
      <c r="F11" s="5" t="s">
        <v>37</v>
      </c>
      <c r="G11" s="12"/>
      <c r="H11" s="5"/>
    </row>
    <row r="12" spans="2:11" ht="15.45">
      <c r="B12" s="10"/>
      <c r="C12" s="10"/>
      <c r="D12" s="9"/>
      <c r="E12" s="11"/>
      <c r="F12" s="43"/>
      <c r="G12" s="5"/>
      <c r="H12" s="40"/>
      <c r="I12" s="5"/>
      <c r="J12" s="13"/>
      <c r="K12" s="14"/>
    </row>
    <row r="13" spans="2:11" ht="15.45">
      <c r="B13" s="10" t="s">
        <v>16</v>
      </c>
      <c r="C13" s="11"/>
      <c r="D13" s="9" t="str">
        <f>'1. Total Unit Cost&amp;ROA '!K18</f>
        <v>Owned Land</v>
      </c>
      <c r="E13" s="11"/>
      <c r="F13" s="134">
        <f>'1. Total Unit Cost&amp;ROA '!E20</f>
        <v>1</v>
      </c>
      <c r="G13" s="135" t="str">
        <f>D13</f>
        <v>Owned Land</v>
      </c>
      <c r="H13" s="136"/>
    </row>
    <row r="14" spans="2:11">
      <c r="B14" s="5" t="s">
        <v>30</v>
      </c>
      <c r="C14" s="11"/>
      <c r="D14" s="6">
        <v>12</v>
      </c>
      <c r="E14" s="11"/>
      <c r="F14" s="55" t="s">
        <v>20</v>
      </c>
    </row>
    <row r="15" spans="2:11">
      <c r="B15" s="5" t="s">
        <v>31</v>
      </c>
      <c r="C15" s="11"/>
      <c r="D15" s="1">
        <v>850</v>
      </c>
      <c r="E15" s="11"/>
      <c r="F15" s="55" t="s">
        <v>34</v>
      </c>
      <c r="G15" s="11"/>
      <c r="H15" s="5" t="s">
        <v>52</v>
      </c>
      <c r="I15" t="s">
        <v>55</v>
      </c>
    </row>
    <row r="16" spans="2:11" ht="15.45">
      <c r="B16" s="5" t="s">
        <v>32</v>
      </c>
      <c r="C16" s="11"/>
      <c r="D16" s="15">
        <f>IF(F13=1,(D15*D14),0)</f>
        <v>10200</v>
      </c>
      <c r="E16" s="11"/>
      <c r="F16" s="53"/>
      <c r="G16" s="11"/>
      <c r="H16" s="9">
        <f>'1. Total Unit Cost&amp;ROA '!F25</f>
        <v>0</v>
      </c>
      <c r="I16" s="83">
        <f>IF(D16=0,0,H16/D16)</f>
        <v>0</v>
      </c>
    </row>
    <row r="17" spans="2:8">
      <c r="B17" s="55" t="s">
        <v>188</v>
      </c>
      <c r="C17" s="11"/>
      <c r="D17" s="15">
        <f>'1. Total Unit Cost&amp;ROA '!H101</f>
        <v>1198.8</v>
      </c>
      <c r="E17" s="11"/>
      <c r="F17" s="55" t="s">
        <v>187</v>
      </c>
      <c r="G17" s="11"/>
      <c r="H17" s="5"/>
    </row>
    <row r="18" spans="2:8">
      <c r="B18" s="55" t="s">
        <v>278</v>
      </c>
      <c r="C18" s="11"/>
      <c r="D18" s="59">
        <f>'4. Capital Asset  Costs'!G40</f>
        <v>212.5</v>
      </c>
      <c r="E18" s="16"/>
      <c r="F18" s="55" t="s">
        <v>81</v>
      </c>
      <c r="G18" s="11"/>
      <c r="H18" s="5"/>
    </row>
    <row r="19" spans="2:8" ht="15.45">
      <c r="B19" s="31" t="s">
        <v>17</v>
      </c>
      <c r="C19" s="45"/>
      <c r="D19" s="44">
        <f>SUM(D16:D18)</f>
        <v>11611.3</v>
      </c>
      <c r="E19" s="11"/>
      <c r="F19" s="55" t="s">
        <v>6</v>
      </c>
      <c r="G19" s="58">
        <f>'1. Total Unit Cost&amp;ROA '!F8</f>
        <v>85</v>
      </c>
      <c r="H19" s="5" t="s">
        <v>1</v>
      </c>
    </row>
    <row r="20" spans="2:8">
      <c r="B20" s="11"/>
      <c r="C20" s="11"/>
      <c r="D20" s="11"/>
      <c r="E20" s="11"/>
      <c r="F20" s="55"/>
      <c r="G20" s="58"/>
      <c r="H20" s="5"/>
    </row>
    <row r="21" spans="2:8" ht="15.45">
      <c r="B21" s="10" t="s">
        <v>153</v>
      </c>
      <c r="C21" s="11"/>
      <c r="D21" s="9">
        <f>'1. Total Unit Cost&amp;ROA '!F12</f>
        <v>68</v>
      </c>
      <c r="E21" s="11"/>
      <c r="F21" s="55" t="s">
        <v>13</v>
      </c>
      <c r="G21" s="56">
        <f>'1. Total Unit Cost&amp;ROA '!D13</f>
        <v>545</v>
      </c>
      <c r="H21" s="5" t="s">
        <v>0</v>
      </c>
    </row>
    <row r="22" spans="2:8" ht="15.45">
      <c r="B22" s="55"/>
      <c r="C22" s="11"/>
      <c r="D22" s="9"/>
      <c r="E22" s="11"/>
      <c r="F22" s="55"/>
      <c r="G22" s="56"/>
      <c r="H22" s="5"/>
    </row>
    <row r="23" spans="2:8" ht="15.45">
      <c r="B23" s="10" t="s">
        <v>98</v>
      </c>
      <c r="C23" s="11"/>
      <c r="D23" s="83">
        <f>D21/D19</f>
        <v>5.8563640591492777E-3</v>
      </c>
      <c r="E23" s="11"/>
      <c r="F23" s="55" t="s">
        <v>236</v>
      </c>
      <c r="G23" s="56"/>
      <c r="H23" s="5"/>
    </row>
    <row r="24" spans="2:8" ht="15.45">
      <c r="B24" s="10"/>
      <c r="C24" s="11"/>
      <c r="D24" s="73"/>
      <c r="E24" s="11"/>
      <c r="F24" s="55"/>
      <c r="G24" s="56"/>
      <c r="H24" s="5"/>
    </row>
    <row r="25" spans="2:8" ht="15.45">
      <c r="B25" s="10" t="s">
        <v>7</v>
      </c>
      <c r="C25" s="10"/>
      <c r="D25" s="60">
        <f>G25</f>
        <v>463.25</v>
      </c>
      <c r="E25" s="11"/>
      <c r="F25" s="55" t="s">
        <v>14</v>
      </c>
      <c r="G25" s="32">
        <f>G19*G21*0.01</f>
        <v>463.25</v>
      </c>
      <c r="H25" s="99" t="s">
        <v>0</v>
      </c>
    </row>
    <row r="26" spans="2:8">
      <c r="B26" s="11"/>
      <c r="C26" s="11"/>
      <c r="D26" s="11"/>
      <c r="E26" s="11"/>
      <c r="F26" s="55"/>
      <c r="G26" s="11"/>
      <c r="H26" s="5"/>
    </row>
    <row r="27" spans="2:8" ht="15.45">
      <c r="B27" s="10" t="s">
        <v>27</v>
      </c>
      <c r="C27" s="11"/>
      <c r="D27" s="123">
        <v>3</v>
      </c>
      <c r="E27" s="10" t="s">
        <v>1</v>
      </c>
      <c r="F27" s="41" t="s">
        <v>38</v>
      </c>
      <c r="G27" s="11"/>
      <c r="H27" s="5"/>
    </row>
    <row r="28" spans="2:8" ht="15.45">
      <c r="B28" s="113" t="s">
        <v>227</v>
      </c>
      <c r="C28" s="11"/>
      <c r="D28" s="9">
        <f>D27*D19*0.01</f>
        <v>348.33899999999994</v>
      </c>
      <c r="E28" s="11"/>
      <c r="F28" s="55" t="s">
        <v>235</v>
      </c>
      <c r="G28" s="11"/>
    </row>
    <row r="29" spans="2:8" ht="15.45">
      <c r="B29" s="10"/>
      <c r="C29" s="11"/>
      <c r="D29" s="13"/>
      <c r="E29" s="125" t="str">
        <f>(IF('1. Total Unit Cost&amp;ROA '!$E$20=2," ","Per Acre"))</f>
        <v>Per Acre</v>
      </c>
      <c r="F29" s="55" t="s">
        <v>90</v>
      </c>
      <c r="G29" s="11"/>
    </row>
    <row r="30" spans="2:8" ht="15.45">
      <c r="B30" s="31" t="s">
        <v>85</v>
      </c>
      <c r="C30" s="91"/>
      <c r="D30" s="44">
        <f>'1. Total Unit Cost&amp;ROA '!F62</f>
        <v>305.66814285714281</v>
      </c>
      <c r="E30" s="19">
        <f>(IF('1. Total Unit Cost&amp;ROA '!$E$20=2," ",D30/D14))</f>
        <v>25.472345238095233</v>
      </c>
      <c r="F30" s="55"/>
      <c r="G30" s="11"/>
    </row>
    <row r="31" spans="2:8" ht="15.45">
      <c r="B31" s="10" t="s">
        <v>114</v>
      </c>
      <c r="C31" s="11"/>
      <c r="D31" s="13"/>
      <c r="E31" s="11"/>
      <c r="F31" s="55"/>
      <c r="G31" s="11"/>
    </row>
    <row r="32" spans="2:8" ht="15.45">
      <c r="B32" s="55" t="s">
        <v>108</v>
      </c>
      <c r="C32" s="11"/>
      <c r="D32" s="9">
        <f>D28-D30-D9</f>
        <v>42.67085714285713</v>
      </c>
      <c r="E32" s="10" t="s">
        <v>118</v>
      </c>
      <c r="F32" s="55" t="s">
        <v>90</v>
      </c>
      <c r="G32" s="11"/>
    </row>
    <row r="33" spans="2:9" ht="15.45">
      <c r="B33" s="55" t="s">
        <v>109</v>
      </c>
      <c r="C33" s="11"/>
      <c r="D33" s="22">
        <f>(D32/D25)*100</f>
        <v>9.2111942024516189</v>
      </c>
      <c r="E33" s="10" t="s">
        <v>116</v>
      </c>
      <c r="F33" s="55"/>
      <c r="G33" s="11"/>
    </row>
    <row r="34" spans="2:9" ht="15.45">
      <c r="B34" s="31" t="s">
        <v>237</v>
      </c>
      <c r="C34" s="91"/>
      <c r="D34" s="151">
        <f>'1. Total Unit Cost&amp;ROA '!E13+D33</f>
        <v>199.16532264281858</v>
      </c>
      <c r="E34" s="95">
        <f>I38</f>
        <v>4.6248985918953864E-2</v>
      </c>
      <c r="F34" s="187" t="s">
        <v>238</v>
      </c>
      <c r="G34" s="11"/>
    </row>
    <row r="35" spans="2:9">
      <c r="B35" s="65"/>
      <c r="C35" s="65"/>
      <c r="D35" s="65"/>
      <c r="E35" s="65"/>
      <c r="F35" s="65"/>
      <c r="G35" s="11"/>
    </row>
    <row r="36" spans="2:9" ht="15.45">
      <c r="B36" s="149" t="s">
        <v>212</v>
      </c>
      <c r="C36" s="147"/>
      <c r="D36" s="151">
        <f>'3. Steer Vs. Heifer Price &amp; ROA'!D27</f>
        <v>194.21119420245162</v>
      </c>
      <c r="E36" s="150"/>
      <c r="F36" s="65"/>
      <c r="G36" s="11"/>
    </row>
    <row r="37" spans="2:9" ht="15.45">
      <c r="B37" s="149" t="s">
        <v>213</v>
      </c>
      <c r="C37" s="147"/>
      <c r="D37" s="151">
        <f>'3. Steer Vs. Heifer Price &amp; ROA'!D28</f>
        <v>174.21119420245162</v>
      </c>
      <c r="E37" s="148"/>
      <c r="F37" s="65"/>
      <c r="G37" s="11"/>
    </row>
    <row r="38" spans="2:9" ht="15.45">
      <c r="B38" s="10"/>
      <c r="C38" s="10"/>
      <c r="D38" s="84"/>
      <c r="E38" s="55" t="s">
        <v>146</v>
      </c>
      <c r="F38" s="92">
        <f>D34*D25*0.01</f>
        <v>922.63335714285711</v>
      </c>
      <c r="G38" s="22">
        <f>'1. Total Unit Cost&amp;ROA '!F15</f>
        <v>879.96249999999998</v>
      </c>
      <c r="H38" s="40">
        <f>F38-G38</f>
        <v>42.67085714285713</v>
      </c>
      <c r="I38" s="18">
        <f>H38/F38</f>
        <v>4.6248985918953864E-2</v>
      </c>
    </row>
    <row r="39" spans="2:9" ht="15.45">
      <c r="B39" s="55" t="s">
        <v>147</v>
      </c>
      <c r="C39" s="11"/>
      <c r="D39" s="29">
        <f>G25*D34*0.01</f>
        <v>922.63335714285711</v>
      </c>
      <c r="E39" s="63">
        <f>IF($D$41=0,0,D39/$D$41)</f>
        <v>0.87360827061317758</v>
      </c>
      <c r="F39" s="17" t="s">
        <v>112</v>
      </c>
      <c r="G39" s="17" t="s">
        <v>113</v>
      </c>
      <c r="H39" s="17" t="s">
        <v>111</v>
      </c>
      <c r="I39" s="55" t="s">
        <v>115</v>
      </c>
    </row>
    <row r="40" spans="2:9">
      <c r="B40" s="5" t="s">
        <v>26</v>
      </c>
      <c r="C40" s="11"/>
      <c r="D40" s="93">
        <f>+'1. Total Unit Cost&amp;ROA '!F16</f>
        <v>133.48457142857143</v>
      </c>
      <c r="E40" s="63">
        <f>IF($D$41=0,0,D40/$D$41)</f>
        <v>0.12639172938682239</v>
      </c>
      <c r="F40" s="17"/>
      <c r="G40" s="17"/>
      <c r="H40" s="17"/>
      <c r="I40" s="55"/>
    </row>
    <row r="41" spans="2:9" ht="15.45">
      <c r="B41" s="10" t="s">
        <v>148</v>
      </c>
      <c r="C41" s="10"/>
      <c r="D41" s="29">
        <f>D39+D40</f>
        <v>1056.1179285714286</v>
      </c>
      <c r="E41" s="11"/>
      <c r="F41" s="10"/>
      <c r="G41" s="11"/>
    </row>
    <row r="42" spans="2:9" ht="15.45">
      <c r="B42" s="10"/>
      <c r="C42" s="10"/>
      <c r="D42" s="29"/>
      <c r="E42" s="125" t="str">
        <f>E29</f>
        <v>Per Acre</v>
      </c>
      <c r="F42" s="10"/>
      <c r="G42" s="11"/>
    </row>
    <row r="43" spans="2:9" ht="15.45">
      <c r="B43" s="31" t="s">
        <v>151</v>
      </c>
      <c r="C43" s="45"/>
      <c r="D43" s="44">
        <f>D41-D10</f>
        <v>348.33899999999994</v>
      </c>
      <c r="E43" s="19">
        <f>(IF('1. Total Unit Cost&amp;ROA '!$E$20=2," ",D43/D14))</f>
        <v>29.028249999999996</v>
      </c>
      <c r="F43" s="10" t="s">
        <v>53</v>
      </c>
      <c r="G43" s="11"/>
    </row>
    <row r="44" spans="2:9" ht="15.45">
      <c r="B44" s="55"/>
      <c r="C44" s="11"/>
      <c r="D44" s="122" t="str">
        <f>D6</f>
        <v>Owned Land</v>
      </c>
      <c r="E44" s="125" t="s">
        <v>89</v>
      </c>
      <c r="F44" s="10"/>
      <c r="G44" s="11"/>
    </row>
    <row r="45" spans="2:9" ht="15.45">
      <c r="B45" s="113" t="s">
        <v>227</v>
      </c>
      <c r="C45" s="113"/>
      <c r="D45" s="120">
        <f>D27*D19*0.01</f>
        <v>348.33899999999994</v>
      </c>
      <c r="E45" s="83">
        <f>D45/D19</f>
        <v>2.9999999999999995E-2</v>
      </c>
      <c r="F45" s="5" t="s">
        <v>41</v>
      </c>
      <c r="G45" s="11"/>
      <c r="H45" s="28"/>
      <c r="I45" s="28"/>
    </row>
    <row r="47" spans="2:9" ht="8.0500000000000007" customHeight="1">
      <c r="B47" s="100"/>
      <c r="C47" s="101"/>
      <c r="D47" s="100"/>
      <c r="E47" s="101"/>
    </row>
    <row r="48" spans="2:9">
      <c r="B48" s="17" t="s">
        <v>80</v>
      </c>
      <c r="C48" s="11"/>
      <c r="D48" s="11"/>
      <c r="E48" s="11"/>
    </row>
    <row r="49" spans="2:6">
      <c r="B49" s="17" t="s">
        <v>149</v>
      </c>
      <c r="C49" s="11"/>
      <c r="D49" s="11"/>
      <c r="E49" s="11"/>
    </row>
    <row r="50" spans="2:6">
      <c r="B50" s="17" t="s">
        <v>150</v>
      </c>
      <c r="D50" s="28"/>
      <c r="E50" s="11"/>
      <c r="F50" s="17" t="s">
        <v>90</v>
      </c>
    </row>
  </sheetData>
  <sheetProtection sheet="1" objects="1" scenarios="1"/>
  <mergeCells count="3">
    <mergeCell ref="B1:D1"/>
    <mergeCell ref="B2:D2"/>
    <mergeCell ref="B4:D4"/>
  </mergeCells>
  <pageMargins left="0.95" right="0.45" top="0.75" bottom="0.75" header="0.3" footer="0.3"/>
  <pageSetup scale="91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62"/>
  <sheetViews>
    <sheetView workbookViewId="0">
      <selection activeCell="C7" sqref="C7"/>
    </sheetView>
  </sheetViews>
  <sheetFormatPr defaultRowHeight="15"/>
  <cols>
    <col min="1" max="1" width="4.375" customWidth="1"/>
    <col min="2" max="2" width="34.625" customWidth="1"/>
    <col min="3" max="3" width="11.375" customWidth="1"/>
    <col min="4" max="4" width="9.9375" customWidth="1"/>
    <col min="5" max="5" width="8" customWidth="1"/>
    <col min="6" max="6" width="9" customWidth="1"/>
    <col min="7" max="7" width="9.3125" customWidth="1"/>
    <col min="8" max="8" width="9.875" customWidth="1"/>
    <col min="9" max="9" width="9.25" customWidth="1"/>
    <col min="10" max="10" width="13.75" customWidth="1"/>
    <col min="14" max="14" width="11.875" customWidth="1"/>
  </cols>
  <sheetData>
    <row r="1" spans="2:10" ht="17.600000000000001">
      <c r="B1" s="227" t="s">
        <v>211</v>
      </c>
      <c r="C1" s="228"/>
      <c r="D1" s="228"/>
      <c r="E1" s="228"/>
      <c r="F1" s="228"/>
      <c r="G1" s="228"/>
      <c r="H1" s="232"/>
      <c r="I1" s="232"/>
    </row>
    <row r="2" spans="2:10" ht="17.600000000000001">
      <c r="B2" s="163"/>
      <c r="C2" s="164"/>
      <c r="D2" s="164"/>
      <c r="E2" s="164"/>
      <c r="F2" s="164"/>
      <c r="G2" s="164"/>
      <c r="H2" s="167"/>
      <c r="I2" s="167"/>
    </row>
    <row r="3" spans="2:10">
      <c r="B3" s="55" t="str">
        <f>'1. Total Unit Cost&amp;ROA '!B5:E5</f>
        <v>Cow-Calf in Rolling Plains TX - Precondition Calves</v>
      </c>
      <c r="F3" s="168" t="s">
        <v>141</v>
      </c>
      <c r="G3" s="169"/>
      <c r="H3" s="170">
        <f>'1. Total Unit Cost&amp;ROA '!H5</f>
        <v>43857</v>
      </c>
    </row>
    <row r="4" spans="2:10">
      <c r="B4" s="55"/>
      <c r="F4" s="168"/>
      <c r="G4" s="169"/>
      <c r="H4" s="170"/>
    </row>
    <row r="5" spans="2:10" ht="15.45">
      <c r="B5" s="10" t="str">
        <f>'1. Total Unit Cost&amp;ROA '!F20</f>
        <v>Owned Land</v>
      </c>
      <c r="J5" s="55" t="s">
        <v>226</v>
      </c>
    </row>
    <row r="6" spans="2:10" ht="15.45">
      <c r="B6" s="10"/>
      <c r="C6" s="10"/>
      <c r="E6" s="82"/>
      <c r="J6" s="55"/>
    </row>
    <row r="7" spans="2:10" ht="15.45">
      <c r="B7" s="10" t="s">
        <v>137</v>
      </c>
      <c r="C7" s="57">
        <f>'1. Total Unit Cost&amp;ROA '!F8</f>
        <v>85</v>
      </c>
      <c r="D7" s="10" t="s">
        <v>1</v>
      </c>
      <c r="E7" s="157"/>
      <c r="F7" s="157"/>
      <c r="G7" s="157"/>
      <c r="H7" s="125"/>
      <c r="I7" s="125" t="s">
        <v>210</v>
      </c>
    </row>
    <row r="8" spans="2:10" ht="15.45">
      <c r="B8" s="10" t="s">
        <v>228</v>
      </c>
      <c r="C8" s="158" t="s">
        <v>144</v>
      </c>
      <c r="D8" s="125" t="s">
        <v>223</v>
      </c>
      <c r="E8" s="125" t="s">
        <v>95</v>
      </c>
      <c r="F8" s="125" t="s">
        <v>202</v>
      </c>
      <c r="G8" s="156" t="s">
        <v>139</v>
      </c>
      <c r="H8" s="125" t="s">
        <v>223</v>
      </c>
      <c r="I8" s="156" t="s">
        <v>139</v>
      </c>
    </row>
    <row r="9" spans="2:10">
      <c r="B9" s="55" t="s">
        <v>99</v>
      </c>
      <c r="C9" s="56">
        <f>'1. Total Unit Cost&amp;ROA '!D10</f>
        <v>560</v>
      </c>
      <c r="D9" s="143">
        <f>'1. Total Unit Cost&amp;ROA '!E10</f>
        <v>185</v>
      </c>
      <c r="E9" s="22">
        <f>C9*D9*0.01</f>
        <v>1036</v>
      </c>
      <c r="F9" s="152">
        <f>C9*$C$7*0.005</f>
        <v>238</v>
      </c>
      <c r="G9" s="22">
        <f>D9*F9*0.01</f>
        <v>440.3</v>
      </c>
    </row>
    <row r="10" spans="2:10" ht="15.45">
      <c r="B10" s="55" t="s">
        <v>101</v>
      </c>
      <c r="C10" s="56">
        <f>'1. Total Unit Cost&amp;ROA '!D11</f>
        <v>530</v>
      </c>
      <c r="D10" s="142">
        <f>'1. Total Unit Cost&amp;ROA '!E11</f>
        <v>165</v>
      </c>
      <c r="E10" s="22">
        <f>C10*D10*0.01</f>
        <v>874.5</v>
      </c>
      <c r="F10" s="152">
        <f>C10*$C$7*0.005</f>
        <v>225.25</v>
      </c>
      <c r="G10" s="22">
        <f>D10*F10*0.01</f>
        <v>371.66250000000002</v>
      </c>
      <c r="I10" s="9">
        <f>G9+G10</f>
        <v>811.96250000000009</v>
      </c>
    </row>
    <row r="11" spans="2:10">
      <c r="B11" s="55" t="s">
        <v>104</v>
      </c>
      <c r="C11" s="24"/>
      <c r="D11" s="1"/>
      <c r="E11" s="154">
        <f>'1. Total Unit Cost&amp;ROA '!C12</f>
        <v>80</v>
      </c>
      <c r="G11" s="22">
        <f>E11*C7*0.01</f>
        <v>68</v>
      </c>
    </row>
    <row r="12" spans="2:10" ht="15.45">
      <c r="B12" s="172" t="s">
        <v>97</v>
      </c>
      <c r="C12" s="173">
        <f>((C9+C10)*0.5)</f>
        <v>545</v>
      </c>
      <c r="D12" s="174"/>
      <c r="E12" s="115"/>
      <c r="G12" s="116"/>
    </row>
    <row r="13" spans="2:10">
      <c r="B13" s="55" t="s">
        <v>220</v>
      </c>
      <c r="C13" s="188">
        <f>C9-C10</f>
        <v>30</v>
      </c>
      <c r="D13" s="175">
        <f>D9-D10</f>
        <v>20</v>
      </c>
      <c r="E13" s="80">
        <f>E9-E10</f>
        <v>161.5</v>
      </c>
      <c r="G13" s="116"/>
    </row>
    <row r="14" spans="2:10" ht="15.45">
      <c r="B14" s="113" t="s">
        <v>222</v>
      </c>
      <c r="C14" s="114"/>
      <c r="D14" s="127"/>
      <c r="F14" s="31">
        <f>F9+F10</f>
        <v>463.25</v>
      </c>
      <c r="G14" s="44">
        <f>G9+G10</f>
        <v>811.96250000000009</v>
      </c>
      <c r="H14" s="44">
        <f>G14/F14*100</f>
        <v>175.27522935779817</v>
      </c>
    </row>
    <row r="15" spans="2:10" ht="15.45">
      <c r="B15" s="68" t="s">
        <v>221</v>
      </c>
      <c r="C15" s="114"/>
      <c r="D15" s="127"/>
    </row>
    <row r="16" spans="2:10" ht="15.45">
      <c r="B16" s="10" t="s">
        <v>225</v>
      </c>
      <c r="C16" s="177">
        <f>'1. Total Unit Cost&amp;ROA '!F64</f>
        <v>2.6325057733168795E-2</v>
      </c>
      <c r="G16" s="22"/>
    </row>
    <row r="17" spans="2:11" ht="15.45">
      <c r="B17" s="10"/>
      <c r="C17" s="10"/>
      <c r="G17" s="22"/>
    </row>
    <row r="18" spans="2:11" ht="15.45">
      <c r="B18" s="9" t="s">
        <v>215</v>
      </c>
      <c r="C18" s="162">
        <f>'2. ROA-Ave. Calf Price Required'!D27*0.01</f>
        <v>0.03</v>
      </c>
      <c r="G18" s="22"/>
    </row>
    <row r="19" spans="2:11" ht="15.45">
      <c r="B19" s="31" t="s">
        <v>203</v>
      </c>
      <c r="C19" s="45"/>
      <c r="D19" s="45"/>
      <c r="E19" s="45"/>
      <c r="F19" s="45"/>
      <c r="G19" s="151">
        <f>'2. ROA-Ave. Calf Price Required'!D32</f>
        <v>42.67085714285713</v>
      </c>
      <c r="H19" s="151">
        <f>((G19/F14*100))</f>
        <v>9.2111942024516189</v>
      </c>
      <c r="J19" s="13"/>
    </row>
    <row r="20" spans="2:11" ht="15.45">
      <c r="B20" s="10"/>
      <c r="C20" s="9"/>
      <c r="F20" s="9"/>
      <c r="G20" s="22"/>
      <c r="J20" s="13"/>
    </row>
    <row r="21" spans="2:11" ht="15.45">
      <c r="B21" s="55"/>
      <c r="C21" s="158" t="s">
        <v>144</v>
      </c>
      <c r="D21" s="10" t="s">
        <v>105</v>
      </c>
      <c r="E21" s="125" t="s">
        <v>95</v>
      </c>
      <c r="F21" s="125" t="s">
        <v>202</v>
      </c>
      <c r="G21" s="156" t="s">
        <v>139</v>
      </c>
      <c r="J21" s="13"/>
    </row>
    <row r="22" spans="2:11">
      <c r="B22" s="112" t="s">
        <v>204</v>
      </c>
      <c r="C22" s="56">
        <f>C9</f>
        <v>560</v>
      </c>
      <c r="D22" s="141">
        <f>(D23+D13)</f>
        <v>18.935964844653455</v>
      </c>
      <c r="E22" s="22">
        <f>C22*D22*0.01</f>
        <v>106.04140313005935</v>
      </c>
      <c r="F22" s="152">
        <f>C22*$C$7*0.005</f>
        <v>238</v>
      </c>
      <c r="G22" s="22">
        <f>D22*F22*0.01</f>
        <v>45.067596330275222</v>
      </c>
      <c r="I22" s="138"/>
      <c r="J22" s="144"/>
    </row>
    <row r="23" spans="2:11">
      <c r="B23" s="112" t="s">
        <v>205</v>
      </c>
      <c r="C23" s="56">
        <f t="shared" ref="C23" si="0">C10</f>
        <v>530</v>
      </c>
      <c r="D23" s="184">
        <f>($G$19-$D$13*$C$9*$C$7*0.00005)/(($C$7*$C$9*0.00005)+(($C$7*$C$10*0.00005)))</f>
        <v>-1.0640351553465452</v>
      </c>
      <c r="E23" s="22">
        <f>C23*D23*0.01</f>
        <v>-5.6393863233366908</v>
      </c>
      <c r="F23" s="152">
        <f>C23*$C$7*0.005</f>
        <v>225.25</v>
      </c>
      <c r="G23" s="22">
        <f>D23*F23*0.01</f>
        <v>-2.3967391874180932</v>
      </c>
      <c r="I23" s="138"/>
      <c r="J23" s="111"/>
    </row>
    <row r="24" spans="2:11" ht="15.45">
      <c r="B24" s="112"/>
      <c r="C24" s="156" t="s">
        <v>139</v>
      </c>
      <c r="D24" s="141"/>
      <c r="E24" s="22"/>
      <c r="F24" s="32">
        <f>F22+F23</f>
        <v>463.25</v>
      </c>
      <c r="G24" s="9">
        <f>G22+G23</f>
        <v>42.67085714285713</v>
      </c>
      <c r="H24" s="151">
        <f>((G24/F24*100))</f>
        <v>9.2111942024516189</v>
      </c>
      <c r="I24" s="138"/>
      <c r="J24" s="111"/>
    </row>
    <row r="25" spans="2:11" ht="15.45">
      <c r="B25" s="149" t="s">
        <v>219</v>
      </c>
      <c r="C25" s="64">
        <f>G19+I10</f>
        <v>854.63335714285722</v>
      </c>
      <c r="D25" s="141"/>
      <c r="E25" s="22"/>
      <c r="H25" s="125"/>
      <c r="I25" s="138"/>
      <c r="J25" s="111"/>
    </row>
    <row r="26" spans="2:11" ht="15.45">
      <c r="B26" s="112"/>
      <c r="C26" s="158" t="s">
        <v>144</v>
      </c>
      <c r="D26" s="10" t="s">
        <v>105</v>
      </c>
      <c r="E26" s="125" t="s">
        <v>95</v>
      </c>
      <c r="F26" s="125" t="s">
        <v>202</v>
      </c>
      <c r="G26" s="156" t="s">
        <v>139</v>
      </c>
      <c r="H26" s="125" t="s">
        <v>223</v>
      </c>
      <c r="I26" s="138"/>
      <c r="J26" s="111"/>
    </row>
    <row r="27" spans="2:11" ht="15.45">
      <c r="B27" s="112" t="s">
        <v>206</v>
      </c>
      <c r="C27" s="56">
        <f>C22</f>
        <v>560</v>
      </c>
      <c r="D27" s="185">
        <f>D28+D13</f>
        <v>194.21119420245162</v>
      </c>
      <c r="E27" s="22">
        <f>C27*D27*0.01</f>
        <v>1087.5826875337291</v>
      </c>
      <c r="F27" s="152">
        <f>C27*$C$7*0.005</f>
        <v>238</v>
      </c>
      <c r="G27" s="22">
        <f>D27*F27*0.01</f>
        <v>462.2226422018349</v>
      </c>
      <c r="H27" s="22">
        <f>G27/F27*100</f>
        <v>194.21119420245162</v>
      </c>
      <c r="I27" s="138"/>
      <c r="J27" s="111"/>
    </row>
    <row r="28" spans="2:11" ht="15.45">
      <c r="B28" s="112" t="s">
        <v>207</v>
      </c>
      <c r="C28" s="56">
        <f>C23</f>
        <v>530</v>
      </c>
      <c r="D28" s="185">
        <f>($C$25-$D$13*$C$9*$C$7*0.00005)/(($C$7*$C$9*0.00005)+(($C$7*$C$10*0.00005)))</f>
        <v>174.21119420245162</v>
      </c>
      <c r="E28" s="22">
        <f>C28*D28*0.01</f>
        <v>923.31932927299363</v>
      </c>
      <c r="F28" s="152">
        <f>C28*$C$7*0.005</f>
        <v>225.25</v>
      </c>
      <c r="G28" s="22">
        <f>D28*F28*0.01</f>
        <v>392.41071494102232</v>
      </c>
      <c r="H28" s="22">
        <f>G28/F28*100</f>
        <v>174.21119420245162</v>
      </c>
      <c r="I28" s="9">
        <f>G27+G28</f>
        <v>854.63335714285722</v>
      </c>
      <c r="J28" s="13">
        <f>I28-I10</f>
        <v>42.67085714285713</v>
      </c>
      <c r="K28" s="140"/>
    </row>
    <row r="29" spans="2:11" ht="15.45">
      <c r="B29" s="112" t="s">
        <v>217</v>
      </c>
      <c r="C29" s="56"/>
      <c r="D29" s="111"/>
      <c r="E29" s="22"/>
      <c r="F29" s="152">
        <f>F27+F28</f>
        <v>463.25</v>
      </c>
      <c r="G29" s="9">
        <f>(G27+G28)</f>
        <v>854.63335714285722</v>
      </c>
      <c r="H29" s="22">
        <f>G29/F29*100</f>
        <v>184.48642356024979</v>
      </c>
      <c r="I29" s="22"/>
      <c r="J29" s="13"/>
      <c r="K29" s="140"/>
    </row>
    <row r="30" spans="2:11" ht="15.45">
      <c r="B30" s="55" t="s">
        <v>104</v>
      </c>
      <c r="C30" s="24"/>
      <c r="D30" s="140"/>
      <c r="E30" s="22">
        <f>E11</f>
        <v>80</v>
      </c>
      <c r="G30" s="22">
        <f>G11</f>
        <v>68</v>
      </c>
      <c r="H30" s="22"/>
      <c r="J30" s="13">
        <f>J28-G19</f>
        <v>0</v>
      </c>
      <c r="K30" s="140" t="s">
        <v>208</v>
      </c>
    </row>
    <row r="31" spans="2:11" ht="15.45">
      <c r="B31" s="55"/>
      <c r="C31" s="24"/>
      <c r="D31" s="140"/>
      <c r="E31" s="22"/>
      <c r="G31" s="22"/>
      <c r="H31" s="22"/>
      <c r="J31" s="13"/>
      <c r="K31" s="140"/>
    </row>
    <row r="32" spans="2:11" ht="15.45">
      <c r="B32" s="159" t="s">
        <v>224</v>
      </c>
      <c r="C32" s="45"/>
      <c r="D32" s="151"/>
      <c r="E32" s="45"/>
      <c r="F32" s="31">
        <f>F14</f>
        <v>463.25</v>
      </c>
      <c r="G32" s="44">
        <f>G29+G30</f>
        <v>922.63335714285722</v>
      </c>
      <c r="H32" s="44">
        <f>G32/F32*100</f>
        <v>199.16532264281861</v>
      </c>
    </row>
    <row r="33" spans="2:12">
      <c r="B33" s="55" t="s">
        <v>201</v>
      </c>
    </row>
    <row r="34" spans="2:12">
      <c r="B34" s="55"/>
    </row>
    <row r="35" spans="2:12" ht="17.600000000000001">
      <c r="B35" s="227" t="s">
        <v>209</v>
      </c>
      <c r="C35" s="228"/>
      <c r="D35" s="228"/>
      <c r="E35" s="228"/>
      <c r="F35" s="228"/>
      <c r="G35" s="228"/>
      <c r="H35" s="232"/>
      <c r="I35" s="232"/>
    </row>
    <row r="36" spans="2:12">
      <c r="B36" s="110"/>
      <c r="C36" s="109"/>
      <c r="G36" s="22"/>
    </row>
    <row r="37" spans="2:12" ht="15.45">
      <c r="B37" s="55" t="s">
        <v>137</v>
      </c>
      <c r="C37" s="176">
        <f>C7*0.01</f>
        <v>0.85</v>
      </c>
      <c r="D37" s="153" t="s">
        <v>200</v>
      </c>
      <c r="G37" s="31" t="s">
        <v>216</v>
      </c>
    </row>
    <row r="38" spans="2:12">
      <c r="C38" s="119" t="s">
        <v>138</v>
      </c>
      <c r="D38" s="153" t="s">
        <v>142</v>
      </c>
      <c r="E38" s="55" t="s">
        <v>218</v>
      </c>
      <c r="G38" s="22"/>
      <c r="J38" s="146"/>
    </row>
    <row r="39" spans="2:12" ht="15.45">
      <c r="B39" s="10" t="s">
        <v>169</v>
      </c>
      <c r="C39" s="21">
        <f>'1. Total Unit Cost&amp;ROA '!F60</f>
        <v>707.77892857142865</v>
      </c>
      <c r="D39" s="22">
        <f>'1. Total Unit Cost&amp;ROA '!F16+'3. Steer Vs. Heifer Price &amp; ROA'!E11</f>
        <v>213.48457142857143</v>
      </c>
      <c r="E39" s="22">
        <f>C39-D39</f>
        <v>494.29435714285722</v>
      </c>
      <c r="H39" s="22"/>
      <c r="J39" s="55"/>
    </row>
    <row r="40" spans="2:12" ht="15.45">
      <c r="B40" s="55"/>
      <c r="C40" s="21"/>
      <c r="D40" s="22"/>
      <c r="E40" s="22"/>
      <c r="H40" s="125"/>
      <c r="I40" s="125" t="s">
        <v>210</v>
      </c>
      <c r="J40" s="55"/>
    </row>
    <row r="41" spans="2:12" ht="15.45">
      <c r="C41" s="155" t="s">
        <v>144</v>
      </c>
      <c r="D41" s="10" t="s">
        <v>105</v>
      </c>
      <c r="E41" s="10" t="s">
        <v>95</v>
      </c>
      <c r="F41" s="125" t="s">
        <v>202</v>
      </c>
      <c r="G41" s="156" t="s">
        <v>139</v>
      </c>
      <c r="H41" s="125" t="s">
        <v>223</v>
      </c>
      <c r="I41" s="156" t="s">
        <v>139</v>
      </c>
      <c r="J41" s="145"/>
    </row>
    <row r="42" spans="2:12">
      <c r="B42" s="112" t="s">
        <v>214</v>
      </c>
      <c r="C42" s="56">
        <f>C9</f>
        <v>560</v>
      </c>
      <c r="D42" s="141">
        <f>(D43+D13)</f>
        <v>116.42619690077866</v>
      </c>
      <c r="E42" s="22">
        <f>C42*D42*0.01</f>
        <v>651.98670264436055</v>
      </c>
      <c r="F42" s="152">
        <f>C9*$C$7*0.005</f>
        <v>238</v>
      </c>
      <c r="G42" s="80">
        <f>D42*F42*0.01</f>
        <v>277.09434862385325</v>
      </c>
      <c r="J42" s="112"/>
      <c r="L42" s="111"/>
    </row>
    <row r="43" spans="2:12">
      <c r="B43" s="112" t="s">
        <v>140</v>
      </c>
      <c r="C43" s="56">
        <f>C10</f>
        <v>530</v>
      </c>
      <c r="D43" s="141">
        <f>($C$39-D39-$D$13*$C$9*$C$7*0.00005)/(($C$7*$C$9*0.00005)+(($C$7*$C$10*0.00005)))</f>
        <v>96.426196900778663</v>
      </c>
      <c r="E43" s="22">
        <f>C43*D43*0.01</f>
        <v>511.05884357412697</v>
      </c>
      <c r="F43" s="152">
        <f>C10*$C$7*0.005</f>
        <v>225.25</v>
      </c>
      <c r="G43" s="80">
        <f>D43*F43*0.01</f>
        <v>217.20000851900394</v>
      </c>
      <c r="J43" s="112"/>
      <c r="K43" s="55"/>
      <c r="L43" s="111"/>
    </row>
    <row r="44" spans="2:12" ht="15.45">
      <c r="B44" s="55" t="s">
        <v>143</v>
      </c>
      <c r="C44" s="56"/>
      <c r="D44" s="141">
        <f>D42-D43</f>
        <v>20</v>
      </c>
      <c r="E44" s="22"/>
      <c r="F44" s="152"/>
      <c r="G44" s="80">
        <f>G42+G43</f>
        <v>494.29435714285717</v>
      </c>
      <c r="I44" s="9">
        <f>G44</f>
        <v>494.29435714285717</v>
      </c>
      <c r="J44" s="112"/>
      <c r="K44" s="55"/>
      <c r="L44" s="111"/>
    </row>
    <row r="45" spans="2:12" ht="15.45">
      <c r="B45" s="55" t="s">
        <v>104</v>
      </c>
      <c r="C45" s="24"/>
      <c r="D45" s="140"/>
      <c r="E45" s="22">
        <f>E30</f>
        <v>80</v>
      </c>
      <c r="G45" s="22">
        <f>G11</f>
        <v>68</v>
      </c>
      <c r="J45" s="112"/>
      <c r="K45" s="55"/>
      <c r="L45" s="111"/>
    </row>
    <row r="46" spans="2:12">
      <c r="B46" s="55"/>
      <c r="C46" s="56"/>
      <c r="D46" s="141"/>
      <c r="E46" s="22"/>
      <c r="F46" s="152"/>
      <c r="G46" s="80"/>
      <c r="J46" s="112"/>
      <c r="K46" s="55"/>
      <c r="L46" s="111"/>
    </row>
    <row r="47" spans="2:12" ht="15.45">
      <c r="B47" s="159" t="s">
        <v>224</v>
      </c>
      <c r="C47" s="160"/>
      <c r="D47" s="161"/>
      <c r="E47" s="45"/>
      <c r="F47" s="31">
        <f>F32</f>
        <v>463.25</v>
      </c>
      <c r="G47" s="44">
        <f>G44+G45</f>
        <v>562.29435714285717</v>
      </c>
      <c r="H47" s="44">
        <f>G47/F47*100</f>
        <v>121.38032534114565</v>
      </c>
      <c r="J47" s="80">
        <f>G44-E39</f>
        <v>0</v>
      </c>
      <c r="K47" s="140" t="s">
        <v>208</v>
      </c>
      <c r="L47" s="140"/>
    </row>
    <row r="48" spans="2:12">
      <c r="B48" s="55" t="s">
        <v>201</v>
      </c>
      <c r="D48" s="139"/>
      <c r="G48" s="22"/>
    </row>
    <row r="49" spans="2:17">
      <c r="G49" s="22"/>
    </row>
    <row r="50" spans="2:17" ht="15.45">
      <c r="B50" s="10" t="s">
        <v>232</v>
      </c>
      <c r="C50" s="10" t="str">
        <f>B5</f>
        <v>Owned Land</v>
      </c>
      <c r="G50" s="22"/>
    </row>
    <row r="51" spans="2:17" ht="15.45">
      <c r="C51" s="125" t="s">
        <v>89</v>
      </c>
      <c r="D51" s="10" t="s">
        <v>231</v>
      </c>
      <c r="G51" s="22"/>
    </row>
    <row r="52" spans="2:17" ht="15.45">
      <c r="B52" s="10" t="s">
        <v>230</v>
      </c>
      <c r="C52" s="180">
        <f>C16</f>
        <v>2.6325057733168795E-2</v>
      </c>
      <c r="D52" s="125" t="s">
        <v>223</v>
      </c>
    </row>
    <row r="53" spans="2:17">
      <c r="B53" s="55" t="s">
        <v>99</v>
      </c>
      <c r="C53" s="56"/>
      <c r="D53" s="59">
        <f>D9</f>
        <v>185</v>
      </c>
    </row>
    <row r="54" spans="2:17">
      <c r="B54" s="55" t="s">
        <v>101</v>
      </c>
      <c r="C54" s="56"/>
      <c r="D54" s="59">
        <f>D10</f>
        <v>165</v>
      </c>
      <c r="O54" s="22"/>
      <c r="P54" s="22"/>
      <c r="Q54" s="22"/>
    </row>
    <row r="55" spans="2:17">
      <c r="B55" s="55"/>
      <c r="C55" s="56"/>
      <c r="D55" s="59"/>
      <c r="O55" s="22"/>
      <c r="P55" s="22"/>
      <c r="Q55" s="22"/>
    </row>
    <row r="56" spans="2:17" ht="15.45">
      <c r="B56" s="9" t="s">
        <v>215</v>
      </c>
      <c r="C56" s="181">
        <f>C18</f>
        <v>0.03</v>
      </c>
      <c r="D56" s="22"/>
      <c r="J56" s="55" t="s">
        <v>233</v>
      </c>
    </row>
    <row r="57" spans="2:17">
      <c r="B57" s="112" t="s">
        <v>206</v>
      </c>
      <c r="C57" s="56"/>
      <c r="D57" s="182">
        <f>D27</f>
        <v>194.21119420245162</v>
      </c>
      <c r="O57" s="183"/>
      <c r="P57" s="183"/>
      <c r="Q57" s="183"/>
    </row>
    <row r="58" spans="2:17">
      <c r="B58" s="112" t="s">
        <v>207</v>
      </c>
      <c r="C58" s="56"/>
      <c r="D58" s="182">
        <f>D28</f>
        <v>174.21119420245162</v>
      </c>
    </row>
    <row r="59" spans="2:17">
      <c r="B59" s="112"/>
      <c r="C59" s="56"/>
      <c r="D59" s="59"/>
    </row>
    <row r="60" spans="2:17" ht="15.45">
      <c r="B60" s="10" t="s">
        <v>169</v>
      </c>
      <c r="C60" s="181">
        <v>0</v>
      </c>
      <c r="D60" s="22"/>
    </row>
    <row r="61" spans="2:17">
      <c r="B61" s="112" t="s">
        <v>214</v>
      </c>
      <c r="D61" s="22">
        <f>D42</f>
        <v>116.42619690077866</v>
      </c>
    </row>
    <row r="62" spans="2:17">
      <c r="B62" s="112" t="s">
        <v>140</v>
      </c>
      <c r="D62" s="22">
        <f>D43</f>
        <v>96.426196900778663</v>
      </c>
    </row>
  </sheetData>
  <sheetProtection sheet="1" objects="1" scenarios="1"/>
  <mergeCells count="2">
    <mergeCell ref="B1:I1"/>
    <mergeCell ref="B35:I35"/>
  </mergeCells>
  <pageMargins left="0.95" right="0.45" top="0.75" bottom="0.75" header="0.3" footer="0.3"/>
  <pageSetup scale="72" orientation="portrait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BA47E-010E-4491-B6A5-C5FEB9E67BD6}">
  <sheetPr>
    <pageSetUpPr fitToPage="1"/>
  </sheetPr>
  <dimension ref="B1:I40"/>
  <sheetViews>
    <sheetView workbookViewId="0">
      <selection activeCell="B6" sqref="B6"/>
    </sheetView>
  </sheetViews>
  <sheetFormatPr defaultRowHeight="15"/>
  <cols>
    <col min="1" max="1" width="4.5" customWidth="1"/>
    <col min="2" max="2" width="20.4375" customWidth="1"/>
  </cols>
  <sheetData>
    <row r="1" spans="2:9" ht="15.45">
      <c r="B1" s="233" t="s">
        <v>241</v>
      </c>
      <c r="C1" s="234"/>
      <c r="D1" s="234"/>
      <c r="E1" s="234"/>
      <c r="F1" s="234"/>
      <c r="G1" s="234"/>
      <c r="H1" s="234"/>
      <c r="I1" s="234"/>
    </row>
    <row r="2" spans="2:9" ht="15.45">
      <c r="B2" s="204"/>
      <c r="C2" s="205"/>
      <c r="D2" s="205"/>
      <c r="E2" s="205"/>
      <c r="F2" s="205"/>
      <c r="G2" s="205"/>
      <c r="H2" s="205"/>
      <c r="I2" s="205"/>
    </row>
    <row r="3" spans="2:9" ht="15.45">
      <c r="B3" s="113" t="s">
        <v>265</v>
      </c>
      <c r="C3" s="191"/>
      <c r="D3" s="191"/>
      <c r="E3" s="205"/>
      <c r="F3" s="205" t="s">
        <v>3</v>
      </c>
      <c r="G3" s="205"/>
      <c r="H3" s="205"/>
      <c r="I3" s="205" t="s">
        <v>269</v>
      </c>
    </row>
    <row r="4" spans="2:9" ht="15.45">
      <c r="B4" s="201"/>
      <c r="C4" s="201"/>
      <c r="D4" s="113" t="s">
        <v>266</v>
      </c>
      <c r="F4" s="206">
        <f>E40</f>
        <v>55.357500000000002</v>
      </c>
      <c r="G4" s="205"/>
      <c r="H4" s="205"/>
      <c r="I4" s="206">
        <f>I40</f>
        <v>19.75</v>
      </c>
    </row>
    <row r="5" spans="2:9">
      <c r="B5" s="190"/>
      <c r="C5" s="190"/>
      <c r="D5" s="190"/>
      <c r="E5" s="190"/>
      <c r="F5" s="190"/>
      <c r="G5" s="190"/>
      <c r="H5" s="190"/>
      <c r="I5" s="190"/>
    </row>
    <row r="6" spans="2:9" ht="15.45">
      <c r="B6" s="113" t="s">
        <v>279</v>
      </c>
      <c r="C6" s="190"/>
      <c r="D6" s="190"/>
      <c r="E6" s="190"/>
      <c r="F6" s="190"/>
      <c r="G6" s="190"/>
      <c r="H6" s="190"/>
      <c r="I6" s="190"/>
    </row>
    <row r="7" spans="2:9">
      <c r="B7" s="191"/>
      <c r="C7" s="192" t="s">
        <v>242</v>
      </c>
      <c r="D7" s="192" t="s">
        <v>243</v>
      </c>
      <c r="E7" s="192" t="s">
        <v>244</v>
      </c>
      <c r="F7" s="192" t="s">
        <v>3</v>
      </c>
      <c r="G7" s="192" t="s">
        <v>245</v>
      </c>
      <c r="H7" s="192" t="s">
        <v>246</v>
      </c>
      <c r="I7" s="193" t="s">
        <v>247</v>
      </c>
    </row>
    <row r="8" spans="2:9">
      <c r="B8" s="191"/>
      <c r="C8" s="192" t="s">
        <v>248</v>
      </c>
      <c r="D8" s="192" t="s">
        <v>249</v>
      </c>
      <c r="E8" s="192" t="s">
        <v>250</v>
      </c>
      <c r="F8" s="192" t="s">
        <v>251</v>
      </c>
      <c r="G8" s="192" t="s">
        <v>252</v>
      </c>
      <c r="H8" s="193" t="s">
        <v>253</v>
      </c>
      <c r="I8" s="192" t="s">
        <v>254</v>
      </c>
    </row>
    <row r="9" spans="2:9">
      <c r="B9" s="194" t="s">
        <v>255</v>
      </c>
      <c r="C9" s="195">
        <v>80000</v>
      </c>
      <c r="D9" s="196">
        <v>5</v>
      </c>
      <c r="E9" s="196">
        <v>10</v>
      </c>
      <c r="F9" s="197">
        <f>ROUND(IF(D9=0,0,((C9-(E9*0.01*C9))/D9)),0)</f>
        <v>14400</v>
      </c>
      <c r="G9" s="197">
        <f>ROUND(((C9+(E9*0.01*C9)))/2,0)</f>
        <v>44000</v>
      </c>
      <c r="H9" s="196">
        <v>5</v>
      </c>
      <c r="I9" s="197">
        <f>ROUND(C9*H9*0.01,0)</f>
        <v>4000</v>
      </c>
    </row>
    <row r="10" spans="2:9">
      <c r="B10" s="194" t="s">
        <v>256</v>
      </c>
      <c r="C10" s="195">
        <v>10000</v>
      </c>
      <c r="D10" s="196">
        <v>10</v>
      </c>
      <c r="E10" s="196">
        <v>0</v>
      </c>
      <c r="F10" s="197">
        <f t="shared" ref="F10:F19" si="0">ROUND(IF(D10=0,0,((C10-(E10*0.01*C10))/D10)),0)</f>
        <v>1000</v>
      </c>
      <c r="G10" s="197">
        <f t="shared" ref="G10:G19" si="1">ROUND(((C10+(E10*0.01*C10)))/2,0)</f>
        <v>5000</v>
      </c>
      <c r="H10" s="196">
        <v>5</v>
      </c>
      <c r="I10" s="197">
        <f t="shared" ref="I10:I19" si="2">ROUND(C10*H10*0.01,0)</f>
        <v>500</v>
      </c>
    </row>
    <row r="11" spans="2:9">
      <c r="B11" s="194" t="s">
        <v>257</v>
      </c>
      <c r="C11" s="195">
        <v>40000</v>
      </c>
      <c r="D11" s="196">
        <v>10</v>
      </c>
      <c r="E11" s="196">
        <v>10</v>
      </c>
      <c r="F11" s="197">
        <f t="shared" si="0"/>
        <v>3600</v>
      </c>
      <c r="G11" s="197">
        <f t="shared" si="1"/>
        <v>22000</v>
      </c>
      <c r="H11" s="196">
        <v>5</v>
      </c>
      <c r="I11" s="197">
        <f t="shared" si="2"/>
        <v>2000</v>
      </c>
    </row>
    <row r="12" spans="2:9">
      <c r="B12" s="198" t="s">
        <v>258</v>
      </c>
      <c r="C12" s="195">
        <v>8000</v>
      </c>
      <c r="D12" s="196">
        <v>7</v>
      </c>
      <c r="E12" s="196">
        <v>0</v>
      </c>
      <c r="F12" s="197">
        <f t="shared" si="0"/>
        <v>1143</v>
      </c>
      <c r="G12" s="197">
        <f t="shared" si="1"/>
        <v>4000</v>
      </c>
      <c r="H12" s="196">
        <v>5</v>
      </c>
      <c r="I12" s="197">
        <f t="shared" si="2"/>
        <v>400</v>
      </c>
    </row>
    <row r="13" spans="2:9">
      <c r="B13" s="198" t="s">
        <v>259</v>
      </c>
      <c r="C13" s="195">
        <v>20000</v>
      </c>
      <c r="D13" s="196">
        <v>10</v>
      </c>
      <c r="E13" s="196">
        <v>0</v>
      </c>
      <c r="F13" s="197">
        <f t="shared" si="0"/>
        <v>2000</v>
      </c>
      <c r="G13" s="197">
        <f t="shared" si="1"/>
        <v>10000</v>
      </c>
      <c r="H13" s="196">
        <v>5</v>
      </c>
      <c r="I13" s="197">
        <f t="shared" si="2"/>
        <v>1000</v>
      </c>
    </row>
    <row r="14" spans="2:9">
      <c r="B14" s="198" t="s">
        <v>45</v>
      </c>
      <c r="C14" s="195">
        <v>0</v>
      </c>
      <c r="D14" s="196">
        <v>0</v>
      </c>
      <c r="E14" s="196">
        <v>0</v>
      </c>
      <c r="F14" s="197">
        <f t="shared" si="0"/>
        <v>0</v>
      </c>
      <c r="G14" s="197">
        <f t="shared" si="1"/>
        <v>0</v>
      </c>
      <c r="H14" s="196">
        <v>0</v>
      </c>
      <c r="I14" s="197">
        <f t="shared" si="2"/>
        <v>0</v>
      </c>
    </row>
    <row r="15" spans="2:9">
      <c r="B15" s="198" t="s">
        <v>45</v>
      </c>
      <c r="C15" s="195">
        <v>0</v>
      </c>
      <c r="D15" s="196">
        <v>0</v>
      </c>
      <c r="E15" s="196">
        <v>0</v>
      </c>
      <c r="F15" s="197">
        <f t="shared" si="0"/>
        <v>0</v>
      </c>
      <c r="G15" s="197">
        <f t="shared" si="1"/>
        <v>0</v>
      </c>
      <c r="H15" s="196">
        <v>0</v>
      </c>
      <c r="I15" s="197">
        <f t="shared" si="2"/>
        <v>0</v>
      </c>
    </row>
    <row r="16" spans="2:9">
      <c r="B16" s="198" t="s">
        <v>45</v>
      </c>
      <c r="C16" s="195">
        <v>0</v>
      </c>
      <c r="D16" s="196">
        <v>0</v>
      </c>
      <c r="E16" s="196">
        <v>0</v>
      </c>
      <c r="F16" s="197">
        <f t="shared" si="0"/>
        <v>0</v>
      </c>
      <c r="G16" s="197">
        <f t="shared" si="1"/>
        <v>0</v>
      </c>
      <c r="H16" s="196">
        <v>0</v>
      </c>
      <c r="I16" s="197">
        <f t="shared" si="2"/>
        <v>0</v>
      </c>
    </row>
    <row r="17" spans="2:9">
      <c r="B17" s="198" t="s">
        <v>45</v>
      </c>
      <c r="C17" s="195">
        <v>0</v>
      </c>
      <c r="D17" s="196">
        <v>0</v>
      </c>
      <c r="E17" s="196">
        <v>0</v>
      </c>
      <c r="F17" s="197">
        <f t="shared" si="0"/>
        <v>0</v>
      </c>
      <c r="G17" s="197">
        <f t="shared" si="1"/>
        <v>0</v>
      </c>
      <c r="H17" s="196">
        <v>0</v>
      </c>
      <c r="I17" s="197">
        <f t="shared" si="2"/>
        <v>0</v>
      </c>
    </row>
    <row r="18" spans="2:9">
      <c r="B18" s="198" t="s">
        <v>45</v>
      </c>
      <c r="C18" s="195">
        <v>0</v>
      </c>
      <c r="D18" s="196">
        <v>0</v>
      </c>
      <c r="E18" s="196">
        <v>0</v>
      </c>
      <c r="F18" s="197">
        <f t="shared" si="0"/>
        <v>0</v>
      </c>
      <c r="G18" s="197">
        <f t="shared" si="1"/>
        <v>0</v>
      </c>
      <c r="H18" s="196">
        <v>0</v>
      </c>
      <c r="I18" s="197">
        <f t="shared" si="2"/>
        <v>0</v>
      </c>
    </row>
    <row r="19" spans="2:9">
      <c r="B19" s="198" t="s">
        <v>45</v>
      </c>
      <c r="C19" s="195">
        <v>0</v>
      </c>
      <c r="D19" s="196">
        <v>0</v>
      </c>
      <c r="E19" s="196">
        <v>0</v>
      </c>
      <c r="F19" s="197">
        <f t="shared" si="0"/>
        <v>0</v>
      </c>
      <c r="G19" s="197">
        <f t="shared" si="1"/>
        <v>0</v>
      </c>
      <c r="H19" s="196">
        <v>0</v>
      </c>
      <c r="I19" s="197">
        <f t="shared" si="2"/>
        <v>0</v>
      </c>
    </row>
    <row r="20" spans="2:9">
      <c r="B20" s="191" t="s">
        <v>260</v>
      </c>
      <c r="C20" s="199">
        <f>SUM(C9:C19)</f>
        <v>158000</v>
      </c>
      <c r="D20" s="200"/>
      <c r="E20" s="200"/>
      <c r="F20" s="199">
        <f>SUM(F9:F19)</f>
        <v>22143</v>
      </c>
      <c r="G20" s="199">
        <f>SUM(G9:G19)</f>
        <v>85000</v>
      </c>
      <c r="H20" s="200"/>
      <c r="I20" s="199">
        <f>SUM(I9:I19)</f>
        <v>7900</v>
      </c>
    </row>
    <row r="21" spans="2:9" ht="15.45">
      <c r="B21" s="113" t="s">
        <v>267</v>
      </c>
      <c r="C21" s="190"/>
      <c r="D21" s="113"/>
      <c r="E21" s="113"/>
      <c r="F21" s="201"/>
      <c r="G21" s="190"/>
      <c r="H21" s="190"/>
      <c r="I21" s="201"/>
    </row>
    <row r="22" spans="2:9" ht="15.45">
      <c r="B22" s="191" t="s">
        <v>275</v>
      </c>
      <c r="C22" s="190"/>
      <c r="D22" s="202"/>
      <c r="E22" s="113"/>
      <c r="F22" s="115"/>
      <c r="G22" s="190"/>
      <c r="H22" s="190"/>
      <c r="I22" s="115"/>
    </row>
    <row r="23" spans="2:9" ht="15.45">
      <c r="B23" s="191"/>
      <c r="C23" s="190"/>
      <c r="D23" s="202"/>
      <c r="E23" s="190"/>
      <c r="F23" s="190"/>
      <c r="G23" s="115"/>
      <c r="H23" s="190"/>
      <c r="I23" s="190"/>
    </row>
    <row r="24" spans="2:9" ht="15.45">
      <c r="B24" s="113" t="s">
        <v>261</v>
      </c>
      <c r="C24" s="201"/>
      <c r="D24" s="201"/>
      <c r="E24" s="201"/>
      <c r="F24" s="201"/>
      <c r="G24" s="201"/>
      <c r="H24" s="201"/>
      <c r="I24" s="201"/>
    </row>
    <row r="25" spans="2:9" ht="15.45">
      <c r="B25" s="113"/>
      <c r="C25" s="190"/>
      <c r="D25" s="190"/>
      <c r="E25" s="201"/>
      <c r="F25" s="115"/>
      <c r="G25" s="192" t="s">
        <v>252</v>
      </c>
      <c r="H25" s="190"/>
      <c r="I25" s="192" t="s">
        <v>254</v>
      </c>
    </row>
    <row r="26" spans="2:9">
      <c r="B26" s="200"/>
      <c r="C26" s="192" t="s">
        <v>3</v>
      </c>
      <c r="D26" s="192" t="s">
        <v>262</v>
      </c>
      <c r="E26" s="192" t="s">
        <v>251</v>
      </c>
      <c r="F26" s="192" t="s">
        <v>245</v>
      </c>
      <c r="G26" s="192" t="s">
        <v>263</v>
      </c>
      <c r="H26" s="193" t="s">
        <v>247</v>
      </c>
      <c r="I26" s="192" t="s">
        <v>263</v>
      </c>
    </row>
    <row r="27" spans="2:9">
      <c r="B27" s="200"/>
      <c r="C27" s="192" t="s">
        <v>251</v>
      </c>
      <c r="D27" s="203" t="s">
        <v>264</v>
      </c>
      <c r="E27" s="192" t="s">
        <v>3</v>
      </c>
      <c r="F27" s="192" t="s">
        <v>252</v>
      </c>
      <c r="G27" s="203" t="s">
        <v>264</v>
      </c>
      <c r="H27" s="192" t="s">
        <v>254</v>
      </c>
      <c r="I27" s="203" t="s">
        <v>264</v>
      </c>
    </row>
    <row r="28" spans="2:9">
      <c r="B28" s="200" t="str">
        <f t="shared" ref="B28:B38" si="3">B9</f>
        <v>Pickups (2)</v>
      </c>
      <c r="C28" s="197">
        <f t="shared" ref="C28:C38" si="4">F9</f>
        <v>14400</v>
      </c>
      <c r="D28" s="196">
        <v>100</v>
      </c>
      <c r="E28" s="197">
        <f>ROUND(C28*D28*0.01,0)</f>
        <v>14400</v>
      </c>
      <c r="F28" s="197">
        <f t="shared" ref="F28:F38" si="5">G9</f>
        <v>44000</v>
      </c>
      <c r="G28" s="197">
        <f>ROUND(F28*D28*0.01,0)</f>
        <v>44000</v>
      </c>
      <c r="H28" s="197">
        <f t="shared" ref="H28:H38" si="6">I9</f>
        <v>4000</v>
      </c>
      <c r="I28" s="197">
        <f>ROUND(H28*D28*0.01,0)</f>
        <v>4000</v>
      </c>
    </row>
    <row r="29" spans="2:9">
      <c r="B29" s="200" t="str">
        <f t="shared" si="3"/>
        <v>Trailers (2)</v>
      </c>
      <c r="C29" s="197">
        <f t="shared" si="4"/>
        <v>1000</v>
      </c>
      <c r="D29" s="196">
        <v>100</v>
      </c>
      <c r="E29" s="197">
        <f t="shared" ref="E29:E38" si="7">ROUND(C29*D29*0.01,0)</f>
        <v>1000</v>
      </c>
      <c r="F29" s="197">
        <f t="shared" si="5"/>
        <v>5000</v>
      </c>
      <c r="G29" s="197">
        <f t="shared" ref="G29:G38" si="8">ROUND(F29*D29*0.01,0)</f>
        <v>5000</v>
      </c>
      <c r="H29" s="197">
        <f t="shared" si="6"/>
        <v>500</v>
      </c>
      <c r="I29" s="197">
        <f t="shared" ref="I29:I38" si="9">H29*D29*0.01</f>
        <v>500</v>
      </c>
    </row>
    <row r="30" spans="2:9">
      <c r="B30" s="200" t="str">
        <f t="shared" si="3"/>
        <v>Tractor</v>
      </c>
      <c r="C30" s="197">
        <f t="shared" si="4"/>
        <v>3600</v>
      </c>
      <c r="D30" s="196">
        <v>100</v>
      </c>
      <c r="E30" s="197">
        <f t="shared" si="7"/>
        <v>3600</v>
      </c>
      <c r="F30" s="197">
        <f t="shared" si="5"/>
        <v>22000</v>
      </c>
      <c r="G30" s="197">
        <f t="shared" si="8"/>
        <v>22000</v>
      </c>
      <c r="H30" s="197">
        <f t="shared" si="6"/>
        <v>2000</v>
      </c>
      <c r="I30" s="197">
        <f t="shared" si="9"/>
        <v>2000</v>
      </c>
    </row>
    <row r="31" spans="2:9">
      <c r="B31" s="200" t="str">
        <f t="shared" si="3"/>
        <v>Feeders</v>
      </c>
      <c r="C31" s="197">
        <f t="shared" si="4"/>
        <v>1143</v>
      </c>
      <c r="D31" s="196">
        <v>100</v>
      </c>
      <c r="E31" s="197">
        <f t="shared" si="7"/>
        <v>1143</v>
      </c>
      <c r="F31" s="197">
        <f t="shared" si="5"/>
        <v>4000</v>
      </c>
      <c r="G31" s="197">
        <f t="shared" si="8"/>
        <v>4000</v>
      </c>
      <c r="H31" s="197">
        <f t="shared" si="6"/>
        <v>400</v>
      </c>
      <c r="I31" s="197">
        <f t="shared" si="9"/>
        <v>400</v>
      </c>
    </row>
    <row r="32" spans="2:9">
      <c r="B32" s="200" t="str">
        <f t="shared" si="3"/>
        <v>Cattle equipment</v>
      </c>
      <c r="C32" s="197">
        <f t="shared" si="4"/>
        <v>2000</v>
      </c>
      <c r="D32" s="196">
        <v>100</v>
      </c>
      <c r="E32" s="197">
        <f t="shared" si="7"/>
        <v>2000</v>
      </c>
      <c r="F32" s="197">
        <f t="shared" si="5"/>
        <v>10000</v>
      </c>
      <c r="G32" s="197">
        <f t="shared" si="8"/>
        <v>10000</v>
      </c>
      <c r="H32" s="197">
        <f t="shared" si="6"/>
        <v>1000</v>
      </c>
      <c r="I32" s="197">
        <f t="shared" si="9"/>
        <v>1000</v>
      </c>
    </row>
    <row r="33" spans="2:9">
      <c r="B33" s="200" t="str">
        <f t="shared" si="3"/>
        <v>Other</v>
      </c>
      <c r="C33" s="197">
        <f t="shared" si="4"/>
        <v>0</v>
      </c>
      <c r="D33" s="196">
        <v>0</v>
      </c>
      <c r="E33" s="197">
        <f t="shared" si="7"/>
        <v>0</v>
      </c>
      <c r="F33" s="197">
        <f t="shared" si="5"/>
        <v>0</v>
      </c>
      <c r="G33" s="197">
        <f t="shared" si="8"/>
        <v>0</v>
      </c>
      <c r="H33" s="197">
        <f t="shared" si="6"/>
        <v>0</v>
      </c>
      <c r="I33" s="197">
        <f t="shared" si="9"/>
        <v>0</v>
      </c>
    </row>
    <row r="34" spans="2:9">
      <c r="B34" s="200" t="str">
        <f t="shared" si="3"/>
        <v>Other</v>
      </c>
      <c r="C34" s="197">
        <f t="shared" si="4"/>
        <v>0</v>
      </c>
      <c r="D34" s="196">
        <v>0</v>
      </c>
      <c r="E34" s="197">
        <f t="shared" si="7"/>
        <v>0</v>
      </c>
      <c r="F34" s="197">
        <f t="shared" si="5"/>
        <v>0</v>
      </c>
      <c r="G34" s="197">
        <f t="shared" si="8"/>
        <v>0</v>
      </c>
      <c r="H34" s="197">
        <f t="shared" si="6"/>
        <v>0</v>
      </c>
      <c r="I34" s="197">
        <f t="shared" si="9"/>
        <v>0</v>
      </c>
    </row>
    <row r="35" spans="2:9">
      <c r="B35" s="200" t="str">
        <f t="shared" si="3"/>
        <v>Other</v>
      </c>
      <c r="C35" s="197">
        <f t="shared" si="4"/>
        <v>0</v>
      </c>
      <c r="D35" s="196">
        <v>0</v>
      </c>
      <c r="E35" s="197">
        <f t="shared" si="7"/>
        <v>0</v>
      </c>
      <c r="F35" s="197">
        <f t="shared" si="5"/>
        <v>0</v>
      </c>
      <c r="G35" s="197">
        <f t="shared" si="8"/>
        <v>0</v>
      </c>
      <c r="H35" s="197">
        <f t="shared" si="6"/>
        <v>0</v>
      </c>
      <c r="I35" s="197">
        <f t="shared" si="9"/>
        <v>0</v>
      </c>
    </row>
    <row r="36" spans="2:9">
      <c r="B36" s="200" t="str">
        <f t="shared" si="3"/>
        <v>Other</v>
      </c>
      <c r="C36" s="197">
        <f t="shared" si="4"/>
        <v>0</v>
      </c>
      <c r="D36" s="196">
        <v>0</v>
      </c>
      <c r="E36" s="197">
        <f t="shared" si="7"/>
        <v>0</v>
      </c>
      <c r="F36" s="197">
        <f t="shared" si="5"/>
        <v>0</v>
      </c>
      <c r="G36" s="197">
        <f t="shared" si="8"/>
        <v>0</v>
      </c>
      <c r="H36" s="197">
        <f t="shared" si="6"/>
        <v>0</v>
      </c>
      <c r="I36" s="197">
        <f t="shared" si="9"/>
        <v>0</v>
      </c>
    </row>
    <row r="37" spans="2:9">
      <c r="B37" s="200" t="str">
        <f t="shared" si="3"/>
        <v>Other</v>
      </c>
      <c r="C37" s="197">
        <f t="shared" si="4"/>
        <v>0</v>
      </c>
      <c r="D37" s="196">
        <v>0</v>
      </c>
      <c r="E37" s="197">
        <f t="shared" si="7"/>
        <v>0</v>
      </c>
      <c r="F37" s="197">
        <f t="shared" si="5"/>
        <v>0</v>
      </c>
      <c r="G37" s="197">
        <f t="shared" si="8"/>
        <v>0</v>
      </c>
      <c r="H37" s="197">
        <f t="shared" si="6"/>
        <v>0</v>
      </c>
      <c r="I37" s="197">
        <f t="shared" si="9"/>
        <v>0</v>
      </c>
    </row>
    <row r="38" spans="2:9">
      <c r="B38" s="200" t="str">
        <f t="shared" si="3"/>
        <v>Other</v>
      </c>
      <c r="C38" s="197">
        <f t="shared" si="4"/>
        <v>0</v>
      </c>
      <c r="D38" s="196">
        <v>0</v>
      </c>
      <c r="E38" s="197">
        <f t="shared" si="7"/>
        <v>0</v>
      </c>
      <c r="F38" s="197">
        <f t="shared" si="5"/>
        <v>0</v>
      </c>
      <c r="G38" s="197">
        <f t="shared" si="8"/>
        <v>0</v>
      </c>
      <c r="H38" s="197">
        <f t="shared" si="6"/>
        <v>0</v>
      </c>
      <c r="I38" s="197">
        <f t="shared" si="9"/>
        <v>0</v>
      </c>
    </row>
    <row r="39" spans="2:9" ht="15.45">
      <c r="B39" s="81" t="s">
        <v>265</v>
      </c>
      <c r="C39" s="200"/>
      <c r="D39" s="200"/>
      <c r="E39" s="115">
        <f>SUM(E28:E38)</f>
        <v>22143</v>
      </c>
      <c r="F39" s="208">
        <f>SUM(F28:F38)</f>
        <v>85000</v>
      </c>
      <c r="G39" s="199">
        <f>SUM(G28:G38)</f>
        <v>85000</v>
      </c>
      <c r="H39" s="200"/>
      <c r="I39" s="199">
        <f>SUM(I28:I38)</f>
        <v>7900</v>
      </c>
    </row>
    <row r="40" spans="2:9" ht="15.45">
      <c r="B40" s="201"/>
      <c r="C40" s="201"/>
      <c r="D40" s="113" t="s">
        <v>266</v>
      </c>
      <c r="E40" s="127">
        <f>E39/'1. Total Unit Cost&amp;ROA '!$F$6</f>
        <v>55.357500000000002</v>
      </c>
      <c r="F40" s="209"/>
      <c r="G40" s="127">
        <f>G39/'1. Total Unit Cost&amp;ROA '!$F$6</f>
        <v>212.5</v>
      </c>
      <c r="H40" s="174"/>
      <c r="I40" s="127">
        <f>I39/'1. Total Unit Cost&amp;ROA '!$F$6</f>
        <v>19.75</v>
      </c>
    </row>
  </sheetData>
  <sheetProtection sheet="1" objects="1" scenarios="1"/>
  <mergeCells count="1">
    <mergeCell ref="B1:I1"/>
  </mergeCells>
  <pageMargins left="0.95" right="0.45" top="0.75" bottom="0.75" header="0.3" footer="0.3"/>
  <pageSetup scale="90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Total Unit Cost&amp;ROA </vt:lpstr>
      <vt:lpstr>2. ROA-Ave. Calf Price Required</vt:lpstr>
      <vt:lpstr>3. Steer Vs. Heifer Price &amp; ROA</vt:lpstr>
      <vt:lpstr>4. Capital Asset  Costs</vt:lpstr>
      <vt:lpstr>'1. Total Unit Cost&amp;ROA '!Print_Area</vt:lpstr>
      <vt:lpstr>'2. ROA-Ave. Calf Price Required'!Print_Area</vt:lpstr>
      <vt:lpstr>'3. Steer Vs. Heifer Price &amp; ROA'!Print_Area</vt:lpstr>
      <vt:lpstr>'4. Capital Asset 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2019-03-01T02:57:42Z</cp:lastPrinted>
  <dcterms:created xsi:type="dcterms:W3CDTF">2006-01-01T22:27:49Z</dcterms:created>
  <dcterms:modified xsi:type="dcterms:W3CDTF">2020-01-27T14:40:51Z</dcterms:modified>
</cp:coreProperties>
</file>