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F:\R. Sexed Semen Based Breeding Systems Economics  9-14 -2019\"/>
    </mc:Choice>
  </mc:AlternateContent>
  <xr:revisionPtr revIDLastSave="0" documentId="13_ncr:1_{B0547FF8-0C47-433E-8681-DE50521F63FB}" xr6:coauthVersionLast="44" xr6:coauthVersionMax="44" xr10:uidLastSave="{00000000-0000-0000-0000-000000000000}"/>
  <bookViews>
    <workbookView xWindow="-103" yWindow="-103" windowWidth="16663" windowHeight="8863" tabRatio="967" activeTab="3" xr2:uid="{00000000-000D-0000-FFFF-FFFF00000000}"/>
  </bookViews>
  <sheets>
    <sheet name="1.Rep. Heifer SPA BreedingData " sheetId="9" r:id="rId1"/>
    <sheet name="2. Repl. Heif. SPA ReproData " sheetId="2" r:id="rId2"/>
    <sheet name="3. SPA Performance Results" sheetId="6" r:id="rId3"/>
    <sheet name="4. SPA Performance Graphs" sheetId="8" r:id="rId4"/>
    <sheet name="5. Definitions" sheetId="10" r:id="rId5"/>
  </sheets>
  <definedNames>
    <definedName name="_xlnm.Print_Area" localSheetId="0">'1.Rep. Heifer SPA BreedingData '!$B$1:$G$52</definedName>
    <definedName name="_xlnm.Print_Area" localSheetId="1">'2. Repl. Heif. SPA ReproData '!$A$1:$I$120</definedName>
    <definedName name="_xlnm.Print_Area" localSheetId="2">'3. SPA Performance Results'!$B$2:$G$32</definedName>
    <definedName name="_xlnm.Print_Area" localSheetId="3">'4. SPA Performance Graphs'!$B$3:$N$67</definedName>
    <definedName name="_xlnm.Print_Area" localSheetId="4">'5. Definitions'!$B$2:$B$20</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14" i="2" l="1"/>
  <c r="F112" i="2"/>
  <c r="D116" i="2" l="1"/>
  <c r="E113" i="2"/>
  <c r="H114" i="2" s="1"/>
  <c r="F113" i="2"/>
  <c r="F37" i="2" l="1"/>
  <c r="I48" i="9"/>
  <c r="F36" i="2"/>
  <c r="I49" i="9"/>
  <c r="J29" i="2"/>
  <c r="I24" i="2"/>
  <c r="D19" i="9"/>
  <c r="E34" i="9"/>
  <c r="E33" i="9"/>
  <c r="D22" i="9"/>
  <c r="J48" i="9" l="1"/>
  <c r="D49" i="9" s="1"/>
  <c r="J25" i="2"/>
  <c r="G22" i="9"/>
  <c r="F23" i="9"/>
  <c r="E20" i="9"/>
  <c r="E21" i="9"/>
  <c r="F77" i="2"/>
  <c r="F12" i="2" l="1"/>
  <c r="F11" i="2"/>
  <c r="F20" i="2"/>
  <c r="F9" i="2"/>
  <c r="F8" i="2"/>
  <c r="D48" i="9"/>
  <c r="F46" i="9"/>
  <c r="F48" i="9" s="1"/>
  <c r="G44" i="9"/>
  <c r="E36" i="9"/>
  <c r="E32" i="9"/>
  <c r="E38" i="9" s="1"/>
  <c r="E30" i="9"/>
  <c r="E27" i="9"/>
  <c r="F14" i="9"/>
  <c r="F12" i="9"/>
  <c r="I46" i="9" l="1"/>
  <c r="G46" i="9"/>
  <c r="P62" i="2" l="1"/>
  <c r="F64" i="2" s="1"/>
  <c r="H30" i="2" l="1"/>
  <c r="H20" i="2"/>
  <c r="H53" i="2" s="1"/>
  <c r="C108" i="2"/>
  <c r="E10" i="6" s="1"/>
  <c r="E6" i="6" s="1"/>
  <c r="E111" i="2"/>
  <c r="G25" i="6"/>
  <c r="F72" i="2"/>
  <c r="H68" i="2"/>
  <c r="F81" i="2" s="1"/>
  <c r="H66" i="2"/>
  <c r="E73" i="2" s="1"/>
  <c r="F14" i="2"/>
  <c r="F15" i="2" s="1"/>
  <c r="H9" i="2"/>
  <c r="H100" i="2"/>
  <c r="C104" i="2"/>
  <c r="D104" i="2"/>
  <c r="D61" i="2"/>
  <c r="C61" i="2"/>
  <c r="K100" i="2"/>
  <c r="H12" i="2"/>
  <c r="H18" i="2"/>
  <c r="D42" i="2"/>
  <c r="F34" i="2"/>
  <c r="D45" i="2" s="1"/>
  <c r="F33" i="2"/>
  <c r="G20" i="6"/>
  <c r="H39" i="2"/>
  <c r="H3" i="2"/>
  <c r="O9" i="2"/>
  <c r="F111" i="2" l="1"/>
  <c r="E116" i="2"/>
  <c r="F116" i="2" s="1"/>
  <c r="H112" i="2"/>
  <c r="G23" i="6" s="1"/>
  <c r="C82" i="2"/>
  <c r="L92" i="2"/>
  <c r="G12" i="6" s="1"/>
  <c r="W35" i="8" s="1"/>
  <c r="H98" i="2"/>
  <c r="H15" i="2"/>
  <c r="C83" i="2"/>
  <c r="H57" i="2"/>
  <c r="T35" i="8" s="1"/>
  <c r="J104" i="2"/>
  <c r="B67" i="2"/>
  <c r="L94" i="2"/>
  <c r="G16" i="6" s="1"/>
  <c r="K67" i="8" s="1"/>
  <c r="H117" i="2"/>
  <c r="G14" i="6" s="1"/>
  <c r="W15" i="8" s="1"/>
  <c r="H88" i="2"/>
  <c r="G10" i="6" s="1"/>
  <c r="V15" i="8" s="1"/>
  <c r="H95" i="2"/>
  <c r="H73" i="2"/>
  <c r="J82" i="2" l="1"/>
  <c r="J103" i="2" s="1"/>
  <c r="M105" i="2" s="1"/>
  <c r="H70" i="2"/>
  <c r="G6" i="6" s="1"/>
  <c r="U15" i="8" s="1"/>
  <c r="J83" i="2"/>
  <c r="J105" i="2"/>
  <c r="C120" i="2" s="1"/>
  <c r="H79" i="2"/>
  <c r="G8" i="6" l="1"/>
  <c r="V35" i="8" s="1"/>
  <c r="G27" i="6"/>
  <c r="G29" i="6" s="1"/>
</calcChain>
</file>

<file path=xl/sharedStrings.xml><?xml version="1.0" encoding="utf-8"?>
<sst xmlns="http://schemas.openxmlformats.org/spreadsheetml/2006/main" count="259" uniqueCount="229">
  <si>
    <t>Beginning Date Of Breeding Season</t>
  </si>
  <si>
    <t>Ending Date Of Breeding Season</t>
  </si>
  <si>
    <t>Number</t>
  </si>
  <si>
    <t>Tested</t>
  </si>
  <si>
    <t>Open</t>
  </si>
  <si>
    <t>Group Description</t>
  </si>
  <si>
    <t>Pregnant</t>
  </si>
  <si>
    <t>%</t>
  </si>
  <si>
    <t>Days</t>
  </si>
  <si>
    <t>Head</t>
  </si>
  <si>
    <t>Mid point of Calving Season</t>
  </si>
  <si>
    <t>Date</t>
  </si>
  <si>
    <t>Total</t>
  </si>
  <si>
    <t>Average</t>
  </si>
  <si>
    <t>Weaned Calves Production and Values</t>
  </si>
  <si>
    <t>Payweight</t>
  </si>
  <si>
    <t>Per Hd</t>
  </si>
  <si>
    <t>Months</t>
  </si>
  <si>
    <t>Lb.</t>
  </si>
  <si>
    <t>Heifer Calves Weaned</t>
  </si>
  <si>
    <t>______________________________________________________________________________________</t>
  </si>
  <si>
    <t>breeding season ends.</t>
  </si>
  <si>
    <t>breeding season.</t>
  </si>
  <si>
    <t xml:space="preserve"> Adjustments In Exposed Cows After Breeding Season</t>
  </si>
  <si>
    <t>Total Adjusted Number of Exposed at End of Breeding Season</t>
  </si>
  <si>
    <t>between calving and weaning</t>
  </si>
  <si>
    <t>_______________________________________________________________________________________</t>
  </si>
  <si>
    <t xml:space="preserve">Percent open sold or transferred </t>
  </si>
  <si>
    <t>14 a.</t>
  </si>
  <si>
    <t>14 b.</t>
  </si>
  <si>
    <t>15 a.</t>
  </si>
  <si>
    <t>15 b.</t>
  </si>
  <si>
    <t>Calving Performance Measures</t>
  </si>
  <si>
    <t>Calf death loss only due to calving problems</t>
  </si>
  <si>
    <t>Total live calves born</t>
  </si>
  <si>
    <t>Calving death loss based on calves born (19/18a)</t>
  </si>
  <si>
    <t>Beginning</t>
  </si>
  <si>
    <t>Ending</t>
  </si>
  <si>
    <t>Average calving date</t>
  </si>
  <si>
    <t>Average weaning date</t>
  </si>
  <si>
    <t>Months Old</t>
  </si>
  <si>
    <r>
      <t>Average Age at Weaning (</t>
    </r>
    <r>
      <rPr>
        <sz val="10"/>
        <rFont val="Arial"/>
        <family val="2"/>
      </rPr>
      <t>mo.</t>
    </r>
    <r>
      <rPr>
        <sz val="12"/>
        <rFont val="Arial"/>
        <family val="2"/>
      </rPr>
      <t>)</t>
    </r>
  </si>
  <si>
    <t>19.</t>
  </si>
  <si>
    <t xml:space="preserve">    Date of pregnancy testing</t>
  </si>
  <si>
    <t>Pregnancy</t>
  </si>
  <si>
    <t xml:space="preserve">Death Loss and Replacement </t>
  </si>
  <si>
    <r>
      <t>Before Calving Begins - (</t>
    </r>
    <r>
      <rPr>
        <sz val="10"/>
        <rFont val="Arial"/>
        <family val="2"/>
      </rPr>
      <t>Beginning Breeding Season +283 Days)</t>
    </r>
  </si>
  <si>
    <t>intended to bred during the breeding season but failed to conceive.</t>
  </si>
  <si>
    <t>Weaning Performance Measurers</t>
  </si>
  <si>
    <t xml:space="preserve">Calf Weaning Dates </t>
  </si>
  <si>
    <t>Reproduction Performance</t>
  </si>
  <si>
    <t>Average Age at Weaning</t>
  </si>
  <si>
    <t>Heifers</t>
  </si>
  <si>
    <t>Average Weaning Wt.</t>
  </si>
  <si>
    <t>Production Performance Measures</t>
  </si>
  <si>
    <r>
      <t>Total Calves Born (</t>
    </r>
    <r>
      <rPr>
        <b/>
        <sz val="10"/>
        <rFont val="Arial"/>
        <family val="2"/>
      </rPr>
      <t>include live and dead calving</t>
    </r>
    <r>
      <rPr>
        <b/>
        <sz val="12"/>
        <rFont val="Arial"/>
        <family val="2"/>
      </rPr>
      <t xml:space="preserve"> )</t>
    </r>
  </si>
  <si>
    <t xml:space="preserve">   after the calving season begins</t>
  </si>
  <si>
    <t>exposed herd.</t>
  </si>
  <si>
    <t>after the breeding season ends</t>
  </si>
  <si>
    <t>________________________________________________________________________________________</t>
  </si>
  <si>
    <t>Year of Breeding to Produced Weaned Calves</t>
  </si>
  <si>
    <t>Printed</t>
  </si>
  <si>
    <t>Length of calving season</t>
  </si>
  <si>
    <t>Date First Calf was born</t>
  </si>
  <si>
    <t xml:space="preserve">End of Weaning Date </t>
  </si>
  <si>
    <t xml:space="preserve">Beginning Weaning Date </t>
  </si>
  <si>
    <t>Pregnancy Testing Beginning Date</t>
  </si>
  <si>
    <t>Pregnancy Testing Ending Date</t>
  </si>
  <si>
    <t>Calculated Based on Midpoint Dates</t>
  </si>
  <si>
    <t>Date of Last Calf was born</t>
  </si>
  <si>
    <r>
      <t xml:space="preserve">Beginning Calving Date </t>
    </r>
    <r>
      <rPr>
        <b/>
        <sz val="10"/>
        <rFont val="Arial"/>
        <family val="2"/>
      </rPr>
      <t>(283 days after breeding date)</t>
    </r>
  </si>
  <si>
    <t xml:space="preserve">End of Calving Date </t>
  </si>
  <si>
    <t>22.</t>
  </si>
  <si>
    <t>23.</t>
  </si>
  <si>
    <t>1.</t>
  </si>
  <si>
    <t>2.</t>
  </si>
  <si>
    <t>3.</t>
  </si>
  <si>
    <t>4.</t>
  </si>
  <si>
    <t>5 a.</t>
  </si>
  <si>
    <t>5 b.</t>
  </si>
  <si>
    <t>5 d.</t>
  </si>
  <si>
    <t>6.</t>
  </si>
  <si>
    <t>7.</t>
  </si>
  <si>
    <t>8.</t>
  </si>
  <si>
    <t>9.</t>
  </si>
  <si>
    <t>10.</t>
  </si>
  <si>
    <t>12.</t>
  </si>
  <si>
    <t>Calving</t>
  </si>
  <si>
    <t>Weaning</t>
  </si>
  <si>
    <t>Pregnancy Loss</t>
  </si>
  <si>
    <t>Calf Loss*</t>
  </si>
  <si>
    <t>Calf Death loss based on Calves Born</t>
  </si>
  <si>
    <t>Adjustments made at pregnancy Testing time</t>
  </si>
  <si>
    <r>
      <t xml:space="preserve">After the Breeding Season Ends </t>
    </r>
    <r>
      <rPr>
        <sz val="10"/>
        <rFont val="Arial"/>
        <family val="2"/>
      </rPr>
      <t>(check the pregnancy testing data)</t>
    </r>
  </si>
  <si>
    <t>SPA - Fiscal Year - Year Calves Weaned  in</t>
  </si>
  <si>
    <t>Replacement Heifers</t>
  </si>
  <si>
    <t>_______________________________________________________________________________</t>
  </si>
  <si>
    <t xml:space="preserve">Culled exposed Repl. Heifers  not intended to be calves but in </t>
  </si>
  <si>
    <t xml:space="preserve">Exposed Repl. Heifers  sold or transferred out before the </t>
  </si>
  <si>
    <t>Exposed Repl. Heifers  purchased or transferred in during the</t>
  </si>
  <si>
    <t>Pregnant Repl. Heifers  sold or transferred out after the breeding season</t>
  </si>
  <si>
    <t xml:space="preserve">Exposed and pregnant Repl. Heifers  purchased or transferred in </t>
  </si>
  <si>
    <t>Total Repl. Heifers  sold or transferred out with nursing calves (pairs)</t>
  </si>
  <si>
    <t>Total Repl. Heifers  purchased or transferred in with nursing calves (pairs)</t>
  </si>
  <si>
    <t>Adjusted Exposed Repl. Heifers  (1-2-3+4-5b+6-7+8)</t>
  </si>
  <si>
    <t>Pregnancy percentage based on exposed Repl. Heifers  pregnancy tested</t>
  </si>
  <si>
    <t xml:space="preserve">Calving Percentage based on total Repl. Heifers  calving </t>
  </si>
  <si>
    <t xml:space="preserve">Calf Death loss based on exposed Repl. Heifers </t>
  </si>
  <si>
    <t xml:space="preserve">Calving percentage based on exposed Repl. Heifers </t>
  </si>
  <si>
    <t xml:space="preserve">Calving death loss percentage based on exposed Repl. Heifers </t>
  </si>
  <si>
    <t>Bull/Steer Calves Weaned</t>
  </si>
  <si>
    <t xml:space="preserve">Total Weaned Calves Production </t>
  </si>
  <si>
    <t xml:space="preserve">Number of exposed Repl. Heifers  that are pregnancy tested </t>
  </si>
  <si>
    <t xml:space="preserve">Total Repl. Heifers  Diagnosed as Pregnant </t>
  </si>
  <si>
    <t>Weaning Summary</t>
  </si>
  <si>
    <t xml:space="preserve">Number of Repl. Heifers  diagnosed as open </t>
  </si>
  <si>
    <t xml:space="preserve">Percent of Repl. Heifers  diagnosed as open </t>
  </si>
  <si>
    <t>Repl. Heifer Death</t>
  </si>
  <si>
    <t>Replacement Heifer Breeding Season and Pregnancy Testing Results Summary for SPA Calculations</t>
  </si>
  <si>
    <t xml:space="preserve">        *Calf loss is based on the number of exposed heifers. Based on calves born the loss was </t>
  </si>
  <si>
    <t>Pounds Weaned per Exposed Replacement Heifer</t>
  </si>
  <si>
    <t>Pregnancy Percentage</t>
  </si>
  <si>
    <t>Pregnancy Loss Percentage</t>
  </si>
  <si>
    <t>Calving Percentage</t>
  </si>
  <si>
    <t>Calf Death Loss Based on Exposed Females</t>
  </si>
  <si>
    <t>Calf Crop or Weaning Percentage</t>
  </si>
  <si>
    <t>Calf Death Loss Based on Calves Born</t>
  </si>
  <si>
    <t>Weaning Weights</t>
  </si>
  <si>
    <t>Replacement Heifer Standardized Performance Analysis Results</t>
  </si>
  <si>
    <t xml:space="preserve">      Year</t>
  </si>
  <si>
    <t>Steers</t>
  </si>
  <si>
    <t xml:space="preserve">   Lb./Head</t>
  </si>
  <si>
    <t>Ranch or Herd Name</t>
  </si>
  <si>
    <t>Version 10-18-2015</t>
  </si>
  <si>
    <t xml:space="preserve">Total Death Loss of Exposed Repl. Heifers </t>
  </si>
  <si>
    <t>Percent death loss of Exposed - 10/9</t>
  </si>
  <si>
    <t>Bred Heifer Description</t>
  </si>
  <si>
    <t>Example</t>
  </si>
  <si>
    <t>Spring calving bred heifer through weaning</t>
  </si>
  <si>
    <t>Adjustments to Exposed Replacement Heifers Numbers</t>
  </si>
  <si>
    <t>Check the numbers pregnancy Tested</t>
  </si>
  <si>
    <t>Total Repl. Heifers  Exposed at the Beginning of the Breeding Season</t>
  </si>
  <si>
    <t xml:space="preserve">Sales or transfer of open exposed Replacement Heifers </t>
  </si>
  <si>
    <t>11.</t>
  </si>
  <si>
    <t>13 a.</t>
  </si>
  <si>
    <t>13 b.</t>
  </si>
  <si>
    <t>18.</t>
  </si>
  <si>
    <t>20 a.</t>
  </si>
  <si>
    <t>20 b.</t>
  </si>
  <si>
    <t>20 c.</t>
  </si>
  <si>
    <t>21.</t>
  </si>
  <si>
    <t>Open Repl. Heifers sold or transferred out after the breeding season</t>
  </si>
  <si>
    <t xml:space="preserve">Nursing calves purchased or transferred in and grafted on Repl. Heifers </t>
  </si>
  <si>
    <t xml:space="preserve">Seldom used </t>
  </si>
  <si>
    <t>Pregnancy of Exposed Replacement Heifers - Data and Performance</t>
  </si>
  <si>
    <t>Check as all exposed not Preg. tested</t>
  </si>
  <si>
    <t>and exposed (16/(9 + 7- 8)</t>
  </si>
  <si>
    <t>and live calves produced  (19/9+7-8)</t>
  </si>
  <si>
    <t>and live calves produced (19/(9+7-8))</t>
  </si>
  <si>
    <t>Weaning or calf crop percentage ((22-21)/9-21)</t>
  </si>
  <si>
    <t>Reproduction Dates and Data For Replacement Heifers</t>
  </si>
  <si>
    <t>To Calculate SPA Reproduction Performance Through Breeding</t>
  </si>
  <si>
    <t>Report Date</t>
  </si>
  <si>
    <t>Breeding Season</t>
  </si>
  <si>
    <t>Ranch</t>
  </si>
  <si>
    <t>Breeding Season: Beginning and Ending Dates:</t>
  </si>
  <si>
    <t>Breeding Season Dates</t>
  </si>
  <si>
    <t>Days in the Breeding Season:</t>
  </si>
  <si>
    <t>Length of Breeding Season - Days</t>
  </si>
  <si>
    <t xml:space="preserve">                Days</t>
  </si>
  <si>
    <t xml:space="preserve"> Data When Started</t>
  </si>
  <si>
    <t xml:space="preserve">            Head</t>
  </si>
  <si>
    <t>Head Preg. Tested</t>
  </si>
  <si>
    <t>AI Pregnant</t>
  </si>
  <si>
    <t>The total heifers do not check - tested should equal opens plus pregnant</t>
  </si>
  <si>
    <t>Cleanup Natural Service Pregnant</t>
  </si>
  <si>
    <t>Reproduction Summary</t>
  </si>
  <si>
    <t>Heifer Exposed This Breeding Season</t>
  </si>
  <si>
    <t>Head Pregnancy Tested</t>
  </si>
  <si>
    <t>Average Wt.</t>
  </si>
  <si>
    <t>Summary  Transfers Weights and Sales</t>
  </si>
  <si>
    <t>Lb./Head</t>
  </si>
  <si>
    <t>Net Sales</t>
  </si>
  <si>
    <t>$/Head</t>
  </si>
  <si>
    <t>Price $/Cwt.</t>
  </si>
  <si>
    <t>Death Loss</t>
  </si>
  <si>
    <t>*See definition sheet for adjustments to initial exposed female inventory.</t>
  </si>
  <si>
    <t>____________________________________________________________________________</t>
  </si>
  <si>
    <t>This spreadsheet helps record key reproduction dates and data  for measuring performance and is the basic data for the SPA reproduction analysis. The following are key definitions.</t>
  </si>
  <si>
    <r>
      <t>1.</t>
    </r>
    <r>
      <rPr>
        <sz val="7"/>
        <rFont val="Times New Roman"/>
        <family val="1"/>
      </rPr>
      <t xml:space="preserve">      </t>
    </r>
    <r>
      <rPr>
        <b/>
        <sz val="12"/>
        <rFont val="Times New Roman"/>
        <family val="1"/>
      </rPr>
      <t>Total females exposed at the beginning of the breeding season</t>
    </r>
    <r>
      <rPr>
        <sz val="12"/>
        <rFont val="Times New Roman"/>
        <family val="1"/>
      </rPr>
      <t xml:space="preserve"> is the number of females in the beginning inventory that are exposed either to bulls or in an artificial insemination (AI) program.  The number should correspond to the number on the beginning date of the breeding season.</t>
    </r>
  </si>
  <si>
    <r>
      <t>2.</t>
    </r>
    <r>
      <rPr>
        <sz val="7"/>
        <rFont val="Times New Roman"/>
        <family val="1"/>
      </rPr>
      <t xml:space="preserve">      </t>
    </r>
    <r>
      <rPr>
        <b/>
        <sz val="12"/>
        <rFont val="Times New Roman"/>
        <family val="1"/>
      </rPr>
      <t xml:space="preserve">Adjusted exposed females including sales, transfers, purchases of pairs and exposed and pregnant females -- </t>
    </r>
    <r>
      <rPr>
        <sz val="12"/>
        <rFont val="Times New Roman"/>
        <family val="1"/>
      </rPr>
      <t>is an inventory of exposed females that results from the beginning inventory plus all the adjustments.  This is the most critical number that must be generated by the inventory in the reproduction and production performance measures of the cow-calf enterprise.  The accuracy of this value will determine the overall accuracy of the productivity analysis.  The key is to carefully monitor monthly inventory maintenance and consistency between operating cycles.  This number begins with the beginning inventory on day one of the breeding season, subtracts culls not intended to be bred, as well as sales or transfers out of the breeding herd and adds purchases or transfers in.  The net result is used to determine the weaned calf percentage and other production measures of performance.</t>
    </r>
  </si>
  <si>
    <r>
      <t>3.</t>
    </r>
    <r>
      <rPr>
        <sz val="7"/>
        <rFont val="Times New Roman"/>
        <family val="1"/>
      </rPr>
      <t xml:space="preserve">      </t>
    </r>
    <r>
      <rPr>
        <b/>
        <sz val="12"/>
        <rFont val="Times New Roman"/>
        <family val="1"/>
      </rPr>
      <t>Number of exposed females that are pregnancy tested</t>
    </r>
    <r>
      <rPr>
        <sz val="12"/>
        <rFont val="Times New Roman"/>
        <family val="1"/>
      </rPr>
      <t xml:space="preserve"> will be the base number used to calculate the pregnancy rate after adjustments.  Include females, which were pregnancy tested and sold or transferred out after the breeding season.</t>
    </r>
  </si>
  <si>
    <r>
      <t>4.</t>
    </r>
    <r>
      <rPr>
        <sz val="7"/>
        <rFont val="Times New Roman"/>
        <family val="1"/>
      </rPr>
      <t xml:space="preserve">      </t>
    </r>
    <r>
      <rPr>
        <b/>
        <sz val="12"/>
        <rFont val="Times New Roman"/>
        <family val="1"/>
      </rPr>
      <t>Number of females diagnosed as pregnant</t>
    </r>
    <r>
      <rPr>
        <sz val="12"/>
        <rFont val="Times New Roman"/>
        <family val="1"/>
      </rPr>
      <t xml:space="preserve"> is the actual number of the exposed females diagnosed as pregnant.  The accuracy of the pregnancy rate improves when all females that are exposed are pregnancy tested.  Include females, which were diagnosed as pregnant, but sold or transferred out of the breeding herd after the breeding season.</t>
    </r>
  </si>
  <si>
    <r>
      <t>5.</t>
    </r>
    <r>
      <rPr>
        <sz val="7"/>
        <rFont val="Times New Roman"/>
        <family val="1"/>
      </rPr>
      <t xml:space="preserve">      </t>
    </r>
    <r>
      <rPr>
        <b/>
        <sz val="12"/>
        <rFont val="Times New Roman"/>
        <family val="1"/>
      </rPr>
      <t>Pregnancy percentage --</t>
    </r>
    <r>
      <rPr>
        <sz val="12"/>
        <rFont val="Times New Roman"/>
        <family val="1"/>
      </rPr>
      <t xml:space="preserve"> expresses the number of females diagnosed as pregnant as a percentage of the number of exposed females that are pregnancy tested.</t>
    </r>
  </si>
  <si>
    <r>
      <t>6.</t>
    </r>
    <r>
      <rPr>
        <sz val="7"/>
        <rFont val="Times New Roman"/>
        <family val="1"/>
      </rPr>
      <t xml:space="preserve">      </t>
    </r>
    <r>
      <rPr>
        <b/>
        <sz val="12"/>
        <rFont val="Times New Roman"/>
        <family val="1"/>
      </rPr>
      <t>Number of females diagnosed as open</t>
    </r>
    <r>
      <rPr>
        <sz val="12"/>
        <rFont val="Times New Roman"/>
        <family val="1"/>
      </rPr>
      <t xml:space="preserve"> is the number of females diagnosed as not being pregnant or the total number pregnancy tested minus those diagnosed as being pregnant.  Includes females, which were diagnosed as open but sold or transferred out of the breeding herd after the breeding season.</t>
    </r>
  </si>
  <si>
    <r>
      <t>7.</t>
    </r>
    <r>
      <rPr>
        <sz val="7"/>
        <rFont val="Times New Roman"/>
        <family val="1"/>
      </rPr>
      <t xml:space="preserve">      </t>
    </r>
    <r>
      <rPr>
        <b/>
        <sz val="12"/>
        <rFont val="Times New Roman"/>
        <family val="1"/>
      </rPr>
      <t>Pregnancy percent based on exposed females is the key SPA measure</t>
    </r>
    <r>
      <rPr>
        <sz val="12"/>
        <rFont val="Times New Roman"/>
        <family val="1"/>
      </rPr>
      <t xml:space="preserve"> and is the number of pregnant females divided by the adjusted number of exposed females (see definitions 1. and 2.</t>
    </r>
  </si>
  <si>
    <t>Key SPA Reproduction Definitions for Numbers and Calculations</t>
  </si>
  <si>
    <t>Pregnancy Testing Data</t>
  </si>
  <si>
    <t>Description of Breeding Protocol:</t>
  </si>
  <si>
    <t xml:space="preserve">Sexed semen AI - Split timed </t>
  </si>
  <si>
    <t>Name of Ranch &amp; Heifers</t>
  </si>
  <si>
    <t>Hereford on Black Angus Heifers</t>
  </si>
  <si>
    <t>Date AI Started</t>
  </si>
  <si>
    <t>Cleanup Bulls Pulled ---&gt;</t>
  </si>
  <si>
    <t>Total Heifers Pregnant</t>
  </si>
  <si>
    <t>Calculated Pregnancy on Heifers Exposed Tested%</t>
  </si>
  <si>
    <t xml:space="preserve">Pregnancy % - Based on Exposed Heifers </t>
  </si>
  <si>
    <t>Head AI Pregnant</t>
  </si>
  <si>
    <t>Head Natural Service Pregnant</t>
  </si>
  <si>
    <t>________________________________________________________________________________</t>
  </si>
  <si>
    <t>Head Open or Death Loss</t>
  </si>
  <si>
    <t>Replacement Heifers Exposed</t>
  </si>
  <si>
    <t xml:space="preserve">Pregnancy Based On Exposed </t>
  </si>
  <si>
    <t xml:space="preserve">Adjustment to Exposed Female* </t>
  </si>
  <si>
    <t xml:space="preserve">        Head Open</t>
  </si>
  <si>
    <t>*See sheet 2. Items - 2, 3 and 4 and definition sheet for adjustments to initial exposed female inventory.</t>
  </si>
  <si>
    <t>Pregnancy Percentage Based on Adjusted Exposed Heifers</t>
  </si>
  <si>
    <t>`</t>
  </si>
  <si>
    <t>See sheet 1 item D18 for adjustments</t>
  </si>
  <si>
    <t>Adjustments recorded - items 2 - 3- 4.</t>
  </si>
  <si>
    <t>Check on numbers</t>
  </si>
  <si>
    <t>Total Heifer Adjustments*</t>
  </si>
  <si>
    <t>Cull Open Heifer Sales</t>
  </si>
  <si>
    <t>Total Repl. Heifers  sold or transferred out after the breeding season (5a+5b)</t>
  </si>
  <si>
    <t>Bred Heifer Sales or Transfer Outs</t>
  </si>
  <si>
    <t>Bred Heifers Transferred to Cow Herd</t>
  </si>
  <si>
    <t>AI Bred</t>
  </si>
  <si>
    <t>Natural Service</t>
  </si>
  <si>
    <t>Data is from production records with individual ID tags.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</si>
</sst>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0.0"/>
    <numFmt numFmtId="165" formatCode="_(* #,##0_);_(* \(#,##0\);_(* &quot;-&quot;??_);_(@_)"/>
    <numFmt numFmtId="166" formatCode="mm/dd/yy;@"/>
    <numFmt numFmtId="167" formatCode="0.0%"/>
    <numFmt numFmtId="168" formatCode="[$-409]d\-mmm\-yy;@"/>
    <numFmt numFmtId="169" formatCode="#,##0.0"/>
    <numFmt numFmtId="170" formatCode="0_);[Red]\(0\)"/>
    <numFmt numFmtId="171" formatCode="&quot;$&quot;#,##0"/>
    <numFmt numFmtId="172" formatCode="&quot;$&quot;#,##0.00"/>
  </numFmts>
  <fonts count="38" x14ac:knownFonts="1">
    <font>
      <sz val="10"/>
      <name val="Arial"/>
    </font>
    <font>
      <sz val="10"/>
      <name val="Arial"/>
      <family val="2"/>
    </font>
    <font>
      <b/>
      <sz val="12"/>
      <name val="Arial"/>
      <family val="2"/>
    </font>
    <font>
      <sz val="10"/>
      <color indexed="10"/>
      <name val="Arial"/>
      <family val="2"/>
    </font>
    <font>
      <sz val="12"/>
      <name val="Arial"/>
      <family val="2"/>
    </font>
    <font>
      <sz val="12"/>
      <color indexed="39"/>
      <name val="Arial"/>
      <family val="2"/>
    </font>
    <font>
      <sz val="8"/>
      <name val="Arial"/>
      <family val="2"/>
    </font>
    <font>
      <sz val="12"/>
      <name val="Arial"/>
      <family val="2"/>
    </font>
    <font>
      <b/>
      <sz val="12"/>
      <name val="Arial"/>
      <family val="2"/>
    </font>
    <font>
      <sz val="12"/>
      <color indexed="10"/>
      <name val="Arial"/>
      <family val="2"/>
    </font>
    <font>
      <b/>
      <sz val="14"/>
      <name val="Arial"/>
      <family val="2"/>
    </font>
    <font>
      <b/>
      <sz val="10"/>
      <name val="Arial"/>
      <family val="2"/>
    </font>
    <font>
      <sz val="10"/>
      <name val="Arial"/>
      <family val="2"/>
    </font>
    <font>
      <b/>
      <sz val="10"/>
      <name val="Arial"/>
      <family val="2"/>
    </font>
    <font>
      <sz val="10"/>
      <name val="Arial"/>
      <family val="2"/>
    </font>
    <font>
      <sz val="12"/>
      <color indexed="12"/>
      <name val="Arial"/>
      <family val="2"/>
    </font>
    <font>
      <b/>
      <sz val="11"/>
      <name val="Arial"/>
      <family val="2"/>
    </font>
    <font>
      <sz val="12"/>
      <color rgb="FFC00000"/>
      <name val="Arial"/>
      <family val="2"/>
    </font>
    <font>
      <sz val="12"/>
      <color rgb="FF3333FF"/>
      <name val="Arial"/>
      <family val="2"/>
    </font>
    <font>
      <b/>
      <sz val="12"/>
      <color theme="1"/>
      <name val="Arial"/>
      <family val="2"/>
    </font>
    <font>
      <sz val="12"/>
      <color indexed="48"/>
      <name val="Arial"/>
      <family val="2"/>
    </font>
    <font>
      <sz val="12"/>
      <color indexed="30"/>
      <name val="Arial"/>
      <family val="2"/>
    </font>
    <font>
      <b/>
      <sz val="11"/>
      <color rgb="FF0000FF"/>
      <name val="Arial"/>
      <family val="2"/>
    </font>
    <font>
      <sz val="11"/>
      <color rgb="FF0000FF"/>
      <name val="Arial"/>
      <family val="2"/>
    </font>
    <font>
      <b/>
      <sz val="11"/>
      <color indexed="30"/>
      <name val="Arial"/>
      <family val="2"/>
    </font>
    <font>
      <sz val="11"/>
      <name val="Arial"/>
      <family val="2"/>
    </font>
    <font>
      <b/>
      <sz val="14"/>
      <name val="Times New Roman"/>
      <family val="1"/>
    </font>
    <font>
      <sz val="12"/>
      <name val="Times New Roman"/>
      <family val="1"/>
    </font>
    <font>
      <sz val="7"/>
      <name val="Times New Roman"/>
      <family val="1"/>
    </font>
    <font>
      <b/>
      <sz val="12"/>
      <name val="Times New Roman"/>
      <family val="1"/>
    </font>
    <font>
      <sz val="11"/>
      <name val="Times New Roman"/>
      <family val="1"/>
    </font>
    <font>
      <sz val="11"/>
      <color rgb="FF3333FF"/>
      <name val="Arial"/>
      <family val="2"/>
    </font>
    <font>
      <sz val="14"/>
      <name val="Arial"/>
      <family val="2"/>
    </font>
    <font>
      <b/>
      <sz val="12"/>
      <color indexed="48"/>
      <name val="Arial"/>
      <family val="2"/>
    </font>
    <font>
      <b/>
      <sz val="12"/>
      <color indexed="30"/>
      <name val="Arial"/>
      <family val="2"/>
    </font>
    <font>
      <b/>
      <sz val="12"/>
      <color rgb="FFC00000"/>
      <name val="Arial"/>
      <family val="2"/>
    </font>
    <font>
      <sz val="10"/>
      <color rgb="FFC00000"/>
      <name val="Arial"/>
      <family val="2"/>
    </font>
    <font>
      <sz val="11"/>
      <color indexed="12"/>
      <name val="Arial"/>
      <family val="2"/>
    </font>
  </fonts>
  <fills count="2">
    <fill>
      <patternFill patternType="none"/>
    </fill>
    <fill>
      <patternFill patternType="gray125"/>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bottom style="thick">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s>
  <cellStyleXfs count="5">
    <xf numFmtId="0" fontId="0" fillId="0" borderId="0"/>
    <xf numFmtId="43" fontId="1" fillId="0" borderId="0" applyFont="0" applyFill="0" applyBorder="0" applyAlignment="0" applyProtection="0"/>
    <xf numFmtId="0" fontId="12" fillId="0" borderId="0"/>
    <xf numFmtId="0" fontId="12" fillId="0" borderId="0"/>
    <xf numFmtId="9" fontId="1" fillId="0" borderId="0" applyFont="0" applyFill="0" applyBorder="0" applyAlignment="0" applyProtection="0"/>
  </cellStyleXfs>
  <cellXfs count="169">
    <xf numFmtId="0" fontId="0" fillId="0" borderId="0" xfId="0"/>
    <xf numFmtId="0" fontId="3" fillId="0" borderId="0" xfId="0" applyFont="1"/>
    <xf numFmtId="14" fontId="0" fillId="0" borderId="0" xfId="0" applyNumberFormat="1"/>
    <xf numFmtId="0" fontId="2" fillId="0" borderId="0" xfId="0" applyFont="1" applyAlignment="1">
      <alignment horizontal="center"/>
    </xf>
    <xf numFmtId="0" fontId="4" fillId="0" borderId="0" xfId="0" applyFont="1"/>
    <xf numFmtId="0" fontId="5" fillId="0" borderId="0" xfId="0" applyFont="1" applyProtection="1">
      <protection locked="0"/>
    </xf>
    <xf numFmtId="0" fontId="2" fillId="0" borderId="0" xfId="0" applyFont="1"/>
    <xf numFmtId="0" fontId="4" fillId="0" borderId="0" xfId="0" applyFont="1" applyAlignment="1">
      <alignment horizontal="center"/>
    </xf>
    <xf numFmtId="15" fontId="5" fillId="0" borderId="0" xfId="0" applyNumberFormat="1" applyFont="1" applyAlignment="1" applyProtection="1">
      <alignment horizontal="center"/>
      <protection locked="0"/>
    </xf>
    <xf numFmtId="15" fontId="4" fillId="0" borderId="0" xfId="0" applyNumberFormat="1" applyFont="1" applyProtection="1">
      <protection locked="0"/>
    </xf>
    <xf numFmtId="15" fontId="4" fillId="0" borderId="0" xfId="0" applyNumberFormat="1" applyFont="1" applyAlignment="1" applyProtection="1">
      <alignment horizontal="center"/>
      <protection locked="0"/>
    </xf>
    <xf numFmtId="0" fontId="0" fillId="0" borderId="0" xfId="0" applyAlignment="1">
      <alignment horizontal="center"/>
    </xf>
    <xf numFmtId="14" fontId="4" fillId="0" borderId="0" xfId="0" applyNumberFormat="1" applyFont="1"/>
    <xf numFmtId="1" fontId="8" fillId="0" borderId="0" xfId="0" applyNumberFormat="1" applyFont="1"/>
    <xf numFmtId="0" fontId="8" fillId="0" borderId="0" xfId="0" applyFont="1"/>
    <xf numFmtId="0" fontId="4" fillId="0" borderId="0" xfId="0" quotePrefix="1" applyFont="1"/>
    <xf numFmtId="0" fontId="9" fillId="0" borderId="0" xfId="0" applyFont="1"/>
    <xf numFmtId="15" fontId="8" fillId="0" borderId="0" xfId="0" applyNumberFormat="1" applyFont="1" applyProtection="1">
      <protection locked="0"/>
    </xf>
    <xf numFmtId="0" fontId="1" fillId="0" borderId="0" xfId="0" applyFont="1"/>
    <xf numFmtId="0" fontId="11" fillId="0" borderId="0" xfId="0" applyFont="1"/>
    <xf numFmtId="0" fontId="12" fillId="0" borderId="0" xfId="0" applyFont="1"/>
    <xf numFmtId="1" fontId="0" fillId="0" borderId="0" xfId="0" applyNumberFormat="1"/>
    <xf numFmtId="0" fontId="7" fillId="0" borderId="0" xfId="0" applyFont="1"/>
    <xf numFmtId="0" fontId="5" fillId="0" borderId="3" xfId="0" applyFont="1" applyBorder="1" applyProtection="1">
      <protection locked="0"/>
    </xf>
    <xf numFmtId="15" fontId="4" fillId="0" borderId="0" xfId="0" applyNumberFormat="1" applyFont="1"/>
    <xf numFmtId="15" fontId="5" fillId="0" borderId="3" xfId="0" applyNumberFormat="1" applyFont="1" applyBorder="1" applyProtection="1">
      <protection locked="0"/>
    </xf>
    <xf numFmtId="15" fontId="2" fillId="0" borderId="0" xfId="0" applyNumberFormat="1" applyFont="1"/>
    <xf numFmtId="167" fontId="4" fillId="0" borderId="0" xfId="4" applyNumberFormat="1" applyFont="1"/>
    <xf numFmtId="10" fontId="2" fillId="0" borderId="0" xfId="4" applyNumberFormat="1" applyFont="1"/>
    <xf numFmtId="2" fontId="8" fillId="0" borderId="0" xfId="0" applyNumberFormat="1" applyFont="1"/>
    <xf numFmtId="166" fontId="0" fillId="0" borderId="0" xfId="0" applyNumberFormat="1"/>
    <xf numFmtId="169" fontId="0" fillId="0" borderId="0" xfId="0" applyNumberFormat="1"/>
    <xf numFmtId="164" fontId="5" fillId="0" borderId="3" xfId="0" applyNumberFormat="1" applyFont="1" applyBorder="1" applyProtection="1">
      <protection locked="0"/>
    </xf>
    <xf numFmtId="0" fontId="0" fillId="0" borderId="0" xfId="0" applyAlignment="1">
      <alignment horizontal="left"/>
    </xf>
    <xf numFmtId="1" fontId="2" fillId="0" borderId="0" xfId="0" applyNumberFormat="1" applyFont="1" applyAlignment="1">
      <alignment horizontal="left"/>
    </xf>
    <xf numFmtId="1" fontId="2" fillId="0" borderId="0" xfId="0" quotePrefix="1" applyNumberFormat="1" applyFont="1" applyAlignment="1">
      <alignment horizontal="left"/>
    </xf>
    <xf numFmtId="1" fontId="7" fillId="0" borderId="0" xfId="0" applyNumberFormat="1" applyFont="1" applyAlignment="1">
      <alignment horizontal="left"/>
    </xf>
    <xf numFmtId="0" fontId="2" fillId="0" borderId="0" xfId="0" quotePrefix="1" applyFont="1" applyAlignment="1">
      <alignment horizontal="left"/>
    </xf>
    <xf numFmtId="0" fontId="2" fillId="0" borderId="0" xfId="0" applyFont="1" applyAlignment="1">
      <alignment horizontal="left"/>
    </xf>
    <xf numFmtId="0" fontId="1"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10" fillId="0" borderId="0" xfId="0" applyFont="1"/>
    <xf numFmtId="1" fontId="4" fillId="0" borderId="0" xfId="0" applyNumberFormat="1" applyFont="1"/>
    <xf numFmtId="10" fontId="0" fillId="0" borderId="0" xfId="4" applyNumberFormat="1" applyFont="1"/>
    <xf numFmtId="1" fontId="5" fillId="0" borderId="2" xfId="0" applyNumberFormat="1" applyFont="1" applyBorder="1" applyProtection="1">
      <protection locked="0"/>
    </xf>
    <xf numFmtId="14" fontId="1" fillId="0" borderId="0" xfId="0" applyNumberFormat="1" applyFont="1"/>
    <xf numFmtId="1" fontId="2" fillId="0" borderId="0" xfId="0" applyNumberFormat="1" applyFont="1"/>
    <xf numFmtId="170" fontId="1" fillId="0" borderId="0" xfId="0" applyNumberFormat="1" applyFont="1"/>
    <xf numFmtId="1" fontId="13" fillId="0" borderId="0" xfId="0" applyNumberFormat="1" applyFont="1"/>
    <xf numFmtId="0" fontId="13" fillId="0" borderId="0" xfId="0" applyFont="1"/>
    <xf numFmtId="165" fontId="5" fillId="0" borderId="3" xfId="1" applyNumberFormat="1" applyFont="1" applyBorder="1" applyProtection="1">
      <protection locked="0"/>
    </xf>
    <xf numFmtId="165" fontId="5" fillId="0" borderId="2" xfId="1" applyNumberFormat="1" applyFont="1" applyBorder="1" applyProtection="1">
      <protection locked="0"/>
    </xf>
    <xf numFmtId="165" fontId="4" fillId="0" borderId="0" xfId="1" applyNumberFormat="1" applyFont="1"/>
    <xf numFmtId="165" fontId="2" fillId="0" borderId="4" xfId="1" applyNumberFormat="1" applyFont="1" applyBorder="1"/>
    <xf numFmtId="168" fontId="4" fillId="0" borderId="0" xfId="0" applyNumberFormat="1" applyFont="1"/>
    <xf numFmtId="0" fontId="14" fillId="0" borderId="0" xfId="0" applyFont="1"/>
    <xf numFmtId="166" fontId="4" fillId="0" borderId="0" xfId="0" applyNumberFormat="1" applyFont="1" applyAlignment="1">
      <alignment horizontal="center"/>
    </xf>
    <xf numFmtId="15" fontId="7" fillId="0" borderId="0" xfId="0" applyNumberFormat="1" applyFont="1" applyProtection="1">
      <protection locked="0"/>
    </xf>
    <xf numFmtId="165" fontId="0" fillId="0" borderId="0" xfId="0" applyNumberFormat="1"/>
    <xf numFmtId="18" fontId="2" fillId="0" borderId="0" xfId="0" quotePrefix="1" applyNumberFormat="1" applyFont="1" applyAlignment="1">
      <alignment horizontal="left"/>
    </xf>
    <xf numFmtId="0" fontId="4" fillId="0" borderId="0" xfId="0" applyFont="1" applyAlignment="1">
      <alignment horizontal="left"/>
    </xf>
    <xf numFmtId="167" fontId="0" fillId="0" borderId="0" xfId="4" applyNumberFormat="1" applyFont="1"/>
    <xf numFmtId="10" fontId="0" fillId="0" borderId="0" xfId="0" applyNumberFormat="1" applyAlignment="1">
      <alignment horizontal="left"/>
    </xf>
    <xf numFmtId="9" fontId="0" fillId="0" borderId="0" xfId="4" applyFont="1"/>
    <xf numFmtId="43" fontId="0" fillId="0" borderId="0" xfId="1" applyFont="1"/>
    <xf numFmtId="15" fontId="5" fillId="0" borderId="0" xfId="0" applyNumberFormat="1" applyFont="1"/>
    <xf numFmtId="167" fontId="2" fillId="0" borderId="0" xfId="4" applyNumberFormat="1" applyFont="1"/>
    <xf numFmtId="167" fontId="4" fillId="0" borderId="0" xfId="0" applyNumberFormat="1" applyFont="1"/>
    <xf numFmtId="0" fontId="17" fillId="0" borderId="0" xfId="0" applyFont="1"/>
    <xf numFmtId="0" fontId="17" fillId="0" borderId="3" xfId="0" applyFont="1" applyBorder="1" applyProtection="1">
      <protection locked="0"/>
    </xf>
    <xf numFmtId="0" fontId="4" fillId="0" borderId="1" xfId="0" applyFont="1" applyBorder="1" applyProtection="1">
      <protection locked="0"/>
    </xf>
    <xf numFmtId="167" fontId="8" fillId="0" borderId="4" xfId="4" applyNumberFormat="1" applyFont="1" applyBorder="1"/>
    <xf numFmtId="165" fontId="4" fillId="0" borderId="0" xfId="0" applyNumberFormat="1" applyFont="1"/>
    <xf numFmtId="1" fontId="4" fillId="0" borderId="0" xfId="4" applyNumberFormat="1" applyFont="1"/>
    <xf numFmtId="0" fontId="2" fillId="0" borderId="0" xfId="0" applyFont="1" applyAlignment="1">
      <alignment horizontal="right"/>
    </xf>
    <xf numFmtId="0" fontId="16" fillId="0" borderId="0" xfId="0" applyFont="1" applyAlignment="1">
      <alignment horizontal="right"/>
    </xf>
    <xf numFmtId="169" fontId="4" fillId="0" borderId="0" xfId="0" applyNumberFormat="1" applyFont="1"/>
    <xf numFmtId="165" fontId="15" fillId="0" borderId="5" xfId="1" applyNumberFormat="1" applyFont="1" applyBorder="1" applyProtection="1">
      <protection locked="0"/>
    </xf>
    <xf numFmtId="165" fontId="2" fillId="0" borderId="0" xfId="1" applyNumberFormat="1" applyFont="1"/>
    <xf numFmtId="9" fontId="4" fillId="0" borderId="0" xfId="4" applyFont="1"/>
    <xf numFmtId="165" fontId="2" fillId="0" borderId="0" xfId="0" applyNumberFormat="1" applyFont="1"/>
    <xf numFmtId="0" fontId="1" fillId="0" borderId="0" xfId="0" applyFont="1" applyProtection="1">
      <protection locked="0"/>
    </xf>
    <xf numFmtId="1" fontId="5" fillId="0" borderId="6" xfId="0" applyNumberFormat="1" applyFont="1" applyBorder="1" applyProtection="1">
      <protection locked="0"/>
    </xf>
    <xf numFmtId="0" fontId="10" fillId="0" borderId="0" xfId="0" applyFont="1" applyAlignment="1">
      <alignment horizontal="center"/>
    </xf>
    <xf numFmtId="0" fontId="11" fillId="0" borderId="0" xfId="0" applyFont="1" applyAlignment="1">
      <alignment horizontal="center"/>
    </xf>
    <xf numFmtId="0" fontId="2" fillId="0" borderId="0" xfId="0" applyFont="1" applyProtection="1">
      <protection locked="0"/>
    </xf>
    <xf numFmtId="168" fontId="21" fillId="0" borderId="0" xfId="0" applyNumberFormat="1" applyFont="1" applyProtection="1">
      <protection locked="0"/>
    </xf>
    <xf numFmtId="3" fontId="20" fillId="0" borderId="2" xfId="0" applyNumberFormat="1" applyFont="1" applyBorder="1" applyProtection="1">
      <protection locked="0"/>
    </xf>
    <xf numFmtId="3" fontId="20" fillId="0" borderId="0" xfId="0" applyNumberFormat="1" applyFont="1" applyProtection="1">
      <protection locked="0"/>
    </xf>
    <xf numFmtId="0" fontId="2" fillId="0" borderId="0" xfId="0" applyFont="1" applyAlignment="1" applyProtection="1">
      <alignment wrapText="1"/>
      <protection locked="0"/>
    </xf>
    <xf numFmtId="168" fontId="20" fillId="0" borderId="2" xfId="0" applyNumberFormat="1" applyFont="1" applyBorder="1" applyProtection="1">
      <protection locked="0"/>
    </xf>
    <xf numFmtId="0" fontId="2" fillId="0" borderId="0" xfId="0" applyFont="1" applyAlignment="1" applyProtection="1">
      <alignment horizontal="center" wrapText="1"/>
      <protection locked="0"/>
    </xf>
    <xf numFmtId="0" fontId="21" fillId="0" borderId="0" xfId="0" applyFont="1" applyProtection="1">
      <protection locked="0"/>
    </xf>
    <xf numFmtId="14" fontId="2" fillId="0" borderId="0" xfId="0" applyNumberFormat="1" applyFont="1"/>
    <xf numFmtId="165" fontId="20" fillId="0" borderId="2" xfId="1" applyNumberFormat="1" applyFont="1" applyBorder="1" applyProtection="1">
      <protection locked="0"/>
    </xf>
    <xf numFmtId="165" fontId="20" fillId="0" borderId="8" xfId="1" applyNumberFormat="1" applyFont="1" applyBorder="1" applyProtection="1">
      <protection locked="0"/>
    </xf>
    <xf numFmtId="0" fontId="16" fillId="0" borderId="0" xfId="0" applyFont="1"/>
    <xf numFmtId="165" fontId="2" fillId="0" borderId="12" xfId="1" applyNumberFormat="1" applyFont="1" applyBorder="1"/>
    <xf numFmtId="165" fontId="9" fillId="0" borderId="0" xfId="1" applyNumberFormat="1" applyFont="1"/>
    <xf numFmtId="0" fontId="2" fillId="0" borderId="0" xfId="0" applyFont="1" applyAlignment="1">
      <alignment wrapText="1"/>
    </xf>
    <xf numFmtId="9" fontId="2" fillId="0" borderId="0" xfId="4" applyFont="1"/>
    <xf numFmtId="9" fontId="2" fillId="0" borderId="12" xfId="4" applyFont="1" applyBorder="1"/>
    <xf numFmtId="3" fontId="4" fillId="0" borderId="0" xfId="0" applyNumberFormat="1" applyFont="1"/>
    <xf numFmtId="1" fontId="20" fillId="0" borderId="2" xfId="1" applyNumberFormat="1" applyFont="1" applyBorder="1" applyProtection="1">
      <protection locked="0"/>
    </xf>
    <xf numFmtId="171" fontId="0" fillId="0" borderId="0" xfId="0" applyNumberFormat="1"/>
    <xf numFmtId="171" fontId="20" fillId="0" borderId="7" xfId="1" applyNumberFormat="1" applyFont="1" applyBorder="1" applyProtection="1">
      <protection locked="0"/>
    </xf>
    <xf numFmtId="171" fontId="19" fillId="0" borderId="13" xfId="1" applyNumberFormat="1" applyFont="1" applyBorder="1"/>
    <xf numFmtId="2" fontId="2" fillId="0" borderId="0" xfId="1" applyNumberFormat="1" applyFont="1"/>
    <xf numFmtId="171" fontId="2" fillId="0" borderId="0" xfId="0" applyNumberFormat="1" applyFont="1"/>
    <xf numFmtId="171" fontId="2" fillId="0" borderId="13" xfId="0" applyNumberFormat="1" applyFont="1" applyBorder="1"/>
    <xf numFmtId="172" fontId="4" fillId="0" borderId="0" xfId="0" applyNumberFormat="1" applyFont="1"/>
    <xf numFmtId="1" fontId="20" fillId="0" borderId="0" xfId="1" applyNumberFormat="1" applyFont="1" applyProtection="1">
      <protection locked="0"/>
    </xf>
    <xf numFmtId="171" fontId="20" fillId="0" borderId="0" xfId="1" applyNumberFormat="1" applyFont="1" applyProtection="1">
      <protection locked="0"/>
    </xf>
    <xf numFmtId="15" fontId="4" fillId="0" borderId="14" xfId="0" applyNumberFormat="1" applyFont="1" applyBorder="1"/>
    <xf numFmtId="0" fontId="25" fillId="0" borderId="0" xfId="0" applyFont="1"/>
    <xf numFmtId="0" fontId="26" fillId="0" borderId="0" xfId="0" applyFont="1" applyAlignment="1">
      <alignment horizontal="justify"/>
    </xf>
    <xf numFmtId="0" fontId="27" fillId="0" borderId="0" xfId="0" applyFont="1" applyAlignment="1">
      <alignment wrapText="1"/>
    </xf>
    <xf numFmtId="0" fontId="27" fillId="0" borderId="0" xfId="0" applyFont="1" applyAlignment="1">
      <alignment horizontal="justify"/>
    </xf>
    <xf numFmtId="0" fontId="29" fillId="0" borderId="0" xfId="0" applyFont="1" applyAlignment="1">
      <alignment horizontal="justify"/>
    </xf>
    <xf numFmtId="0" fontId="27" fillId="0" borderId="0" xfId="0" applyFont="1" applyAlignment="1">
      <alignment horizontal="left" indent="4"/>
    </xf>
    <xf numFmtId="0" fontId="30" fillId="0" borderId="0" xfId="0" applyFont="1"/>
    <xf numFmtId="1" fontId="20" fillId="0" borderId="15" xfId="0" applyNumberFormat="1" applyFont="1" applyBorder="1" applyProtection="1">
      <protection locked="0"/>
    </xf>
    <xf numFmtId="0" fontId="2" fillId="0" borderId="0" xfId="0" applyFont="1" applyAlignment="1" applyProtection="1">
      <alignment horizontal="right"/>
      <protection locked="0"/>
    </xf>
    <xf numFmtId="0" fontId="16" fillId="0" borderId="0" xfId="0" applyFont="1" applyAlignment="1">
      <alignment horizontal="center" wrapText="1"/>
    </xf>
    <xf numFmtId="165" fontId="4" fillId="0" borderId="0" xfId="0" applyNumberFormat="1" applyFont="1" applyAlignment="1">
      <alignment horizontal="right"/>
    </xf>
    <xf numFmtId="3" fontId="2" fillId="0" borderId="0" xfId="0" applyNumberFormat="1" applyFont="1"/>
    <xf numFmtId="165" fontId="2" fillId="0" borderId="8" xfId="1" applyNumberFormat="1" applyFont="1" applyBorder="1"/>
    <xf numFmtId="0" fontId="32" fillId="0" borderId="0" xfId="0" applyFont="1"/>
    <xf numFmtId="165" fontId="33" fillId="0" borderId="2" xfId="1" applyNumberFormat="1" applyFont="1" applyBorder="1" applyProtection="1">
      <protection locked="0"/>
    </xf>
    <xf numFmtId="0" fontId="34" fillId="0" borderId="2" xfId="0" applyFont="1" applyBorder="1" applyProtection="1">
      <protection locked="0"/>
    </xf>
    <xf numFmtId="0" fontId="35" fillId="0" borderId="0" xfId="0" applyFont="1"/>
    <xf numFmtId="165" fontId="35" fillId="0" borderId="0" xfId="0" applyNumberFormat="1" applyFont="1"/>
    <xf numFmtId="1" fontId="17" fillId="0" borderId="0" xfId="0" applyNumberFormat="1" applyFont="1"/>
    <xf numFmtId="1" fontId="36" fillId="0" borderId="0" xfId="0" applyNumberFormat="1" applyFont="1"/>
    <xf numFmtId="1" fontId="5" fillId="0" borderId="3" xfId="1" applyNumberFormat="1" applyFont="1" applyBorder="1" applyProtection="1">
      <protection locked="0"/>
    </xf>
    <xf numFmtId="0" fontId="0" fillId="0" borderId="0" xfId="0"/>
    <xf numFmtId="165" fontId="37" fillId="0" borderId="16" xfId="1" applyNumberFormat="1" applyFont="1" applyBorder="1" applyProtection="1">
      <protection locked="0"/>
    </xf>
    <xf numFmtId="1" fontId="15" fillId="0" borderId="5" xfId="1" applyNumberFormat="1" applyFont="1" applyBorder="1" applyProtection="1">
      <protection locked="0"/>
    </xf>
    <xf numFmtId="165" fontId="2" fillId="0" borderId="0" xfId="1" applyNumberFormat="1" applyFont="1" applyBorder="1" applyProtection="1"/>
    <xf numFmtId="0" fontId="2" fillId="0" borderId="1" xfId="0" applyFont="1" applyBorder="1" applyProtection="1">
      <protection locked="0"/>
    </xf>
    <xf numFmtId="0" fontId="4" fillId="0" borderId="1" xfId="0" applyFont="1" applyBorder="1"/>
    <xf numFmtId="0" fontId="22" fillId="0" borderId="7" xfId="0" applyFont="1" applyBorder="1" applyProtection="1">
      <protection locked="0"/>
    </xf>
    <xf numFmtId="0" fontId="23" fillId="0" borderId="8" xfId="0" applyFont="1" applyBorder="1" applyProtection="1">
      <protection locked="0"/>
    </xf>
    <xf numFmtId="0" fontId="0" fillId="0" borderId="9" xfId="0" applyBorder="1"/>
    <xf numFmtId="0" fontId="24" fillId="0" borderId="0" xfId="0" applyFont="1" applyProtection="1">
      <protection locked="0"/>
    </xf>
    <xf numFmtId="0" fontId="0" fillId="0" borderId="0" xfId="0" applyProtection="1">
      <protection locked="0"/>
    </xf>
    <xf numFmtId="0" fontId="0" fillId="0" borderId="0" xfId="0"/>
    <xf numFmtId="0" fontId="10" fillId="0" borderId="0" xfId="0" applyFont="1" applyAlignment="1" applyProtection="1">
      <alignment horizontal="center"/>
      <protection locked="0"/>
    </xf>
    <xf numFmtId="0" fontId="11" fillId="0" borderId="0" xfId="0" applyFont="1" applyAlignment="1" applyProtection="1">
      <alignment horizontal="center"/>
      <protection locked="0"/>
    </xf>
    <xf numFmtId="0" fontId="0" fillId="0" borderId="0" xfId="0" applyAlignment="1">
      <alignment horizontal="center"/>
    </xf>
    <xf numFmtId="168" fontId="20" fillId="0" borderId="7" xfId="0" applyNumberFormat="1" applyFont="1" applyBorder="1" applyProtection="1">
      <protection locked="0"/>
    </xf>
    <xf numFmtId="168" fontId="20" fillId="0" borderId="9" xfId="0" applyNumberFormat="1" applyFont="1" applyBorder="1" applyProtection="1">
      <protection locked="0"/>
    </xf>
    <xf numFmtId="0" fontId="20" fillId="0" borderId="10" xfId="0" applyFont="1" applyBorder="1" applyProtection="1">
      <protection locked="0"/>
    </xf>
    <xf numFmtId="0" fontId="20" fillId="0" borderId="11" xfId="0" applyFont="1" applyBorder="1" applyProtection="1">
      <protection locked="0"/>
    </xf>
    <xf numFmtId="0" fontId="20" fillId="0" borderId="7" xfId="0" applyFont="1" applyBorder="1" applyProtection="1">
      <protection locked="0"/>
    </xf>
    <xf numFmtId="0" fontId="20" fillId="0" borderId="8" xfId="0" applyFont="1" applyBorder="1" applyProtection="1">
      <protection locked="0"/>
    </xf>
    <xf numFmtId="0" fontId="20" fillId="0" borderId="9" xfId="0" applyFont="1" applyBorder="1" applyProtection="1">
      <protection locked="0"/>
    </xf>
    <xf numFmtId="0" fontId="16" fillId="0" borderId="0" xfId="0" applyFont="1" applyProtection="1">
      <protection locked="0"/>
    </xf>
    <xf numFmtId="0" fontId="25" fillId="0" borderId="0" xfId="0" applyFont="1"/>
    <xf numFmtId="0" fontId="31" fillId="0" borderId="7" xfId="0" applyFont="1" applyBorder="1" applyProtection="1">
      <protection locked="0"/>
    </xf>
    <xf numFmtId="0" fontId="31" fillId="0" borderId="9" xfId="0" applyFont="1" applyBorder="1" applyProtection="1">
      <protection locked="0"/>
    </xf>
    <xf numFmtId="0" fontId="2" fillId="0" borderId="0" xfId="0" applyFont="1" applyAlignment="1">
      <alignment horizontal="center"/>
    </xf>
    <xf numFmtId="0" fontId="5" fillId="0" borderId="7" xfId="0" applyFont="1" applyBorder="1" applyAlignment="1" applyProtection="1">
      <alignment horizontal="left"/>
      <protection locked="0"/>
    </xf>
    <xf numFmtId="0" fontId="5" fillId="0" borderId="8" xfId="0" applyFont="1" applyBorder="1" applyAlignment="1" applyProtection="1">
      <alignment horizontal="left"/>
      <protection locked="0"/>
    </xf>
    <xf numFmtId="0" fontId="5" fillId="0" borderId="8" xfId="0" applyFont="1" applyBorder="1" applyAlignment="1">
      <alignment horizontal="left"/>
    </xf>
    <xf numFmtId="0" fontId="5" fillId="0" borderId="9" xfId="0" applyFont="1" applyBorder="1" applyAlignment="1">
      <alignment horizontal="left"/>
    </xf>
    <xf numFmtId="0" fontId="18" fillId="0" borderId="7" xfId="0" applyFont="1" applyBorder="1" applyProtection="1">
      <protection locked="0"/>
    </xf>
    <xf numFmtId="0" fontId="18" fillId="0" borderId="9" xfId="0" applyFont="1" applyBorder="1" applyProtection="1">
      <protection locked="0"/>
    </xf>
  </cellXfs>
  <cellStyles count="5">
    <cellStyle name="Comma" xfId="1" builtinId="3"/>
    <cellStyle name="Normal" xfId="0" builtinId="0"/>
    <cellStyle name="Normal 2" xfId="2" xr:uid="{00000000-0005-0000-0000-000002000000}"/>
    <cellStyle name="Normal 3" xfId="3" xr:uid="{00000000-0005-0000-0000-000003000000}"/>
    <cellStyle name="Percent" xfId="4" builtinId="5"/>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Reproduction Performance Based on Exposed Heifers</a:t>
            </a:r>
          </a:p>
        </c:rich>
      </c:tx>
      <c:layout>
        <c:manualLayout>
          <c:xMode val="edge"/>
          <c:yMode val="edge"/>
          <c:x val="0.15655339488327921"/>
          <c:y val="3.0674923661860316E-2"/>
        </c:manualLayout>
      </c:layout>
      <c:overlay val="0"/>
      <c:spPr>
        <a:noFill/>
        <a:ln w="25400">
          <a:noFill/>
        </a:ln>
      </c:spPr>
    </c:title>
    <c:autoTitleDeleted val="0"/>
    <c:view3D>
      <c:rotX val="15"/>
      <c:hPercent val="51"/>
      <c:rotY val="20"/>
      <c:depthPercent val="100"/>
      <c:rAngAx val="1"/>
    </c:view3D>
    <c:floor>
      <c:thickness val="0"/>
      <c:spPr>
        <a:solidFill>
          <a:srgbClr val="C0C0C0"/>
        </a:solidFill>
        <a:ln w="3175">
          <a:solidFill>
            <a:srgbClr val="000000"/>
          </a:solidFill>
          <a:prstDash val="solid"/>
        </a:ln>
      </c:spPr>
    </c:floor>
    <c:sideWall>
      <c:thickness val="0"/>
      <c:spPr>
        <a:noFill/>
        <a:ln w="3175">
          <a:solidFill>
            <a:srgbClr val="000000"/>
          </a:solidFill>
          <a:prstDash val="solid"/>
        </a:ln>
      </c:spPr>
    </c:sideWall>
    <c:backWall>
      <c:thickness val="0"/>
      <c:spPr>
        <a:noFill/>
        <a:ln w="3175">
          <a:solidFill>
            <a:srgbClr val="000000"/>
          </a:solidFill>
          <a:prstDash val="solid"/>
        </a:ln>
      </c:spPr>
    </c:backWall>
    <c:plotArea>
      <c:layout>
        <c:manualLayout>
          <c:layoutTarget val="inner"/>
          <c:xMode val="edge"/>
          <c:yMode val="edge"/>
          <c:x val="8.3737864077669907E-2"/>
          <c:y val="0.1431495701319061"/>
          <c:w val="0.89927184466019416"/>
          <c:h val="0.72392782609563944"/>
        </c:manualLayout>
      </c:layout>
      <c:bar3DChart>
        <c:barDir val="col"/>
        <c:grouping val="clustered"/>
        <c:varyColors val="0"/>
        <c:ser>
          <c:idx val="0"/>
          <c:order val="0"/>
          <c:tx>
            <c:strRef>
              <c:f>'4. SPA Performance Graphs'!$T$15</c:f>
              <c:strCache>
                <c:ptCount val="1"/>
                <c:pt idx="0">
                  <c:v>%</c:v>
                </c:pt>
              </c:strCache>
            </c:strRef>
          </c:tx>
          <c:spPr>
            <a:solidFill>
              <a:srgbClr val="339966"/>
            </a:solidFill>
            <a:ln w="12700">
              <a:solidFill>
                <a:srgbClr val="000000"/>
              </a:solidFill>
              <a:prstDash val="solid"/>
            </a:ln>
          </c:spPr>
          <c:invertIfNegative val="0"/>
          <c:cat>
            <c:strRef>
              <c:f>'4. SPA Performance Graphs'!$U$14:$W$14</c:f>
              <c:strCache>
                <c:ptCount val="3"/>
                <c:pt idx="0">
                  <c:v>Pregnancy</c:v>
                </c:pt>
                <c:pt idx="1">
                  <c:v>Calving</c:v>
                </c:pt>
                <c:pt idx="2">
                  <c:v>Weaning</c:v>
                </c:pt>
              </c:strCache>
            </c:strRef>
          </c:cat>
          <c:val>
            <c:numRef>
              <c:f>'4. SPA Performance Graphs'!$U$15:$W$15</c:f>
              <c:numCache>
                <c:formatCode>0.0%</c:formatCode>
                <c:ptCount val="3"/>
                <c:pt idx="0">
                  <c:v>0.9</c:v>
                </c:pt>
                <c:pt idx="1">
                  <c:v>0.89</c:v>
                </c:pt>
                <c:pt idx="2">
                  <c:v>0.87</c:v>
                </c:pt>
              </c:numCache>
            </c:numRef>
          </c:val>
          <c:extLst>
            <c:ext xmlns:c16="http://schemas.microsoft.com/office/drawing/2014/chart" uri="{C3380CC4-5D6E-409C-BE32-E72D297353CC}">
              <c16:uniqueId val="{00000000-0455-4C9B-A061-CA77C4FBEE46}"/>
            </c:ext>
          </c:extLst>
        </c:ser>
        <c:dLbls>
          <c:showLegendKey val="0"/>
          <c:showVal val="0"/>
          <c:showCatName val="0"/>
          <c:showSerName val="0"/>
          <c:showPercent val="0"/>
          <c:showBubbleSize val="0"/>
        </c:dLbls>
        <c:gapWidth val="150"/>
        <c:shape val="box"/>
        <c:axId val="237525080"/>
        <c:axId val="237527432"/>
        <c:axId val="0"/>
      </c:bar3DChart>
      <c:catAx>
        <c:axId val="2375250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37527432"/>
        <c:crosses val="autoZero"/>
        <c:auto val="1"/>
        <c:lblAlgn val="ctr"/>
        <c:lblOffset val="100"/>
        <c:tickLblSkip val="1"/>
        <c:tickMarkSkip val="1"/>
        <c:noMultiLvlLbl val="0"/>
      </c:catAx>
      <c:valAx>
        <c:axId val="23752743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200" b="1" i="1" u="none" strike="noStrike" baseline="0">
                <a:solidFill>
                  <a:srgbClr val="000000"/>
                </a:solidFill>
                <a:latin typeface="Arial"/>
                <a:ea typeface="Arial"/>
                <a:cs typeface="Arial"/>
              </a:defRPr>
            </a:pPr>
            <a:endParaRPr lang="en-US"/>
          </a:p>
        </c:txPr>
        <c:crossAx val="237525080"/>
        <c:crosses val="autoZero"/>
        <c:crossBetween val="between"/>
      </c:valAx>
      <c:dTable>
        <c:showHorzBorder val="1"/>
        <c:showVertBorder val="1"/>
        <c:showOutline val="1"/>
        <c:showKeys val="1"/>
        <c:spPr>
          <a:ln w="3175">
            <a:solidFill>
              <a:srgbClr val="000000"/>
            </a:solidFill>
            <a:prstDash val="solid"/>
          </a:ln>
        </c:spPr>
        <c:txPr>
          <a:bodyPr/>
          <a:lstStyle/>
          <a:p>
            <a:pPr rtl="0">
              <a:defRPr sz="1200" b="0" i="1" u="none" strike="noStrike" baseline="0">
                <a:solidFill>
                  <a:srgbClr val="000000"/>
                </a:solidFill>
                <a:latin typeface="Arial"/>
                <a:ea typeface="Arial"/>
                <a:cs typeface="Arial"/>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Repl. Heifer Death Loss, Pregnancy and Calf Loss </a:t>
            </a:r>
          </a:p>
        </c:rich>
      </c:tx>
      <c:layout>
        <c:manualLayout>
          <c:xMode val="edge"/>
          <c:yMode val="edge"/>
          <c:x val="0.23757605330793638"/>
          <c:y val="2.9166610583933418E-2"/>
        </c:manualLayout>
      </c:layout>
      <c:overlay val="0"/>
      <c:spPr>
        <a:noFill/>
        <a:ln w="25400">
          <a:noFill/>
        </a:ln>
      </c:spPr>
    </c:title>
    <c:autoTitleDeleted val="0"/>
    <c:view3D>
      <c:rotX val="15"/>
      <c:hPercent val="50"/>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manualLayout>
          <c:layoutTarget val="inner"/>
          <c:xMode val="edge"/>
          <c:yMode val="edge"/>
          <c:x val="9.9394057047889492E-2"/>
          <c:y val="0.14583363003261318"/>
          <c:w val="0.88363740960867609"/>
          <c:h val="0.71875146230359355"/>
        </c:manualLayout>
      </c:layout>
      <c:bar3DChart>
        <c:barDir val="col"/>
        <c:grouping val="clustered"/>
        <c:varyColors val="0"/>
        <c:ser>
          <c:idx val="0"/>
          <c:order val="0"/>
          <c:tx>
            <c:strRef>
              <c:f>'4. SPA Performance Graphs'!$S$35</c:f>
              <c:strCache>
                <c:ptCount val="1"/>
                <c:pt idx="0">
                  <c:v>%</c:v>
                </c:pt>
              </c:strCache>
            </c:strRef>
          </c:tx>
          <c:spPr>
            <a:solidFill>
              <a:srgbClr val="FF0000"/>
            </a:solidFill>
            <a:ln w="12700">
              <a:solidFill>
                <a:srgbClr val="000000"/>
              </a:solidFill>
              <a:prstDash val="solid"/>
            </a:ln>
          </c:spPr>
          <c:invertIfNegative val="0"/>
          <c:cat>
            <c:strRef>
              <c:f>'4. SPA Performance Graphs'!$T$34:$W$34</c:f>
              <c:strCache>
                <c:ptCount val="4"/>
                <c:pt idx="0">
                  <c:v>Repl. Heifer Death</c:v>
                </c:pt>
                <c:pt idx="2">
                  <c:v>Pregnancy Loss</c:v>
                </c:pt>
                <c:pt idx="3">
                  <c:v>Calf Loss*</c:v>
                </c:pt>
              </c:strCache>
            </c:strRef>
          </c:cat>
          <c:val>
            <c:numRef>
              <c:f>'4. SPA Performance Graphs'!$T$35:$W$35</c:f>
              <c:numCache>
                <c:formatCode>0.00%</c:formatCode>
                <c:ptCount val="4"/>
                <c:pt idx="0">
                  <c:v>0</c:v>
                </c:pt>
                <c:pt idx="2">
                  <c:v>1.0000000000000009E-2</c:v>
                </c:pt>
                <c:pt idx="3">
                  <c:v>0.02</c:v>
                </c:pt>
              </c:numCache>
            </c:numRef>
          </c:val>
          <c:extLst>
            <c:ext xmlns:c16="http://schemas.microsoft.com/office/drawing/2014/chart" uri="{C3380CC4-5D6E-409C-BE32-E72D297353CC}">
              <c16:uniqueId val="{00000000-25BE-49A1-BC45-D187239BF23B}"/>
            </c:ext>
          </c:extLst>
        </c:ser>
        <c:dLbls>
          <c:showLegendKey val="0"/>
          <c:showVal val="0"/>
          <c:showCatName val="0"/>
          <c:showSerName val="0"/>
          <c:showPercent val="0"/>
          <c:showBubbleSize val="0"/>
        </c:dLbls>
        <c:gapWidth val="150"/>
        <c:shape val="box"/>
        <c:axId val="237527824"/>
        <c:axId val="237520376"/>
        <c:axId val="0"/>
      </c:bar3DChart>
      <c:catAx>
        <c:axId val="23752782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37520376"/>
        <c:crosses val="autoZero"/>
        <c:auto val="1"/>
        <c:lblAlgn val="ctr"/>
        <c:lblOffset val="100"/>
        <c:tickLblSkip val="1"/>
        <c:tickMarkSkip val="1"/>
        <c:noMultiLvlLbl val="0"/>
      </c:catAx>
      <c:valAx>
        <c:axId val="237520376"/>
        <c:scaling>
          <c:orientation val="minMax"/>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1200" b="1" i="1" u="none" strike="noStrike" baseline="0">
                <a:solidFill>
                  <a:srgbClr val="000000"/>
                </a:solidFill>
                <a:latin typeface="Arial"/>
                <a:ea typeface="Arial"/>
                <a:cs typeface="Arial"/>
              </a:defRPr>
            </a:pPr>
            <a:endParaRPr lang="en-US"/>
          </a:p>
        </c:txPr>
        <c:crossAx val="23752782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1" u="none" strike="noStrike" baseline="0">
                <a:solidFill>
                  <a:srgbClr val="000000"/>
                </a:solidFill>
                <a:latin typeface="Arial"/>
                <a:ea typeface="Arial"/>
                <a:cs typeface="Arial"/>
              </a:defRPr>
            </a:pPr>
            <a:endParaRPr lang="en-US"/>
          </a:p>
        </c:txPr>
      </c:dTable>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32657</xdr:colOff>
      <xdr:row>2</xdr:row>
      <xdr:rowOff>81643</xdr:rowOff>
    </xdr:from>
    <xdr:to>
      <xdr:col>13</xdr:col>
      <xdr:colOff>604157</xdr:colOff>
      <xdr:row>31</xdr:row>
      <xdr:rowOff>43543</xdr:rowOff>
    </xdr:to>
    <xdr:graphicFrame macro="">
      <xdr:nvGraphicFramePr>
        <xdr:cNvPr id="2155" name="Chart 1">
          <a:extLst>
            <a:ext uri="{FF2B5EF4-FFF2-40B4-BE49-F238E27FC236}">
              <a16:creationId xmlns:a16="http://schemas.microsoft.com/office/drawing/2014/main" id="{00000000-0008-0000-0200-00006B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43543</xdr:colOff>
      <xdr:row>35</xdr:row>
      <xdr:rowOff>130629</xdr:rowOff>
    </xdr:from>
    <xdr:to>
      <xdr:col>13</xdr:col>
      <xdr:colOff>620486</xdr:colOff>
      <xdr:row>64</xdr:row>
      <xdr:rowOff>10886</xdr:rowOff>
    </xdr:to>
    <xdr:graphicFrame macro="">
      <xdr:nvGraphicFramePr>
        <xdr:cNvPr id="2156" name="Chart 2">
          <a:extLst>
            <a:ext uri="{FF2B5EF4-FFF2-40B4-BE49-F238E27FC236}">
              <a16:creationId xmlns:a16="http://schemas.microsoft.com/office/drawing/2014/main" id="{00000000-0008-0000-0200-00006C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B49DD-D7C7-44CF-9923-6243C43E3483}">
  <sheetPr>
    <pageSetUpPr fitToPage="1"/>
  </sheetPr>
  <dimension ref="B1:K52"/>
  <sheetViews>
    <sheetView topLeftCell="A43" workbookViewId="0">
      <selection activeCell="F48" sqref="F48"/>
    </sheetView>
  </sheetViews>
  <sheetFormatPr defaultRowHeight="12.45" x14ac:dyDescent="0.3"/>
  <cols>
    <col min="1" max="1" width="2.84375" customWidth="1"/>
    <col min="2" max="2" width="35.07421875" customWidth="1"/>
    <col min="4" max="4" width="14" customWidth="1"/>
    <col min="5" max="5" width="19.23046875" customWidth="1"/>
    <col min="6" max="6" width="15.84375" customWidth="1"/>
  </cols>
  <sheetData>
    <row r="1" spans="2:7" ht="17.600000000000001" x14ac:dyDescent="0.4">
      <c r="B1" s="148" t="s">
        <v>160</v>
      </c>
      <c r="C1" s="149"/>
      <c r="D1" s="149"/>
      <c r="E1" s="149"/>
      <c r="F1" s="149"/>
      <c r="G1" s="147"/>
    </row>
    <row r="2" spans="2:7" ht="17.600000000000001" x14ac:dyDescent="0.4">
      <c r="B2" s="148" t="s">
        <v>161</v>
      </c>
      <c r="C2" s="150"/>
      <c r="D2" s="150"/>
      <c r="E2" s="150"/>
      <c r="F2" s="150"/>
      <c r="G2" s="147"/>
    </row>
    <row r="3" spans="2:7" ht="17.600000000000001" x14ac:dyDescent="0.4">
      <c r="B3" s="84"/>
      <c r="C3" s="85"/>
      <c r="D3" s="85"/>
      <c r="E3" s="85"/>
      <c r="F3" s="85"/>
    </row>
    <row r="4" spans="2:7" ht="15.45" x14ac:dyDescent="0.4">
      <c r="B4" s="6" t="s">
        <v>162</v>
      </c>
      <c r="C4" s="151">
        <v>43571</v>
      </c>
      <c r="D4" s="152"/>
      <c r="E4" s="6" t="s">
        <v>163</v>
      </c>
      <c r="F4" s="122">
        <v>2019</v>
      </c>
    </row>
    <row r="5" spans="2:7" ht="15.45" x14ac:dyDescent="0.4">
      <c r="B5" s="6" t="s">
        <v>200</v>
      </c>
      <c r="C5" s="153" t="s">
        <v>164</v>
      </c>
      <c r="D5" s="154"/>
      <c r="E5" s="160" t="s">
        <v>201</v>
      </c>
      <c r="F5" s="161"/>
    </row>
    <row r="6" spans="2:7" ht="15.45" x14ac:dyDescent="0.4">
      <c r="B6" s="6" t="s">
        <v>198</v>
      </c>
      <c r="C6" s="155" t="s">
        <v>199</v>
      </c>
      <c r="D6" s="156"/>
      <c r="E6" s="156"/>
      <c r="F6" s="157"/>
    </row>
    <row r="7" spans="2:7" ht="15.45" x14ac:dyDescent="0.4">
      <c r="B7" s="6"/>
    </row>
    <row r="8" spans="2:7" ht="15.45" x14ac:dyDescent="0.4">
      <c r="B8" s="86" t="s">
        <v>211</v>
      </c>
      <c r="C8" s="4"/>
      <c r="D8" s="87"/>
      <c r="E8" s="86"/>
      <c r="F8" s="88">
        <v>100</v>
      </c>
    </row>
    <row r="9" spans="2:7" ht="15.45" x14ac:dyDescent="0.4">
      <c r="B9" s="6" t="s">
        <v>165</v>
      </c>
      <c r="F9" s="89"/>
    </row>
    <row r="10" spans="2:7" ht="15.45" x14ac:dyDescent="0.4">
      <c r="B10" s="6" t="s">
        <v>166</v>
      </c>
      <c r="C10" s="4"/>
      <c r="D10" s="123" t="s">
        <v>36</v>
      </c>
      <c r="E10" s="6"/>
      <c r="F10" s="75" t="s">
        <v>37</v>
      </c>
    </row>
    <row r="11" spans="2:7" ht="30.9" x14ac:dyDescent="0.4">
      <c r="B11" s="90" t="s">
        <v>202</v>
      </c>
      <c r="C11" s="4"/>
      <c r="D11" s="91">
        <v>43583</v>
      </c>
      <c r="E11" s="92" t="s">
        <v>203</v>
      </c>
      <c r="F11" s="91">
        <v>43646</v>
      </c>
    </row>
    <row r="12" spans="2:7" ht="15.45" x14ac:dyDescent="0.4">
      <c r="B12" s="86" t="s">
        <v>167</v>
      </c>
      <c r="D12" s="158" t="s">
        <v>168</v>
      </c>
      <c r="E12" s="159"/>
      <c r="F12" s="6">
        <f>F11-D11</f>
        <v>63</v>
      </c>
    </row>
    <row r="13" spans="2:7" ht="15.45" x14ac:dyDescent="0.4">
      <c r="B13" s="6" t="s">
        <v>187</v>
      </c>
      <c r="C13" s="4"/>
      <c r="D13" s="93"/>
      <c r="E13" s="6"/>
      <c r="F13" s="93"/>
    </row>
    <row r="14" spans="2:7" ht="17.600000000000001" x14ac:dyDescent="0.4">
      <c r="B14" s="42" t="s">
        <v>197</v>
      </c>
      <c r="C14" s="4"/>
      <c r="D14" s="93"/>
      <c r="E14" s="6" t="s">
        <v>169</v>
      </c>
      <c r="F14" s="4">
        <f>F15-D15</f>
        <v>2</v>
      </c>
    </row>
    <row r="15" spans="2:7" ht="15.45" x14ac:dyDescent="0.4">
      <c r="B15" s="86" t="s">
        <v>170</v>
      </c>
      <c r="C15" s="4"/>
      <c r="D15" s="91">
        <v>43693</v>
      </c>
      <c r="E15" s="94"/>
      <c r="F15" s="91">
        <v>43695</v>
      </c>
    </row>
    <row r="16" spans="2:7" ht="15.45" x14ac:dyDescent="0.4">
      <c r="C16" s="4"/>
      <c r="D16" s="86" t="s">
        <v>171</v>
      </c>
      <c r="E16" s="6"/>
      <c r="F16" s="4"/>
    </row>
    <row r="17" spans="2:11" ht="15.45" x14ac:dyDescent="0.4">
      <c r="B17" s="6" t="s">
        <v>172</v>
      </c>
      <c r="C17" s="4"/>
      <c r="D17" s="95">
        <v>100</v>
      </c>
      <c r="E17" s="6"/>
      <c r="F17" s="4"/>
    </row>
    <row r="18" spans="2:11" ht="15.45" x14ac:dyDescent="0.4">
      <c r="B18" s="6" t="s">
        <v>213</v>
      </c>
      <c r="C18" s="4"/>
      <c r="D18" s="129">
        <v>0</v>
      </c>
      <c r="E18" s="6"/>
      <c r="F18" s="4"/>
      <c r="G18" s="6" t="s">
        <v>215</v>
      </c>
    </row>
    <row r="19" spans="2:11" ht="15.45" x14ac:dyDescent="0.4">
      <c r="B19" s="6" t="s">
        <v>212</v>
      </c>
      <c r="C19" s="4"/>
      <c r="D19" s="127">
        <f>D17-D18</f>
        <v>100</v>
      </c>
      <c r="E19" s="6"/>
      <c r="F19" s="4"/>
    </row>
    <row r="20" spans="2:11" ht="15.45" x14ac:dyDescent="0.4">
      <c r="B20" s="6" t="s">
        <v>173</v>
      </c>
      <c r="C20" s="4"/>
      <c r="D20" s="96">
        <v>60</v>
      </c>
      <c r="E20" s="80">
        <f>IF($D$19=0,0,D20/$D$19)</f>
        <v>0.6</v>
      </c>
      <c r="F20" s="4"/>
      <c r="K20" s="1" t="s">
        <v>174</v>
      </c>
    </row>
    <row r="21" spans="2:11" ht="15.45" x14ac:dyDescent="0.4">
      <c r="B21" s="97" t="s">
        <v>175</v>
      </c>
      <c r="C21" s="4"/>
      <c r="D21" s="96">
        <v>30</v>
      </c>
      <c r="E21" s="80">
        <f>IF($D$19=0,0,D21/$D$19)</f>
        <v>0.3</v>
      </c>
      <c r="F21" s="75" t="s">
        <v>9</v>
      </c>
      <c r="H21" s="59"/>
    </row>
    <row r="22" spans="2:11" ht="15.45" x14ac:dyDescent="0.4">
      <c r="B22" s="6" t="s">
        <v>204</v>
      </c>
      <c r="C22" s="4"/>
      <c r="D22" s="98">
        <f>D20+D21</f>
        <v>90</v>
      </c>
      <c r="E22" s="6" t="s">
        <v>214</v>
      </c>
      <c r="F22" s="130">
        <v>10</v>
      </c>
      <c r="G22" s="99" t="str">
        <f>IF(D22+F22=D19," ",K20)</f>
        <v xml:space="preserve"> </v>
      </c>
    </row>
    <row r="23" spans="2:11" ht="45" customHeight="1" x14ac:dyDescent="0.4">
      <c r="B23" s="100" t="s">
        <v>205</v>
      </c>
      <c r="C23" s="4"/>
      <c r="D23" s="101"/>
      <c r="E23" s="124" t="s">
        <v>206</v>
      </c>
      <c r="F23" s="102">
        <f>D22/D19</f>
        <v>0.9</v>
      </c>
    </row>
    <row r="24" spans="2:11" ht="15.45" x14ac:dyDescent="0.4">
      <c r="B24" s="140"/>
      <c r="C24" s="141"/>
      <c r="D24" s="141"/>
      <c r="E24" s="141"/>
      <c r="F24" s="141"/>
    </row>
    <row r="26" spans="2:11" ht="17.600000000000001" x14ac:dyDescent="0.4">
      <c r="B26" s="84" t="s">
        <v>176</v>
      </c>
      <c r="D26" s="84"/>
    </row>
    <row r="27" spans="2:11" ht="15.45" x14ac:dyDescent="0.4">
      <c r="B27" s="86" t="s">
        <v>177</v>
      </c>
      <c r="E27" s="47">
        <f>F4</f>
        <v>2019</v>
      </c>
    </row>
    <row r="29" spans="2:11" ht="15.45" x14ac:dyDescent="0.4">
      <c r="B29" s="4"/>
      <c r="E29" s="75" t="s">
        <v>9</v>
      </c>
    </row>
    <row r="30" spans="2:11" ht="15.45" x14ac:dyDescent="0.4">
      <c r="B30" s="86" t="s">
        <v>177</v>
      </c>
      <c r="E30" s="103">
        <f>F8</f>
        <v>100</v>
      </c>
    </row>
    <row r="32" spans="2:11" ht="15.45" x14ac:dyDescent="0.4">
      <c r="B32" s="4" t="s">
        <v>178</v>
      </c>
      <c r="E32" s="126">
        <f>D17</f>
        <v>100</v>
      </c>
    </row>
    <row r="33" spans="2:10" ht="15" x14ac:dyDescent="0.35">
      <c r="B33" s="4" t="s">
        <v>207</v>
      </c>
      <c r="E33" s="103">
        <f>D20</f>
        <v>60</v>
      </c>
    </row>
    <row r="34" spans="2:10" ht="15" x14ac:dyDescent="0.35">
      <c r="B34" s="4" t="s">
        <v>208</v>
      </c>
      <c r="E34" s="125">
        <f>D21</f>
        <v>30</v>
      </c>
    </row>
    <row r="35" spans="2:10" ht="15" x14ac:dyDescent="0.35">
      <c r="B35" s="4"/>
      <c r="E35" s="125"/>
    </row>
    <row r="36" spans="2:10" ht="15" x14ac:dyDescent="0.35">
      <c r="B36" s="4" t="s">
        <v>210</v>
      </c>
      <c r="E36" s="4">
        <f>F22</f>
        <v>10</v>
      </c>
    </row>
    <row r="37" spans="2:10" ht="15" x14ac:dyDescent="0.35">
      <c r="B37" s="4"/>
      <c r="E37" s="4"/>
    </row>
    <row r="38" spans="2:10" ht="15.45" x14ac:dyDescent="0.4">
      <c r="B38" s="97" t="s">
        <v>216</v>
      </c>
      <c r="E38" s="101">
        <f>IF(E32=0,0,((E34+E33)/E32))</f>
        <v>0.9</v>
      </c>
    </row>
    <row r="39" spans="2:10" ht="15.45" x14ac:dyDescent="0.4">
      <c r="B39" s="6" t="s">
        <v>209</v>
      </c>
      <c r="E39" s="101"/>
    </row>
    <row r="40" spans="2:10" ht="15.45" x14ac:dyDescent="0.4">
      <c r="B40" s="6"/>
      <c r="E40" s="76" t="s">
        <v>179</v>
      </c>
    </row>
    <row r="41" spans="2:10" ht="15.45" x14ac:dyDescent="0.4">
      <c r="B41" s="6" t="s">
        <v>180</v>
      </c>
      <c r="E41" s="76" t="s">
        <v>181</v>
      </c>
    </row>
    <row r="42" spans="2:10" ht="15.45" x14ac:dyDescent="0.4">
      <c r="B42" s="6"/>
      <c r="D42" s="3" t="s">
        <v>9</v>
      </c>
      <c r="E42" s="76"/>
      <c r="F42" s="3" t="s">
        <v>182</v>
      </c>
      <c r="G42" s="3" t="s">
        <v>183</v>
      </c>
    </row>
    <row r="43" spans="2:10" ht="15.45" x14ac:dyDescent="0.4">
      <c r="B43" s="6" t="s">
        <v>225</v>
      </c>
      <c r="D43" s="104">
        <v>90</v>
      </c>
      <c r="E43" s="95">
        <v>1000</v>
      </c>
      <c r="F43" s="105"/>
    </row>
    <row r="44" spans="2:10" ht="15.45" x14ac:dyDescent="0.4">
      <c r="B44" s="6" t="s">
        <v>224</v>
      </c>
      <c r="D44" s="104">
        <v>0</v>
      </c>
      <c r="E44" s="104">
        <v>0</v>
      </c>
      <c r="F44" s="106">
        <v>0</v>
      </c>
      <c r="G44" s="107">
        <f>IF(D44=0,0,F44/D44)</f>
        <v>0</v>
      </c>
    </row>
    <row r="45" spans="2:10" ht="15.45" x14ac:dyDescent="0.4">
      <c r="B45" s="6"/>
      <c r="C45" s="6"/>
      <c r="D45" s="6"/>
      <c r="E45" s="108"/>
      <c r="F45" s="109"/>
      <c r="G45" s="110"/>
      <c r="H45" s="6"/>
      <c r="I45" s="19" t="s">
        <v>184</v>
      </c>
    </row>
    <row r="46" spans="2:10" ht="15.45" x14ac:dyDescent="0.4">
      <c r="B46" s="6" t="s">
        <v>222</v>
      </c>
      <c r="D46" s="104">
        <v>10</v>
      </c>
      <c r="E46" s="104">
        <v>900</v>
      </c>
      <c r="F46" s="106">
        <f>D46*E46*1.35</f>
        <v>12150</v>
      </c>
      <c r="G46" s="107">
        <f>IF(D46=0,0,F46/D46)</f>
        <v>1215</v>
      </c>
      <c r="I46" s="111">
        <f>(F46/(D46*E46)*100)</f>
        <v>135</v>
      </c>
    </row>
    <row r="47" spans="2:10" ht="15.45" x14ac:dyDescent="0.4">
      <c r="B47" s="6" t="s">
        <v>185</v>
      </c>
      <c r="D47" s="104">
        <v>0</v>
      </c>
      <c r="E47" s="112"/>
      <c r="F47" s="113"/>
      <c r="I47" s="4" t="s">
        <v>220</v>
      </c>
    </row>
    <row r="48" spans="2:10" ht="15.45" x14ac:dyDescent="0.4">
      <c r="B48" s="6" t="s">
        <v>221</v>
      </c>
      <c r="D48" s="47">
        <f>SUM(D43:D47)</f>
        <v>100</v>
      </c>
      <c r="F48" s="109">
        <f>SUM(F44:F46)</f>
        <v>12150</v>
      </c>
      <c r="G48" s="105"/>
      <c r="I48" s="47">
        <f>D46+D47</f>
        <v>10</v>
      </c>
      <c r="J48" s="133" t="str">
        <f>IF(I49-I48=0," ","Opens, cull sales and adjustments are not equal - check the numbers")</f>
        <v xml:space="preserve"> </v>
      </c>
    </row>
    <row r="49" spans="2:9" ht="15.45" x14ac:dyDescent="0.4">
      <c r="B49" s="131"/>
      <c r="D49" s="134" t="str">
        <f>J48</f>
        <v xml:space="preserve"> </v>
      </c>
      <c r="E49" s="47"/>
      <c r="I49" s="132">
        <f>D18+F22</f>
        <v>10</v>
      </c>
    </row>
    <row r="50" spans="2:9" ht="14.15" x14ac:dyDescent="0.35">
      <c r="B50" s="142" t="s">
        <v>228</v>
      </c>
      <c r="C50" s="143"/>
      <c r="D50" s="143"/>
      <c r="E50" s="143"/>
      <c r="F50" s="143"/>
      <c r="G50" s="144"/>
    </row>
    <row r="51" spans="2:9" ht="14.15" x14ac:dyDescent="0.35">
      <c r="B51" s="145"/>
      <c r="C51" s="146"/>
      <c r="D51" s="146"/>
      <c r="E51" s="146"/>
      <c r="F51" s="146"/>
      <c r="G51" s="147"/>
    </row>
    <row r="52" spans="2:9" x14ac:dyDescent="0.3">
      <c r="B52" s="18" t="s">
        <v>186</v>
      </c>
    </row>
  </sheetData>
  <sheetProtection sheet="1" objects="1" scenarios="1"/>
  <mergeCells count="10">
    <mergeCell ref="B24:F24"/>
    <mergeCell ref="B50:G50"/>
    <mergeCell ref="B51:G51"/>
    <mergeCell ref="B1:G1"/>
    <mergeCell ref="B2:G2"/>
    <mergeCell ref="C4:D4"/>
    <mergeCell ref="C5:D5"/>
    <mergeCell ref="C6:F6"/>
    <mergeCell ref="D12:E12"/>
    <mergeCell ref="E5:F5"/>
  </mergeCells>
  <pageMargins left="0.95" right="0.45" top="0.75" bottom="0.75" header="0.3" footer="0.3"/>
  <pageSetup scale="82" orientation="portrait" horizontalDpi="4294967295" verticalDpi="4294967295" r:id="rId1"/>
  <headerFooter>
    <oddFooter>&amp;L&amp;F&amp;R&amp;A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22"/>
  <sheetViews>
    <sheetView topLeftCell="A23" zoomScaleNormal="100" workbookViewId="0">
      <selection activeCell="D7" sqref="D7"/>
    </sheetView>
  </sheetViews>
  <sheetFormatPr defaultRowHeight="12.45" x14ac:dyDescent="0.3"/>
  <cols>
    <col min="1" max="1" width="5.921875" customWidth="1"/>
    <col min="2" max="2" width="31.69140625" customWidth="1"/>
    <col min="3" max="3" width="15.84375" customWidth="1"/>
    <col min="4" max="4" width="12.15234375" customWidth="1"/>
    <col min="5" max="5" width="10.69140625" customWidth="1"/>
    <col min="6" max="6" width="12.3828125" customWidth="1"/>
    <col min="7" max="7" width="4.4609375" customWidth="1"/>
    <col min="8" max="8" width="10.3828125" customWidth="1"/>
    <col min="9" max="9" width="8.15234375" customWidth="1"/>
    <col min="10" max="10" width="10.15234375" bestFit="1" customWidth="1"/>
    <col min="15" max="15" width="11.69140625" customWidth="1"/>
  </cols>
  <sheetData>
    <row r="1" spans="2:15" ht="15.45" x14ac:dyDescent="0.4">
      <c r="B1" s="162" t="s">
        <v>118</v>
      </c>
      <c r="C1" s="150"/>
      <c r="D1" s="150"/>
      <c r="E1" s="150"/>
      <c r="F1" s="150"/>
      <c r="G1" s="150"/>
      <c r="H1" s="150"/>
      <c r="I1" s="150"/>
    </row>
    <row r="3" spans="2:15" ht="15" x14ac:dyDescent="0.35">
      <c r="B3" s="4" t="s">
        <v>132</v>
      </c>
      <c r="C3" s="167" t="s">
        <v>137</v>
      </c>
      <c r="D3" s="168"/>
      <c r="F3" s="82" t="s">
        <v>61</v>
      </c>
      <c r="H3" s="46">
        <f ca="1">NOW()</f>
        <v>43722.489143981482</v>
      </c>
      <c r="L3" s="20" t="s">
        <v>133</v>
      </c>
    </row>
    <row r="4" spans="2:15" ht="15" x14ac:dyDescent="0.35">
      <c r="B4" s="4" t="s">
        <v>136</v>
      </c>
      <c r="C4" s="163" t="s">
        <v>138</v>
      </c>
      <c r="D4" s="164"/>
      <c r="E4" s="165"/>
      <c r="F4" s="166"/>
      <c r="G4" s="4"/>
      <c r="H4" s="4"/>
      <c r="I4" s="4"/>
    </row>
    <row r="5" spans="2:15" ht="15" x14ac:dyDescent="0.35">
      <c r="B5" s="4" t="s">
        <v>60</v>
      </c>
      <c r="C5" s="12"/>
      <c r="D5" s="83">
        <v>2019</v>
      </c>
      <c r="E5" s="4"/>
      <c r="F5" s="4"/>
      <c r="G5" s="4"/>
      <c r="H5" s="4"/>
    </row>
    <row r="6" spans="2:15" ht="15" x14ac:dyDescent="0.35">
      <c r="B6" s="4" t="s">
        <v>94</v>
      </c>
      <c r="C6" s="12"/>
      <c r="D6" s="45">
        <v>2020</v>
      </c>
      <c r="E6" s="65"/>
      <c r="F6" s="4"/>
      <c r="G6" s="4"/>
      <c r="H6" s="4"/>
    </row>
    <row r="7" spans="2:15" ht="15" x14ac:dyDescent="0.35">
      <c r="B7" s="4" t="s">
        <v>59</v>
      </c>
      <c r="C7" s="4"/>
      <c r="D7" s="4"/>
      <c r="E7" s="4"/>
      <c r="F7" s="4"/>
      <c r="G7" s="4"/>
      <c r="H7" s="4"/>
      <c r="I7" s="4"/>
    </row>
    <row r="8" spans="2:15" ht="15.45" x14ac:dyDescent="0.4">
      <c r="B8" s="6" t="s">
        <v>0</v>
      </c>
      <c r="C8" s="4"/>
      <c r="D8" s="4"/>
      <c r="E8" s="4"/>
      <c r="F8" s="24">
        <f>'1.Rep. Heifer SPA BreedingData '!D11</f>
        <v>43583</v>
      </c>
      <c r="G8" s="4"/>
      <c r="H8" s="4"/>
      <c r="I8" s="4"/>
    </row>
    <row r="9" spans="2:15" ht="15" x14ac:dyDescent="0.35">
      <c r="B9" s="4" t="s">
        <v>1</v>
      </c>
      <c r="C9" s="4"/>
      <c r="D9" s="4"/>
      <c r="E9" s="4"/>
      <c r="F9" s="24">
        <f>'1.Rep. Heifer SPA BreedingData '!F11</f>
        <v>43646</v>
      </c>
      <c r="G9" s="4"/>
      <c r="H9" s="49">
        <f>F9-F8</f>
        <v>63</v>
      </c>
      <c r="I9" s="50" t="s">
        <v>8</v>
      </c>
      <c r="L9" t="s">
        <v>10</v>
      </c>
      <c r="O9" s="2">
        <f>(F8+283+F9+283)/2</f>
        <v>43897.5</v>
      </c>
    </row>
    <row r="10" spans="2:15" ht="9" customHeight="1" x14ac:dyDescent="0.35">
      <c r="B10" s="4"/>
      <c r="C10" s="4"/>
      <c r="D10" s="4"/>
      <c r="E10" s="4"/>
      <c r="F10" s="24"/>
      <c r="G10" s="4"/>
      <c r="H10" s="49"/>
      <c r="I10" s="50"/>
      <c r="O10" s="2"/>
    </row>
    <row r="11" spans="2:15" ht="15.45" x14ac:dyDescent="0.4">
      <c r="B11" s="6" t="s">
        <v>66</v>
      </c>
      <c r="C11" s="4"/>
      <c r="D11" s="4"/>
      <c r="E11" s="4"/>
      <c r="F11" s="24">
        <f>'1.Rep. Heifer SPA BreedingData '!D15</f>
        <v>43693</v>
      </c>
      <c r="G11" s="4"/>
      <c r="H11" s="13"/>
      <c r="I11" s="14"/>
      <c r="O11" s="2"/>
    </row>
    <row r="12" spans="2:15" ht="15.45" thickBot="1" x14ac:dyDescent="0.4">
      <c r="B12" s="4" t="s">
        <v>67</v>
      </c>
      <c r="C12" s="4"/>
      <c r="D12" s="4"/>
      <c r="E12" s="4"/>
      <c r="F12" s="114">
        <f>'1.Rep. Heifer SPA BreedingData '!F15</f>
        <v>43695</v>
      </c>
      <c r="G12" s="4"/>
      <c r="H12" s="49">
        <f>F12-F11</f>
        <v>2</v>
      </c>
      <c r="I12" s="50" t="s">
        <v>8</v>
      </c>
      <c r="O12" s="2"/>
    </row>
    <row r="13" spans="2:15" ht="9" customHeight="1" thickTop="1" thickBot="1" x14ac:dyDescent="0.45">
      <c r="B13" s="4"/>
      <c r="C13" s="4"/>
      <c r="D13" s="4"/>
      <c r="E13" s="4"/>
      <c r="F13" s="66"/>
      <c r="G13" s="4"/>
      <c r="H13" s="13"/>
      <c r="I13" s="14"/>
      <c r="O13" s="2"/>
    </row>
    <row r="14" spans="2:15" ht="16.3" thickTop="1" thickBot="1" x14ac:dyDescent="0.45">
      <c r="B14" s="6" t="s">
        <v>70</v>
      </c>
      <c r="C14" s="4"/>
      <c r="D14" s="4"/>
      <c r="E14" s="4"/>
      <c r="F14" s="25">
        <f>F8+283</f>
        <v>43866</v>
      </c>
      <c r="G14" s="4"/>
      <c r="H14" s="4"/>
      <c r="I14" s="4"/>
    </row>
    <row r="15" spans="2:15" ht="15.9" thickTop="1" thickBot="1" x14ac:dyDescent="0.4">
      <c r="B15" s="4" t="s">
        <v>71</v>
      </c>
      <c r="C15" s="4"/>
      <c r="D15" s="4"/>
      <c r="E15" s="4"/>
      <c r="F15" s="25">
        <f>F14+60</f>
        <v>43926</v>
      </c>
      <c r="G15" s="4"/>
      <c r="H15" s="48">
        <f>F15-F14</f>
        <v>60</v>
      </c>
      <c r="I15" s="50" t="s">
        <v>8</v>
      </c>
    </row>
    <row r="16" spans="2:15" ht="9" customHeight="1" thickTop="1" thickBot="1" x14ac:dyDescent="0.4">
      <c r="B16" s="4"/>
      <c r="C16" s="4"/>
      <c r="D16" s="4"/>
      <c r="E16" s="4"/>
      <c r="F16" s="66"/>
      <c r="G16" s="4"/>
      <c r="H16" s="48"/>
      <c r="I16" s="50"/>
    </row>
    <row r="17" spans="1:12" ht="16.3" thickTop="1" thickBot="1" x14ac:dyDescent="0.45">
      <c r="B17" s="6" t="s">
        <v>65</v>
      </c>
      <c r="C17" s="4"/>
      <c r="D17" s="4"/>
      <c r="E17" s="4"/>
      <c r="F17" s="25">
        <v>44136</v>
      </c>
      <c r="G17" s="4"/>
      <c r="H17" s="4"/>
      <c r="I17" s="4"/>
    </row>
    <row r="18" spans="1:12" ht="15.9" thickTop="1" thickBot="1" x14ac:dyDescent="0.4">
      <c r="B18" s="4" t="s">
        <v>64</v>
      </c>
      <c r="C18" s="4"/>
      <c r="D18" s="4"/>
      <c r="E18" s="4"/>
      <c r="F18" s="25">
        <v>44137</v>
      </c>
      <c r="G18" s="4"/>
      <c r="H18" s="48">
        <f>F18-F17</f>
        <v>1</v>
      </c>
      <c r="I18" s="50" t="s">
        <v>8</v>
      </c>
    </row>
    <row r="19" spans="1:12" ht="15.45" thickTop="1" x14ac:dyDescent="0.35">
      <c r="B19" s="4" t="s">
        <v>20</v>
      </c>
      <c r="C19" s="4"/>
      <c r="D19" s="4"/>
      <c r="E19" s="4"/>
      <c r="F19" s="4"/>
      <c r="G19" s="4"/>
      <c r="H19" s="4"/>
      <c r="I19" s="4"/>
    </row>
    <row r="20" spans="1:12" ht="15" customHeight="1" x14ac:dyDescent="0.4">
      <c r="A20" s="37" t="s">
        <v>74</v>
      </c>
      <c r="B20" s="4" t="s">
        <v>141</v>
      </c>
      <c r="C20" s="4"/>
      <c r="D20" s="4"/>
      <c r="E20" s="4"/>
      <c r="F20" s="53">
        <f>'1.Rep. Heifer SPA BreedingData '!F8</f>
        <v>100</v>
      </c>
      <c r="G20" s="4"/>
      <c r="H20" s="79">
        <f>F20</f>
        <v>100</v>
      </c>
      <c r="I20" s="22" t="s">
        <v>9</v>
      </c>
    </row>
    <row r="21" spans="1:12" ht="15.45" x14ac:dyDescent="0.4">
      <c r="A21" s="38"/>
      <c r="B21" s="4"/>
      <c r="C21" s="4"/>
      <c r="D21" s="4"/>
      <c r="E21" s="4"/>
      <c r="F21" s="4"/>
      <c r="G21" s="4"/>
      <c r="H21" s="4"/>
      <c r="I21" s="4"/>
    </row>
    <row r="22" spans="1:12" ht="15" customHeight="1" thickBot="1" x14ac:dyDescent="0.45">
      <c r="A22" s="37" t="s">
        <v>75</v>
      </c>
      <c r="B22" s="4" t="s">
        <v>97</v>
      </c>
      <c r="C22" s="69"/>
      <c r="D22" s="69"/>
      <c r="E22" s="69"/>
      <c r="F22" s="69"/>
      <c r="G22" s="4"/>
      <c r="H22" s="4"/>
      <c r="I22" s="4"/>
    </row>
    <row r="23" spans="1:12" ht="15" customHeight="1" thickTop="1" thickBot="1" x14ac:dyDescent="0.45">
      <c r="A23" s="38"/>
      <c r="B23" s="4" t="s">
        <v>57</v>
      </c>
      <c r="C23" s="69"/>
      <c r="D23" s="69"/>
      <c r="E23" s="69"/>
      <c r="F23" s="70"/>
      <c r="G23" s="4"/>
      <c r="H23" s="4"/>
      <c r="I23" s="4"/>
      <c r="K23" s="20" t="s">
        <v>153</v>
      </c>
    </row>
    <row r="24" spans="1:12" ht="15" customHeight="1" thickTop="1" x14ac:dyDescent="0.4">
      <c r="A24" s="38"/>
      <c r="B24" s="4"/>
      <c r="C24" s="4"/>
      <c r="D24" s="4"/>
      <c r="E24" s="4"/>
      <c r="F24" s="5"/>
      <c r="G24" s="4"/>
      <c r="H24" s="4"/>
      <c r="I24" s="128">
        <f>'1.Rep. Heifer SPA BreedingData '!D18</f>
        <v>0</v>
      </c>
      <c r="J24" s="6" t="s">
        <v>218</v>
      </c>
    </row>
    <row r="25" spans="1:12" ht="15" customHeight="1" thickBot="1" x14ac:dyDescent="0.45">
      <c r="A25" s="37" t="s">
        <v>76</v>
      </c>
      <c r="B25" s="4" t="s">
        <v>98</v>
      </c>
      <c r="C25" s="4"/>
      <c r="D25" s="4"/>
      <c r="E25" s="4"/>
      <c r="G25" s="4"/>
      <c r="H25" s="4"/>
      <c r="I25" s="4"/>
      <c r="J25" s="69" t="str">
        <f>IF(I24-J29=0,"  ","Check adjustment in sheet 1, Item # C22")</f>
        <v xml:space="preserve">  </v>
      </c>
    </row>
    <row r="26" spans="1:12" ht="15" customHeight="1" thickTop="1" thickBot="1" x14ac:dyDescent="0.45">
      <c r="A26" s="38"/>
      <c r="B26" s="4" t="s">
        <v>21</v>
      </c>
      <c r="C26" s="4"/>
      <c r="D26" s="4"/>
      <c r="E26" s="4"/>
      <c r="F26" s="23">
        <v>0</v>
      </c>
      <c r="G26" s="4"/>
      <c r="H26" s="4"/>
      <c r="I26" s="4"/>
    </row>
    <row r="27" spans="1:12" ht="15" customHeight="1" thickTop="1" x14ac:dyDescent="0.4">
      <c r="A27" s="38"/>
      <c r="B27" s="4"/>
      <c r="C27" s="4"/>
      <c r="D27" s="4"/>
      <c r="E27" s="4"/>
      <c r="F27" s="5"/>
      <c r="G27" s="4"/>
      <c r="H27" s="4"/>
      <c r="I27" s="4"/>
    </row>
    <row r="28" spans="1:12" ht="15" customHeight="1" thickBot="1" x14ac:dyDescent="0.45">
      <c r="A28" s="37" t="s">
        <v>77</v>
      </c>
      <c r="B28" s="4" t="s">
        <v>99</v>
      </c>
      <c r="H28" s="4"/>
      <c r="I28" s="4"/>
    </row>
    <row r="29" spans="1:12" ht="15" customHeight="1" thickTop="1" thickBot="1" x14ac:dyDescent="0.45">
      <c r="A29" s="38"/>
      <c r="B29" s="4" t="s">
        <v>22</v>
      </c>
      <c r="C29" s="4"/>
      <c r="D29" s="4"/>
      <c r="E29" s="15"/>
      <c r="F29" s="23"/>
      <c r="G29" s="4"/>
      <c r="H29" s="4"/>
      <c r="I29" s="4"/>
      <c r="J29" s="4">
        <f>SUM(F23+F26+F29)</f>
        <v>0</v>
      </c>
      <c r="K29" s="4" t="s">
        <v>219</v>
      </c>
      <c r="L29" s="4"/>
    </row>
    <row r="30" spans="1:12" ht="15" customHeight="1" thickTop="1" x14ac:dyDescent="0.4">
      <c r="A30" s="38"/>
      <c r="B30" s="4" t="s">
        <v>24</v>
      </c>
      <c r="C30" s="4"/>
      <c r="D30" s="4"/>
      <c r="E30" s="15"/>
      <c r="F30" s="5"/>
      <c r="G30" s="4"/>
      <c r="H30" s="79">
        <f>+F20-F23-F26+F29</f>
        <v>100</v>
      </c>
      <c r="I30" s="22" t="s">
        <v>9</v>
      </c>
    </row>
    <row r="31" spans="1:12" ht="15" customHeight="1" x14ac:dyDescent="0.4">
      <c r="A31" s="38"/>
      <c r="B31" s="4"/>
      <c r="C31" s="4"/>
      <c r="D31" s="4"/>
      <c r="E31" s="15"/>
      <c r="F31" s="5"/>
      <c r="G31" s="4"/>
      <c r="H31" s="4"/>
      <c r="I31" s="4"/>
    </row>
    <row r="32" spans="1:12" ht="15" customHeight="1" x14ac:dyDescent="0.4">
      <c r="A32" s="38"/>
      <c r="B32" s="14" t="s">
        <v>23</v>
      </c>
      <c r="C32" s="4"/>
      <c r="D32" s="4"/>
      <c r="E32" s="15"/>
      <c r="F32" s="5"/>
      <c r="G32" s="4"/>
      <c r="H32" s="4"/>
      <c r="I32" s="4"/>
    </row>
    <row r="33" spans="1:10" ht="15" customHeight="1" x14ac:dyDescent="0.4">
      <c r="A33" s="38"/>
      <c r="B33" s="22" t="s">
        <v>93</v>
      </c>
      <c r="D33" s="4"/>
      <c r="E33" s="15"/>
      <c r="F33" s="24">
        <f>IF(F9=0," ",F9)</f>
        <v>43646</v>
      </c>
      <c r="G33" s="4"/>
      <c r="H33" s="4"/>
      <c r="I33" s="4"/>
    </row>
    <row r="34" spans="1:10" ht="15" customHeight="1" x14ac:dyDescent="0.4">
      <c r="A34" s="38"/>
      <c r="B34" s="22" t="s">
        <v>46</v>
      </c>
      <c r="D34" s="4"/>
      <c r="E34" s="15"/>
      <c r="F34" s="24">
        <f>IF(F8=0," ",F8+283)</f>
        <v>43866</v>
      </c>
      <c r="G34" s="4"/>
      <c r="H34" s="4"/>
      <c r="I34" s="4"/>
    </row>
    <row r="35" spans="1:10" ht="15" customHeight="1" x14ac:dyDescent="0.4">
      <c r="A35" s="38"/>
      <c r="B35" s="22"/>
      <c r="D35" s="4"/>
      <c r="E35" s="15"/>
      <c r="F35" s="24"/>
      <c r="G35" s="4"/>
      <c r="H35" s="4"/>
      <c r="I35" s="4"/>
    </row>
    <row r="36" spans="1:10" ht="15" customHeight="1" x14ac:dyDescent="0.4">
      <c r="A36" s="60" t="s">
        <v>78</v>
      </c>
      <c r="B36" s="4" t="s">
        <v>151</v>
      </c>
      <c r="D36" s="4"/>
      <c r="E36" s="15"/>
      <c r="F36" s="43">
        <f>'1.Rep. Heifer SPA BreedingData '!D46</f>
        <v>10</v>
      </c>
      <c r="G36" s="4"/>
      <c r="H36" s="4"/>
      <c r="I36" s="4"/>
    </row>
    <row r="37" spans="1:10" ht="15" customHeight="1" x14ac:dyDescent="0.4">
      <c r="A37" s="38" t="s">
        <v>79</v>
      </c>
      <c r="B37" s="22" t="s">
        <v>100</v>
      </c>
      <c r="D37" s="4"/>
      <c r="E37" s="15"/>
      <c r="F37" s="43">
        <f>'1.Rep. Heifer SPA BreedingData '!D44</f>
        <v>0</v>
      </c>
      <c r="G37" s="4"/>
    </row>
    <row r="38" spans="1:10" ht="15" customHeight="1" x14ac:dyDescent="0.4">
      <c r="A38" s="38"/>
      <c r="B38" s="4"/>
      <c r="C38" s="4"/>
      <c r="D38" s="4"/>
      <c r="E38" s="15"/>
      <c r="F38" s="15"/>
      <c r="G38" s="4"/>
      <c r="H38" s="4"/>
      <c r="I38" s="4"/>
    </row>
    <row r="39" spans="1:10" ht="15.45" x14ac:dyDescent="0.4">
      <c r="A39" s="38" t="s">
        <v>80</v>
      </c>
      <c r="B39" s="4" t="s">
        <v>223</v>
      </c>
      <c r="C39" s="4"/>
      <c r="D39" s="4"/>
      <c r="E39" s="4"/>
      <c r="F39" s="4"/>
      <c r="G39" s="4"/>
      <c r="H39" s="4">
        <f>SUM(F36:F38)</f>
        <v>10</v>
      </c>
      <c r="I39" s="22" t="s">
        <v>9</v>
      </c>
    </row>
    <row r="40" spans="1:10" ht="15.45" x14ac:dyDescent="0.4">
      <c r="A40" s="38"/>
      <c r="C40" s="4"/>
      <c r="D40" s="4"/>
      <c r="E40" s="4"/>
      <c r="F40" s="4"/>
      <c r="G40" s="4"/>
      <c r="H40" s="4"/>
      <c r="I40" s="4"/>
    </row>
    <row r="41" spans="1:10" ht="15.9" thickBot="1" x14ac:dyDescent="0.45">
      <c r="A41" s="37" t="s">
        <v>81</v>
      </c>
      <c r="B41" s="4" t="s">
        <v>101</v>
      </c>
      <c r="C41" s="4"/>
      <c r="D41" s="4"/>
      <c r="E41" s="4"/>
      <c r="F41" s="4"/>
      <c r="G41" s="4"/>
      <c r="H41" s="4"/>
      <c r="I41" s="4"/>
    </row>
    <row r="42" spans="1:10" ht="16.3" thickTop="1" thickBot="1" x14ac:dyDescent="0.45">
      <c r="A42" s="38"/>
      <c r="B42" s="4" t="s">
        <v>58</v>
      </c>
      <c r="D42" s="24">
        <f>IF(F9=0," ",F9)</f>
        <v>43646</v>
      </c>
      <c r="E42" s="4"/>
      <c r="F42" s="23"/>
      <c r="G42" s="4"/>
      <c r="H42" s="4"/>
      <c r="I42" s="4"/>
      <c r="J42" s="18" t="s">
        <v>217</v>
      </c>
    </row>
    <row r="43" spans="1:10" ht="15.9" thickTop="1" x14ac:dyDescent="0.4">
      <c r="A43" s="38"/>
      <c r="B43" s="4"/>
      <c r="C43" s="24"/>
      <c r="D43" s="4"/>
      <c r="E43" s="4"/>
      <c r="F43" s="5"/>
      <c r="G43" s="4"/>
      <c r="H43" s="4"/>
      <c r="I43" s="4"/>
    </row>
    <row r="44" spans="1:10" ht="15.45" x14ac:dyDescent="0.4">
      <c r="A44" s="38"/>
      <c r="B44" s="6" t="s">
        <v>139</v>
      </c>
      <c r="C44" s="24"/>
      <c r="D44" s="4"/>
      <c r="E44" s="4"/>
      <c r="F44" s="5"/>
      <c r="G44" s="4"/>
      <c r="H44" s="4"/>
      <c r="I44" s="4"/>
    </row>
    <row r="45" spans="1:10" ht="15.45" x14ac:dyDescent="0.4">
      <c r="A45" s="38"/>
      <c r="B45" s="6" t="s">
        <v>56</v>
      </c>
      <c r="C45" s="24"/>
      <c r="D45" s="58">
        <f>F34</f>
        <v>43866</v>
      </c>
      <c r="E45" s="4"/>
      <c r="G45" s="4"/>
      <c r="H45" s="4"/>
      <c r="I45" s="4"/>
    </row>
    <row r="46" spans="1:10" ht="15.45" x14ac:dyDescent="0.4">
      <c r="A46" s="38"/>
      <c r="B46" s="4"/>
      <c r="C46" s="24"/>
      <c r="D46" s="4"/>
      <c r="E46" s="4"/>
      <c r="F46" s="5"/>
      <c r="G46" s="4"/>
      <c r="H46" s="4"/>
      <c r="I46" s="4"/>
    </row>
    <row r="47" spans="1:10" ht="15.9" thickBot="1" x14ac:dyDescent="0.45">
      <c r="A47" s="37" t="s">
        <v>82</v>
      </c>
      <c r="B47" s="4" t="s">
        <v>102</v>
      </c>
      <c r="C47" s="24"/>
      <c r="D47" s="4"/>
      <c r="E47" s="4"/>
      <c r="F47" s="5"/>
      <c r="G47" s="4"/>
      <c r="H47" s="4"/>
      <c r="I47" s="4"/>
    </row>
    <row r="48" spans="1:10" ht="16.3" thickTop="1" thickBot="1" x14ac:dyDescent="0.45">
      <c r="A48" s="38"/>
      <c r="B48" s="4" t="s">
        <v>25</v>
      </c>
      <c r="C48" s="24"/>
      <c r="D48" s="4"/>
      <c r="E48" s="4"/>
      <c r="F48" s="23">
        <v>0</v>
      </c>
      <c r="G48" s="4"/>
      <c r="H48" s="4"/>
      <c r="I48" s="4"/>
    </row>
    <row r="49" spans="1:16" ht="15.9" thickTop="1" x14ac:dyDescent="0.4">
      <c r="A49" s="38"/>
      <c r="B49" s="4"/>
      <c r="C49" s="24"/>
      <c r="D49" s="4"/>
      <c r="E49" s="4"/>
      <c r="F49" s="5"/>
      <c r="G49" s="4"/>
      <c r="H49" s="4"/>
      <c r="I49" s="4"/>
    </row>
    <row r="50" spans="1:16" ht="15.9" thickBot="1" x14ac:dyDescent="0.45">
      <c r="A50" s="37" t="s">
        <v>83</v>
      </c>
      <c r="B50" s="4" t="s">
        <v>103</v>
      </c>
      <c r="C50" s="24"/>
      <c r="D50" s="4"/>
      <c r="E50" s="4"/>
      <c r="F50" s="5"/>
      <c r="G50" s="4"/>
      <c r="H50" s="4"/>
      <c r="I50" s="4"/>
    </row>
    <row r="51" spans="1:16" ht="16.3" thickTop="1" thickBot="1" x14ac:dyDescent="0.45">
      <c r="A51" s="38"/>
      <c r="B51" s="4" t="s">
        <v>25</v>
      </c>
      <c r="C51" s="24"/>
      <c r="D51" s="4"/>
      <c r="E51" s="4"/>
      <c r="F51" s="23"/>
      <c r="G51" s="4"/>
      <c r="H51" s="4"/>
      <c r="I51" s="4"/>
    </row>
    <row r="52" spans="1:16" ht="15.9" thickTop="1" x14ac:dyDescent="0.4">
      <c r="A52" s="38"/>
      <c r="B52" s="4"/>
      <c r="C52" s="24"/>
      <c r="D52" s="4"/>
      <c r="E52" s="4"/>
      <c r="F52" s="5"/>
      <c r="G52" s="4"/>
      <c r="H52" s="4"/>
      <c r="I52" s="4"/>
    </row>
    <row r="53" spans="1:16" ht="15.9" thickBot="1" x14ac:dyDescent="0.45">
      <c r="A53" s="37" t="s">
        <v>84</v>
      </c>
      <c r="B53" s="6" t="s">
        <v>104</v>
      </c>
      <c r="C53" s="26"/>
      <c r="D53" s="4"/>
      <c r="E53" s="4"/>
      <c r="F53" s="5"/>
      <c r="G53" s="4"/>
      <c r="H53" s="54">
        <f>H20-F23-F26+F29-F37+F42-F48+F51</f>
        <v>100</v>
      </c>
      <c r="I53" s="6" t="s">
        <v>9</v>
      </c>
    </row>
    <row r="54" spans="1:16" ht="15.45" thickTop="1" x14ac:dyDescent="0.35">
      <c r="A54" s="61"/>
      <c r="B54" s="4"/>
      <c r="C54" s="24"/>
      <c r="D54" s="4"/>
      <c r="E54" s="4"/>
      <c r="F54" s="5"/>
      <c r="G54" s="4"/>
      <c r="H54" s="4"/>
      <c r="I54" s="4"/>
    </row>
    <row r="55" spans="1:16" ht="15.9" thickBot="1" x14ac:dyDescent="0.45">
      <c r="A55" s="61"/>
      <c r="B55" s="6" t="s">
        <v>45</v>
      </c>
      <c r="C55" s="24"/>
      <c r="D55" s="4"/>
      <c r="E55" s="4"/>
      <c r="F55" s="5"/>
      <c r="G55" s="4"/>
      <c r="H55" s="4"/>
      <c r="I55" s="4"/>
    </row>
    <row r="56" spans="1:16" ht="16.3" thickTop="1" thickBot="1" x14ac:dyDescent="0.45">
      <c r="A56" s="37" t="s">
        <v>85</v>
      </c>
      <c r="B56" s="4" t="s">
        <v>134</v>
      </c>
      <c r="C56" s="24"/>
      <c r="D56" s="4"/>
      <c r="E56" s="4"/>
      <c r="F56" s="23"/>
      <c r="G56" s="4"/>
      <c r="H56" s="4"/>
      <c r="I56" s="4"/>
    </row>
    <row r="57" spans="1:16" ht="15.9" thickTop="1" x14ac:dyDescent="0.4">
      <c r="A57" s="38"/>
      <c r="B57" s="4" t="s">
        <v>135</v>
      </c>
      <c r="C57" s="24"/>
      <c r="D57" s="4"/>
      <c r="E57" s="4"/>
      <c r="F57" s="5"/>
      <c r="G57" s="4"/>
      <c r="H57" s="28">
        <f>IF(H53=0,0,F56/H53)</f>
        <v>0</v>
      </c>
      <c r="I57" s="4"/>
    </row>
    <row r="58" spans="1:16" ht="15.45" x14ac:dyDescent="0.4">
      <c r="A58" s="38"/>
      <c r="B58" s="4" t="s">
        <v>26</v>
      </c>
      <c r="C58" s="24"/>
      <c r="D58" s="4"/>
      <c r="E58" s="4"/>
      <c r="F58" s="5"/>
      <c r="G58" s="4"/>
      <c r="H58" s="27"/>
      <c r="I58" s="4"/>
    </row>
    <row r="59" spans="1:16" ht="15.45" x14ac:dyDescent="0.4">
      <c r="A59" s="61"/>
      <c r="B59" s="6" t="s">
        <v>154</v>
      </c>
      <c r="C59" s="4"/>
      <c r="D59" s="4"/>
      <c r="G59" s="4"/>
      <c r="H59" s="4"/>
      <c r="I59" s="4"/>
    </row>
    <row r="60" spans="1:16" ht="15.45" x14ac:dyDescent="0.4">
      <c r="A60" s="61"/>
      <c r="B60" s="14"/>
      <c r="C60" s="39" t="s">
        <v>36</v>
      </c>
      <c r="D60" s="11" t="s">
        <v>37</v>
      </c>
      <c r="E60" s="39"/>
      <c r="G60" s="4"/>
      <c r="H60" s="4"/>
      <c r="I60" s="4"/>
    </row>
    <row r="61" spans="1:16" ht="15.45" x14ac:dyDescent="0.4">
      <c r="A61" s="61"/>
      <c r="B61" s="6" t="s">
        <v>43</v>
      </c>
      <c r="C61" s="55">
        <f>IF(F11=0," ",F11)</f>
        <v>43693</v>
      </c>
      <c r="D61" s="24">
        <f>IF(F12=0," ",F12)</f>
        <v>43695</v>
      </c>
      <c r="E61" s="56"/>
      <c r="G61" s="4"/>
      <c r="H61" s="14"/>
      <c r="I61" s="14"/>
    </row>
    <row r="62" spans="1:16" ht="15.45" x14ac:dyDescent="0.4">
      <c r="A62" s="61"/>
      <c r="B62" s="4"/>
      <c r="C62" s="7" t="s">
        <v>2</v>
      </c>
      <c r="D62" s="7" t="s">
        <v>2</v>
      </c>
      <c r="E62" s="7" t="s">
        <v>2</v>
      </c>
      <c r="F62" s="4"/>
      <c r="G62" s="4"/>
      <c r="H62" s="40"/>
      <c r="I62" s="14"/>
      <c r="L62" s="20" t="s">
        <v>140</v>
      </c>
      <c r="P62" s="59">
        <f>D64+E64</f>
        <v>100</v>
      </c>
    </row>
    <row r="63" spans="1:16" ht="15.45" x14ac:dyDescent="0.4">
      <c r="A63" s="61"/>
      <c r="B63" s="4" t="s">
        <v>5</v>
      </c>
      <c r="C63" s="7" t="s">
        <v>3</v>
      </c>
      <c r="D63" s="7" t="s">
        <v>4</v>
      </c>
      <c r="E63" s="7" t="s">
        <v>6</v>
      </c>
      <c r="F63" s="4"/>
      <c r="G63" s="4"/>
      <c r="H63" s="41"/>
      <c r="I63" s="14"/>
      <c r="L63" s="1" t="s">
        <v>155</v>
      </c>
    </row>
    <row r="64" spans="1:16" ht="15.45" x14ac:dyDescent="0.4">
      <c r="A64" s="37" t="s">
        <v>143</v>
      </c>
      <c r="B64" s="71" t="s">
        <v>95</v>
      </c>
      <c r="C64" s="52">
        <v>100</v>
      </c>
      <c r="D64" s="52">
        <v>10</v>
      </c>
      <c r="E64" s="52">
        <v>90</v>
      </c>
      <c r="F64" s="69" t="str">
        <f>IF(C64=P62," ",L63)</f>
        <v xml:space="preserve"> </v>
      </c>
      <c r="G64" s="4"/>
      <c r="H64" s="80"/>
      <c r="I64" s="14"/>
    </row>
    <row r="65" spans="1:9" ht="15.45" x14ac:dyDescent="0.4">
      <c r="A65" s="61"/>
      <c r="B65" s="4"/>
      <c r="C65" s="4"/>
      <c r="D65" s="4"/>
      <c r="E65" s="4"/>
      <c r="F65" s="4"/>
      <c r="G65" s="4"/>
      <c r="H65" s="41"/>
      <c r="I65" s="4"/>
    </row>
    <row r="66" spans="1:9" ht="15.45" x14ac:dyDescent="0.4">
      <c r="A66" s="37" t="s">
        <v>86</v>
      </c>
      <c r="B66" s="4" t="s">
        <v>112</v>
      </c>
      <c r="C66" s="4"/>
      <c r="D66" s="4"/>
      <c r="E66" s="4"/>
      <c r="G66" s="4"/>
      <c r="H66" s="81">
        <f>C64</f>
        <v>100</v>
      </c>
      <c r="I66" s="4" t="s">
        <v>9</v>
      </c>
    </row>
    <row r="67" spans="1:9" ht="15.45" x14ac:dyDescent="0.4">
      <c r="A67" s="37"/>
      <c r="B67" s="16" t="str">
        <f>IF(H66&lt;H53,L63," ")</f>
        <v xml:space="preserve"> </v>
      </c>
      <c r="C67" s="4"/>
      <c r="D67" s="4"/>
      <c r="E67" s="4"/>
      <c r="F67" s="4"/>
      <c r="G67" s="4"/>
      <c r="H67" s="4"/>
      <c r="I67" s="4"/>
    </row>
    <row r="68" spans="1:9" ht="15.45" x14ac:dyDescent="0.4">
      <c r="A68" s="37" t="s">
        <v>144</v>
      </c>
      <c r="B68" s="4" t="s">
        <v>113</v>
      </c>
      <c r="C68" s="4"/>
      <c r="D68" s="4"/>
      <c r="E68" s="4"/>
      <c r="G68" s="4"/>
      <c r="H68" s="81">
        <f>E64</f>
        <v>90</v>
      </c>
      <c r="I68" s="4" t="s">
        <v>9</v>
      </c>
    </row>
    <row r="69" spans="1:9" ht="15.45" x14ac:dyDescent="0.4">
      <c r="A69" s="38"/>
      <c r="B69" s="4"/>
      <c r="C69" s="4"/>
      <c r="D69" s="4"/>
      <c r="E69" s="16"/>
      <c r="F69" s="4"/>
      <c r="G69" s="4"/>
      <c r="H69" s="4"/>
      <c r="I69" s="4"/>
    </row>
    <row r="70" spans="1:9" ht="15.9" thickBot="1" x14ac:dyDescent="0.45">
      <c r="A70" s="37" t="s">
        <v>145</v>
      </c>
      <c r="B70" s="14" t="s">
        <v>105</v>
      </c>
      <c r="C70" s="4"/>
      <c r="D70" s="4"/>
      <c r="E70" s="4"/>
      <c r="F70" s="4"/>
      <c r="G70" s="4"/>
      <c r="H70" s="72">
        <f>IF(H66=0,0,H68/H66)</f>
        <v>0.9</v>
      </c>
      <c r="I70" s="14"/>
    </row>
    <row r="71" spans="1:9" ht="15.9" thickTop="1" x14ac:dyDescent="0.4">
      <c r="A71" s="37"/>
      <c r="B71" s="14"/>
      <c r="C71" s="4"/>
      <c r="D71" s="4"/>
      <c r="E71" s="4"/>
      <c r="F71" s="4"/>
      <c r="G71" s="4"/>
      <c r="H71" s="29"/>
      <c r="I71" s="14"/>
    </row>
    <row r="72" spans="1:9" ht="15.45" x14ac:dyDescent="0.4">
      <c r="A72" s="37" t="s">
        <v>28</v>
      </c>
      <c r="B72" s="4" t="s">
        <v>115</v>
      </c>
      <c r="C72" s="4"/>
      <c r="D72" s="4"/>
      <c r="E72" s="4"/>
      <c r="F72" s="73">
        <f>D64</f>
        <v>10</v>
      </c>
      <c r="G72" s="4"/>
      <c r="H72" s="29"/>
      <c r="I72" s="14"/>
    </row>
    <row r="73" spans="1:9" ht="15.45" x14ac:dyDescent="0.4">
      <c r="A73" s="37" t="s">
        <v>29</v>
      </c>
      <c r="B73" s="4" t="s">
        <v>116</v>
      </c>
      <c r="C73" s="4"/>
      <c r="D73" s="4"/>
      <c r="E73" s="16" t="str">
        <f>IF(H66&lt;H61,L63," ")</f>
        <v xml:space="preserve"> </v>
      </c>
      <c r="F73" s="4"/>
      <c r="G73" s="4"/>
      <c r="H73" s="28">
        <f>IF(H66=0,0,F72/H66)</f>
        <v>0.1</v>
      </c>
      <c r="I73" s="4"/>
    </row>
    <row r="74" spans="1:9" ht="15" x14ac:dyDescent="0.35">
      <c r="A74" s="33"/>
      <c r="B74" s="4"/>
      <c r="C74" s="53"/>
      <c r="D74" s="53"/>
      <c r="E74" s="53"/>
      <c r="F74" s="4"/>
      <c r="G74" s="4"/>
      <c r="H74" s="4"/>
      <c r="I74" s="4"/>
    </row>
    <row r="75" spans="1:9" ht="15.45" x14ac:dyDescent="0.4">
      <c r="A75" s="33"/>
      <c r="B75" s="6" t="s">
        <v>92</v>
      </c>
      <c r="C75" s="4"/>
      <c r="D75" s="4"/>
      <c r="E75" s="4"/>
      <c r="F75" s="4"/>
      <c r="G75" s="4"/>
      <c r="H75" s="4"/>
      <c r="I75" s="4"/>
    </row>
    <row r="76" spans="1:9" ht="15.45" x14ac:dyDescent="0.4">
      <c r="A76" s="34" t="s">
        <v>30</v>
      </c>
      <c r="B76" s="4" t="s">
        <v>142</v>
      </c>
      <c r="C76" s="4"/>
      <c r="D76" s="4"/>
      <c r="E76" s="4"/>
      <c r="F76" s="4"/>
      <c r="G76" s="4"/>
      <c r="H76" s="4"/>
      <c r="I76" s="4"/>
    </row>
    <row r="77" spans="1:9" ht="15.45" x14ac:dyDescent="0.4">
      <c r="A77" s="34"/>
      <c r="B77" s="4" t="s">
        <v>47</v>
      </c>
      <c r="C77" s="4"/>
      <c r="D77" s="4"/>
      <c r="E77" s="4"/>
      <c r="F77" s="4">
        <f>'1.Rep. Heifer SPA BreedingData '!F22</f>
        <v>10</v>
      </c>
      <c r="G77" s="4"/>
      <c r="H77" s="4"/>
      <c r="I77" s="4"/>
    </row>
    <row r="78" spans="1:9" ht="15.45" x14ac:dyDescent="0.4">
      <c r="A78" s="34"/>
      <c r="C78" s="4"/>
      <c r="D78" s="4"/>
      <c r="E78" s="4"/>
      <c r="F78" s="4"/>
      <c r="G78" s="4"/>
      <c r="H78" s="4"/>
      <c r="I78" s="4"/>
    </row>
    <row r="79" spans="1:9" ht="15.45" x14ac:dyDescent="0.4">
      <c r="A79" s="34" t="s">
        <v>31</v>
      </c>
      <c r="B79" s="6" t="s">
        <v>27</v>
      </c>
      <c r="C79" s="4"/>
      <c r="D79" s="4"/>
      <c r="E79" s="4"/>
      <c r="G79" s="4"/>
      <c r="H79" s="67">
        <f>IF(F72=0,0,F77/F72)</f>
        <v>1</v>
      </c>
      <c r="I79" s="4"/>
    </row>
    <row r="80" spans="1:9" ht="15" x14ac:dyDescent="0.35">
      <c r="A80" s="36"/>
      <c r="C80" s="4"/>
      <c r="D80" s="4"/>
      <c r="E80" s="4"/>
      <c r="F80" s="4"/>
      <c r="G80" s="4"/>
      <c r="H80" s="4"/>
      <c r="I80" s="4"/>
    </row>
    <row r="81" spans="1:12" ht="15.45" x14ac:dyDescent="0.4">
      <c r="A81" s="36"/>
      <c r="B81" s="6" t="s">
        <v>32</v>
      </c>
      <c r="C81" s="10" t="s">
        <v>11</v>
      </c>
      <c r="D81" s="4"/>
      <c r="E81" s="4" t="s">
        <v>6</v>
      </c>
      <c r="F81" s="73">
        <f>H68</f>
        <v>90</v>
      </c>
      <c r="G81" s="4"/>
      <c r="H81" s="4"/>
      <c r="I81" s="4"/>
    </row>
    <row r="82" spans="1:12" ht="15" x14ac:dyDescent="0.35">
      <c r="A82" s="36"/>
      <c r="B82" s="9" t="s">
        <v>63</v>
      </c>
      <c r="C82" s="24">
        <f>IF(F14=0," ",F14)</f>
        <v>43866</v>
      </c>
      <c r="D82" s="4"/>
      <c r="E82" s="4"/>
      <c r="F82" s="4"/>
      <c r="G82" s="4"/>
      <c r="H82" s="4"/>
      <c r="I82" s="4"/>
      <c r="J82" s="30">
        <f>(C82+C83)/2</f>
        <v>43896</v>
      </c>
      <c r="K82" t="s">
        <v>38</v>
      </c>
    </row>
    <row r="83" spans="1:12" ht="15" x14ac:dyDescent="0.35">
      <c r="A83" s="36"/>
      <c r="B83" s="9" t="s">
        <v>69</v>
      </c>
      <c r="C83" s="24">
        <f>IF(F15=0," ",F15)</f>
        <v>43926</v>
      </c>
      <c r="D83" s="4"/>
      <c r="E83" s="4"/>
      <c r="F83" s="4"/>
      <c r="G83" s="4"/>
      <c r="H83" s="4"/>
      <c r="I83" s="4"/>
      <c r="J83" s="21">
        <f>C83-C82</f>
        <v>60</v>
      </c>
      <c r="K83" t="s">
        <v>62</v>
      </c>
    </row>
    <row r="84" spans="1:12" ht="15.45" thickBot="1" x14ac:dyDescent="0.4">
      <c r="A84" s="36"/>
      <c r="B84" s="4"/>
      <c r="C84" s="8"/>
      <c r="D84" s="4"/>
      <c r="E84" s="4"/>
      <c r="F84" s="4"/>
      <c r="G84" s="4"/>
      <c r="H84" s="4"/>
      <c r="I84" s="4"/>
    </row>
    <row r="85" spans="1:12" ht="16.3" thickTop="1" thickBot="1" x14ac:dyDescent="0.45">
      <c r="A85" s="34">
        <v>16</v>
      </c>
      <c r="B85" s="17" t="s">
        <v>55</v>
      </c>
      <c r="C85" s="4"/>
      <c r="D85" s="4"/>
      <c r="E85" s="4"/>
      <c r="F85" s="135">
        <v>89</v>
      </c>
      <c r="G85" s="4"/>
      <c r="H85" s="4"/>
      <c r="I85" s="4"/>
    </row>
    <row r="86" spans="1:12" ht="15.9" thickTop="1" x14ac:dyDescent="0.4">
      <c r="A86" s="34"/>
      <c r="B86" s="4"/>
      <c r="C86" s="4"/>
      <c r="D86" s="4"/>
      <c r="E86" s="4"/>
      <c r="F86" s="4"/>
      <c r="G86" s="4"/>
      <c r="H86" s="4"/>
      <c r="I86" s="4"/>
    </row>
    <row r="87" spans="1:12" ht="15.45" x14ac:dyDescent="0.4">
      <c r="A87" s="34">
        <v>17</v>
      </c>
      <c r="B87" s="6" t="s">
        <v>106</v>
      </c>
      <c r="C87" s="4"/>
      <c r="D87" s="4"/>
      <c r="E87" s="4"/>
      <c r="G87" s="4"/>
      <c r="H87" s="4"/>
      <c r="I87" s="4"/>
    </row>
    <row r="88" spans="1:12" ht="15.45" x14ac:dyDescent="0.4">
      <c r="A88" s="34"/>
      <c r="B88" s="6" t="s">
        <v>156</v>
      </c>
      <c r="C88" s="4"/>
      <c r="D88" s="4"/>
      <c r="E88" s="4"/>
      <c r="G88" s="4"/>
      <c r="H88" s="28">
        <f>IF(H53=0,0,((F85)/(H53+F48-F51)))</f>
        <v>0.89</v>
      </c>
      <c r="I88" s="4"/>
    </row>
    <row r="89" spans="1:12" ht="15.9" thickBot="1" x14ac:dyDescent="0.45">
      <c r="A89" s="34"/>
      <c r="B89" s="6"/>
      <c r="C89" s="4"/>
      <c r="D89" s="4"/>
      <c r="E89" s="4"/>
      <c r="F89" s="6"/>
      <c r="G89" s="4"/>
      <c r="H89" s="4"/>
      <c r="I89" s="4"/>
    </row>
    <row r="90" spans="1:12" ht="16.3" thickTop="1" thickBot="1" x14ac:dyDescent="0.45">
      <c r="A90" s="35" t="s">
        <v>146</v>
      </c>
      <c r="B90" s="4" t="s">
        <v>33</v>
      </c>
      <c r="C90" s="4"/>
      <c r="D90" s="4"/>
      <c r="E90" s="4"/>
      <c r="F90" s="23">
        <v>1</v>
      </c>
      <c r="G90" s="4"/>
      <c r="H90" s="4"/>
      <c r="I90" s="4"/>
    </row>
    <row r="91" spans="1:12" ht="16.3" thickTop="1" thickBot="1" x14ac:dyDescent="0.45">
      <c r="A91" s="34"/>
      <c r="B91" s="4"/>
      <c r="C91" s="4"/>
      <c r="D91" s="4"/>
      <c r="E91" s="4"/>
      <c r="F91" s="4"/>
      <c r="G91" s="4"/>
      <c r="H91" s="4"/>
      <c r="I91" s="4"/>
    </row>
    <row r="92" spans="1:12" ht="16.3" thickTop="1" thickBot="1" x14ac:dyDescent="0.45">
      <c r="A92" s="35" t="s">
        <v>42</v>
      </c>
      <c r="B92" s="6" t="s">
        <v>34</v>
      </c>
      <c r="C92" s="4"/>
      <c r="D92" s="4"/>
      <c r="E92" s="4"/>
      <c r="F92" s="51">
        <v>89</v>
      </c>
      <c r="G92" s="4"/>
      <c r="H92" s="4"/>
      <c r="I92" s="4"/>
      <c r="K92" s="59"/>
      <c r="L92" s="64">
        <f>IF(H53=0,0,((F$51+F$85+F$106-D$116-F$48))/(H53))</f>
        <v>0.02</v>
      </c>
    </row>
    <row r="93" spans="1:12" ht="15.9" thickTop="1" x14ac:dyDescent="0.4">
      <c r="A93" s="34"/>
      <c r="B93" s="4"/>
      <c r="C93" s="4"/>
      <c r="D93" s="4"/>
      <c r="E93" s="4"/>
      <c r="F93" s="4"/>
      <c r="G93" s="4"/>
      <c r="H93" s="4"/>
      <c r="I93" s="4"/>
      <c r="K93" s="19" t="s">
        <v>107</v>
      </c>
    </row>
    <row r="94" spans="1:12" ht="15.45" x14ac:dyDescent="0.4">
      <c r="A94" s="34" t="s">
        <v>147</v>
      </c>
      <c r="B94" s="4" t="s">
        <v>108</v>
      </c>
      <c r="C94" s="4"/>
      <c r="D94" s="4"/>
      <c r="E94" s="4"/>
      <c r="F94" s="4"/>
      <c r="G94" s="4"/>
      <c r="H94" s="4"/>
      <c r="I94" s="4"/>
      <c r="L94" s="64">
        <f>(IF(H53=0,0,((F$51+F$85+F$106-D$116-F$48))/(F$51+F$85)))</f>
        <v>2.247191011235955E-2</v>
      </c>
    </row>
    <row r="95" spans="1:12" ht="15.45" x14ac:dyDescent="0.4">
      <c r="A95" s="34"/>
      <c r="B95" s="4" t="s">
        <v>157</v>
      </c>
      <c r="C95" s="4"/>
      <c r="D95" s="4"/>
      <c r="E95" s="4"/>
      <c r="G95" s="4"/>
      <c r="H95" s="28">
        <f>IF($H$53=0,0,($F$92/($H$53+$F$48-$F$51)))</f>
        <v>0.89</v>
      </c>
      <c r="I95" s="4"/>
      <c r="K95" s="19" t="s">
        <v>91</v>
      </c>
    </row>
    <row r="96" spans="1:12" ht="15.45" x14ac:dyDescent="0.4">
      <c r="A96" s="34"/>
      <c r="B96" s="4"/>
      <c r="C96" s="4"/>
      <c r="D96" s="4"/>
      <c r="E96" s="4"/>
      <c r="G96" s="4"/>
      <c r="H96" s="28"/>
      <c r="I96" s="4"/>
    </row>
    <row r="97" spans="1:13" ht="15.45" x14ac:dyDescent="0.4">
      <c r="A97" s="34" t="s">
        <v>148</v>
      </c>
      <c r="B97" s="4" t="s">
        <v>109</v>
      </c>
      <c r="C97" s="4"/>
      <c r="D97" s="4"/>
      <c r="E97" s="4"/>
      <c r="G97" s="4"/>
      <c r="H97" s="28"/>
      <c r="I97" s="4"/>
    </row>
    <row r="98" spans="1:13" ht="15.45" x14ac:dyDescent="0.4">
      <c r="A98" s="34"/>
      <c r="B98" s="4" t="s">
        <v>158</v>
      </c>
      <c r="C98" s="4"/>
      <c r="D98" s="4"/>
      <c r="E98" s="4"/>
      <c r="G98" s="4"/>
      <c r="H98" s="28">
        <f>IF(H53=0,0,F90/(H53+F48-F51))</f>
        <v>0.01</v>
      </c>
      <c r="I98" s="4"/>
    </row>
    <row r="99" spans="1:13" ht="15.45" x14ac:dyDescent="0.4">
      <c r="A99" s="34"/>
      <c r="B99" s="4"/>
      <c r="C99" s="4"/>
      <c r="D99" s="4"/>
      <c r="E99" s="4"/>
      <c r="G99" s="4"/>
      <c r="H99" s="28"/>
      <c r="I99" s="4"/>
    </row>
    <row r="100" spans="1:13" ht="15.45" x14ac:dyDescent="0.4">
      <c r="A100" s="34" t="s">
        <v>149</v>
      </c>
      <c r="B100" s="4" t="s">
        <v>35</v>
      </c>
      <c r="C100" s="4"/>
      <c r="D100" s="4"/>
      <c r="E100" s="4"/>
      <c r="F100" s="4"/>
      <c r="G100" s="4"/>
      <c r="H100" s="28">
        <f>IF(F85=0,0,F90/F85)</f>
        <v>1.1235955056179775E-2</v>
      </c>
      <c r="I100" s="4"/>
      <c r="K100" s="59">
        <f>F85-D116</f>
        <v>2</v>
      </c>
    </row>
    <row r="101" spans="1:13" ht="15.45" x14ac:dyDescent="0.4">
      <c r="A101" s="34"/>
      <c r="B101" s="4"/>
      <c r="C101" s="4"/>
      <c r="D101" s="4"/>
      <c r="E101" s="4"/>
      <c r="F101" s="4"/>
      <c r="G101" s="4"/>
      <c r="H101" s="28"/>
      <c r="I101" s="4"/>
    </row>
    <row r="102" spans="1:13" ht="15.45" x14ac:dyDescent="0.4">
      <c r="A102" s="34"/>
      <c r="B102" s="6" t="s">
        <v>48</v>
      </c>
      <c r="C102" s="4"/>
      <c r="D102" s="4"/>
      <c r="E102" s="4"/>
      <c r="F102" s="4"/>
      <c r="G102" s="4"/>
      <c r="H102" s="28"/>
      <c r="I102" s="4"/>
    </row>
    <row r="103" spans="1:13" ht="15.45" x14ac:dyDescent="0.4">
      <c r="A103" s="34"/>
      <c r="B103" s="6"/>
      <c r="C103" s="4" t="s">
        <v>36</v>
      </c>
      <c r="D103" s="4" t="s">
        <v>37</v>
      </c>
      <c r="E103" s="4"/>
      <c r="F103" s="4"/>
      <c r="G103" s="4"/>
      <c r="H103" s="28"/>
      <c r="I103" s="4"/>
      <c r="J103" s="30">
        <f>IF(J82=0,0,J82)</f>
        <v>43896</v>
      </c>
      <c r="K103" t="s">
        <v>38</v>
      </c>
    </row>
    <row r="104" spans="1:13" ht="15.45" x14ac:dyDescent="0.4">
      <c r="A104" s="34"/>
      <c r="B104" s="14" t="s">
        <v>49</v>
      </c>
      <c r="C104" s="57">
        <f>IF(F17=0," ",F17)</f>
        <v>44136</v>
      </c>
      <c r="D104" s="57">
        <f>IF(F18=0," ",F18)</f>
        <v>44137</v>
      </c>
      <c r="E104" s="4"/>
      <c r="F104" s="4"/>
      <c r="G104" s="4"/>
      <c r="H104" s="28"/>
      <c r="I104" s="4"/>
      <c r="J104" s="30">
        <f>(C104+D104)/2</f>
        <v>44136.5</v>
      </c>
      <c r="K104" t="s">
        <v>39</v>
      </c>
    </row>
    <row r="105" spans="1:13" ht="15.9" thickBot="1" x14ac:dyDescent="0.45">
      <c r="A105" s="34"/>
      <c r="B105" s="6"/>
      <c r="C105" s="4"/>
      <c r="D105" s="4"/>
      <c r="E105" s="4"/>
      <c r="F105" s="4"/>
      <c r="G105" s="4"/>
      <c r="H105" s="28"/>
      <c r="I105" s="4"/>
      <c r="J105" s="31">
        <f>((J104-J103)/(365/12))</f>
        <v>7.9068493150684924</v>
      </c>
      <c r="K105" t="s">
        <v>40</v>
      </c>
      <c r="M105" s="21">
        <f>J104-J103</f>
        <v>240.5</v>
      </c>
    </row>
    <row r="106" spans="1:13" ht="16.3" thickTop="1" thickBot="1" x14ac:dyDescent="0.45">
      <c r="A106" s="35" t="s">
        <v>150</v>
      </c>
      <c r="B106" s="4" t="s">
        <v>152</v>
      </c>
      <c r="C106" s="4"/>
      <c r="D106" s="4"/>
      <c r="E106" s="4"/>
      <c r="F106" s="23"/>
      <c r="G106" s="4"/>
      <c r="H106" s="28"/>
      <c r="I106" s="4"/>
    </row>
    <row r="107" spans="1:13" ht="15.9" thickTop="1" x14ac:dyDescent="0.4">
      <c r="A107" s="35"/>
      <c r="B107" s="4"/>
      <c r="C107" s="4"/>
      <c r="D107" s="4"/>
      <c r="E107" s="4"/>
      <c r="F107" s="5"/>
      <c r="G107" s="4"/>
      <c r="H107" s="28"/>
      <c r="I107" s="4"/>
    </row>
    <row r="108" spans="1:13" ht="15.45" x14ac:dyDescent="0.4">
      <c r="B108" s="6" t="s">
        <v>114</v>
      </c>
      <c r="C108" s="43">
        <f>'2. Repl. Heif. SPA ReproData '!D6</f>
        <v>2020</v>
      </c>
      <c r="D108" s="75"/>
      <c r="E108" s="75" t="s">
        <v>12</v>
      </c>
      <c r="F108" s="75" t="s">
        <v>13</v>
      </c>
      <c r="H108" s="28"/>
      <c r="I108" s="4"/>
    </row>
    <row r="109" spans="1:13" ht="15.45" x14ac:dyDescent="0.4">
      <c r="B109" s="6" t="s">
        <v>14</v>
      </c>
      <c r="C109" s="4"/>
      <c r="D109" s="75" t="s">
        <v>9</v>
      </c>
      <c r="E109" s="76" t="s">
        <v>15</v>
      </c>
      <c r="F109" s="75" t="s">
        <v>16</v>
      </c>
      <c r="H109" s="28"/>
      <c r="I109" s="4"/>
    </row>
    <row r="110" spans="1:13" ht="15.45" x14ac:dyDescent="0.4">
      <c r="B110" s="4"/>
      <c r="C110" s="4"/>
      <c r="D110" s="6"/>
      <c r="E110" s="3" t="s">
        <v>18</v>
      </c>
      <c r="F110" s="3" t="s">
        <v>18</v>
      </c>
      <c r="H110" s="28" t="s">
        <v>13</v>
      </c>
      <c r="I110" s="4"/>
    </row>
    <row r="111" spans="1:13" ht="15.45" x14ac:dyDescent="0.4">
      <c r="B111" s="4" t="s">
        <v>110</v>
      </c>
      <c r="C111" s="137" t="s">
        <v>226</v>
      </c>
      <c r="D111" s="78">
        <v>44</v>
      </c>
      <c r="E111" s="78">
        <f>D111*550</f>
        <v>24200</v>
      </c>
      <c r="F111" s="43">
        <f>IF(D111=0,0,E111/D111)</f>
        <v>550</v>
      </c>
      <c r="H111" s="28"/>
      <c r="I111" s="4"/>
    </row>
    <row r="112" spans="1:13" s="136" customFormat="1" ht="15" x14ac:dyDescent="0.35">
      <c r="B112" s="4" t="s">
        <v>110</v>
      </c>
      <c r="C112" s="137" t="s">
        <v>227</v>
      </c>
      <c r="D112" s="138">
        <v>0</v>
      </c>
      <c r="E112" s="138">
        <v>0</v>
      </c>
      <c r="F112" s="43">
        <f>IF(D112=0,0,E112/D112)</f>
        <v>0</v>
      </c>
      <c r="H112" s="43">
        <f>(E111+E112)/(D111+D112)</f>
        <v>550</v>
      </c>
      <c r="I112" s="4"/>
    </row>
    <row r="113" spans="1:9" s="136" customFormat="1" ht="15.45" x14ac:dyDescent="0.4">
      <c r="B113" s="4" t="s">
        <v>19</v>
      </c>
      <c r="C113" s="137" t="s">
        <v>226</v>
      </c>
      <c r="D113" s="78">
        <v>43</v>
      </c>
      <c r="E113" s="78">
        <f>D113*525</f>
        <v>22575</v>
      </c>
      <c r="F113" s="43">
        <f t="shared" ref="F113" si="0">IF(D113=0,0,E113/D113)</f>
        <v>525</v>
      </c>
      <c r="H113" s="28"/>
      <c r="I113" s="4"/>
    </row>
    <row r="114" spans="1:9" ht="15" x14ac:dyDescent="0.35">
      <c r="B114" s="4" t="s">
        <v>19</v>
      </c>
      <c r="C114" s="137" t="s">
        <v>227</v>
      </c>
      <c r="D114" s="138">
        <v>0</v>
      </c>
      <c r="E114" s="138">
        <v>0</v>
      </c>
      <c r="F114" s="43">
        <f>IF(D114=0,0,E114/D114)</f>
        <v>0</v>
      </c>
      <c r="H114" s="43">
        <f>(E113+E114)/(D113+D114)</f>
        <v>525</v>
      </c>
      <c r="I114" s="4"/>
    </row>
    <row r="115" spans="1:9" ht="15.45" x14ac:dyDescent="0.4">
      <c r="B115" s="4"/>
      <c r="C115" s="6"/>
      <c r="D115" s="53"/>
      <c r="E115" s="53"/>
      <c r="F115" s="43"/>
      <c r="H115" s="28"/>
      <c r="I115" s="4"/>
    </row>
    <row r="116" spans="1:9" ht="15.45" x14ac:dyDescent="0.4">
      <c r="A116" s="35" t="s">
        <v>72</v>
      </c>
      <c r="B116" s="6" t="s">
        <v>111</v>
      </c>
      <c r="C116" s="6"/>
      <c r="D116" s="139">
        <f>SUM(D111:D114)</f>
        <v>87</v>
      </c>
      <c r="E116" s="79">
        <f>SUM(E111:E114)</f>
        <v>46775</v>
      </c>
      <c r="F116" s="47">
        <f>IF(D116=0,0,E116/D116)</f>
        <v>537.64367816091954</v>
      </c>
      <c r="H116" s="28"/>
      <c r="I116" s="4"/>
    </row>
    <row r="117" spans="1:9" ht="15.45" x14ac:dyDescent="0.4">
      <c r="A117" s="35"/>
      <c r="B117" s="4" t="s">
        <v>159</v>
      </c>
      <c r="C117" s="4"/>
      <c r="D117" s="4"/>
      <c r="E117" s="4"/>
      <c r="G117" s="4"/>
      <c r="H117" s="28">
        <f>IF(H53=0,0,((D116-F106)/H53))</f>
        <v>0.87</v>
      </c>
      <c r="I117" s="4"/>
    </row>
    <row r="118" spans="1:9" ht="15.45" x14ac:dyDescent="0.4">
      <c r="A118" s="35"/>
      <c r="D118" s="4"/>
      <c r="E118" s="4"/>
      <c r="F118" s="5"/>
      <c r="G118" s="4"/>
      <c r="I118" s="4"/>
    </row>
    <row r="119" spans="1:9" ht="15.9" thickBot="1" x14ac:dyDescent="0.45">
      <c r="A119" s="34"/>
      <c r="B119" s="4"/>
      <c r="C119" s="18" t="s">
        <v>68</v>
      </c>
      <c r="D119" s="4"/>
      <c r="E119" s="4"/>
      <c r="F119" s="4"/>
      <c r="G119" s="4"/>
      <c r="H119" s="28"/>
      <c r="I119" s="4"/>
    </row>
    <row r="120" spans="1:9" ht="16.3" thickTop="1" thickBot="1" x14ac:dyDescent="0.45">
      <c r="A120" s="35" t="s">
        <v>73</v>
      </c>
      <c r="B120" s="4" t="s">
        <v>41</v>
      </c>
      <c r="C120" s="77">
        <f>J105</f>
        <v>7.9068493150684924</v>
      </c>
      <c r="D120" s="18" t="s">
        <v>17</v>
      </c>
      <c r="E120" s="4"/>
      <c r="F120" s="32">
        <v>7.5</v>
      </c>
      <c r="G120" s="4"/>
      <c r="H120" s="28"/>
      <c r="I120" s="4"/>
    </row>
    <row r="121" spans="1:9" ht="15.45" thickTop="1" x14ac:dyDescent="0.35">
      <c r="B121" s="4"/>
      <c r="C121" s="4"/>
      <c r="D121" s="4"/>
      <c r="E121" s="4"/>
      <c r="F121" s="4"/>
      <c r="G121" s="4"/>
      <c r="H121" s="4"/>
      <c r="I121" s="4"/>
    </row>
    <row r="122" spans="1:9" ht="15" x14ac:dyDescent="0.35">
      <c r="B122" s="4"/>
      <c r="C122" s="4"/>
      <c r="D122" s="4"/>
      <c r="E122" s="4"/>
      <c r="F122" s="4"/>
      <c r="G122" s="4"/>
      <c r="H122" s="4"/>
      <c r="I122" s="4"/>
    </row>
  </sheetData>
  <sheetProtection sheet="1" objects="1" scenarios="1"/>
  <mergeCells count="3">
    <mergeCell ref="B1:I1"/>
    <mergeCell ref="C4:F4"/>
    <mergeCell ref="C3:D3"/>
  </mergeCells>
  <phoneticPr fontId="0" type="noConversion"/>
  <pageMargins left="1" right="0.5" top="1" bottom="1" header="0.5" footer="0.5"/>
  <pageSetup scale="64" orientation="portrait" r:id="rId1"/>
  <headerFooter alignWithMargins="0">
    <oddFooter>&amp;L&amp;F&amp;R&amp;A
Page &amp;P of &amp;N</oddFooter>
  </headerFooter>
  <rowBreaks count="1" manualBreakCount="1">
    <brk id="58"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I32"/>
  <sheetViews>
    <sheetView topLeftCell="A15" workbookViewId="0">
      <selection activeCell="G6" sqref="G6"/>
    </sheetView>
  </sheetViews>
  <sheetFormatPr defaultRowHeight="12.45" x14ac:dyDescent="0.3"/>
  <cols>
    <col min="3" max="3" width="28.3828125" customWidth="1"/>
    <col min="7" max="7" width="11.69140625" customWidth="1"/>
    <col min="8" max="8" width="13.53515625" customWidth="1"/>
  </cols>
  <sheetData>
    <row r="2" spans="2:9" ht="17.600000000000001" x14ac:dyDescent="0.4">
      <c r="B2" s="42" t="s">
        <v>128</v>
      </c>
    </row>
    <row r="4" spans="2:9" ht="15.45" x14ac:dyDescent="0.4">
      <c r="B4" s="6" t="s">
        <v>50</v>
      </c>
      <c r="C4" s="4"/>
      <c r="D4" s="4"/>
      <c r="F4" s="19"/>
      <c r="H4" s="4"/>
      <c r="I4" s="4"/>
    </row>
    <row r="5" spans="2:9" ht="15.45" x14ac:dyDescent="0.4">
      <c r="B5" s="4"/>
      <c r="C5" s="4"/>
      <c r="D5" s="4"/>
      <c r="E5" s="6" t="s">
        <v>129</v>
      </c>
      <c r="F5" s="4"/>
      <c r="G5" s="4"/>
      <c r="H5" s="4"/>
      <c r="I5" s="4"/>
    </row>
    <row r="6" spans="2:9" ht="15.45" x14ac:dyDescent="0.4">
      <c r="B6" s="4"/>
      <c r="C6" s="4" t="s">
        <v>121</v>
      </c>
      <c r="D6" s="4"/>
      <c r="E6" s="47">
        <f>E10-1</f>
        <v>2019</v>
      </c>
      <c r="F6" s="4"/>
      <c r="G6" s="68">
        <f>'2. Repl. Heif. SPA ReproData '!H70</f>
        <v>0.9</v>
      </c>
      <c r="H6" s="4"/>
      <c r="I6" s="4"/>
    </row>
    <row r="7" spans="2:9" ht="15" x14ac:dyDescent="0.35">
      <c r="B7" s="4"/>
      <c r="C7" s="4"/>
      <c r="D7" s="4"/>
      <c r="E7" s="4"/>
      <c r="F7" s="4"/>
      <c r="G7" s="68"/>
      <c r="H7" s="4"/>
      <c r="I7" s="4"/>
    </row>
    <row r="8" spans="2:9" ht="15" x14ac:dyDescent="0.35">
      <c r="B8" s="4"/>
      <c r="C8" s="4" t="s">
        <v>122</v>
      </c>
      <c r="D8" s="4"/>
      <c r="E8" s="4"/>
      <c r="F8" s="4"/>
      <c r="G8" s="68">
        <f>G6-G10</f>
        <v>1.0000000000000009E-2</v>
      </c>
      <c r="H8" s="4"/>
      <c r="I8" s="4"/>
    </row>
    <row r="9" spans="2:9" ht="15" x14ac:dyDescent="0.35">
      <c r="B9" s="4"/>
      <c r="C9" s="4"/>
      <c r="D9" s="4"/>
      <c r="E9" s="4"/>
      <c r="F9" s="4"/>
      <c r="G9" s="68"/>
      <c r="H9" s="4"/>
      <c r="I9" s="4"/>
    </row>
    <row r="10" spans="2:9" ht="15.45" x14ac:dyDescent="0.4">
      <c r="B10" s="4"/>
      <c r="C10" s="4" t="s">
        <v>123</v>
      </c>
      <c r="D10" s="4"/>
      <c r="E10" s="47">
        <f>'2. Repl. Heif. SPA ReproData '!C108</f>
        <v>2020</v>
      </c>
      <c r="F10" s="4"/>
      <c r="G10" s="68">
        <f>'2. Repl. Heif. SPA ReproData '!H88</f>
        <v>0.89</v>
      </c>
      <c r="H10" s="4"/>
      <c r="I10" s="4"/>
    </row>
    <row r="11" spans="2:9" ht="15" x14ac:dyDescent="0.35">
      <c r="B11" s="4"/>
      <c r="C11" s="4"/>
      <c r="D11" s="4"/>
      <c r="E11" s="4"/>
      <c r="F11" s="4"/>
      <c r="G11" s="68"/>
      <c r="H11" s="4"/>
      <c r="I11" s="4"/>
    </row>
    <row r="12" spans="2:9" ht="15" x14ac:dyDescent="0.35">
      <c r="B12" s="4"/>
      <c r="C12" s="4" t="s">
        <v>124</v>
      </c>
      <c r="D12" s="4"/>
      <c r="E12" s="4"/>
      <c r="F12" s="4"/>
      <c r="G12" s="27">
        <f>'2. Repl. Heif. SPA ReproData '!L92</f>
        <v>0.02</v>
      </c>
      <c r="H12" s="4"/>
      <c r="I12" s="4"/>
    </row>
    <row r="13" spans="2:9" ht="15" x14ac:dyDescent="0.35">
      <c r="B13" s="4"/>
      <c r="C13" s="4"/>
      <c r="D13" s="4"/>
      <c r="E13" s="4"/>
      <c r="F13" s="4"/>
      <c r="G13" s="68"/>
      <c r="H13" s="4"/>
      <c r="I13" s="4"/>
    </row>
    <row r="14" spans="2:9" ht="15" x14ac:dyDescent="0.35">
      <c r="B14" s="4"/>
      <c r="C14" s="4" t="s">
        <v>125</v>
      </c>
      <c r="D14" s="4"/>
      <c r="E14" s="4"/>
      <c r="F14" s="4"/>
      <c r="G14" s="68">
        <f>'2. Repl. Heif. SPA ReproData '!H117</f>
        <v>0.87</v>
      </c>
      <c r="H14" s="4"/>
      <c r="I14" s="4"/>
    </row>
    <row r="15" spans="2:9" ht="15" x14ac:dyDescent="0.35">
      <c r="B15" s="4"/>
      <c r="C15" s="4"/>
      <c r="D15" s="4"/>
      <c r="E15" s="4"/>
      <c r="F15" s="4"/>
      <c r="G15" s="68"/>
      <c r="H15" s="4"/>
      <c r="I15" s="4"/>
    </row>
    <row r="16" spans="2:9" ht="15" x14ac:dyDescent="0.35">
      <c r="B16" s="4"/>
      <c r="C16" s="4" t="s">
        <v>126</v>
      </c>
      <c r="D16" s="4"/>
      <c r="E16" s="4"/>
      <c r="F16" s="4"/>
      <c r="G16" s="27">
        <f>'2. Repl. Heif. SPA ReproData '!L94</f>
        <v>2.247191011235955E-2</v>
      </c>
      <c r="H16" s="4"/>
      <c r="I16" s="4"/>
    </row>
    <row r="17" spans="2:9" ht="15" x14ac:dyDescent="0.35">
      <c r="B17" s="4"/>
      <c r="C17" s="4"/>
      <c r="D17" s="4"/>
      <c r="E17" s="4"/>
      <c r="F17" s="4"/>
      <c r="G17" s="4"/>
      <c r="H17" s="4"/>
      <c r="I17" s="4"/>
    </row>
    <row r="18" spans="2:9" ht="15.45" x14ac:dyDescent="0.4">
      <c r="B18" s="6" t="s">
        <v>54</v>
      </c>
      <c r="C18" s="4"/>
      <c r="D18" s="4"/>
      <c r="E18" s="4"/>
      <c r="F18" s="4"/>
      <c r="G18" s="4"/>
      <c r="H18" s="4"/>
      <c r="I18" s="4"/>
    </row>
    <row r="19" spans="2:9" ht="15" x14ac:dyDescent="0.35">
      <c r="B19" s="4"/>
      <c r="C19" s="4"/>
      <c r="D19" s="4"/>
      <c r="E19" s="4"/>
      <c r="F19" s="4"/>
      <c r="G19" s="4"/>
      <c r="H19" s="4"/>
      <c r="I19" s="4"/>
    </row>
    <row r="20" spans="2:9" ht="15" x14ac:dyDescent="0.35">
      <c r="B20" s="4"/>
      <c r="C20" s="4" t="s">
        <v>51</v>
      </c>
      <c r="D20" s="4"/>
      <c r="E20" s="4"/>
      <c r="F20" s="4"/>
      <c r="G20" s="4">
        <f>'2. Repl. Heif. SPA ReproData '!F120</f>
        <v>7.5</v>
      </c>
      <c r="H20" s="4"/>
      <c r="I20" s="4"/>
    </row>
    <row r="21" spans="2:9" ht="15" x14ac:dyDescent="0.35">
      <c r="B21" s="4"/>
      <c r="C21" s="4"/>
      <c r="D21" s="4"/>
      <c r="E21" s="4"/>
      <c r="F21" s="4"/>
      <c r="G21" s="4"/>
      <c r="H21" s="4"/>
      <c r="I21" s="4"/>
    </row>
    <row r="22" spans="2:9" ht="15" x14ac:dyDescent="0.35">
      <c r="B22" s="4"/>
      <c r="C22" s="4" t="s">
        <v>127</v>
      </c>
      <c r="D22" s="4"/>
      <c r="E22" s="4"/>
      <c r="F22" s="4"/>
      <c r="G22" s="4" t="s">
        <v>131</v>
      </c>
      <c r="H22" s="4"/>
      <c r="I22" s="4"/>
    </row>
    <row r="23" spans="2:9" ht="15" x14ac:dyDescent="0.35">
      <c r="B23" s="4"/>
      <c r="C23" s="4"/>
      <c r="D23" s="4" t="s">
        <v>130</v>
      </c>
      <c r="E23" s="4"/>
      <c r="F23" s="4"/>
      <c r="G23" s="43">
        <f>'2. Repl. Heif. SPA ReproData '!H112</f>
        <v>550</v>
      </c>
      <c r="H23" s="4"/>
      <c r="I23" s="4"/>
    </row>
    <row r="24" spans="2:9" ht="15" x14ac:dyDescent="0.35">
      <c r="B24" s="4"/>
      <c r="C24" s="4"/>
      <c r="D24" s="4"/>
      <c r="E24" s="4"/>
      <c r="F24" s="4"/>
      <c r="G24" s="4"/>
      <c r="H24" s="4"/>
      <c r="I24" s="4"/>
    </row>
    <row r="25" spans="2:9" ht="15" x14ac:dyDescent="0.35">
      <c r="B25" s="4"/>
      <c r="C25" s="4"/>
      <c r="D25" s="4" t="s">
        <v>52</v>
      </c>
      <c r="E25" s="4"/>
      <c r="F25" s="4"/>
      <c r="G25" s="43">
        <f>'2. Repl. Heif. SPA ReproData '!H114</f>
        <v>525</v>
      </c>
      <c r="H25" s="4"/>
      <c r="I25" s="4"/>
    </row>
    <row r="26" spans="2:9" ht="15" x14ac:dyDescent="0.35">
      <c r="B26" s="4"/>
      <c r="C26" s="4"/>
      <c r="D26" s="4"/>
      <c r="E26" s="4"/>
      <c r="F26" s="4"/>
      <c r="G26" s="4"/>
      <c r="H26" s="4"/>
      <c r="I26" s="4"/>
    </row>
    <row r="27" spans="2:9" ht="15" x14ac:dyDescent="0.35">
      <c r="B27" s="4"/>
      <c r="C27" s="4"/>
      <c r="D27" s="4" t="s">
        <v>53</v>
      </c>
      <c r="E27" s="4"/>
      <c r="F27" s="4"/>
      <c r="G27" s="43">
        <f>'2. Repl. Heif. SPA ReproData '!F116</f>
        <v>537.64367816091954</v>
      </c>
      <c r="H27" s="4"/>
      <c r="I27" s="4"/>
    </row>
    <row r="28" spans="2:9" ht="15" x14ac:dyDescent="0.35">
      <c r="B28" s="4"/>
      <c r="C28" s="4"/>
      <c r="D28" s="4"/>
      <c r="E28" s="4"/>
      <c r="F28" s="4"/>
      <c r="G28" s="4"/>
      <c r="H28" s="4"/>
      <c r="I28" s="4"/>
    </row>
    <row r="29" spans="2:9" ht="15" x14ac:dyDescent="0.35">
      <c r="B29" s="4"/>
      <c r="C29" s="4" t="s">
        <v>120</v>
      </c>
      <c r="D29" s="4"/>
      <c r="E29" s="4"/>
      <c r="F29" s="4"/>
      <c r="G29" s="74">
        <f>G14*G27</f>
        <v>467.75</v>
      </c>
      <c r="H29" s="4"/>
      <c r="I29" s="4"/>
    </row>
    <row r="30" spans="2:9" ht="15" x14ac:dyDescent="0.35">
      <c r="B30" s="20" t="s">
        <v>96</v>
      </c>
      <c r="I30" s="4"/>
    </row>
    <row r="31" spans="2:9" ht="15" x14ac:dyDescent="0.35">
      <c r="B31" s="18"/>
      <c r="D31" s="4"/>
      <c r="E31" s="4"/>
      <c r="F31" s="4"/>
      <c r="G31" s="4"/>
      <c r="H31" s="4"/>
      <c r="I31" s="4"/>
    </row>
    <row r="32" spans="2:9" ht="15" x14ac:dyDescent="0.35">
      <c r="B32" s="18"/>
      <c r="D32" s="4"/>
      <c r="E32" s="4"/>
      <c r="F32" s="4"/>
      <c r="G32" s="4"/>
      <c r="H32" s="4"/>
      <c r="I32" s="4"/>
    </row>
  </sheetData>
  <sheetProtection sheet="1" objects="1" scenarios="1"/>
  <phoneticPr fontId="6" type="noConversion"/>
  <pageMargins left="1" right="0.5" top="1" bottom="1" header="0.5" footer="0.5"/>
  <pageSetup orientation="portrait" r:id="rId1"/>
  <headerFooter alignWithMargins="0">
    <oddFooter>&amp;L&amp;F&amp;R&amp;A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3:W67"/>
  <sheetViews>
    <sheetView tabSelected="1" topLeftCell="A19" workbookViewId="0">
      <selection activeCell="I66" sqref="I66"/>
    </sheetView>
  </sheetViews>
  <sheetFormatPr defaultRowHeight="12.45" x14ac:dyDescent="0.3"/>
  <cols>
    <col min="1" max="1" width="4.84375" customWidth="1"/>
    <col min="22" max="22" width="12.84375" customWidth="1"/>
  </cols>
  <sheetData>
    <row r="13" spans="20:23" x14ac:dyDescent="0.3">
      <c r="U13" t="s">
        <v>50</v>
      </c>
    </row>
    <row r="14" spans="20:23" x14ac:dyDescent="0.3">
      <c r="U14" s="11" t="s">
        <v>44</v>
      </c>
      <c r="V14" s="11" t="s">
        <v>87</v>
      </c>
      <c r="W14" s="11" t="s">
        <v>88</v>
      </c>
    </row>
    <row r="15" spans="20:23" x14ac:dyDescent="0.3">
      <c r="T15" t="s">
        <v>7</v>
      </c>
      <c r="U15" s="62">
        <f>'3. SPA Performance Results'!G6</f>
        <v>0.9</v>
      </c>
      <c r="V15" s="62">
        <f>'3. SPA Performance Results'!G10</f>
        <v>0.89</v>
      </c>
      <c r="W15" s="62">
        <f>'3. SPA Performance Results'!G14</f>
        <v>0.87</v>
      </c>
    </row>
    <row r="34" spans="19:23" x14ac:dyDescent="0.3">
      <c r="T34" s="11" t="s">
        <v>117</v>
      </c>
      <c r="U34" s="11"/>
      <c r="V34" s="11" t="s">
        <v>89</v>
      </c>
      <c r="W34" s="11" t="s">
        <v>90</v>
      </c>
    </row>
    <row r="35" spans="19:23" x14ac:dyDescent="0.3">
      <c r="S35" t="s">
        <v>7</v>
      </c>
      <c r="T35" s="44">
        <f>'2. Repl. Heif. SPA ReproData '!H57</f>
        <v>0</v>
      </c>
      <c r="U35" s="44"/>
      <c r="V35" s="44">
        <f>'3. SPA Performance Results'!G8</f>
        <v>1.0000000000000009E-2</v>
      </c>
      <c r="W35" s="44">
        <f>'3. SPA Performance Results'!G12</f>
        <v>0.02</v>
      </c>
    </row>
    <row r="67" spans="2:11" x14ac:dyDescent="0.3">
      <c r="B67" s="20" t="s">
        <v>119</v>
      </c>
      <c r="K67" s="63">
        <f>'3. SPA Performance Results'!G16</f>
        <v>2.247191011235955E-2</v>
      </c>
    </row>
  </sheetData>
  <sheetProtection sheet="1" objects="1" scenarios="1"/>
  <phoneticPr fontId="6" type="noConversion"/>
  <pageMargins left="1" right="0.5" top="1" bottom="1" header="0.5" footer="0.5"/>
  <pageSetup scale="75" orientation="portrait" horizontalDpi="4294967293" r:id="rId1"/>
  <headerFooter alignWithMargins="0">
    <oddFooter>&amp;L&amp;F&amp;R&amp;A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4DC8C-044E-4E95-BBB9-382853B4730B}">
  <sheetPr>
    <pageSetUpPr fitToPage="1"/>
  </sheetPr>
  <dimension ref="B2:B21"/>
  <sheetViews>
    <sheetView topLeftCell="A7" workbookViewId="0">
      <selection activeCell="A12" sqref="A12"/>
    </sheetView>
  </sheetViews>
  <sheetFormatPr defaultRowHeight="12.45" x14ac:dyDescent="0.3"/>
  <cols>
    <col min="1" max="1" width="3.07421875" customWidth="1"/>
    <col min="2" max="2" width="95.3046875" customWidth="1"/>
  </cols>
  <sheetData>
    <row r="2" spans="2:2" ht="17.600000000000001" x14ac:dyDescent="0.4">
      <c r="B2" s="116" t="s">
        <v>196</v>
      </c>
    </row>
    <row r="3" spans="2:2" ht="17.600000000000001" x14ac:dyDescent="0.4">
      <c r="B3" s="116"/>
    </row>
    <row r="4" spans="2:2" ht="30.9" x14ac:dyDescent="0.4">
      <c r="B4" s="117" t="s">
        <v>188</v>
      </c>
    </row>
    <row r="5" spans="2:2" ht="17.600000000000001" x14ac:dyDescent="0.4">
      <c r="B5" s="116"/>
    </row>
    <row r="6" spans="2:2" ht="46.3" x14ac:dyDescent="0.4">
      <c r="B6" s="118" t="s">
        <v>189</v>
      </c>
    </row>
    <row r="7" spans="2:2" ht="15.45" x14ac:dyDescent="0.4">
      <c r="B7" s="118"/>
    </row>
    <row r="8" spans="2:2" ht="138.9" x14ac:dyDescent="0.4">
      <c r="B8" s="118" t="s">
        <v>190</v>
      </c>
    </row>
    <row r="9" spans="2:2" ht="15" x14ac:dyDescent="0.35">
      <c r="B9" s="119"/>
    </row>
    <row r="10" spans="2:2" ht="46.3" x14ac:dyDescent="0.4">
      <c r="B10" s="118" t="s">
        <v>191</v>
      </c>
    </row>
    <row r="11" spans="2:2" ht="15.45" x14ac:dyDescent="0.4">
      <c r="B11" s="118"/>
    </row>
    <row r="12" spans="2:2" ht="61.75" x14ac:dyDescent="0.4">
      <c r="B12" s="118" t="s">
        <v>192</v>
      </c>
    </row>
    <row r="13" spans="2:2" ht="15.45" x14ac:dyDescent="0.4">
      <c r="B13" s="118"/>
    </row>
    <row r="14" spans="2:2" ht="30.9" x14ac:dyDescent="0.4">
      <c r="B14" s="118" t="s">
        <v>193</v>
      </c>
    </row>
    <row r="15" spans="2:2" ht="15.45" x14ac:dyDescent="0.4">
      <c r="B15" s="118"/>
    </row>
    <row r="16" spans="2:2" ht="46.3" x14ac:dyDescent="0.4">
      <c r="B16" s="118" t="s">
        <v>194</v>
      </c>
    </row>
    <row r="17" spans="2:2" ht="15.45" x14ac:dyDescent="0.4">
      <c r="B17" s="120"/>
    </row>
    <row r="18" spans="2:2" ht="30.9" x14ac:dyDescent="0.4">
      <c r="B18" s="118" t="s">
        <v>195</v>
      </c>
    </row>
    <row r="19" spans="2:2" ht="14.15" x14ac:dyDescent="0.35">
      <c r="B19" s="115"/>
    </row>
    <row r="20" spans="2:2" ht="14.15" x14ac:dyDescent="0.35">
      <c r="B20" s="121"/>
    </row>
    <row r="21" spans="2:2" ht="14.15" x14ac:dyDescent="0.35">
      <c r="B21" s="121"/>
    </row>
  </sheetData>
  <sheetProtection sheet="1" objects="1" scenarios="1"/>
  <pageMargins left="0.7" right="0.7" top="0.75" bottom="0.75" header="0.3" footer="0.3"/>
  <pageSetup scale="96" orientation="portrait" horizontalDpi="4294967295" verticalDpi="4294967295" r:id="rId1"/>
  <headerFoot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1.Rep. Heifer SPA BreedingData </vt:lpstr>
      <vt:lpstr>2. Repl. Heif. SPA ReproData </vt:lpstr>
      <vt:lpstr>3. SPA Performance Results</vt:lpstr>
      <vt:lpstr>4. SPA Performance Graphs</vt:lpstr>
      <vt:lpstr>5. Definitions</vt:lpstr>
      <vt:lpstr>'1.Rep. Heifer SPA BreedingData '!Print_Area</vt:lpstr>
      <vt:lpstr>'2. Repl. Heif. SPA ReproData '!Print_Area</vt:lpstr>
      <vt:lpstr>'3. SPA Performance Results'!Print_Area</vt:lpstr>
      <vt:lpstr>'4. SPA Performance Graphs'!Print_Area</vt:lpstr>
      <vt:lpstr>'5. Definitions'!Print_Area</vt:lpstr>
    </vt:vector>
  </TitlesOfParts>
  <Company>Texas A&amp;M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McGrann</dc:creator>
  <cp:lastModifiedBy>Jim McGrann</cp:lastModifiedBy>
  <cp:lastPrinted>2019-04-23T13:17:48Z</cp:lastPrinted>
  <dcterms:created xsi:type="dcterms:W3CDTF">2001-08-22T18:58:44Z</dcterms:created>
  <dcterms:modified xsi:type="dcterms:W3CDTF">2019-09-14T16:44:52Z</dcterms:modified>
</cp:coreProperties>
</file>