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TAMU Additions 3-9-2020\R. Sexed Semen Based Breeding Systems - Update 3-9-2020\"/>
    </mc:Choice>
  </mc:AlternateContent>
  <xr:revisionPtr revIDLastSave="0" documentId="13_ncr:1_{1277FC17-D2FB-42F0-BD2F-940E5CE94740}" xr6:coauthVersionLast="45" xr6:coauthVersionMax="45" xr10:uidLastSave="{00000000-0000-0000-0000-000000000000}"/>
  <bookViews>
    <workbookView xWindow="-103" yWindow="-103" windowWidth="16663" windowHeight="8863" tabRatio="879" activeTab="2" xr2:uid="{00000000-000D-0000-FFFF-FFFF00000000}"/>
  </bookViews>
  <sheets>
    <sheet name="1. Key Data &amp; Advantage" sheetId="15" r:id="rId1"/>
    <sheet name="2. Summary of IncomeDifference" sheetId="11" r:id="rId2"/>
    <sheet name="3. SexedSemenProtocol Cost" sheetId="10" r:id="rId3"/>
    <sheet name="4. Natural Service Bull Cost" sheetId="4" r:id="rId4"/>
    <sheet name="5. Graphs" sheetId="14" r:id="rId5"/>
    <sheet name="User Guide" sheetId="12" r:id="rId6"/>
  </sheets>
  <definedNames>
    <definedName name="_xlnm.Print_Area" localSheetId="0">'1. Key Data &amp; Advantage'!$B$1:$G$52</definedName>
    <definedName name="_xlnm.Print_Area" localSheetId="1">'2. Summary of IncomeDifference'!$B$2:$F$62</definedName>
    <definedName name="_xlnm.Print_Area" localSheetId="2">'3. SexedSemenProtocol Cost'!$B$2:$H$106</definedName>
    <definedName name="_xlnm.Print_Area" localSheetId="3">'4. Natural Service Bull Cost'!$B$2:$G$32</definedName>
    <definedName name="_xlnm.Print_Area" localSheetId="4">'5. Graphs'!$B$2:$K$164</definedName>
    <definedName name="_xlnm.Print_Area" localSheetId="5">'User Guide'!$B$2:$B$55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15" l="1"/>
  <c r="C9" i="11" l="1"/>
  <c r="C6" i="11"/>
  <c r="D15" i="11"/>
  <c r="E30" i="11" l="1"/>
  <c r="D30" i="11"/>
  <c r="E29" i="11"/>
  <c r="D29" i="11"/>
  <c r="D9" i="15"/>
  <c r="C9" i="15"/>
  <c r="E31" i="11" l="1"/>
  <c r="D31" i="11"/>
  <c r="B11" i="15"/>
  <c r="E8" i="15"/>
  <c r="E7" i="15"/>
  <c r="E9" i="15" l="1"/>
  <c r="E51" i="10"/>
  <c r="G40" i="10" l="1"/>
  <c r="C34" i="11" l="1"/>
  <c r="C21" i="10" l="1"/>
  <c r="E19" i="10" l="1"/>
  <c r="D54" i="10" s="1"/>
  <c r="D7" i="11"/>
  <c r="N64" i="14" l="1"/>
  <c r="O26" i="14"/>
  <c r="O25" i="14"/>
  <c r="N26" i="14"/>
  <c r="N25" i="14"/>
  <c r="N6" i="14"/>
  <c r="C33" i="11"/>
  <c r="E63" i="10"/>
  <c r="G21" i="10"/>
  <c r="E66" i="10"/>
  <c r="G22" i="10"/>
  <c r="E64" i="10" s="1"/>
  <c r="C19" i="10"/>
  <c r="C23" i="10"/>
  <c r="E65" i="10" s="1"/>
  <c r="C30" i="11"/>
  <c r="C29" i="11"/>
  <c r="N78" i="14" s="1"/>
  <c r="B3" i="11"/>
  <c r="B2" i="15" s="1"/>
  <c r="E71" i="10"/>
  <c r="E81" i="10" s="1"/>
  <c r="E72" i="10"/>
  <c r="E84" i="10" s="1"/>
  <c r="D71" i="10"/>
  <c r="D81" i="10" s="1"/>
  <c r="D72" i="10"/>
  <c r="D84" i="10" s="1"/>
  <c r="E98" i="10"/>
  <c r="E101" i="10"/>
  <c r="D44" i="11"/>
  <c r="C48" i="11"/>
  <c r="D73" i="10"/>
  <c r="C55" i="10"/>
  <c r="C24" i="11"/>
  <c r="G8" i="4"/>
  <c r="E10" i="4"/>
  <c r="E11" i="4" s="1"/>
  <c r="G11" i="4" s="1"/>
  <c r="E16" i="4"/>
  <c r="G16" i="4" s="1"/>
  <c r="G24" i="4"/>
  <c r="E13" i="4" s="1"/>
  <c r="D32" i="10"/>
  <c r="G47" i="10"/>
  <c r="G7" i="4"/>
  <c r="G9" i="4"/>
  <c r="C31" i="11" l="1"/>
  <c r="D35" i="10"/>
  <c r="D36" i="10" s="1"/>
  <c r="D42" i="10" s="1"/>
  <c r="E95" i="10"/>
  <c r="F40" i="10"/>
  <c r="C69" i="10"/>
  <c r="D69" i="10" s="1"/>
  <c r="C22" i="10"/>
  <c r="N79" i="14"/>
  <c r="F47" i="10"/>
  <c r="D68" i="10"/>
  <c r="E96" i="10"/>
  <c r="O6" i="14" s="1"/>
  <c r="G10" i="4"/>
  <c r="F29" i="4"/>
  <c r="E14" i="4" s="1"/>
  <c r="G14" i="4" s="1"/>
  <c r="G13" i="4"/>
  <c r="G51" i="10"/>
  <c r="F51" i="10" l="1"/>
  <c r="E48" i="15"/>
  <c r="D37" i="10"/>
  <c r="D43" i="10" s="1"/>
  <c r="D78" i="10"/>
  <c r="D27" i="10" s="1"/>
  <c r="E97" i="10"/>
  <c r="E99" i="10" s="1"/>
  <c r="E102" i="10" s="1"/>
  <c r="D77" i="10"/>
  <c r="E17" i="4"/>
  <c r="E19" i="4" s="1"/>
  <c r="G19" i="4" s="1"/>
  <c r="E24" i="11" s="1"/>
  <c r="G17" i="4"/>
  <c r="E15" i="11"/>
  <c r="G36" i="10"/>
  <c r="D41" i="10"/>
  <c r="G41" i="10" s="1"/>
  <c r="G35" i="10"/>
  <c r="D38" i="10" l="1"/>
  <c r="D39" i="10" s="1"/>
  <c r="G39" i="10" s="1"/>
  <c r="F39" i="10" s="1"/>
  <c r="G37" i="10"/>
  <c r="F37" i="10" s="1"/>
  <c r="E100" i="10"/>
  <c r="E55" i="10"/>
  <c r="D79" i="10"/>
  <c r="D28" i="10" s="1"/>
  <c r="D26" i="10"/>
  <c r="D80" i="10"/>
  <c r="F35" i="10"/>
  <c r="F41" i="10"/>
  <c r="F36" i="10"/>
  <c r="O63" i="14"/>
  <c r="F24" i="11"/>
  <c r="O115" i="14"/>
  <c r="E104" i="10"/>
  <c r="C26" i="15" s="1"/>
  <c r="E105" i="10"/>
  <c r="D26" i="15" s="1"/>
  <c r="D27" i="15" s="1"/>
  <c r="E103" i="10"/>
  <c r="C22" i="11" s="1"/>
  <c r="G42" i="10"/>
  <c r="O7" i="14" l="1"/>
  <c r="D30" i="15"/>
  <c r="O96" i="14"/>
  <c r="E29" i="15"/>
  <c r="C27" i="15"/>
  <c r="F26" i="15"/>
  <c r="G38" i="10"/>
  <c r="F38" i="10" s="1"/>
  <c r="D44" i="10"/>
  <c r="D46" i="10" s="1"/>
  <c r="G46" i="10" s="1"/>
  <c r="G43" i="10"/>
  <c r="F43" i="10" s="1"/>
  <c r="C14" i="11"/>
  <c r="I68" i="10"/>
  <c r="E70" i="10" s="1"/>
  <c r="E68" i="10" s="1"/>
  <c r="E77" i="10" s="1"/>
  <c r="C36" i="15" s="1"/>
  <c r="D82" i="10"/>
  <c r="D85" i="10" s="1"/>
  <c r="F42" i="10"/>
  <c r="E106" i="10"/>
  <c r="E34" i="11" s="1"/>
  <c r="F34" i="11" s="1"/>
  <c r="O95" i="14" l="1"/>
  <c r="O97" i="14" s="1"/>
  <c r="E26" i="15"/>
  <c r="E27" i="15"/>
  <c r="G44" i="10"/>
  <c r="F44" i="10" s="1"/>
  <c r="F46" i="10"/>
  <c r="D86" i="10"/>
  <c r="E26" i="10"/>
  <c r="F26" i="10" s="1"/>
  <c r="F77" i="10"/>
  <c r="C54" i="10"/>
  <c r="D55" i="10" s="1"/>
  <c r="G55" i="10" s="1"/>
  <c r="E78" i="10"/>
  <c r="D36" i="15" s="1"/>
  <c r="F36" i="15" s="1"/>
  <c r="F29" i="15" l="1"/>
  <c r="H27" i="15"/>
  <c r="F48" i="10"/>
  <c r="F52" i="10" s="1"/>
  <c r="E17" i="11" s="1"/>
  <c r="E27" i="10"/>
  <c r="F27" i="10" s="1"/>
  <c r="F28" i="10" s="1"/>
  <c r="F78" i="10"/>
  <c r="F79" i="10" s="1"/>
  <c r="E79" i="10"/>
  <c r="E28" i="10" s="1"/>
  <c r="D87" i="10"/>
  <c r="C35" i="15" s="1"/>
  <c r="D88" i="10"/>
  <c r="D35" i="15" s="1"/>
  <c r="F55" i="10"/>
  <c r="E18" i="11" s="1"/>
  <c r="G57" i="10"/>
  <c r="H46" i="10" s="1"/>
  <c r="E80" i="10"/>
  <c r="H35" i="15" l="1"/>
  <c r="F35" i="15"/>
  <c r="K52" i="10"/>
  <c r="H55" i="10"/>
  <c r="H40" i="10"/>
  <c r="F57" i="10"/>
  <c r="E19" i="11"/>
  <c r="F17" i="11"/>
  <c r="N61" i="14"/>
  <c r="E82" i="10"/>
  <c r="F80" i="10"/>
  <c r="G80" i="10" s="1"/>
  <c r="D59" i="10"/>
  <c r="G27" i="10"/>
  <c r="G26" i="10"/>
  <c r="H47" i="10"/>
  <c r="F59" i="10"/>
  <c r="H38" i="10"/>
  <c r="H37" i="10"/>
  <c r="H44" i="10"/>
  <c r="H51" i="10"/>
  <c r="H35" i="10"/>
  <c r="H41" i="10"/>
  <c r="H39" i="10"/>
  <c r="H36" i="10"/>
  <c r="H43" i="10"/>
  <c r="H42" i="10"/>
  <c r="G78" i="10"/>
  <c r="G77" i="10"/>
  <c r="D89" i="10"/>
  <c r="F18" i="11"/>
  <c r="N62" i="14"/>
  <c r="N63" i="14" l="1"/>
  <c r="D90" i="10"/>
  <c r="F19" i="11"/>
  <c r="E45" i="15" s="1"/>
  <c r="F48" i="15" s="1"/>
  <c r="E85" i="10"/>
  <c r="F82" i="10"/>
  <c r="G83" i="10" s="1"/>
  <c r="E26" i="11"/>
  <c r="E14" i="11"/>
  <c r="N96" i="14" l="1"/>
  <c r="P96" i="14" s="1"/>
  <c r="F26" i="11"/>
  <c r="F85" i="10"/>
  <c r="E86" i="10"/>
  <c r="D57" i="11" l="1"/>
  <c r="N138" i="14" s="1"/>
  <c r="E88" i="10"/>
  <c r="F88" i="10" s="1"/>
  <c r="E87" i="10"/>
  <c r="D20" i="15" l="1"/>
  <c r="E89" i="10"/>
  <c r="F87" i="10"/>
  <c r="E38" i="11"/>
  <c r="D37" i="15" s="1"/>
  <c r="D40" i="15" s="1"/>
  <c r="E37" i="11" l="1"/>
  <c r="C37" i="15" s="1"/>
  <c r="H37" i="15" s="1"/>
  <c r="I37" i="15" s="1"/>
  <c r="G46" i="11" s="1"/>
  <c r="E90" i="10"/>
  <c r="F89" i="10"/>
  <c r="G87" i="10" s="1"/>
  <c r="F37" i="15" l="1"/>
  <c r="C40" i="15"/>
  <c r="E40" i="11"/>
  <c r="F38" i="11" s="1"/>
  <c r="N41" i="14" s="1"/>
  <c r="G90" i="10"/>
  <c r="G88" i="10"/>
  <c r="F37" i="11" l="1"/>
  <c r="C40" i="11" s="1"/>
  <c r="F50" i="15" s="1"/>
  <c r="E50" i="11"/>
  <c r="C24" i="10"/>
  <c r="C10" i="11"/>
  <c r="N40" i="14" l="1"/>
  <c r="J26" i="10"/>
  <c r="E44" i="11"/>
  <c r="F44" i="11" s="1"/>
  <c r="F40" i="11"/>
  <c r="N114" i="14"/>
  <c r="C39" i="11"/>
  <c r="N115" i="14"/>
  <c r="D50" i="11"/>
  <c r="E51" i="11"/>
  <c r="E40" i="15" l="1"/>
  <c r="N7" i="14"/>
  <c r="D38" i="15"/>
  <c r="F50" i="11"/>
  <c r="D48" i="11"/>
  <c r="E48" i="11" s="1"/>
  <c r="D51" i="11"/>
  <c r="F41" i="11"/>
  <c r="F48" i="11" l="1"/>
  <c r="C51" i="11"/>
  <c r="F51" i="11" l="1"/>
  <c r="E42" i="15" s="1"/>
  <c r="H42" i="15" s="1"/>
  <c r="K42" i="15" s="1"/>
  <c r="E41" i="15"/>
  <c r="F53" i="11"/>
  <c r="F54" i="11" s="1"/>
  <c r="I10" i="11" s="1"/>
  <c r="F45" i="15" l="1"/>
  <c r="N95" i="14"/>
  <c r="E57" i="11"/>
  <c r="P95" i="14" l="1"/>
  <c r="N97" i="14"/>
  <c r="P97" i="14" s="1"/>
  <c r="F57" i="11"/>
  <c r="F20" i="15" s="1"/>
  <c r="E20" i="15"/>
  <c r="N139" i="14"/>
  <c r="N140" i="14" l="1"/>
  <c r="F59" i="11"/>
  <c r="I9" i="11" s="1"/>
  <c r="F22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J. Kelly</author>
  </authors>
  <commentList>
    <comment ref="E13" authorId="0" shapeId="0" xr:uid="{00000000-0006-0000-0200-000001000000}">
      <text>
        <r>
          <rPr>
            <sz val="8"/>
            <color indexed="81"/>
            <rFont val="Tahoma"/>
            <family val="2"/>
          </rPr>
          <t>Cost - Salvage value divided by useful life.</t>
        </r>
      </text>
    </comment>
  </commentList>
</comments>
</file>

<file path=xl/sharedStrings.xml><?xml version="1.0" encoding="utf-8"?>
<sst xmlns="http://schemas.openxmlformats.org/spreadsheetml/2006/main" count="420" uniqueCount="308">
  <si>
    <t>Days</t>
  </si>
  <si>
    <t>Total</t>
  </si>
  <si>
    <t>%</t>
  </si>
  <si>
    <t>Head</t>
  </si>
  <si>
    <t xml:space="preserve"> AI - Straw</t>
  </si>
  <si>
    <t>Heifer</t>
  </si>
  <si>
    <t xml:space="preserve">Natural </t>
  </si>
  <si>
    <t>Total Days in Breeding Season</t>
  </si>
  <si>
    <t>Length of  Breeding Season</t>
  </si>
  <si>
    <t xml:space="preserve">   Length of AI Breeding Season</t>
  </si>
  <si>
    <t xml:space="preserve">   Length of Clean Up Bull Breeding Season</t>
  </si>
  <si>
    <t>Units</t>
  </si>
  <si>
    <t>Other</t>
  </si>
  <si>
    <t>Costs</t>
  </si>
  <si>
    <t>$/Unit</t>
  </si>
  <si>
    <t>$/Straw</t>
  </si>
  <si>
    <t>Overall Pregnancy - Success Rate</t>
  </si>
  <si>
    <t>Number of Pregnancies</t>
  </si>
  <si>
    <t>Cost Item</t>
  </si>
  <si>
    <t>Feed and Grazing</t>
  </si>
  <si>
    <t>Depreciation</t>
  </si>
  <si>
    <t>Veterinary Medicine</t>
  </si>
  <si>
    <t>Estimated Purchase Cost including Freight</t>
  </si>
  <si>
    <t>Useful Life</t>
  </si>
  <si>
    <t>Wt. Lb./Hd.</t>
  </si>
  <si>
    <t>$/Cwt.</t>
  </si>
  <si>
    <t xml:space="preserve">  $/Head</t>
  </si>
  <si>
    <t xml:space="preserve">Salvage Value </t>
  </si>
  <si>
    <t>*Average investment is cost plus salvage value divided by 2. or</t>
  </si>
  <si>
    <t xml:space="preserve">Other Cost </t>
  </si>
  <si>
    <t>Description of Breeding Activity</t>
  </si>
  <si>
    <t>Per</t>
  </si>
  <si>
    <t>% of</t>
  </si>
  <si>
    <t xml:space="preserve">No. of </t>
  </si>
  <si>
    <t>Title</t>
  </si>
  <si>
    <t>Cows  per Year Per Bull</t>
  </si>
  <si>
    <t>AI Technician</t>
  </si>
  <si>
    <t>Pregnancy Test</t>
  </si>
  <si>
    <t>Average Investment Annual Interest Cost*</t>
  </si>
  <si>
    <t>Interest Rate Used - Investment &amp; Operating</t>
  </si>
  <si>
    <t>Interest on (1/2) of Annual Operating Cost</t>
  </si>
  <si>
    <t>AI Cost per Head</t>
  </si>
  <si>
    <t xml:space="preserve">Sexed Semen AI Cost- by Synchronization Protocol </t>
  </si>
  <si>
    <t>Accuracy of Sex Selection %</t>
  </si>
  <si>
    <t>Breeding Method</t>
  </si>
  <si>
    <t xml:space="preserve">First - AI </t>
  </si>
  <si>
    <t>Natural</t>
  </si>
  <si>
    <t>Number of Heifers or Cows</t>
  </si>
  <si>
    <t>Pregnancy Rate - % of Conventional AI</t>
  </si>
  <si>
    <t>Pregnancy % Based on Exposed Females*</t>
  </si>
  <si>
    <t>Calving Loss % Based on Bred Females</t>
  </si>
  <si>
    <t>Loss Calving to Live Calf % Based on Live Calves</t>
  </si>
  <si>
    <t>Cost of Sexed Semen per Straw</t>
  </si>
  <si>
    <t>Sexed</t>
  </si>
  <si>
    <t>Gender</t>
  </si>
  <si>
    <t xml:space="preserve">Cows Bred </t>
  </si>
  <si>
    <t>Pregnancy Loss Based on Bred Cows  %</t>
  </si>
  <si>
    <t>Live Calves Born %</t>
  </si>
  <si>
    <t>Calving Percentage Based on Cows Exposed</t>
  </si>
  <si>
    <t>Calf loss Between Calving and Weaning  %</t>
  </si>
  <si>
    <t>Calves Weaned</t>
  </si>
  <si>
    <t xml:space="preserve">Weaning % Based on Bred Cows </t>
  </si>
  <si>
    <t>Number of Calves</t>
  </si>
  <si>
    <t>Calving to Weaning % Based on Cows Exposed</t>
  </si>
  <si>
    <t>-</t>
  </si>
  <si>
    <t>Accuracy</t>
  </si>
  <si>
    <t>Sexed AI</t>
  </si>
  <si>
    <t>__________________________________________________________________________________________________________________________________________</t>
  </si>
  <si>
    <t xml:space="preserve">Gender </t>
  </si>
  <si>
    <t>Number of AI Exposed Females</t>
  </si>
  <si>
    <t>Total All Exposed Females</t>
  </si>
  <si>
    <t>Total Per Breeding Cost Per Bred Female</t>
  </si>
  <si>
    <t>Ownership Cost</t>
  </si>
  <si>
    <t>Operating Costs</t>
  </si>
  <si>
    <t>Annual Operating Costs</t>
  </si>
  <si>
    <t>Total Ownership Cost</t>
  </si>
  <si>
    <t>___________________________________________________________________</t>
  </si>
  <si>
    <t xml:space="preserve">Total Cost, Number of Cows and $/per Cow </t>
  </si>
  <si>
    <t>Number of Females Exposed</t>
  </si>
  <si>
    <t>Per Female</t>
  </si>
  <si>
    <t>Natural Service Breeding System</t>
  </si>
  <si>
    <t>Total Herd</t>
  </si>
  <si>
    <t>Herd cost using Natural Service</t>
  </si>
  <si>
    <t>Female</t>
  </si>
  <si>
    <t>Subtotal</t>
  </si>
  <si>
    <t>Wt. / Head</t>
  </si>
  <si>
    <t>Lb./Hd.</t>
  </si>
  <si>
    <t xml:space="preserve">  Price of Heifers Calves</t>
  </si>
  <si>
    <t xml:space="preserve">Females per Bull Clean Up Bull Cost </t>
  </si>
  <si>
    <t>Females Open After AI - Head</t>
  </si>
  <si>
    <t>Value / Hd.</t>
  </si>
  <si>
    <t>Would be the average for all calves produced.</t>
  </si>
  <si>
    <t>Value of Gain</t>
  </si>
  <si>
    <t xml:space="preserve">      ADG</t>
  </si>
  <si>
    <t>Added Wt.</t>
  </si>
  <si>
    <t>Average Value of Calved</t>
  </si>
  <si>
    <t xml:space="preserve">    Price </t>
  </si>
  <si>
    <t xml:space="preserve">  $/Cwt.</t>
  </si>
  <si>
    <t>Use Sexed Semen Breeding System</t>
  </si>
  <si>
    <t>Over all Pregnancy</t>
  </si>
  <si>
    <t>Calves Natural Service</t>
  </si>
  <si>
    <t>Sexed Semen</t>
  </si>
  <si>
    <t>% of Calves</t>
  </si>
  <si>
    <t>Sexed Semen AI - Pregnancy</t>
  </si>
  <si>
    <t>Conventional AI Pregnancy</t>
  </si>
  <si>
    <t>Days Early Conception, ADG % of Calves</t>
  </si>
  <si>
    <t>Females/Bull</t>
  </si>
  <si>
    <t xml:space="preserve">  Clean Up Bulls - (for not bred AI)</t>
  </si>
  <si>
    <t>Weaning Percent</t>
  </si>
  <si>
    <t>Change In</t>
  </si>
  <si>
    <t>Cost</t>
  </si>
  <si>
    <t>Advantage</t>
  </si>
  <si>
    <t>Margin</t>
  </si>
  <si>
    <t>Per Exposed Female</t>
  </si>
  <si>
    <t>Return to Producer's Increase in Breeding Cost - ROI on Added Cost</t>
  </si>
  <si>
    <t>Operations Guide for Using the Sexed Semen Economic Advantage Decision Aid</t>
  </si>
  <si>
    <r>
      <t>First bring up the Excel</t>
    </r>
    <r>
      <rPr>
        <sz val="12"/>
        <rFont val="Arial"/>
        <family val="2"/>
      </rPr>
      <t>™</t>
    </r>
    <r>
      <rPr>
        <sz val="12"/>
        <rFont val="Arial"/>
        <family val="2"/>
      </rPr>
      <t xml:space="preserve"> spreadsheet and save a copy under a name of your choice. Keep the</t>
    </r>
  </si>
  <si>
    <t>Save the file frequently as you enter data!</t>
  </si>
  <si>
    <t>on estimated pregnancy from AI.</t>
  </si>
  <si>
    <t>Now you are ready to check your answer to your question :</t>
  </si>
  <si>
    <r>
      <t xml:space="preserve">If you get </t>
    </r>
    <r>
      <rPr>
        <sz val="12"/>
        <color indexed="10"/>
        <rFont val="Arial"/>
        <family val="2"/>
      </rPr>
      <t>unreasonable results</t>
    </r>
    <r>
      <rPr>
        <sz val="12"/>
        <rFont val="Arial"/>
        <family val="2"/>
      </rPr>
      <t xml:space="preserve"> then there is a pretty good chance data was entered wrong. </t>
    </r>
  </si>
  <si>
    <t xml:space="preserve">Save your example and then review all your data entered. </t>
  </si>
  <si>
    <t xml:space="preserve">     Head</t>
  </si>
  <si>
    <t>Evaluation</t>
  </si>
  <si>
    <t>Synchronization -CIDR</t>
  </si>
  <si>
    <t>Other Drugs</t>
  </si>
  <si>
    <t>No./Female</t>
  </si>
  <si>
    <t>Service</t>
  </si>
  <si>
    <t>Natural Service</t>
  </si>
  <si>
    <t>Pregnancy</t>
  </si>
  <si>
    <t>Total Females Exposed</t>
  </si>
  <si>
    <t xml:space="preserve">   Service</t>
  </si>
  <si>
    <t xml:space="preserve">  Sexed Semen AI breeding</t>
  </si>
  <si>
    <t>Overall  Weaning Wt. Increase - Genetic</t>
  </si>
  <si>
    <t xml:space="preserve">    $/Head</t>
  </si>
  <si>
    <t xml:space="preserve">Weaning % </t>
  </si>
  <si>
    <t>Weaning Percent Increase %</t>
  </si>
  <si>
    <t>Weaning Percentage</t>
  </si>
  <si>
    <t>original for future use. It's recommended that you enter a date with the  name on the new file.</t>
  </si>
  <si>
    <t xml:space="preserve"> Sexed Semen  Cost per Straw &amp; Total</t>
  </si>
  <si>
    <t xml:space="preserve">Semen as </t>
  </si>
  <si>
    <t>% of Cost</t>
  </si>
  <si>
    <t>Cost of Sexed Semen Breeding System</t>
  </si>
  <si>
    <t>Accuracy of Sexed Semen</t>
  </si>
  <si>
    <t>Pregnancy Rate of Conventional AI</t>
  </si>
  <si>
    <r>
      <t xml:space="preserve">% </t>
    </r>
    <r>
      <rPr>
        <sz val="11"/>
        <rFont val="Arial"/>
        <family val="2"/>
      </rPr>
      <t>Pregnancy Rate - % of Conventional A</t>
    </r>
    <r>
      <rPr>
        <sz val="12"/>
        <rFont val="Arial"/>
        <family val="2"/>
      </rPr>
      <t>I</t>
    </r>
  </si>
  <si>
    <t xml:space="preserve">Cost of AI Semen </t>
  </si>
  <si>
    <t>ROI</t>
  </si>
  <si>
    <t>Pregnancy Rate - % from Sexed Semen</t>
  </si>
  <si>
    <t>% Sexed Semen AI &amp; Clean up Bulls.</t>
  </si>
  <si>
    <t>Calf Loss % Based on Live Calves</t>
  </si>
  <si>
    <t>Sexed Semen AI Breeding System Cost</t>
  </si>
  <si>
    <t>Natural Service Breeding System Cost</t>
  </si>
  <si>
    <t>Added Cost of Sexed Semen AI Breeding System</t>
  </si>
  <si>
    <t>Bull/Steer</t>
  </si>
  <si>
    <t>of Change</t>
  </si>
  <si>
    <t>Not included in the calf crop  on row 22</t>
  </si>
  <si>
    <t>*Premium is adjusted for % of gender)</t>
  </si>
  <si>
    <t>Breeding Protocols Description</t>
  </si>
  <si>
    <t>*Users should use their own breeding protocol, semen, bull costs and cattle prices as they are highly variable</t>
  </si>
  <si>
    <t xml:space="preserve"> and become obsolete very quickly and are very dependent on alternatives chosen. See Disclaimer Sheet.</t>
  </si>
  <si>
    <t>Gender Difference</t>
  </si>
  <si>
    <t>Pregnancy and Calving Loss</t>
  </si>
  <si>
    <t>Pregnancy Loss % Based on Bred Females</t>
  </si>
  <si>
    <t>Sexed Semen Average Price  $/Cwt.</t>
  </si>
  <si>
    <t>Natural Service Average Price  $/Cwt.</t>
  </si>
  <si>
    <t>*Users should use their own breeding protocol, semen and bull costs and cattle prices as they are highly variable</t>
  </si>
  <si>
    <t>Weaning %</t>
  </si>
  <si>
    <t>Gender of Calves</t>
  </si>
  <si>
    <t>Pregnancy Loss %</t>
  </si>
  <si>
    <t>Calf Loss %</t>
  </si>
  <si>
    <t>Breeding Cost</t>
  </si>
  <si>
    <t>Total Cost $/Hd.</t>
  </si>
  <si>
    <t>Breeding Cost per Female</t>
  </si>
  <si>
    <t>Calf Value</t>
  </si>
  <si>
    <t>Added Cost</t>
  </si>
  <si>
    <t>Added Margin</t>
  </si>
  <si>
    <t>Margin &gt; Breeding</t>
  </si>
  <si>
    <t>Difference</t>
  </si>
  <si>
    <t>Margin Over Breeding Costs</t>
  </si>
  <si>
    <t>Semen Cost $/Straw</t>
  </si>
  <si>
    <t>Over All Pregnancy %</t>
  </si>
  <si>
    <t>Reproduction Performance</t>
  </si>
  <si>
    <t>Sex Natural</t>
  </si>
  <si>
    <t xml:space="preserve">Pregnancy and Calf Loss </t>
  </si>
  <si>
    <t>Semen Cost / Calf Value</t>
  </si>
  <si>
    <t>Cost Compared to Ave. Calf Value</t>
  </si>
  <si>
    <t>Sexed Semen Advantage Compared to Natural Service</t>
  </si>
  <si>
    <t>Breeding Cost/Calf Value</t>
  </si>
  <si>
    <t>Sexed Semen Value of Calves By Gender $/Head</t>
  </si>
  <si>
    <t>Sexed Semen Advantage</t>
  </si>
  <si>
    <t>Page 3</t>
  </si>
  <si>
    <t>Page 2</t>
  </si>
  <si>
    <t>Annual Cow Service Cost</t>
  </si>
  <si>
    <t>Annual Per Year Cost</t>
  </si>
  <si>
    <r>
      <t xml:space="preserve">Sexed Semen Gender Selected </t>
    </r>
    <r>
      <rPr>
        <b/>
        <sz val="12"/>
        <rFont val="Arial"/>
        <family val="2"/>
      </rPr>
      <t>(H or S)</t>
    </r>
  </si>
  <si>
    <t>S</t>
  </si>
  <si>
    <t>Enter H for heifer and S for Steers.</t>
  </si>
  <si>
    <t>Steers</t>
  </si>
  <si>
    <t xml:space="preserve">  Price of Steer Calves</t>
  </si>
  <si>
    <t>Estrotec Patches</t>
  </si>
  <si>
    <t>Split-Time A.I. Protocol</t>
  </si>
  <si>
    <t>Added labor but in some operations this would not be necessary as existing labor would be adequate.</t>
  </si>
  <si>
    <t xml:space="preserve">Sex Chosen (Steers or Heifers)  </t>
  </si>
  <si>
    <t>Heifers</t>
  </si>
  <si>
    <t xml:space="preserve"> and become obsolete very quickly and are very dependent on alternatives chosen. </t>
  </si>
  <si>
    <t>Trip</t>
  </si>
  <si>
    <t>Technician A.I. Trip Charge</t>
  </si>
  <si>
    <t>Times Through the Cute</t>
  </si>
  <si>
    <t>Times</t>
  </si>
  <si>
    <t>Added Labor Cost for Cute Work</t>
  </si>
  <si>
    <t xml:space="preserve">Added Labor for Heat Detection </t>
  </si>
  <si>
    <t>Day 0 @ 5 PM CIDR in + GnRH</t>
  </si>
  <si>
    <t>Day 7 @ 5 PM CIDR out + PG + Heat Patch</t>
  </si>
  <si>
    <t>Day 10 @ 11 AM A.I. Estrous Females Only</t>
  </si>
  <si>
    <t>Day 11 @ 7 - 11 AM  A.I. Remaining Estrous Females</t>
  </si>
  <si>
    <t>$/Steer</t>
  </si>
  <si>
    <t>Gross Income</t>
  </si>
  <si>
    <t xml:space="preserve">Total Gross </t>
  </si>
  <si>
    <t>Income</t>
  </si>
  <si>
    <t>Steers Vs. Heifers</t>
  </si>
  <si>
    <t>Includes annual breeding service exam (BSE)</t>
  </si>
  <si>
    <t xml:space="preserve">            Head</t>
  </si>
  <si>
    <t>Over Al  Pregnancy - See sheet 1.</t>
  </si>
  <si>
    <t>Early Calving Added Income</t>
  </si>
  <si>
    <t>Total Gross Income</t>
  </si>
  <si>
    <t>Sexed Semen Vs. Natural Service</t>
  </si>
  <si>
    <t>% of Gross Income</t>
  </si>
  <si>
    <t>Sexed Semen Use With Clean Up Bulls</t>
  </si>
  <si>
    <t xml:space="preserve">  Sexed Semen Calves</t>
  </si>
  <si>
    <t>Production by Sex and Gross Income</t>
  </si>
  <si>
    <t xml:space="preserve">    Steers - Hd.</t>
  </si>
  <si>
    <t xml:space="preserve">  Heifers - Hd.</t>
  </si>
  <si>
    <t>Sexed Semen AI Breeding System Total Cost</t>
  </si>
  <si>
    <t xml:space="preserve"> Sexed Semen Cost per Straw </t>
  </si>
  <si>
    <t xml:space="preserve"> Head Difference</t>
  </si>
  <si>
    <t>Pregnancy as a  Percent of Exposed Females</t>
  </si>
  <si>
    <t>Weaning Percent Based on Exposed Females</t>
  </si>
  <si>
    <t xml:space="preserve">  Natural Service Calves </t>
  </si>
  <si>
    <t>Overall pregnancy</t>
  </si>
  <si>
    <t>Sexed Semen Use - Calves</t>
  </si>
  <si>
    <t>Pregnancy &amp; calving loss adjusted.</t>
  </si>
  <si>
    <t xml:space="preserve">  Price of Steer Weaned Calves</t>
  </si>
  <si>
    <t xml:space="preserve">  Price of Heifers Weaned Calves</t>
  </si>
  <si>
    <t>Weight and Market Prices</t>
  </si>
  <si>
    <t xml:space="preserve">Using to MALE Semen for High Growth Rate, ADG &amp; Marbling </t>
  </si>
  <si>
    <t xml:space="preserve">          Days</t>
  </si>
  <si>
    <t>Expect more calving issues with natural service.</t>
  </si>
  <si>
    <t>% of Breeding Cost</t>
  </si>
  <si>
    <t xml:space="preserve">      Semen Cost</t>
  </si>
  <si>
    <t>Total Semen Cost as Percent of Total Breeding System Cost</t>
  </si>
  <si>
    <t xml:space="preserve">Total Added Income From Sexed Semen </t>
  </si>
  <si>
    <t>Added Income Above Added Cost Per Exposed Female</t>
  </si>
  <si>
    <t>Gross Sales and Added Income</t>
  </si>
  <si>
    <t xml:space="preserve"> Sexed Semen Bred Compared to Natural Service  - One Timed Breeding with AI</t>
  </si>
  <si>
    <t>Net Income</t>
  </si>
  <si>
    <t xml:space="preserve">Other Added Income </t>
  </si>
  <si>
    <t>Expected Market Income</t>
  </si>
  <si>
    <t>Natural Service Income</t>
  </si>
  <si>
    <t>Average Calf Value $/Head &amp; Total Income</t>
  </si>
  <si>
    <t>Sexed Semen Added Calf Income</t>
  </si>
  <si>
    <t>Overall  Weight and Weaning %, Total Income</t>
  </si>
  <si>
    <t>Added Income Above Added Cost</t>
  </si>
  <si>
    <t xml:space="preserve">        Total</t>
  </si>
  <si>
    <t xml:space="preserve">            Version</t>
  </si>
  <si>
    <t>There are 4 numbered sheets where data is entered. The following is a guide to follow.</t>
  </si>
  <si>
    <r>
      <t xml:space="preserve">This sheet can be used for "what if analysis" by changing numbers in the </t>
    </r>
    <r>
      <rPr>
        <sz val="12"/>
        <color rgb="FF0000FF"/>
        <rFont val="Arial"/>
        <family val="2"/>
      </rPr>
      <t>blue</t>
    </r>
    <r>
      <rPr>
        <sz val="12"/>
        <rFont val="Arial"/>
        <family val="2"/>
      </rPr>
      <t xml:space="preserve"> cells. </t>
    </r>
  </si>
  <si>
    <t xml:space="preserve">The premium price for steers versus heifers produced is critical is deterring the advantage  </t>
  </si>
  <si>
    <t>Then go back to the first step and go through each step and check your data. Check</t>
  </si>
  <si>
    <r>
      <t xml:space="preserve">The number of exposed females and key data are entered </t>
    </r>
    <r>
      <rPr>
        <b/>
        <sz val="12"/>
        <rFont val="Arial"/>
        <family val="2"/>
      </rPr>
      <t>in Sheet 1 Advantage Summary.</t>
    </r>
  </si>
  <si>
    <r>
      <t>of sexed semen so be sure and do</t>
    </r>
    <r>
      <rPr>
        <b/>
        <sz val="12"/>
        <color indexed="10"/>
        <rFont val="Arial"/>
        <family val="2"/>
      </rPr>
      <t xml:space="preserve"> "what if" </t>
    </r>
    <r>
      <rPr>
        <b/>
        <sz val="12"/>
        <rFont val="Arial"/>
        <family val="2"/>
      </rPr>
      <t>analysis of steers price premium over heifers.</t>
    </r>
  </si>
  <si>
    <t>What is the economic advantage of using sexed semen over natural service?</t>
  </si>
  <si>
    <t>Advantage of Sexed Semen - Key Data and Results Summary</t>
  </si>
  <si>
    <t>See sheet 3 for title change.</t>
  </si>
  <si>
    <t xml:space="preserve"> Sexed Semen - Reproduction, Costs and Calculated Income Results Summary</t>
  </si>
  <si>
    <t>There is an example in the spreadsheet so modify the example to fit your analysis situation.</t>
  </si>
  <si>
    <t>for key data and results calculated.  Enter key data that describes your example to evaluate.</t>
  </si>
  <si>
    <t>The market that is expected to be used is a good source cattle price data. Also see user manual.</t>
  </si>
  <si>
    <t>Notes:</t>
  </si>
  <si>
    <t xml:space="preserve">The purpose of this sheet is to give a step by step guide for data entry to insure proper use. </t>
  </si>
  <si>
    <r>
      <t xml:space="preserve">Data can be entered in any order but it is advisable to start with </t>
    </r>
    <r>
      <rPr>
        <b/>
        <sz val="12"/>
        <rFont val="Arial"/>
        <family val="2"/>
      </rPr>
      <t xml:space="preserve">Sheet 1 Advantage Summary </t>
    </r>
  </si>
  <si>
    <r>
      <t>All variables in</t>
    </r>
    <r>
      <rPr>
        <b/>
        <sz val="12"/>
        <color indexed="62"/>
        <rFont val="Arial"/>
        <family val="2"/>
      </rPr>
      <t xml:space="preserve"> blue</t>
    </r>
    <r>
      <rPr>
        <sz val="12"/>
        <color indexed="62"/>
        <rFont val="Arial"/>
        <family val="2"/>
      </rPr>
      <t xml:space="preserve"> can be changed by entering your values. </t>
    </r>
    <r>
      <rPr>
        <sz val="12"/>
        <rFont val="Arial"/>
        <family val="2"/>
      </rPr>
      <t xml:space="preserve">All </t>
    </r>
    <r>
      <rPr>
        <b/>
        <sz val="12"/>
        <rFont val="Arial"/>
        <family val="2"/>
      </rPr>
      <t>other cells are protected</t>
    </r>
    <r>
      <rPr>
        <sz val="12"/>
        <rFont val="Arial"/>
        <family val="2"/>
      </rPr>
      <t>.</t>
    </r>
  </si>
  <si>
    <r>
      <t xml:space="preserve">The description on the  production activity and breeding protocol is entered in </t>
    </r>
    <r>
      <rPr>
        <b/>
        <sz val="12"/>
        <rFont val="Arial"/>
        <family val="2"/>
      </rPr>
      <t>Sheet 2.</t>
    </r>
  </si>
  <si>
    <t>The description and associated cost of breeding systems is entered in Sheets 3 and 4.</t>
  </si>
  <si>
    <r>
      <t xml:space="preserve">The values used for costs should reflect the description of the system entered in </t>
    </r>
    <r>
      <rPr>
        <b/>
        <sz val="12"/>
        <rFont val="Arial"/>
        <family val="2"/>
      </rPr>
      <t xml:space="preserve">Sheet 1 </t>
    </r>
    <r>
      <rPr>
        <sz val="12"/>
        <rFont val="Arial"/>
        <family val="2"/>
      </rPr>
      <t>and 2.</t>
    </r>
  </si>
  <si>
    <t>Sheet 4 has the data and calculations for the natural service and cleanup bull for AI.</t>
  </si>
  <si>
    <t>The spreadsheet calculated the number of females exposed to natural service and is based</t>
  </si>
  <si>
    <r>
      <t xml:space="preserve">Sheet 5  </t>
    </r>
    <r>
      <rPr>
        <sz val="12"/>
        <rFont val="Arial"/>
        <family val="2"/>
      </rPr>
      <t>has a number of graphs of key comparable results of sexed semen versus natural service.</t>
    </r>
  </si>
  <si>
    <r>
      <t>Use Sheet 1</t>
    </r>
    <r>
      <rPr>
        <sz val="12"/>
        <rFont val="Arial"/>
        <family val="2"/>
      </rPr>
      <t xml:space="preserve"> the Summary or 2. to make changes. Remember all cells in </t>
    </r>
    <r>
      <rPr>
        <b/>
        <sz val="12"/>
        <color indexed="30"/>
        <rFont val="Arial"/>
        <family val="2"/>
      </rPr>
      <t>blue</t>
    </r>
    <r>
      <rPr>
        <sz val="12"/>
        <rFont val="Arial"/>
        <family val="2"/>
      </rPr>
      <t xml:space="preserve"> are variables.</t>
    </r>
  </si>
  <si>
    <t>weaned calf weights and price value for steers and heifers in the chosen market.</t>
  </si>
  <si>
    <t xml:space="preserve">"Sexed Semen AI Advantage  Steers Versus Heifers" </t>
  </si>
  <si>
    <t>For further information please read the article that accompanies this decision aid titled</t>
  </si>
  <si>
    <t>Sexed semen AI and cleanup bull sired calves see sheet 1.</t>
  </si>
  <si>
    <t>AI and clean up bull calves</t>
  </si>
  <si>
    <t>Production and Gross Income</t>
  </si>
  <si>
    <t>Sexed semen calves.</t>
  </si>
  <si>
    <t>Sexed Semen Cost per Straw as a Percent of Average Calf Value</t>
  </si>
  <si>
    <t>Average Calf Value</t>
  </si>
  <si>
    <t>Average calf value</t>
  </si>
  <si>
    <t>Use yearling and two year old cleanup bulls.</t>
  </si>
  <si>
    <t xml:space="preserve">Date of Evaluation </t>
  </si>
  <si>
    <t>Market</t>
  </si>
  <si>
    <t>In Texas</t>
  </si>
  <si>
    <t>Cleanup Bulls</t>
  </si>
  <si>
    <t>Annual Herd Bull Cost Calculator - Natural Service or Cleanup Bull</t>
  </si>
  <si>
    <t>Death Loss (% of Purchase cost)</t>
  </si>
  <si>
    <t>Notes - TX example - used CattleFax™ Price data.</t>
  </si>
  <si>
    <t>For AI  and Cleanup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</si>
</sst>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&quot;$&quot;#,##0.00"/>
    <numFmt numFmtId="166" formatCode="[$$-409]#,##0"/>
    <numFmt numFmtId="167" formatCode="&quot;$&quot;#,##0"/>
    <numFmt numFmtId="168" formatCode="[$$-409]#,##0.00"/>
    <numFmt numFmtId="169" formatCode="[$$-409]#,##0.00_);[Red]\([$$-409]#,##0.00\)"/>
    <numFmt numFmtId="170" formatCode="[$$-409]#,##0_);[Red]\([$$-409]#,##0\)"/>
    <numFmt numFmtId="171" formatCode="&quot;$&quot;#,##0.00;[Red]&quot;$&quot;#,##0.00"/>
    <numFmt numFmtId="172" formatCode="0.0%"/>
    <numFmt numFmtId="173" formatCode="mmmm\ d\,\ yyyy"/>
    <numFmt numFmtId="174" formatCode="0.0_);[Red]\(0.0\)"/>
    <numFmt numFmtId="175" formatCode="_(* #,##0_);_(* \(#,##0\);_(* &quot;-&quot;??_);_(@_)"/>
    <numFmt numFmtId="176" formatCode="0_)"/>
    <numFmt numFmtId="177" formatCode="[$$-4809]#,##0_);[Red]\([$$-4809]#,##0\)"/>
  </numFmts>
  <fonts count="41" x14ac:knownFonts="1">
    <font>
      <sz val="10"/>
      <name val="Arial"/>
    </font>
    <font>
      <sz val="10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39"/>
      <name val="Arial"/>
      <family val="2"/>
    </font>
    <font>
      <sz val="12"/>
      <color indexed="48"/>
      <name val="Arial"/>
      <family val="2"/>
    </font>
    <font>
      <sz val="12"/>
      <color indexed="30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10"/>
      <color indexed="12"/>
      <name val="Arial"/>
      <family val="2"/>
    </font>
    <font>
      <sz val="12"/>
      <color rgb="FF0000FF"/>
      <name val="Arial"/>
      <family val="2"/>
    </font>
    <font>
      <sz val="11"/>
      <color indexed="39"/>
      <name val="Arial"/>
      <family val="2"/>
    </font>
    <font>
      <b/>
      <sz val="12"/>
      <color rgb="FF3333FF"/>
      <name val="Arial"/>
      <family val="2"/>
    </font>
    <font>
      <sz val="11"/>
      <color rgb="FF3333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63">
    <xf numFmtId="0" fontId="0" fillId="0" borderId="0" xfId="0"/>
    <xf numFmtId="165" fontId="2" fillId="0" borderId="0" xfId="0" applyNumberFormat="1" applyFont="1" applyProtection="1">
      <protection locked="0"/>
    </xf>
    <xf numFmtId="166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5" fillId="0" borderId="0" xfId="0" applyFont="1"/>
    <xf numFmtId="169" fontId="0" fillId="0" borderId="0" xfId="0" applyNumberFormat="1"/>
    <xf numFmtId="0" fontId="4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0" fontId="7" fillId="0" borderId="0" xfId="0" applyFont="1"/>
    <xf numFmtId="0" fontId="12" fillId="0" borderId="0" xfId="0" applyFont="1"/>
    <xf numFmtId="0" fontId="13" fillId="0" borderId="0" xfId="0" applyFont="1" applyAlignment="1" applyProtection="1">
      <alignment horizontal="left"/>
      <protection locked="0"/>
    </xf>
    <xf numFmtId="40" fontId="4" fillId="0" borderId="0" xfId="0" applyNumberFormat="1" applyFont="1"/>
    <xf numFmtId="6" fontId="4" fillId="0" borderId="0" xfId="0" applyNumberFormat="1" applyFont="1"/>
    <xf numFmtId="1" fontId="12" fillId="0" borderId="0" xfId="0" applyNumberFormat="1" applyFont="1"/>
    <xf numFmtId="1" fontId="7" fillId="0" borderId="0" xfId="0" applyNumberFormat="1" applyFont="1"/>
    <xf numFmtId="0" fontId="13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Alignment="1">
      <alignment horizontal="center"/>
    </xf>
    <xf numFmtId="9" fontId="7" fillId="0" borderId="0" xfId="3" applyFont="1"/>
    <xf numFmtId="0" fontId="11" fillId="0" borderId="0" xfId="0" applyFont="1"/>
    <xf numFmtId="172" fontId="4" fillId="0" borderId="0" xfId="3" applyNumberFormat="1" applyFont="1"/>
    <xf numFmtId="0" fontId="3" fillId="0" borderId="0" xfId="0" applyFont="1"/>
    <xf numFmtId="176" fontId="4" fillId="0" borderId="0" xfId="0" applyNumberFormat="1" applyFont="1"/>
    <xf numFmtId="176" fontId="11" fillId="0" borderId="0" xfId="0" applyNumberFormat="1" applyFont="1"/>
    <xf numFmtId="9" fontId="4" fillId="0" borderId="0" xfId="3" applyFont="1"/>
    <xf numFmtId="38" fontId="7" fillId="0" borderId="0" xfId="3" applyNumberFormat="1" applyFont="1"/>
    <xf numFmtId="38" fontId="7" fillId="0" borderId="0" xfId="0" applyNumberFormat="1" applyFont="1"/>
    <xf numFmtId="9" fontId="11" fillId="0" borderId="0" xfId="3" applyFont="1"/>
    <xf numFmtId="0" fontId="17" fillId="0" borderId="0" xfId="0" quotePrefix="1" applyFont="1"/>
    <xf numFmtId="0" fontId="11" fillId="0" borderId="0" xfId="0" applyFont="1" applyAlignment="1">
      <alignment horizontal="fill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72" fontId="7" fillId="0" borderId="0" xfId="3" applyNumberFormat="1" applyFont="1"/>
    <xf numFmtId="9" fontId="4" fillId="0" borderId="0" xfId="0" applyNumberFormat="1" applyFont="1"/>
    <xf numFmtId="5" fontId="7" fillId="0" borderId="0" xfId="0" applyNumberFormat="1" applyFont="1"/>
    <xf numFmtId="1" fontId="4" fillId="0" borderId="0" xfId="0" applyNumberFormat="1" applyFont="1"/>
    <xf numFmtId="0" fontId="19" fillId="0" borderId="0" xfId="0" applyFont="1" applyProtection="1">
      <protection locked="0"/>
    </xf>
    <xf numFmtId="165" fontId="19" fillId="0" borderId="0" xfId="0" applyNumberFormat="1" applyFont="1" applyProtection="1">
      <protection locked="0"/>
    </xf>
    <xf numFmtId="0" fontId="11" fillId="0" borderId="0" xfId="0" applyFont="1" applyAlignment="1">
      <alignment horizontal="center"/>
    </xf>
    <xf numFmtId="1" fontId="11" fillId="0" borderId="0" xfId="0" applyNumberFormat="1" applyFont="1"/>
    <xf numFmtId="166" fontId="11" fillId="0" borderId="0" xfId="0" applyNumberFormat="1" applyFont="1" applyProtection="1">
      <protection locked="0"/>
    </xf>
    <xf numFmtId="3" fontId="11" fillId="0" borderId="0" xfId="0" applyNumberFormat="1" applyFont="1"/>
    <xf numFmtId="165" fontId="19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>
      <alignment horizontal="center"/>
    </xf>
    <xf numFmtId="166" fontId="1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/>
    </xf>
    <xf numFmtId="169" fontId="11" fillId="0" borderId="0" xfId="0" applyNumberFormat="1" applyFont="1"/>
    <xf numFmtId="172" fontId="11" fillId="0" borderId="0" xfId="3" applyNumberFormat="1" applyFont="1" applyProtection="1">
      <protection locked="0"/>
    </xf>
    <xf numFmtId="169" fontId="19" fillId="0" borderId="0" xfId="0" applyNumberFormat="1" applyFont="1"/>
    <xf numFmtId="1" fontId="19" fillId="0" borderId="0" xfId="0" applyNumberFormat="1" applyFont="1" applyProtection="1">
      <protection locked="0"/>
    </xf>
    <xf numFmtId="166" fontId="11" fillId="0" borderId="0" xfId="0" applyNumberFormat="1" applyFont="1"/>
    <xf numFmtId="0" fontId="11" fillId="0" borderId="0" xfId="0" applyFont="1" applyAlignment="1">
      <alignment horizontal="left"/>
    </xf>
    <xf numFmtId="164" fontId="11" fillId="0" borderId="0" xfId="0" applyNumberFormat="1" applyFont="1"/>
    <xf numFmtId="167" fontId="11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" fontId="4" fillId="0" borderId="0" xfId="3" applyNumberFormat="1" applyFont="1"/>
    <xf numFmtId="168" fontId="11" fillId="0" borderId="0" xfId="0" applyNumberFormat="1" applyFont="1"/>
    <xf numFmtId="8" fontId="4" fillId="0" borderId="0" xfId="0" applyNumberFormat="1" applyFont="1"/>
    <xf numFmtId="0" fontId="12" fillId="0" borderId="0" xfId="0" applyFont="1" applyAlignment="1">
      <alignment horizontal="center" wrapText="1"/>
    </xf>
    <xf numFmtId="165" fontId="20" fillId="0" borderId="0" xfId="0" applyNumberFormat="1" applyFont="1"/>
    <xf numFmtId="165" fontId="7" fillId="0" borderId="0" xfId="0" applyNumberFormat="1" applyFont="1"/>
    <xf numFmtId="167" fontId="7" fillId="0" borderId="0" xfId="0" applyNumberFormat="1" applyFont="1"/>
    <xf numFmtId="6" fontId="7" fillId="0" borderId="0" xfId="0" applyNumberFormat="1" applyFont="1"/>
    <xf numFmtId="174" fontId="15" fillId="0" borderId="0" xfId="3" applyNumberFormat="1" applyFont="1" applyAlignment="1" applyProtection="1">
      <alignment horizontal="right"/>
      <protection locked="0"/>
    </xf>
    <xf numFmtId="0" fontId="21" fillId="0" borderId="0" xfId="0" applyFont="1"/>
    <xf numFmtId="167" fontId="12" fillId="0" borderId="0" xfId="0" applyNumberFormat="1" applyFont="1"/>
    <xf numFmtId="165" fontId="12" fillId="0" borderId="0" xfId="0" applyNumberFormat="1" applyFont="1"/>
    <xf numFmtId="167" fontId="4" fillId="0" borderId="0" xfId="0" applyNumberFormat="1" applyFont="1"/>
    <xf numFmtId="165" fontId="22" fillId="0" borderId="0" xfId="0" applyNumberFormat="1" applyFont="1"/>
    <xf numFmtId="165" fontId="4" fillId="0" borderId="0" xfId="0" applyNumberFormat="1" applyFont="1"/>
    <xf numFmtId="6" fontId="16" fillId="0" borderId="1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8" fontId="20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174" fontId="15" fillId="0" borderId="1" xfId="3" applyNumberFormat="1" applyFont="1" applyBorder="1" applyAlignment="1" applyProtection="1">
      <alignment horizontal="right"/>
      <protection locked="0"/>
    </xf>
    <xf numFmtId="167" fontId="15" fillId="0" borderId="1" xfId="0" applyNumberFormat="1" applyFont="1" applyBorder="1" applyProtection="1">
      <protection locked="0"/>
    </xf>
    <xf numFmtId="8" fontId="7" fillId="0" borderId="0" xfId="0" applyNumberFormat="1" applyFont="1"/>
    <xf numFmtId="9" fontId="7" fillId="0" borderId="0" xfId="0" applyNumberFormat="1" applyFont="1"/>
    <xf numFmtId="0" fontId="7" fillId="0" borderId="0" xfId="0" applyFont="1" applyProtection="1">
      <protection locked="0"/>
    </xf>
    <xf numFmtId="3" fontId="4" fillId="0" borderId="0" xfId="0" applyNumberFormat="1" applyFont="1"/>
    <xf numFmtId="3" fontId="7" fillId="0" borderId="0" xfId="0" applyNumberFormat="1" applyFont="1"/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/>
    <xf numFmtId="1" fontId="24" fillId="0" borderId="0" xfId="0" applyNumberFormat="1" applyFont="1"/>
    <xf numFmtId="171" fontId="4" fillId="0" borderId="0" xfId="0" applyNumberFormat="1" applyFont="1" applyAlignment="1">
      <alignment horizontal="center"/>
    </xf>
    <xf numFmtId="175" fontId="7" fillId="0" borderId="0" xfId="1" applyNumberFormat="1" applyFont="1"/>
    <xf numFmtId="175" fontId="12" fillId="0" borderId="0" xfId="1" applyNumberFormat="1" applyFont="1"/>
    <xf numFmtId="175" fontId="11" fillId="0" borderId="0" xfId="1" applyNumberFormat="1" applyFont="1"/>
    <xf numFmtId="175" fontId="4" fillId="0" borderId="0" xfId="1" applyNumberFormat="1" applyFont="1"/>
    <xf numFmtId="175" fontId="19" fillId="0" borderId="0" xfId="1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0" fontId="24" fillId="0" borderId="0" xfId="0" applyFont="1"/>
    <xf numFmtId="43" fontId="7" fillId="0" borderId="0" xfId="0" applyNumberFormat="1" applyFont="1"/>
    <xf numFmtId="0" fontId="5" fillId="0" borderId="0" xfId="0" applyFont="1" applyAlignment="1">
      <alignment horizontal="center"/>
    </xf>
    <xf numFmtId="0" fontId="25" fillId="0" borderId="0" xfId="0" applyFont="1"/>
    <xf numFmtId="167" fontId="15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9" fontId="24" fillId="0" borderId="0" xfId="3" applyFont="1"/>
    <xf numFmtId="3" fontId="14" fillId="0" borderId="0" xfId="0" applyNumberFormat="1" applyFont="1" applyProtection="1">
      <protection locked="0"/>
    </xf>
    <xf numFmtId="3" fontId="22" fillId="0" borderId="1" xfId="0" applyNumberFormat="1" applyFont="1" applyBorder="1" applyProtection="1">
      <protection locked="0"/>
    </xf>
    <xf numFmtId="171" fontId="7" fillId="0" borderId="0" xfId="0" applyNumberFormat="1" applyFont="1"/>
    <xf numFmtId="9" fontId="0" fillId="0" borderId="0" xfId="0" applyNumberFormat="1"/>
    <xf numFmtId="3" fontId="13" fillId="0" borderId="1" xfId="0" applyNumberFormat="1" applyFont="1" applyBorder="1" applyProtection="1">
      <protection locked="0"/>
    </xf>
    <xf numFmtId="1" fontId="13" fillId="0" borderId="1" xfId="3" applyNumberFormat="1" applyFont="1" applyBorder="1" applyProtection="1">
      <protection locked="0"/>
    </xf>
    <xf numFmtId="164" fontId="7" fillId="0" borderId="0" xfId="0" applyNumberFormat="1" applyFont="1"/>
    <xf numFmtId="0" fontId="31" fillId="0" borderId="0" xfId="0" applyFont="1"/>
    <xf numFmtId="0" fontId="4" fillId="0" borderId="5" xfId="0" applyFont="1" applyBorder="1"/>
    <xf numFmtId="0" fontId="7" fillId="0" borderId="6" xfId="0" applyFont="1" applyBorder="1"/>
    <xf numFmtId="0" fontId="0" fillId="0" borderId="6" xfId="0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4" fillId="0" borderId="8" xfId="0" applyFont="1" applyBorder="1"/>
    <xf numFmtId="0" fontId="0" fillId="0" borderId="8" xfId="0" applyBorder="1"/>
    <xf numFmtId="0" fontId="4" fillId="2" borderId="10" xfId="0" applyFont="1" applyFill="1" applyBorder="1"/>
    <xf numFmtId="167" fontId="4" fillId="2" borderId="11" xfId="0" applyNumberFormat="1" applyFont="1" applyFill="1" applyBorder="1"/>
    <xf numFmtId="0" fontId="4" fillId="2" borderId="0" xfId="0" applyFont="1" applyFill="1"/>
    <xf numFmtId="165" fontId="4" fillId="2" borderId="0" xfId="0" applyNumberFormat="1" applyFont="1" applyFill="1"/>
    <xf numFmtId="0" fontId="4" fillId="0" borderId="9" xfId="0" applyFont="1" applyBorder="1"/>
    <xf numFmtId="0" fontId="24" fillId="0" borderId="0" xfId="0" applyFont="1" applyAlignment="1">
      <alignment horizontal="center"/>
    </xf>
    <xf numFmtId="177" fontId="4" fillId="0" borderId="9" xfId="0" applyNumberFormat="1" applyFont="1" applyBorder="1"/>
    <xf numFmtId="177" fontId="7" fillId="0" borderId="9" xfId="0" applyNumberFormat="1" applyFont="1" applyBorder="1"/>
    <xf numFmtId="177" fontId="7" fillId="0" borderId="9" xfId="0" applyNumberFormat="1" applyFont="1" applyBorder="1" applyAlignment="1">
      <alignment horizontal="center"/>
    </xf>
    <xf numFmtId="175" fontId="24" fillId="0" borderId="0" xfId="0" applyNumberFormat="1" applyFont="1"/>
    <xf numFmtId="0" fontId="4" fillId="3" borderId="5" xfId="0" applyFont="1" applyFill="1" applyBorder="1"/>
    <xf numFmtId="0" fontId="7" fillId="0" borderId="0" xfId="0" applyFont="1" applyAlignment="1">
      <alignment horizontal="right"/>
    </xf>
    <xf numFmtId="1" fontId="12" fillId="2" borderId="11" xfId="0" applyNumberFormat="1" applyFont="1" applyFill="1" applyBorder="1"/>
    <xf numFmtId="0" fontId="0" fillId="0" borderId="5" xfId="0" applyBorder="1"/>
    <xf numFmtId="0" fontId="4" fillId="2" borderId="8" xfId="0" applyFont="1" applyFill="1" applyBorder="1"/>
    <xf numFmtId="9" fontId="7" fillId="0" borderId="9" xfId="0" applyNumberFormat="1" applyFont="1" applyBorder="1"/>
    <xf numFmtId="0" fontId="24" fillId="0" borderId="0" xfId="0" applyFont="1" applyAlignment="1">
      <alignment horizontal="right"/>
    </xf>
    <xf numFmtId="0" fontId="24" fillId="0" borderId="9" xfId="0" applyFont="1" applyBorder="1"/>
    <xf numFmtId="9" fontId="4" fillId="2" borderId="11" xfId="0" applyNumberFormat="1" applyFont="1" applyFill="1" applyBorder="1" applyAlignment="1">
      <alignment horizontal="right"/>
    </xf>
    <xf numFmtId="0" fontId="4" fillId="3" borderId="6" xfId="0" applyFont="1" applyFill="1" applyBorder="1"/>
    <xf numFmtId="0" fontId="0" fillId="3" borderId="6" xfId="0" applyFill="1" applyBorder="1"/>
    <xf numFmtId="6" fontId="4" fillId="3" borderId="7" xfId="0" applyNumberFormat="1" applyFont="1" applyFill="1" applyBorder="1"/>
    <xf numFmtId="0" fontId="0" fillId="2" borderId="0" xfId="0" applyFill="1"/>
    <xf numFmtId="6" fontId="4" fillId="2" borderId="9" xfId="0" applyNumberFormat="1" applyFont="1" applyFill="1" applyBorder="1"/>
    <xf numFmtId="8" fontId="4" fillId="2" borderId="0" xfId="0" applyNumberFormat="1" applyFont="1" applyFill="1"/>
    <xf numFmtId="8" fontId="4" fillId="2" borderId="9" xfId="0" applyNumberFormat="1" applyFont="1" applyFill="1" applyBorder="1"/>
    <xf numFmtId="0" fontId="0" fillId="2" borderId="11" xfId="0" applyFill="1" applyBorder="1"/>
    <xf numFmtId="9" fontId="4" fillId="2" borderId="12" xfId="3" applyFont="1" applyFill="1" applyBorder="1"/>
    <xf numFmtId="0" fontId="4" fillId="0" borderId="9" xfId="0" applyFont="1" applyBorder="1" applyAlignment="1">
      <alignment horizontal="center"/>
    </xf>
    <xf numFmtId="0" fontId="7" fillId="2" borderId="11" xfId="0" applyFont="1" applyFill="1" applyBorder="1"/>
    <xf numFmtId="165" fontId="4" fillId="2" borderId="11" xfId="0" applyNumberFormat="1" applyFont="1" applyFill="1" applyBorder="1"/>
    <xf numFmtId="167" fontId="4" fillId="2" borderId="0" xfId="0" applyNumberFormat="1" applyFont="1" applyFill="1"/>
    <xf numFmtId="0" fontId="13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3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75" fontId="24" fillId="0" borderId="0" xfId="1" applyNumberFormat="1" applyFont="1"/>
    <xf numFmtId="6" fontId="4" fillId="0" borderId="9" xfId="0" applyNumberFormat="1" applyFont="1" applyBorder="1"/>
    <xf numFmtId="1" fontId="4" fillId="2" borderId="11" xfId="0" applyNumberFormat="1" applyFont="1" applyFill="1" applyBorder="1"/>
    <xf numFmtId="0" fontId="34" fillId="2" borderId="10" xfId="0" applyFont="1" applyFill="1" applyBorder="1"/>
    <xf numFmtId="175" fontId="24" fillId="2" borderId="11" xfId="1" applyNumberFormat="1" applyFont="1" applyFill="1" applyBorder="1"/>
    <xf numFmtId="9" fontId="4" fillId="2" borderId="11" xfId="0" applyNumberFormat="1" applyFont="1" applyFill="1" applyBorder="1"/>
    <xf numFmtId="6" fontId="4" fillId="2" borderId="12" xfId="0" applyNumberFormat="1" applyFont="1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8" xfId="0" applyFont="1" applyBorder="1"/>
    <xf numFmtId="6" fontId="4" fillId="0" borderId="11" xfId="0" applyNumberFormat="1" applyFont="1" applyBorder="1"/>
    <xf numFmtId="0" fontId="13" fillId="0" borderId="0" xfId="0" applyFont="1"/>
    <xf numFmtId="0" fontId="7" fillId="0" borderId="6" xfId="0" applyFont="1" applyBorder="1" applyAlignment="1">
      <alignment horizontal="right"/>
    </xf>
    <xf numFmtId="9" fontId="4" fillId="2" borderId="0" xfId="0" applyNumberFormat="1" applyFont="1" applyFill="1" applyAlignment="1">
      <alignment horizontal="right"/>
    </xf>
    <xf numFmtId="167" fontId="4" fillId="2" borderId="9" xfId="0" applyNumberFormat="1" applyFont="1" applyFill="1" applyBorder="1"/>
    <xf numFmtId="6" fontId="15" fillId="0" borderId="11" xfId="0" applyNumberFormat="1" applyFont="1" applyBorder="1" applyProtection="1">
      <protection locked="0"/>
    </xf>
    <xf numFmtId="0" fontId="24" fillId="0" borderId="11" xfId="0" applyFont="1" applyBorder="1" applyAlignment="1">
      <alignment horizontal="center"/>
    </xf>
    <xf numFmtId="0" fontId="7" fillId="0" borderId="11" xfId="0" applyFont="1" applyBorder="1"/>
    <xf numFmtId="167" fontId="4" fillId="0" borderId="12" xfId="0" applyNumberFormat="1" applyFont="1" applyBorder="1"/>
    <xf numFmtId="167" fontId="7" fillId="0" borderId="9" xfId="0" applyNumberFormat="1" applyFont="1" applyBorder="1"/>
    <xf numFmtId="167" fontId="4" fillId="2" borderId="12" xfId="0" applyNumberFormat="1" applyFont="1" applyFill="1" applyBorder="1"/>
    <xf numFmtId="6" fontId="15" fillId="0" borderId="6" xfId="0" applyNumberFormat="1" applyFont="1" applyBorder="1" applyProtection="1">
      <protection locked="0"/>
    </xf>
    <xf numFmtId="0" fontId="24" fillId="0" borderId="6" xfId="0" applyFont="1" applyBorder="1" applyAlignment="1">
      <alignment horizontal="center"/>
    </xf>
    <xf numFmtId="0" fontId="4" fillId="0" borderId="7" xfId="0" applyFont="1" applyBorder="1"/>
    <xf numFmtId="0" fontId="15" fillId="0" borderId="0" xfId="0" applyFont="1" applyProtection="1">
      <protection locked="0"/>
    </xf>
    <xf numFmtId="10" fontId="7" fillId="0" borderId="0" xfId="3" applyNumberFormat="1" applyFont="1"/>
    <xf numFmtId="0" fontId="3" fillId="0" borderId="0" xfId="0" applyFont="1" applyAlignment="1">
      <alignment horizontal="center"/>
    </xf>
    <xf numFmtId="1" fontId="0" fillId="0" borderId="0" xfId="0" applyNumberFormat="1"/>
    <xf numFmtId="1" fontId="0" fillId="0" borderId="0" xfId="3" applyNumberFormat="1" applyFont="1"/>
    <xf numFmtId="9" fontId="0" fillId="0" borderId="0" xfId="3" applyFont="1"/>
    <xf numFmtId="6" fontId="0" fillId="0" borderId="0" xfId="0" applyNumberFormat="1"/>
    <xf numFmtId="172" fontId="0" fillId="0" borderId="0" xfId="3" applyNumberFormat="1" applyFont="1"/>
    <xf numFmtId="10" fontId="0" fillId="0" borderId="0" xfId="3" applyNumberFormat="1" applyFont="1"/>
    <xf numFmtId="172" fontId="0" fillId="0" borderId="0" xfId="0" applyNumberFormat="1"/>
    <xf numFmtId="14" fontId="5" fillId="0" borderId="0" xfId="0" applyNumberFormat="1" applyFont="1"/>
    <xf numFmtId="0" fontId="36" fillId="0" borderId="0" xfId="2" applyFont="1" applyAlignment="1" applyProtection="1"/>
    <xf numFmtId="0" fontId="4" fillId="0" borderId="0" xfId="0" applyFont="1" applyAlignment="1">
      <alignment horizontal="center" wrapText="1"/>
    </xf>
    <xf numFmtId="0" fontId="10" fillId="0" borderId="0" xfId="2" applyAlignment="1" applyProtection="1"/>
    <xf numFmtId="6" fontId="37" fillId="0" borderId="1" xfId="0" applyNumberFormat="1" applyFont="1" applyBorder="1" applyProtection="1"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" fillId="0" borderId="0" xfId="0" applyFont="1"/>
    <xf numFmtId="165" fontId="4" fillId="0" borderId="0" xfId="0" applyNumberFormat="1" applyFont="1" applyProtection="1">
      <protection locked="0"/>
    </xf>
    <xf numFmtId="3" fontId="7" fillId="0" borderId="0" xfId="0" applyNumberFormat="1" applyFont="1" applyAlignment="1">
      <alignment horizontal="center"/>
    </xf>
    <xf numFmtId="165" fontId="7" fillId="0" borderId="0" xfId="0" applyNumberFormat="1" applyFont="1" applyProtection="1"/>
    <xf numFmtId="0" fontId="7" fillId="0" borderId="0" xfId="0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Border="1" applyProtection="1"/>
    <xf numFmtId="6" fontId="7" fillId="0" borderId="0" xfId="0" applyNumberFormat="1" applyFont="1" applyBorder="1" applyProtection="1"/>
    <xf numFmtId="0" fontId="4" fillId="0" borderId="11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0" borderId="10" xfId="0" applyFont="1" applyBorder="1"/>
    <xf numFmtId="1" fontId="4" fillId="2" borderId="0" xfId="0" applyNumberFormat="1" applyFont="1" applyFill="1"/>
    <xf numFmtId="0" fontId="7" fillId="0" borderId="0" xfId="0" applyFont="1" applyBorder="1"/>
    <xf numFmtId="165" fontId="15" fillId="0" borderId="1" xfId="0" applyNumberFormat="1" applyFont="1" applyBorder="1" applyProtection="1">
      <protection locked="0"/>
    </xf>
    <xf numFmtId="165" fontId="4" fillId="0" borderId="0" xfId="0" applyNumberFormat="1" applyFont="1" applyBorder="1" applyProtection="1"/>
    <xf numFmtId="165" fontId="15" fillId="0" borderId="0" xfId="0" applyNumberFormat="1" applyFont="1" applyBorder="1" applyProtection="1">
      <protection locked="0"/>
    </xf>
    <xf numFmtId="165" fontId="15" fillId="4" borderId="0" xfId="0" applyNumberFormat="1" applyFont="1" applyFill="1" applyBorder="1" applyProtection="1">
      <protection locked="0"/>
    </xf>
    <xf numFmtId="0" fontId="7" fillId="4" borderId="0" xfId="0" applyFont="1" applyFill="1"/>
    <xf numFmtId="0" fontId="0" fillId="4" borderId="0" xfId="0" applyFill="1"/>
    <xf numFmtId="9" fontId="4" fillId="4" borderId="0" xfId="0" applyNumberFormat="1" applyFont="1" applyFill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34" fillId="0" borderId="0" xfId="0" applyFont="1" applyAlignment="1">
      <alignment horizontal="center"/>
    </xf>
    <xf numFmtId="38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Border="1"/>
    <xf numFmtId="8" fontId="7" fillId="0" borderId="0" xfId="0" applyNumberFormat="1" applyFont="1" applyBorder="1"/>
    <xf numFmtId="8" fontId="4" fillId="0" borderId="0" xfId="0" applyNumberFormat="1" applyFont="1" applyBorder="1"/>
    <xf numFmtId="0" fontId="4" fillId="4" borderId="0" xfId="0" applyFont="1" applyFill="1" applyBorder="1"/>
    <xf numFmtId="167" fontId="34" fillId="0" borderId="0" xfId="0" applyNumberFormat="1" applyFont="1"/>
    <xf numFmtId="165" fontId="7" fillId="4" borderId="0" xfId="0" applyNumberFormat="1" applyFont="1" applyFill="1"/>
    <xf numFmtId="172" fontId="4" fillId="4" borderId="0" xfId="3" applyNumberFormat="1" applyFont="1" applyFill="1"/>
    <xf numFmtId="165" fontId="4" fillId="4" borderId="0" xfId="0" applyNumberFormat="1" applyFont="1" applyFill="1"/>
    <xf numFmtId="165" fontId="15" fillId="0" borderId="0" xfId="0" applyNumberFormat="1" applyFont="1" applyFill="1" applyBorder="1" applyProtection="1">
      <protection locked="0"/>
    </xf>
    <xf numFmtId="1" fontId="4" fillId="0" borderId="0" xfId="0" applyNumberFormat="1" applyFont="1" applyBorder="1" applyProtection="1"/>
    <xf numFmtId="9" fontId="4" fillId="0" borderId="0" xfId="3" applyFont="1" applyAlignment="1">
      <alignment horizontal="right"/>
    </xf>
    <xf numFmtId="6" fontId="1" fillId="0" borderId="0" xfId="0" applyNumberFormat="1" applyFont="1"/>
    <xf numFmtId="0" fontId="4" fillId="3" borderId="0" xfId="0" applyFont="1" applyFill="1" applyBorder="1"/>
    <xf numFmtId="167" fontId="12" fillId="2" borderId="11" xfId="0" applyNumberFormat="1" applyFont="1" applyFill="1" applyBorder="1"/>
    <xf numFmtId="3" fontId="7" fillId="0" borderId="0" xfId="0" applyNumberFormat="1" applyFont="1" applyBorder="1" applyProtection="1"/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/>
    <xf numFmtId="164" fontId="15" fillId="0" borderId="0" xfId="0" applyNumberFormat="1" applyFont="1" applyProtection="1">
      <protection locked="0"/>
    </xf>
    <xf numFmtId="8" fontId="0" fillId="0" borderId="0" xfId="0" applyNumberForma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39" fillId="0" borderId="1" xfId="0" applyNumberFormat="1" applyFont="1" applyBorder="1" applyAlignment="1" applyProtection="1">
      <alignment horizontal="center"/>
      <protection locked="0"/>
    </xf>
    <xf numFmtId="0" fontId="40" fillId="0" borderId="1" xfId="0" applyFont="1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7" fillId="0" borderId="2" xfId="0" applyFont="1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  <xf numFmtId="0" fontId="38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3" xfId="0" applyFont="1" applyBorder="1" applyAlignment="1" applyProtection="1">
      <alignment horizontal="left"/>
      <protection locked="0"/>
    </xf>
    <xf numFmtId="0" fontId="37" fillId="0" borderId="2" xfId="0" applyFont="1" applyBorder="1" applyProtection="1">
      <protection locked="0"/>
    </xf>
    <xf numFmtId="0" fontId="37" fillId="0" borderId="3" xfId="0" applyFont="1" applyBorder="1" applyProtection="1">
      <protection locked="0"/>
    </xf>
    <xf numFmtId="0" fontId="37" fillId="0" borderId="4" xfId="0" applyFont="1" applyBorder="1" applyProtection="1">
      <protection locked="0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3333FF"/>
      <color rgb="FFCCFFCC"/>
      <color rgb="FF99FFCC"/>
      <color rgb="FFCCFF99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Sexed Semen Advantage per Female</a:t>
            </a:r>
          </a:p>
        </c:rich>
      </c:tx>
      <c:layout>
        <c:manualLayout>
          <c:xMode val="edge"/>
          <c:yMode val="edge"/>
          <c:x val="0.2746366988936509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2184732728411"/>
          <c:y val="0.26755255400634392"/>
          <c:w val="0.85726510442495396"/>
          <c:h val="0.59772379086523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Graphs'!$M$138:$M$140</c:f>
              <c:strCache>
                <c:ptCount val="3"/>
                <c:pt idx="0">
                  <c:v>Added Cost</c:v>
                </c:pt>
                <c:pt idx="1">
                  <c:v>Added Margin</c:v>
                </c:pt>
                <c:pt idx="2">
                  <c:v>Advantage</c:v>
                </c:pt>
              </c:strCache>
            </c:strRef>
          </c:cat>
          <c:val>
            <c:numRef>
              <c:f>'5. Graphs'!$N$138:$N$140</c:f>
              <c:numCache>
                <c:formatCode>"$"#,##0.00</c:formatCode>
                <c:ptCount val="3"/>
                <c:pt idx="0">
                  <c:v>41.122050000000002</c:v>
                </c:pt>
                <c:pt idx="1">
                  <c:v>68.084489638183811</c:v>
                </c:pt>
                <c:pt idx="2">
                  <c:v>26.96243963818381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F-460C-89F3-0BCCE8A023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7534984"/>
        <c:axId val="177536552"/>
      </c:barChart>
      <c:catAx>
        <c:axId val="17753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3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36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$/Female</a:t>
                </a:r>
              </a:p>
            </c:rich>
          </c:tx>
          <c:layout>
            <c:manualLayout>
              <c:xMode val="edge"/>
              <c:yMode val="edge"/>
              <c:x val="2.5848200936908202E-2"/>
              <c:y val="0.4336583169822219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349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Margin Over Breeding Cost</a:t>
            </a:r>
          </a:p>
        </c:rich>
      </c:tx>
      <c:layout>
        <c:manualLayout>
          <c:xMode val="edge"/>
          <c:yMode val="edge"/>
          <c:x val="0.3437993877138984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74235942285794"/>
          <c:y val="0.2979179546623813"/>
          <c:w val="0.79564627397103704"/>
          <c:h val="0.34166814380860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Graphs'!$M$95</c:f>
              <c:strCache>
                <c:ptCount val="1"/>
                <c:pt idx="0">
                  <c:v>Calf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Graphs'!$N$94:$P$94</c:f>
              <c:strCache>
                <c:ptCount val="3"/>
                <c:pt idx="0">
                  <c:v>Sexed</c:v>
                </c:pt>
                <c:pt idx="1">
                  <c:v>Natural</c:v>
                </c:pt>
                <c:pt idx="2">
                  <c:v>Difference</c:v>
                </c:pt>
              </c:strCache>
            </c:strRef>
          </c:cat>
          <c:val>
            <c:numRef>
              <c:f>'5. Graphs'!$N$95:$P$95</c:f>
              <c:numCache>
                <c:formatCode>"$"#,##0_);[Red]\("$"#,##0\)</c:formatCode>
                <c:ptCount val="3"/>
                <c:pt idx="0">
                  <c:v>75490.688963818364</c:v>
                </c:pt>
                <c:pt idx="1">
                  <c:v>68682.239999999991</c:v>
                </c:pt>
                <c:pt idx="2">
                  <c:v>6808.4489638183732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4-43B2-973D-1BAD74D6B38C}"/>
            </c:ext>
          </c:extLst>
        </c:ser>
        <c:ser>
          <c:idx val="1"/>
          <c:order val="1"/>
          <c:tx>
            <c:strRef>
              <c:f>'5. Graphs'!$M$96</c:f>
              <c:strCache>
                <c:ptCount val="1"/>
                <c:pt idx="0">
                  <c:v>Breeding Cost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Graphs'!$N$94:$P$94</c:f>
              <c:strCache>
                <c:ptCount val="3"/>
                <c:pt idx="0">
                  <c:v>Sexed</c:v>
                </c:pt>
                <c:pt idx="1">
                  <c:v>Natural</c:v>
                </c:pt>
                <c:pt idx="2">
                  <c:v>Difference</c:v>
                </c:pt>
              </c:strCache>
            </c:strRef>
          </c:cat>
          <c:val>
            <c:numRef>
              <c:f>'5. Graphs'!$N$96:$P$96</c:f>
              <c:numCache>
                <c:formatCode>"$"#,##0_);[Red]\("$"#,##0\)</c:formatCode>
                <c:ptCount val="3"/>
                <c:pt idx="0">
                  <c:v>12369.08</c:v>
                </c:pt>
                <c:pt idx="1">
                  <c:v>8256.875</c:v>
                </c:pt>
                <c:pt idx="2">
                  <c:v>4112.2049999999999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4-43B2-973D-1BAD74D6B38C}"/>
            </c:ext>
          </c:extLst>
        </c:ser>
        <c:ser>
          <c:idx val="2"/>
          <c:order val="2"/>
          <c:tx>
            <c:strRef>
              <c:f>'5. Graphs'!$M$97</c:f>
              <c:strCache>
                <c:ptCount val="1"/>
                <c:pt idx="0">
                  <c:v>Margin &gt; Breeding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Graphs'!$N$94:$P$94</c:f>
              <c:strCache>
                <c:ptCount val="3"/>
                <c:pt idx="0">
                  <c:v>Sexed</c:v>
                </c:pt>
                <c:pt idx="1">
                  <c:v>Natural</c:v>
                </c:pt>
                <c:pt idx="2">
                  <c:v>Difference</c:v>
                </c:pt>
              </c:strCache>
            </c:strRef>
          </c:cat>
          <c:val>
            <c:numRef>
              <c:f>'5. Graphs'!$N$97:$P$97</c:f>
              <c:numCache>
                <c:formatCode>"$"#,##0_);[Red]\("$"#,##0\)</c:formatCode>
                <c:ptCount val="3"/>
                <c:pt idx="0">
                  <c:v>63121.608963818362</c:v>
                </c:pt>
                <c:pt idx="1">
                  <c:v>60425.364999999991</c:v>
                </c:pt>
                <c:pt idx="2">
                  <c:v>2696.2439638183714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4-43B2-973D-1BAD74D6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37336"/>
        <c:axId val="177535376"/>
      </c:barChart>
      <c:catAx>
        <c:axId val="17753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35376"/>
        <c:crosses val="autoZero"/>
        <c:auto val="1"/>
        <c:lblAlgn val="ctr"/>
        <c:lblOffset val="100"/>
        <c:tickMarkSkip val="1"/>
        <c:noMultiLvlLbl val="0"/>
      </c:catAx>
      <c:valAx>
        <c:axId val="17753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37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Sexed Semen Calf Values by Gender $/Head</a:t>
            </a:r>
          </a:p>
        </c:rich>
      </c:tx>
      <c:layout>
        <c:manualLayout>
          <c:xMode val="edge"/>
          <c:yMode val="edge"/>
          <c:x val="0.33119004818931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309161278371"/>
          <c:y val="0.26226122010436143"/>
          <c:w val="0.83605158974856553"/>
          <c:h val="0.53305126037471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Graphs'!$N$77</c:f>
              <c:strCache>
                <c:ptCount val="1"/>
                <c:pt idx="0">
                  <c:v>  $/Head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'5. Graphs'!$M$78:$M$81</c15:sqref>
                  </c15:fullRef>
                </c:ext>
              </c:extLst>
              <c:f>'5. Graphs'!$M$78:$M$79</c:f>
              <c:strCache>
                <c:ptCount val="2"/>
                <c:pt idx="0">
                  <c:v>Steers</c:v>
                </c:pt>
                <c:pt idx="1">
                  <c:v>Heifer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 Graphs'!$N$78:$N$81</c15:sqref>
                  </c15:fullRef>
                </c:ext>
              </c:extLst>
              <c:f>'5. Graphs'!$N$78:$N$79</c:f>
              <c:numCache>
                <c:formatCode>"$"#,##0_);[Red]\("$"#,##0\)</c:formatCode>
                <c:ptCount val="2"/>
                <c:pt idx="0">
                  <c:v>901.80000000000007</c:v>
                </c:pt>
                <c:pt idx="1">
                  <c:v>724.2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1-4C81-BC64-69C180CF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99880"/>
        <c:axId val="244200272"/>
      </c:barChart>
      <c:catAx>
        <c:axId val="244199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4200272"/>
        <c:crosses val="autoZero"/>
        <c:auto val="1"/>
        <c:lblAlgn val="ctr"/>
        <c:lblOffset val="100"/>
        <c:noMultiLvlLbl val="0"/>
      </c:catAx>
      <c:valAx>
        <c:axId val="24420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$/Head</a:t>
                </a:r>
              </a:p>
            </c:rich>
          </c:tx>
          <c:layout>
            <c:manualLayout>
              <c:xMode val="edge"/>
              <c:yMode val="edge"/>
              <c:x val="2.5723472668810289E-2"/>
              <c:y val="0.42909090909090908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99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Breeding Systems Cost</a:t>
            </a:r>
          </a:p>
        </c:rich>
      </c:tx>
      <c:layout>
        <c:manualLayout>
          <c:xMode val="edge"/>
          <c:yMode val="edge"/>
          <c:x val="0.36523176229765536"/>
          <c:y val="3.7542662116040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6664313983764"/>
          <c:y val="0.27000098877315221"/>
          <c:w val="0.87819594278655044"/>
          <c:h val="0.49600181641290192"/>
        </c:manualLayout>
      </c:layout>
      <c:barChart>
        <c:barDir val="col"/>
        <c:grouping val="clustered"/>
        <c:varyColors val="0"/>
        <c:ser>
          <c:idx val="0"/>
          <c:order val="0"/>
          <c:tx>
            <c:v>AI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'5. Graphs'!$M$61:$M$64</c:f>
              <c:strCache>
                <c:ptCount val="4"/>
                <c:pt idx="0">
                  <c:v>Sexed AI</c:v>
                </c:pt>
                <c:pt idx="1">
                  <c:v>Cleanup Bulls</c:v>
                </c:pt>
                <c:pt idx="2">
                  <c:v>Total Cost $/Hd.</c:v>
                </c:pt>
                <c:pt idx="3">
                  <c:v>Semen Cost $/Straw</c:v>
                </c:pt>
              </c:strCache>
            </c:strRef>
          </c:cat>
          <c:val>
            <c:numRef>
              <c:f>'5. Graphs'!$N$61:$N$64</c:f>
              <c:numCache>
                <c:formatCode>"$"#,##0.00</c:formatCode>
                <c:ptCount val="4"/>
                <c:pt idx="0">
                  <c:v>86.7</c:v>
                </c:pt>
                <c:pt idx="1">
                  <c:v>36.990799999999993</c:v>
                </c:pt>
                <c:pt idx="2">
                  <c:v>123.6908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2-40FF-9604-398F66D05DAB}"/>
            </c:ext>
          </c:extLst>
        </c:ser>
        <c:ser>
          <c:idx val="1"/>
          <c:order val="1"/>
          <c:tx>
            <c:v>Natural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'5. Graphs'!$M$61:$M$64</c:f>
              <c:strCache>
                <c:ptCount val="4"/>
                <c:pt idx="0">
                  <c:v>Sexed AI</c:v>
                </c:pt>
                <c:pt idx="1">
                  <c:v>Cleanup Bulls</c:v>
                </c:pt>
                <c:pt idx="2">
                  <c:v>Total Cost $/Hd.</c:v>
                </c:pt>
                <c:pt idx="3">
                  <c:v>Semen Cost $/Straw</c:v>
                </c:pt>
              </c:strCache>
            </c:strRef>
          </c:cat>
          <c:val>
            <c:numRef>
              <c:f>'5. Graphs'!$O$61:$O$64</c:f>
              <c:numCache>
                <c:formatCode>"$"#,##0.00</c:formatCode>
                <c:ptCount val="4"/>
                <c:pt idx="2">
                  <c:v>82.568749999999994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2-40FF-9604-398F66D05D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44203016"/>
        <c:axId val="244203408"/>
      </c:barChart>
      <c:catAx>
        <c:axId val="244203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203408"/>
        <c:crosses val="autoZero"/>
        <c:auto val="1"/>
        <c:lblAlgn val="ctr"/>
        <c:lblOffset val="100"/>
        <c:tickMarkSkip val="1"/>
        <c:noMultiLvlLbl val="0"/>
      </c:catAx>
      <c:valAx>
        <c:axId val="244203408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244203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22" r="0.75000000000000022" t="1" header="0.5" footer="0.5"/>
    <c:pageSetup paperSize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Gender of Calves</a:t>
            </a:r>
          </a:p>
        </c:rich>
      </c:tx>
      <c:layout>
        <c:manualLayout>
          <c:xMode val="edge"/>
          <c:yMode val="edge"/>
          <c:x val="0.39936102236421728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2713553960116"/>
          <c:y val="0.27312826736997936"/>
          <c:w val="0.87553437076284935"/>
          <c:h val="0.4449347581349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Graphs'!$M$40</c:f>
              <c:strCache>
                <c:ptCount val="1"/>
                <c:pt idx="0">
                  <c:v>Bull/Steer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Graphs'!$N$39:$O$39</c:f>
              <c:strCache>
                <c:ptCount val="2"/>
                <c:pt idx="0">
                  <c:v>Sexed</c:v>
                </c:pt>
                <c:pt idx="1">
                  <c:v>Natural</c:v>
                </c:pt>
              </c:strCache>
            </c:strRef>
          </c:cat>
          <c:val>
            <c:numRef>
              <c:f>'5. Graphs'!$N$40:$O$40</c:f>
              <c:numCache>
                <c:formatCode>0%</c:formatCode>
                <c:ptCount val="2"/>
                <c:pt idx="0">
                  <c:v>0.75283230510375776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D-44DE-9860-C0306367BBEC}"/>
            </c:ext>
          </c:extLst>
        </c:ser>
        <c:ser>
          <c:idx val="1"/>
          <c:order val="1"/>
          <c:tx>
            <c:strRef>
              <c:f>'5. Graphs'!$M$41</c:f>
              <c:strCache>
                <c:ptCount val="1"/>
                <c:pt idx="0">
                  <c:v>Heifer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Graphs'!$N$39:$O$39</c:f>
              <c:strCache>
                <c:ptCount val="2"/>
                <c:pt idx="0">
                  <c:v>Sexed</c:v>
                </c:pt>
                <c:pt idx="1">
                  <c:v>Natural</c:v>
                </c:pt>
              </c:strCache>
            </c:strRef>
          </c:cat>
          <c:val>
            <c:numRef>
              <c:f>'5. Graphs'!$N$41:$O$41</c:f>
              <c:numCache>
                <c:formatCode>0%</c:formatCode>
                <c:ptCount val="2"/>
                <c:pt idx="0">
                  <c:v>0.24716769489624221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D-44DE-9860-C0306367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69248"/>
        <c:axId val="179968464"/>
      </c:barChart>
      <c:catAx>
        <c:axId val="1799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68464"/>
        <c:crosses val="autoZero"/>
        <c:auto val="1"/>
        <c:lblAlgn val="ctr"/>
        <c:lblOffset val="100"/>
        <c:tickMarkSkip val="1"/>
        <c:noMultiLvlLbl val="0"/>
      </c:catAx>
      <c:valAx>
        <c:axId val="17996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69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Pregnancy and Calf Loss</a:t>
            </a:r>
          </a:p>
        </c:rich>
      </c:tx>
      <c:layout>
        <c:manualLayout>
          <c:xMode val="edge"/>
          <c:yMode val="edge"/>
          <c:x val="0.361769849858815"/>
          <c:y val="3.787878787878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06578550967603"/>
          <c:y val="0.27555705054823426"/>
          <c:w val="0.80860042049418723"/>
          <c:h val="0.44000238716572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Graphs'!$M$25</c:f>
              <c:strCache>
                <c:ptCount val="1"/>
                <c:pt idx="0">
                  <c:v>Pregnancy Loss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Graphs'!$N$24:$O$24</c:f>
              <c:strCache>
                <c:ptCount val="2"/>
                <c:pt idx="0">
                  <c:v>Sexed AI</c:v>
                </c:pt>
                <c:pt idx="1">
                  <c:v>Sex Natural</c:v>
                </c:pt>
              </c:strCache>
            </c:strRef>
          </c:cat>
          <c:val>
            <c:numRef>
              <c:f>'5. Graphs'!$N$25:$O$25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8-4C45-B579-F9541324FAB9}"/>
            </c:ext>
          </c:extLst>
        </c:ser>
        <c:ser>
          <c:idx val="1"/>
          <c:order val="1"/>
          <c:tx>
            <c:strRef>
              <c:f>'5. Graphs'!$M$26</c:f>
              <c:strCache>
                <c:ptCount val="1"/>
                <c:pt idx="0">
                  <c:v>Calf Loss 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Graphs'!$N$24:$O$24</c:f>
              <c:strCache>
                <c:ptCount val="2"/>
                <c:pt idx="0">
                  <c:v>Sexed AI</c:v>
                </c:pt>
                <c:pt idx="1">
                  <c:v>Sex Natural</c:v>
                </c:pt>
              </c:strCache>
            </c:strRef>
          </c:cat>
          <c:val>
            <c:numRef>
              <c:f>'5. Graphs'!$N$26:$O$26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8-4C45-B579-F9541324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69640"/>
        <c:axId val="179967680"/>
      </c:barChart>
      <c:catAx>
        <c:axId val="17996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67680"/>
        <c:crosses val="autoZero"/>
        <c:auto val="1"/>
        <c:lblAlgn val="ctr"/>
        <c:lblOffset val="100"/>
        <c:tickMarkSkip val="1"/>
        <c:noMultiLvlLbl val="0"/>
      </c:catAx>
      <c:valAx>
        <c:axId val="17996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69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Reproduction Performance</a:t>
            </a:r>
          </a:p>
        </c:rich>
      </c:tx>
      <c:layout>
        <c:manualLayout>
          <c:xMode val="edge"/>
          <c:yMode val="edge"/>
          <c:x val="0.36291633910262006"/>
          <c:y val="3.831417624521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448162854241815E-2"/>
          <c:y val="0.26966366107701967"/>
          <c:w val="0.89518321927702893"/>
          <c:h val="0.44269784360144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Graphs'!$N$5</c:f>
              <c:strCache>
                <c:ptCount val="1"/>
                <c:pt idx="0">
                  <c:v>Sexed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Graphs'!$M$6:$M$7</c:f>
              <c:strCache>
                <c:ptCount val="2"/>
                <c:pt idx="0">
                  <c:v>Over All Pregnancy %</c:v>
                </c:pt>
                <c:pt idx="1">
                  <c:v>Weaning %</c:v>
                </c:pt>
              </c:strCache>
            </c:strRef>
          </c:cat>
          <c:val>
            <c:numRef>
              <c:f>'5. Graphs'!$N$6:$N$7</c:f>
              <c:numCache>
                <c:formatCode>0</c:formatCode>
                <c:ptCount val="2"/>
                <c:pt idx="0">
                  <c:v>88</c:v>
                </c:pt>
                <c:pt idx="1">
                  <c:v>85.583999999999989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7-4CD5-A999-FD3B78BCA1A9}"/>
            </c:ext>
          </c:extLst>
        </c:ser>
        <c:ser>
          <c:idx val="1"/>
          <c:order val="1"/>
          <c:tx>
            <c:strRef>
              <c:f>'5. Graphs'!$O$5</c:f>
              <c:strCache>
                <c:ptCount val="1"/>
                <c:pt idx="0">
                  <c:v>Natural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Graphs'!$M$6:$M$7</c:f>
              <c:strCache>
                <c:ptCount val="2"/>
                <c:pt idx="0">
                  <c:v>Over All Pregnancy %</c:v>
                </c:pt>
                <c:pt idx="1">
                  <c:v>Weaning %</c:v>
                </c:pt>
              </c:strCache>
            </c:strRef>
          </c:cat>
          <c:val>
            <c:numRef>
              <c:f>'5. Graphs'!$O$6:$O$7</c:f>
              <c:numCache>
                <c:formatCode>0</c:formatCode>
                <c:ptCount val="2"/>
                <c:pt idx="0">
                  <c:v>88</c:v>
                </c:pt>
                <c:pt idx="1">
                  <c:v>84.47999999999999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7-4CD5-A999-FD3B78BCA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70424"/>
        <c:axId val="245317480"/>
      </c:barChart>
      <c:catAx>
        <c:axId val="17997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317480"/>
        <c:crosses val="autoZero"/>
        <c:auto val="1"/>
        <c:lblAlgn val="ctr"/>
        <c:lblOffset val="100"/>
        <c:tickMarkSkip val="1"/>
        <c:noMultiLvlLbl val="0"/>
      </c:catAx>
      <c:valAx>
        <c:axId val="245317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70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Semen Cost as Percent of Average Calf Value</a:t>
            </a:r>
          </a:p>
        </c:rich>
      </c:tx>
      <c:layout>
        <c:manualLayout>
          <c:xMode val="edge"/>
          <c:yMode val="edge"/>
          <c:x val="0.29440016797900259"/>
          <c:y val="3.6544850498338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89958092610732"/>
          <c:y val="0.2548638737574177"/>
          <c:w val="0.72246041544200923"/>
          <c:h val="0.47081723243736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Graphs'!$M$114</c:f>
              <c:strCache>
                <c:ptCount val="1"/>
                <c:pt idx="0">
                  <c:v>Semen Cost / Calf Value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EC-4246-8C06-D8937AABD15F}"/>
              </c:ext>
            </c:extLst>
          </c:dPt>
          <c:cat>
            <c:strRef>
              <c:f>'5. Graphs'!$N$113:$O$113</c:f>
              <c:strCache>
                <c:ptCount val="2"/>
                <c:pt idx="0">
                  <c:v>Sexed</c:v>
                </c:pt>
                <c:pt idx="1">
                  <c:v>Natural</c:v>
                </c:pt>
              </c:strCache>
            </c:strRef>
          </c:cat>
          <c:val>
            <c:numRef>
              <c:f>'5. Graphs'!$N$114:$O$114</c:f>
              <c:numCache>
                <c:formatCode>0.00%</c:formatCode>
                <c:ptCount val="2"/>
                <c:pt idx="0" formatCode="0.0%">
                  <c:v>2.9140823022352408E-2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EC-4246-8C06-D8937AABD15F}"/>
            </c:ext>
          </c:extLst>
        </c:ser>
        <c:ser>
          <c:idx val="1"/>
          <c:order val="1"/>
          <c:tx>
            <c:strRef>
              <c:f>'5. Graphs'!$M$115</c:f>
              <c:strCache>
                <c:ptCount val="1"/>
                <c:pt idx="0">
                  <c:v>Breeding Cost/Calf Value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'5. Graphs'!$N$113:$O$113</c:f>
              <c:strCache>
                <c:ptCount val="2"/>
                <c:pt idx="0">
                  <c:v>Sexed</c:v>
                </c:pt>
                <c:pt idx="1">
                  <c:v>Natural</c:v>
                </c:pt>
              </c:strCache>
            </c:strRef>
          </c:cat>
          <c:val>
            <c:numRef>
              <c:f>'5. Graphs'!$N$115:$O$115</c:f>
              <c:numCache>
                <c:formatCode>0.0%</c:formatCode>
                <c:ptCount val="2"/>
                <c:pt idx="0" formatCode="0%">
                  <c:v>0.14417806849172748</c:v>
                </c:pt>
                <c:pt idx="1">
                  <c:v>0.10156057810578105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EC-4246-8C06-D8937AAB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16696"/>
        <c:axId val="245319440"/>
      </c:barChart>
      <c:catAx>
        <c:axId val="24531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319440"/>
        <c:crosses val="autoZero"/>
        <c:auto val="1"/>
        <c:lblAlgn val="ctr"/>
        <c:lblOffset val="100"/>
        <c:tickMarkSkip val="1"/>
        <c:noMultiLvlLbl val="0"/>
      </c:catAx>
      <c:valAx>
        <c:axId val="24531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316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250372</xdr:colOff>
      <xdr:row>6</xdr:row>
      <xdr:rowOff>92528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27AF2015-75B3-41B2-BFC7-474387F1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3786" y="419100"/>
          <a:ext cx="1224643" cy="446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43543</xdr:colOff>
      <xdr:row>133</xdr:row>
      <xdr:rowOff>38100</xdr:rowOff>
    </xdr:from>
    <xdr:to>
      <xdr:col>10</xdr:col>
      <xdr:colOff>609600</xdr:colOff>
      <xdr:row>151</xdr:row>
      <xdr:rowOff>65314</xdr:rowOff>
    </xdr:to>
    <xdr:graphicFrame macro="">
      <xdr:nvGraphicFramePr>
        <xdr:cNvPr id="8410" name="Chart 1">
          <a:extLst>
            <a:ext uri="{FF2B5EF4-FFF2-40B4-BE49-F238E27FC236}">
              <a16:creationId xmlns:a16="http://schemas.microsoft.com/office/drawing/2014/main" id="{00000000-0008-0000-0400-0000D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92</xdr:row>
      <xdr:rowOff>16329</xdr:rowOff>
    </xdr:from>
    <xdr:to>
      <xdr:col>10</xdr:col>
      <xdr:colOff>620486</xdr:colOff>
      <xdr:row>108</xdr:row>
      <xdr:rowOff>103414</xdr:rowOff>
    </xdr:to>
    <xdr:graphicFrame macro="">
      <xdr:nvGraphicFramePr>
        <xdr:cNvPr id="8411" name="Chart 2">
          <a:extLst>
            <a:ext uri="{FF2B5EF4-FFF2-40B4-BE49-F238E27FC236}">
              <a16:creationId xmlns:a16="http://schemas.microsoft.com/office/drawing/2014/main" id="{00000000-0008-0000-0400-0000DB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73</xdr:row>
      <xdr:rowOff>114300</xdr:rowOff>
    </xdr:from>
    <xdr:to>
      <xdr:col>10</xdr:col>
      <xdr:colOff>576943</xdr:colOff>
      <xdr:row>89</xdr:row>
      <xdr:rowOff>141514</xdr:rowOff>
    </xdr:to>
    <xdr:graphicFrame macro="">
      <xdr:nvGraphicFramePr>
        <xdr:cNvPr id="8412" name="Chart 3">
          <a:extLst>
            <a:ext uri="{FF2B5EF4-FFF2-40B4-BE49-F238E27FC236}">
              <a16:creationId xmlns:a16="http://schemas.microsoft.com/office/drawing/2014/main" id="{00000000-0008-0000-0400-0000DC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97971</xdr:colOff>
      <xdr:row>54</xdr:row>
      <xdr:rowOff>27215</xdr:rowOff>
    </xdr:from>
    <xdr:to>
      <xdr:col>10</xdr:col>
      <xdr:colOff>609600</xdr:colOff>
      <xdr:row>71</xdr:row>
      <xdr:rowOff>65315</xdr:rowOff>
    </xdr:to>
    <xdr:graphicFrame macro="">
      <xdr:nvGraphicFramePr>
        <xdr:cNvPr id="8413" name="Chart 4">
          <a:extLst>
            <a:ext uri="{FF2B5EF4-FFF2-40B4-BE49-F238E27FC236}">
              <a16:creationId xmlns:a16="http://schemas.microsoft.com/office/drawing/2014/main" id="{00000000-0008-0000-0400-0000DD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59871</xdr:colOff>
      <xdr:row>36</xdr:row>
      <xdr:rowOff>146957</xdr:rowOff>
    </xdr:from>
    <xdr:to>
      <xdr:col>10</xdr:col>
      <xdr:colOff>566057</xdr:colOff>
      <xdr:row>52</xdr:row>
      <xdr:rowOff>92529</xdr:rowOff>
    </xdr:to>
    <xdr:graphicFrame macro="">
      <xdr:nvGraphicFramePr>
        <xdr:cNvPr id="8414" name="Chart 5">
          <a:extLst>
            <a:ext uri="{FF2B5EF4-FFF2-40B4-BE49-F238E27FC236}">
              <a16:creationId xmlns:a16="http://schemas.microsoft.com/office/drawing/2014/main" id="{00000000-0008-0000-0400-0000D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642257</xdr:colOff>
      <xdr:row>19</xdr:row>
      <xdr:rowOff>119743</xdr:rowOff>
    </xdr:from>
    <xdr:to>
      <xdr:col>10</xdr:col>
      <xdr:colOff>566057</xdr:colOff>
      <xdr:row>35</xdr:row>
      <xdr:rowOff>43543</xdr:rowOff>
    </xdr:to>
    <xdr:graphicFrame macro="">
      <xdr:nvGraphicFramePr>
        <xdr:cNvPr id="8415" name="Chart 6">
          <a:extLst>
            <a:ext uri="{FF2B5EF4-FFF2-40B4-BE49-F238E27FC236}">
              <a16:creationId xmlns:a16="http://schemas.microsoft.com/office/drawing/2014/main" id="{00000000-0008-0000-0400-0000DF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48986</xdr:colOff>
      <xdr:row>2</xdr:row>
      <xdr:rowOff>65314</xdr:rowOff>
    </xdr:from>
    <xdr:to>
      <xdr:col>10</xdr:col>
      <xdr:colOff>609600</xdr:colOff>
      <xdr:row>17</xdr:row>
      <xdr:rowOff>119743</xdr:rowOff>
    </xdr:to>
    <xdr:graphicFrame macro="">
      <xdr:nvGraphicFramePr>
        <xdr:cNvPr id="8416" name="Chart 7">
          <a:extLst>
            <a:ext uri="{FF2B5EF4-FFF2-40B4-BE49-F238E27FC236}">
              <a16:creationId xmlns:a16="http://schemas.microsoft.com/office/drawing/2014/main" id="{00000000-0008-0000-0400-0000E0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114300</xdr:colOff>
      <xdr:row>112</xdr:row>
      <xdr:rowOff>54429</xdr:rowOff>
    </xdr:from>
    <xdr:to>
      <xdr:col>10</xdr:col>
      <xdr:colOff>609600</xdr:colOff>
      <xdr:row>130</xdr:row>
      <xdr:rowOff>10886</xdr:rowOff>
    </xdr:to>
    <xdr:graphicFrame macro="">
      <xdr:nvGraphicFramePr>
        <xdr:cNvPr id="8417" name="Chart 8">
          <a:extLst>
            <a:ext uri="{FF2B5EF4-FFF2-40B4-BE49-F238E27FC236}">
              <a16:creationId xmlns:a16="http://schemas.microsoft.com/office/drawing/2014/main" id="{00000000-0008-0000-0400-0000E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0B73-966C-4D10-81AB-F36D124B2674}">
  <sheetPr>
    <pageSetUpPr fitToPage="1"/>
  </sheetPr>
  <dimension ref="A1:K52"/>
  <sheetViews>
    <sheetView topLeftCell="A7" workbookViewId="0">
      <selection activeCell="D58" sqref="D58"/>
    </sheetView>
  </sheetViews>
  <sheetFormatPr defaultRowHeight="12.45" x14ac:dyDescent="0.3"/>
  <cols>
    <col min="1" max="1" width="4.61328125" customWidth="1"/>
    <col min="2" max="2" width="34.4609375" customWidth="1"/>
    <col min="3" max="3" width="15" customWidth="1"/>
    <col min="4" max="4" width="13.61328125" customWidth="1"/>
    <col min="5" max="5" width="14.23046875" customWidth="1"/>
    <col min="6" max="6" width="18.4609375" customWidth="1"/>
    <col min="7" max="7" width="12.3046875" customWidth="1"/>
    <col min="8" max="8" width="13.765625" customWidth="1"/>
  </cols>
  <sheetData>
    <row r="1" spans="1:9" ht="17.600000000000001" x14ac:dyDescent="0.4">
      <c r="B1" s="249" t="s">
        <v>272</v>
      </c>
      <c r="C1" s="250"/>
      <c r="D1" s="250"/>
      <c r="E1" s="250"/>
      <c r="F1" s="250"/>
    </row>
    <row r="2" spans="1:9" ht="15.45" x14ac:dyDescent="0.4">
      <c r="B2" s="251" t="str">
        <f>'2. Summary of IncomeDifference'!B3</f>
        <v xml:space="preserve">Using to MALE Semen for High Growth Rate, ADG &amp; Marbling </v>
      </c>
      <c r="C2" s="251"/>
      <c r="D2" s="251"/>
      <c r="E2" s="251"/>
      <c r="F2" s="252"/>
    </row>
    <row r="3" spans="1:9" ht="15.45" x14ac:dyDescent="0.4">
      <c r="B3" s="245"/>
      <c r="C3" s="245"/>
      <c r="D3" s="245"/>
      <c r="E3" s="245"/>
      <c r="F3" s="246"/>
    </row>
    <row r="4" spans="1:9" ht="15.45" x14ac:dyDescent="0.4">
      <c r="B4" s="245" t="s">
        <v>300</v>
      </c>
      <c r="C4" s="247">
        <v>43985</v>
      </c>
      <c r="D4" s="245"/>
      <c r="E4" s="245" t="s">
        <v>301</v>
      </c>
      <c r="F4" s="248" t="s">
        <v>302</v>
      </c>
    </row>
    <row r="6" spans="1:9" ht="15.45" x14ac:dyDescent="0.4">
      <c r="B6" s="225" t="s">
        <v>244</v>
      </c>
      <c r="C6" s="218" t="s">
        <v>85</v>
      </c>
      <c r="D6" s="218" t="s">
        <v>97</v>
      </c>
      <c r="E6" s="218" t="s">
        <v>90</v>
      </c>
    </row>
    <row r="7" spans="1:9" ht="15" x14ac:dyDescent="0.35">
      <c r="B7" s="209" t="s">
        <v>242</v>
      </c>
      <c r="C7" s="75">
        <v>540</v>
      </c>
      <c r="D7" s="194">
        <v>167</v>
      </c>
      <c r="E7" s="226">
        <f>C7*D7*0.01</f>
        <v>901.80000000000007</v>
      </c>
    </row>
    <row r="8" spans="1:9" ht="15" x14ac:dyDescent="0.35">
      <c r="B8" s="209" t="s">
        <v>243</v>
      </c>
      <c r="C8" s="75">
        <v>510</v>
      </c>
      <c r="D8" s="194">
        <v>142</v>
      </c>
      <c r="E8" s="226">
        <f>C8*D8*0.01</f>
        <v>724.2</v>
      </c>
      <c r="H8" s="6" t="s">
        <v>264</v>
      </c>
      <c r="I8" s="190">
        <v>43896</v>
      </c>
    </row>
    <row r="9" spans="1:9" ht="15.45" x14ac:dyDescent="0.4">
      <c r="B9" s="225" t="s">
        <v>161</v>
      </c>
      <c r="C9" s="225">
        <f>C7-C8</f>
        <v>30</v>
      </c>
      <c r="D9" s="227">
        <f>D7-D8</f>
        <v>25</v>
      </c>
      <c r="E9" s="227">
        <f>E7-E8</f>
        <v>177.60000000000002</v>
      </c>
    </row>
    <row r="11" spans="1:9" ht="15.45" x14ac:dyDescent="0.4">
      <c r="B11" s="3" t="str">
        <f>'2. Summary of IncomeDifference'!B6</f>
        <v>Number of Females Exposed</v>
      </c>
      <c r="D11" s="75">
        <v>100</v>
      </c>
      <c r="E11" s="10"/>
    </row>
    <row r="12" spans="1:9" ht="15" x14ac:dyDescent="0.35">
      <c r="A12" s="206"/>
      <c r="B12" s="200"/>
      <c r="D12" s="10"/>
      <c r="E12" s="10"/>
    </row>
    <row r="13" spans="1:9" ht="15.45" x14ac:dyDescent="0.4">
      <c r="A13" s="206"/>
      <c r="B13" s="220" t="s">
        <v>236</v>
      </c>
      <c r="D13" s="75">
        <v>88</v>
      </c>
      <c r="E13" s="196" t="s">
        <v>239</v>
      </c>
    </row>
    <row r="14" spans="1:9" ht="15.45" x14ac:dyDescent="0.4">
      <c r="A14" s="206"/>
      <c r="B14" s="225" t="s">
        <v>234</v>
      </c>
      <c r="D14" s="210">
        <v>25</v>
      </c>
      <c r="E14" s="10"/>
    </row>
    <row r="15" spans="1:9" ht="15" x14ac:dyDescent="0.35">
      <c r="A15" s="206"/>
      <c r="B15" s="209"/>
      <c r="C15" s="212"/>
      <c r="D15" s="10"/>
    </row>
    <row r="16" spans="1:9" ht="15.45" x14ac:dyDescent="0.4">
      <c r="A16" s="206"/>
      <c r="B16" s="237" t="s">
        <v>251</v>
      </c>
      <c r="C16" s="212"/>
      <c r="D16" s="10"/>
    </row>
    <row r="17" spans="1:8" ht="15.45" x14ac:dyDescent="0.4">
      <c r="A17" s="206"/>
      <c r="B17" s="220" t="s">
        <v>252</v>
      </c>
      <c r="C17" s="233"/>
      <c r="D17" s="10"/>
    </row>
    <row r="18" spans="1:8" ht="15.45" x14ac:dyDescent="0.4">
      <c r="A18" s="206"/>
      <c r="B18" s="209"/>
      <c r="C18" s="212"/>
      <c r="D18" s="201" t="s">
        <v>109</v>
      </c>
      <c r="E18" s="201" t="s">
        <v>109</v>
      </c>
      <c r="F18" s="218" t="s">
        <v>111</v>
      </c>
      <c r="G18" s="206"/>
    </row>
    <row r="19" spans="1:8" ht="15.45" x14ac:dyDescent="0.4">
      <c r="A19" s="206"/>
      <c r="B19" s="225" t="s">
        <v>226</v>
      </c>
      <c r="C19" s="212"/>
      <c r="D19" s="201" t="s">
        <v>110</v>
      </c>
      <c r="E19" s="201" t="s">
        <v>219</v>
      </c>
      <c r="F19" s="218" t="s">
        <v>155</v>
      </c>
      <c r="G19" s="206"/>
    </row>
    <row r="20" spans="1:8" ht="15.45" x14ac:dyDescent="0.4">
      <c r="A20" s="206"/>
      <c r="B20" s="228" t="s">
        <v>113</v>
      </c>
      <c r="C20" s="213"/>
      <c r="D20" s="232">
        <f>'2. Summary of IncomeDifference'!D57</f>
        <v>41.122050000000002</v>
      </c>
      <c r="E20" s="232">
        <f>'2. Summary of IncomeDifference'!E57</f>
        <v>68.084489638183811</v>
      </c>
      <c r="F20" s="232">
        <f>'2. Summary of IncomeDifference'!F57</f>
        <v>26.96243963818381</v>
      </c>
      <c r="G20" s="206"/>
    </row>
    <row r="21" spans="1:8" ht="15" x14ac:dyDescent="0.35">
      <c r="A21" s="206"/>
      <c r="B21" s="206"/>
      <c r="C21" s="212"/>
      <c r="D21" s="10"/>
    </row>
    <row r="22" spans="1:8" ht="15.45" x14ac:dyDescent="0.4">
      <c r="A22" s="206"/>
      <c r="B22" s="228" t="s">
        <v>114</v>
      </c>
      <c r="C22" s="213"/>
      <c r="D22" s="214"/>
      <c r="E22" s="215"/>
      <c r="F22" s="216">
        <f>'2. Summary of IncomeDifference'!F59</f>
        <v>0.65566866530690493</v>
      </c>
    </row>
    <row r="23" spans="1:8" ht="15" x14ac:dyDescent="0.35">
      <c r="B23" s="209"/>
      <c r="C23" s="212"/>
      <c r="D23" s="10"/>
    </row>
    <row r="24" spans="1:8" ht="15.45" x14ac:dyDescent="0.4">
      <c r="B24" s="225" t="s">
        <v>230</v>
      </c>
      <c r="C24" s="217"/>
      <c r="D24" s="217"/>
      <c r="E24" s="219" t="s">
        <v>218</v>
      </c>
      <c r="F24" s="219" t="s">
        <v>235</v>
      </c>
    </row>
    <row r="25" spans="1:8" ht="15.45" x14ac:dyDescent="0.4">
      <c r="B25" s="10"/>
      <c r="C25" s="219" t="s">
        <v>231</v>
      </c>
      <c r="D25" s="219" t="s">
        <v>232</v>
      </c>
      <c r="E25" s="219" t="s">
        <v>219</v>
      </c>
      <c r="F25" s="221" t="s">
        <v>220</v>
      </c>
    </row>
    <row r="26" spans="1:8" ht="15.45" x14ac:dyDescent="0.4">
      <c r="B26" s="220" t="s">
        <v>128</v>
      </c>
      <c r="C26" s="28">
        <f>'3. SexedSemenProtocol Cost'!E104</f>
        <v>42.239999999999995</v>
      </c>
      <c r="D26" s="28">
        <f>'3. SexedSemenProtocol Cost'!E105</f>
        <v>42.239999999999995</v>
      </c>
      <c r="E26" s="65">
        <f>'2. Summary of IncomeDifference'!F34</f>
        <v>68682.239999999991</v>
      </c>
      <c r="F26" s="10">
        <f>C26-D26</f>
        <v>0</v>
      </c>
      <c r="H26" t="s">
        <v>297</v>
      </c>
    </row>
    <row r="27" spans="1:8" ht="15.45" x14ac:dyDescent="0.4">
      <c r="B27" s="220" t="s">
        <v>217</v>
      </c>
      <c r="C27" s="14">
        <f>E7*C26</f>
        <v>38092.031999999999</v>
      </c>
      <c r="D27" s="14">
        <f>D26*E8</f>
        <v>30590.207999999999</v>
      </c>
      <c r="E27" s="14">
        <f>C27+D27</f>
        <v>68682.239999999991</v>
      </c>
      <c r="F27" s="66"/>
      <c r="H27" s="244">
        <f>E27/86</f>
        <v>798.63069767441846</v>
      </c>
    </row>
    <row r="28" spans="1:8" ht="15.45" x14ac:dyDescent="0.4">
      <c r="B28" s="200"/>
      <c r="C28" s="66"/>
      <c r="D28" s="66"/>
      <c r="E28" s="14"/>
      <c r="F28" s="6" t="s">
        <v>227</v>
      </c>
    </row>
    <row r="29" spans="1:8" ht="15.45" x14ac:dyDescent="0.4">
      <c r="B29" s="220" t="s">
        <v>152</v>
      </c>
      <c r="E29" s="71">
        <f>'2. Summary of IncomeDifference'!F24</f>
        <v>8256.875</v>
      </c>
      <c r="F29" s="22">
        <f>E29/E27</f>
        <v>0.12021848734112343</v>
      </c>
    </row>
    <row r="30" spans="1:8" ht="15.45" x14ac:dyDescent="0.4">
      <c r="B30" s="220" t="s">
        <v>237</v>
      </c>
      <c r="C30" s="66"/>
      <c r="D30" s="35">
        <f>'2. Summary of IncomeDifference'!C22</f>
        <v>0.84479999999999988</v>
      </c>
      <c r="E30" s="236" t="s">
        <v>241</v>
      </c>
      <c r="F30" s="66"/>
    </row>
    <row r="31" spans="1:8" ht="15.45" x14ac:dyDescent="0.4">
      <c r="B31" s="200"/>
      <c r="C31" s="66"/>
      <c r="D31" s="66"/>
      <c r="E31" s="14"/>
      <c r="F31" s="66"/>
    </row>
    <row r="32" spans="1:8" ht="15.45" x14ac:dyDescent="0.4">
      <c r="B32" s="3" t="s">
        <v>228</v>
      </c>
      <c r="C32" s="66"/>
      <c r="D32" s="66"/>
      <c r="E32" s="14"/>
    </row>
    <row r="33" spans="2:11" ht="15.45" x14ac:dyDescent="0.4">
      <c r="B33" s="225" t="s">
        <v>294</v>
      </c>
      <c r="C33" s="66"/>
      <c r="D33" s="66"/>
      <c r="E33" s="14"/>
      <c r="F33" s="219" t="s">
        <v>235</v>
      </c>
    </row>
    <row r="34" spans="2:11" ht="15.45" x14ac:dyDescent="0.4">
      <c r="B34" s="225"/>
      <c r="C34" s="219" t="s">
        <v>231</v>
      </c>
      <c r="D34" s="219" t="s">
        <v>232</v>
      </c>
      <c r="E34" s="14"/>
      <c r="F34" s="221" t="s">
        <v>220</v>
      </c>
    </row>
    <row r="35" spans="2:11" ht="15" x14ac:dyDescent="0.35">
      <c r="B35" s="200" t="s">
        <v>229</v>
      </c>
      <c r="C35" s="222">
        <f>'3. SexedSemenProtocol Cost'!D87</f>
        <v>48.686400000000006</v>
      </c>
      <c r="D35" s="222">
        <f>'3. SexedSemenProtocol Cost'!D88</f>
        <v>5.4096000000000002</v>
      </c>
      <c r="E35" s="129"/>
      <c r="F35" s="222">
        <f>C35-D35</f>
        <v>43.276800000000009</v>
      </c>
      <c r="H35" s="28">
        <f>C35+D35</f>
        <v>54.096000000000004</v>
      </c>
      <c r="I35" s="196" t="s">
        <v>295</v>
      </c>
    </row>
    <row r="36" spans="2:11" ht="15" x14ac:dyDescent="0.35">
      <c r="B36" s="200" t="s">
        <v>238</v>
      </c>
      <c r="C36" s="223">
        <f>'3. SexedSemenProtocol Cost'!E77</f>
        <v>16.399999999999995</v>
      </c>
      <c r="D36" s="223">
        <f>'3. SexedSemenProtocol Cost'!E78</f>
        <v>16.399999999999995</v>
      </c>
      <c r="E36" s="129"/>
      <c r="F36" s="129">
        <f>C36-D36</f>
        <v>0</v>
      </c>
    </row>
    <row r="37" spans="2:11" ht="15.45" x14ac:dyDescent="0.4">
      <c r="B37" s="3" t="s">
        <v>240</v>
      </c>
      <c r="C37" s="224">
        <f>'2. Summary of IncomeDifference'!E37</f>
        <v>64.430400000000006</v>
      </c>
      <c r="D37" s="224">
        <f>'2. Summary of IncomeDifference'!E38</f>
        <v>21.153599999999994</v>
      </c>
      <c r="F37" s="224">
        <f>C37-D37</f>
        <v>43.276800000000009</v>
      </c>
      <c r="H37" s="223">
        <f>C37+D37</f>
        <v>85.584000000000003</v>
      </c>
      <c r="I37" s="34">
        <f>IF(H37=0,0,H35/H37)</f>
        <v>0.63208076275939429</v>
      </c>
      <c r="J37" s="196" t="s">
        <v>293</v>
      </c>
    </row>
    <row r="38" spans="2:11" ht="15.45" x14ac:dyDescent="0.4">
      <c r="B38" s="220" t="s">
        <v>237</v>
      </c>
      <c r="C38" s="224"/>
      <c r="D38" s="235">
        <f>'2. Summary of IncomeDifference'!E51</f>
        <v>0.85583999999999993</v>
      </c>
      <c r="E38" s="236" t="s">
        <v>241</v>
      </c>
      <c r="F38" s="224"/>
    </row>
    <row r="39" spans="2:11" ht="15.45" x14ac:dyDescent="0.4">
      <c r="B39" s="10"/>
      <c r="C39" s="10"/>
      <c r="D39" s="10"/>
      <c r="E39" s="3" t="s">
        <v>263</v>
      </c>
      <c r="F39" s="10"/>
    </row>
    <row r="40" spans="2:11" ht="15.45" x14ac:dyDescent="0.4">
      <c r="B40" s="3" t="s">
        <v>253</v>
      </c>
      <c r="C40" s="14">
        <f>C37*E7</f>
        <v>58103.334720000006</v>
      </c>
      <c r="D40" s="14">
        <f>D37*E8</f>
        <v>15319.437119999997</v>
      </c>
      <c r="E40" s="14">
        <f>'2. Summary of IncomeDifference'!F40</f>
        <v>73422.771840000001</v>
      </c>
      <c r="F40" s="66"/>
      <c r="H40" s="186"/>
    </row>
    <row r="41" spans="2:11" ht="15" x14ac:dyDescent="0.35">
      <c r="B41" s="10" t="s">
        <v>224</v>
      </c>
      <c r="C41" s="66"/>
      <c r="D41" s="66"/>
      <c r="E41" s="66">
        <f>'2. Summary of IncomeDifference'!F48</f>
        <v>2067.9171238183694</v>
      </c>
      <c r="F41" s="66"/>
      <c r="H41" s="186"/>
      <c r="K41" s="5">
        <f>D14</f>
        <v>25</v>
      </c>
    </row>
    <row r="42" spans="2:11" ht="15.45" x14ac:dyDescent="0.4">
      <c r="B42" s="3" t="s">
        <v>225</v>
      </c>
      <c r="C42" s="66"/>
      <c r="D42" s="80"/>
      <c r="E42" s="14">
        <f>'2. Summary of IncomeDifference'!F51</f>
        <v>75490.688963818364</v>
      </c>
      <c r="F42" s="66"/>
      <c r="H42" s="244">
        <f>E42/H37</f>
        <v>882.06544405284114</v>
      </c>
      <c r="I42" t="s">
        <v>298</v>
      </c>
      <c r="K42" s="187">
        <f>K41/H42</f>
        <v>2.8342568194409785E-2</v>
      </c>
    </row>
    <row r="44" spans="2:11" x14ac:dyDescent="0.3">
      <c r="F44" s="6" t="s">
        <v>227</v>
      </c>
    </row>
    <row r="45" spans="2:11" ht="15.45" x14ac:dyDescent="0.4">
      <c r="B45" s="220" t="s">
        <v>233</v>
      </c>
      <c r="E45" s="71">
        <f>'2. Summary of IncomeDifference'!F19</f>
        <v>12369.08</v>
      </c>
      <c r="F45" s="22">
        <f>E45/E42</f>
        <v>0.16384908085722105</v>
      </c>
    </row>
    <row r="46" spans="2:11" ht="15.45" x14ac:dyDescent="0.4">
      <c r="B46" s="220"/>
      <c r="E46" s="71"/>
      <c r="F46" s="34"/>
    </row>
    <row r="47" spans="2:11" ht="15.45" x14ac:dyDescent="0.4">
      <c r="B47" s="220"/>
      <c r="D47" s="229"/>
      <c r="E47" s="6" t="s">
        <v>249</v>
      </c>
      <c r="F47" s="6" t="s">
        <v>248</v>
      </c>
    </row>
    <row r="48" spans="2:11" ht="15.45" x14ac:dyDescent="0.4">
      <c r="B48" s="220" t="s">
        <v>250</v>
      </c>
      <c r="D48" s="34"/>
      <c r="E48" s="71">
        <f>'3. SexedSemenProtocol Cost'!G51</f>
        <v>2500</v>
      </c>
      <c r="F48" s="22">
        <f>E48/E45</f>
        <v>0.20211689147454784</v>
      </c>
    </row>
    <row r="49" spans="2:6" ht="15.45" x14ac:dyDescent="0.4">
      <c r="B49" s="220"/>
      <c r="D49" s="34"/>
      <c r="E49" s="65"/>
      <c r="F49" s="34"/>
    </row>
    <row r="50" spans="2:6" ht="15.45" x14ac:dyDescent="0.4">
      <c r="B50" s="228" t="s">
        <v>296</v>
      </c>
      <c r="C50" s="215"/>
      <c r="D50" s="215"/>
      <c r="E50" s="230"/>
      <c r="F50" s="231">
        <f>'2. Summary of IncomeDifference'!D15/'2. Summary of IncomeDifference'!C40</f>
        <v>2.9140823022352408E-2</v>
      </c>
    </row>
    <row r="52" spans="2:6" ht="15" x14ac:dyDescent="0.35">
      <c r="B52" s="253" t="s">
        <v>306</v>
      </c>
      <c r="C52" s="254"/>
      <c r="D52" s="254"/>
      <c r="E52" s="254"/>
      <c r="F52" s="255"/>
    </row>
  </sheetData>
  <sheetProtection sheet="1" objects="1" scenarios="1"/>
  <mergeCells count="3">
    <mergeCell ref="B1:F1"/>
    <mergeCell ref="B2:F2"/>
    <mergeCell ref="B52:F52"/>
  </mergeCells>
  <pageMargins left="0.95" right="0.7" top="0.75" bottom="0.75" header="0.3" footer="0.3"/>
  <pageSetup scale="82"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63"/>
  <sheetViews>
    <sheetView showGridLines="0" zoomScaleNormal="100" workbookViewId="0">
      <pane ySplit="1" topLeftCell="A7" activePane="bottomLeft" state="frozen"/>
      <selection pane="bottomLeft" activeCell="B14" sqref="B14:B17"/>
    </sheetView>
  </sheetViews>
  <sheetFormatPr defaultRowHeight="12.45" x14ac:dyDescent="0.3"/>
  <cols>
    <col min="1" max="1" width="4.3828125" customWidth="1"/>
    <col min="2" max="2" width="48.84375" customWidth="1"/>
    <col min="3" max="3" width="12.53515625" customWidth="1"/>
    <col min="4" max="5" width="13.15234375" customWidth="1"/>
    <col min="6" max="6" width="12.3828125" customWidth="1"/>
    <col min="7" max="7" width="11" customWidth="1"/>
    <col min="8" max="8" width="12" customWidth="1"/>
    <col min="9" max="9" width="12.84375" bestFit="1" customWidth="1"/>
    <col min="10" max="10" width="8.3046875" customWidth="1"/>
    <col min="11" max="11" width="9.53515625" bestFit="1" customWidth="1"/>
    <col min="12" max="12" width="12.69140625" customWidth="1"/>
  </cols>
  <sheetData>
    <row r="2" spans="2:11" ht="17.600000000000001" x14ac:dyDescent="0.4">
      <c r="B2" s="249" t="s">
        <v>274</v>
      </c>
      <c r="C2" s="250"/>
      <c r="D2" s="250"/>
      <c r="E2" s="250"/>
      <c r="F2" s="250"/>
      <c r="G2" s="10"/>
      <c r="H2" s="10"/>
      <c r="I2" s="10"/>
      <c r="J2" s="10"/>
      <c r="K2" s="10"/>
    </row>
    <row r="3" spans="2:11" ht="15.45" x14ac:dyDescent="0.4">
      <c r="B3" s="251" t="str">
        <f>'3. SexedSemenProtocol Cost'!B5</f>
        <v xml:space="preserve">Using to MALE Semen for High Growth Rate, ADG &amp; Marbling </v>
      </c>
      <c r="C3" s="251"/>
      <c r="D3" s="251"/>
      <c r="E3" s="251"/>
      <c r="F3" s="252"/>
      <c r="G3" s="10"/>
      <c r="H3" s="242" t="s">
        <v>273</v>
      </c>
      <c r="I3" s="10"/>
      <c r="J3" s="10"/>
      <c r="K3" s="10"/>
    </row>
    <row r="4" spans="2:11" ht="15" x14ac:dyDescent="0.35">
      <c r="B4" s="10"/>
      <c r="C4" s="10"/>
      <c r="D4" s="10"/>
      <c r="E4" s="10"/>
      <c r="F4" s="10"/>
      <c r="G4" s="10"/>
      <c r="H4" s="6"/>
      <c r="I4" s="190"/>
      <c r="J4" s="10"/>
      <c r="K4" s="10"/>
    </row>
    <row r="5" spans="2:11" ht="15.45" x14ac:dyDescent="0.4">
      <c r="B5" s="3"/>
      <c r="E5" s="10"/>
      <c r="F5" s="10"/>
      <c r="G5" s="10"/>
      <c r="H5" s="152" t="s">
        <v>166</v>
      </c>
      <c r="I5" s="10"/>
      <c r="J5" s="10"/>
      <c r="K5" s="10"/>
    </row>
    <row r="6" spans="2:11" ht="15.45" x14ac:dyDescent="0.4">
      <c r="B6" s="3" t="s">
        <v>78</v>
      </c>
      <c r="C6" s="239">
        <f>'1. Key Data &amp; Advantage'!D11</f>
        <v>100</v>
      </c>
      <c r="E6" s="10"/>
      <c r="F6" s="10"/>
      <c r="H6" s="152" t="s">
        <v>160</v>
      </c>
    </row>
    <row r="7" spans="2:11" ht="15.45" x14ac:dyDescent="0.4">
      <c r="B7" s="10" t="s">
        <v>195</v>
      </c>
      <c r="C7" s="17" t="s">
        <v>196</v>
      </c>
      <c r="D7" s="3" t="str">
        <f>IF(C7="H","Heifers","Steers")</f>
        <v>Steers</v>
      </c>
      <c r="F7" s="10"/>
      <c r="H7" s="3" t="s">
        <v>197</v>
      </c>
      <c r="I7" s="3"/>
      <c r="J7" s="3"/>
    </row>
    <row r="8" spans="2:11" ht="15.45" x14ac:dyDescent="0.4">
      <c r="B8" s="110" t="s">
        <v>142</v>
      </c>
      <c r="C8" s="111"/>
      <c r="D8" s="112"/>
      <c r="E8" s="112"/>
      <c r="F8" s="113"/>
      <c r="G8" s="10"/>
      <c r="H8" s="10"/>
      <c r="I8" s="10"/>
      <c r="J8" s="10"/>
      <c r="K8" s="10"/>
    </row>
    <row r="9" spans="2:11" ht="15.45" x14ac:dyDescent="0.4">
      <c r="B9" s="114" t="s">
        <v>223</v>
      </c>
      <c r="C9" s="234">
        <f>'1. Key Data &amp; Advantage'!D13</f>
        <v>88</v>
      </c>
      <c r="D9" t="s">
        <v>149</v>
      </c>
      <c r="E9" s="8"/>
      <c r="F9" s="115"/>
      <c r="G9" s="10"/>
      <c r="H9" s="10" t="s">
        <v>147</v>
      </c>
      <c r="I9" s="81">
        <f>F59</f>
        <v>0.65566866530690493</v>
      </c>
      <c r="J9" s="10"/>
      <c r="K9" s="10"/>
    </row>
    <row r="10" spans="2:11" ht="15.45" x14ac:dyDescent="0.4">
      <c r="B10" s="114" t="s">
        <v>108</v>
      </c>
      <c r="C10" s="26">
        <f>'3. SexedSemenProtocol Cost'!G90</f>
        <v>0.85583999999999993</v>
      </c>
      <c r="D10" t="s">
        <v>2</v>
      </c>
      <c r="E10" s="8"/>
      <c r="F10" s="115"/>
      <c r="G10" s="10"/>
      <c r="H10" s="10" t="s">
        <v>255</v>
      </c>
      <c r="I10" s="66">
        <f>F54</f>
        <v>2696.2439638183805</v>
      </c>
      <c r="J10" s="10"/>
      <c r="K10" s="10"/>
    </row>
    <row r="11" spans="2:11" ht="15.45" x14ac:dyDescent="0.4">
      <c r="B11" s="114" t="s">
        <v>143</v>
      </c>
      <c r="C11" s="107">
        <v>90</v>
      </c>
      <c r="D11" t="s">
        <v>2</v>
      </c>
      <c r="F11" s="115"/>
      <c r="G11" s="10"/>
      <c r="H11" s="3" t="s">
        <v>162</v>
      </c>
      <c r="K11" s="10"/>
    </row>
    <row r="12" spans="2:11" ht="15.45" x14ac:dyDescent="0.4">
      <c r="B12" s="114" t="s">
        <v>144</v>
      </c>
      <c r="C12" s="106">
        <v>60</v>
      </c>
      <c r="D12" t="s">
        <v>2</v>
      </c>
      <c r="E12" s="8" t="s">
        <v>140</v>
      </c>
      <c r="F12" s="115"/>
      <c r="G12" s="10"/>
      <c r="H12" s="88" t="s">
        <v>53</v>
      </c>
      <c r="I12" s="8" t="s">
        <v>6</v>
      </c>
    </row>
    <row r="13" spans="2:11" ht="15.45" x14ac:dyDescent="0.4">
      <c r="B13" s="114" t="s">
        <v>48</v>
      </c>
      <c r="C13" s="107">
        <v>92</v>
      </c>
      <c r="D13" s="3" t="s">
        <v>2</v>
      </c>
      <c r="E13" s="8" t="s">
        <v>141</v>
      </c>
      <c r="F13" s="115"/>
      <c r="G13" s="10"/>
      <c r="H13" s="8" t="s">
        <v>45</v>
      </c>
      <c r="I13" s="8" t="s">
        <v>127</v>
      </c>
    </row>
    <row r="14" spans="2:11" ht="15.45" x14ac:dyDescent="0.4">
      <c r="B14" s="114" t="s">
        <v>148</v>
      </c>
      <c r="C14" s="81">
        <f>'3. SexedSemenProtocol Cost'!D80/'3. SexedSemenProtocol Cost'!D68</f>
        <v>0.55200000000000005</v>
      </c>
      <c r="D14" s="3"/>
      <c r="E14" s="22">
        <f>D15/E19</f>
        <v>0.20211689147454784</v>
      </c>
      <c r="F14" s="115"/>
      <c r="G14" s="10"/>
      <c r="H14" s="17">
        <v>0</v>
      </c>
      <c r="I14" s="17">
        <v>0</v>
      </c>
      <c r="J14" s="23" t="s">
        <v>163</v>
      </c>
    </row>
    <row r="15" spans="2:11" ht="15.45" x14ac:dyDescent="0.4">
      <c r="B15" s="114" t="s">
        <v>139</v>
      </c>
      <c r="C15" s="10"/>
      <c r="D15" s="211">
        <f>'1. Key Data &amp; Advantage'!D14</f>
        <v>25</v>
      </c>
      <c r="E15" s="65">
        <f>'3. SexedSemenProtocol Cost'!G51</f>
        <v>2500</v>
      </c>
      <c r="F15" s="115"/>
      <c r="G15" s="10"/>
      <c r="H15" s="17">
        <v>2</v>
      </c>
      <c r="I15" s="17">
        <v>4</v>
      </c>
      <c r="J15" s="23" t="s">
        <v>150</v>
      </c>
    </row>
    <row r="16" spans="2:11" ht="15.45" x14ac:dyDescent="0.4">
      <c r="B16" s="117"/>
      <c r="C16" s="10"/>
      <c r="E16" s="3" t="s">
        <v>79</v>
      </c>
      <c r="F16" s="122" t="s">
        <v>81</v>
      </c>
      <c r="J16" s="196" t="s">
        <v>247</v>
      </c>
    </row>
    <row r="17" spans="2:12" ht="15" x14ac:dyDescent="0.35">
      <c r="B17" s="114" t="s">
        <v>132</v>
      </c>
      <c r="C17" s="10"/>
      <c r="E17" s="64">
        <f>'3. SexedSemenProtocol Cost'!F52</f>
        <v>86.7</v>
      </c>
      <c r="F17" s="175">
        <f>E17*C6</f>
        <v>8670</v>
      </c>
      <c r="G17" s="10"/>
      <c r="H17" s="10"/>
      <c r="I17" s="10"/>
      <c r="J17" s="10"/>
      <c r="K17" s="10"/>
    </row>
    <row r="18" spans="2:12" ht="15" x14ac:dyDescent="0.35">
      <c r="B18" s="114" t="s">
        <v>107</v>
      </c>
      <c r="C18" s="10"/>
      <c r="E18" s="64">
        <f>'3. SexedSemenProtocol Cost'!F55</f>
        <v>36.990799999999993</v>
      </c>
      <c r="F18" s="175">
        <f>E18*C6</f>
        <v>3699.0799999999995</v>
      </c>
      <c r="G18" s="10"/>
      <c r="H18" s="10"/>
      <c r="I18" s="10"/>
      <c r="J18" s="10"/>
      <c r="K18" s="10"/>
    </row>
    <row r="19" spans="2:12" ht="15.45" x14ac:dyDescent="0.4">
      <c r="B19" s="118" t="s">
        <v>151</v>
      </c>
      <c r="C19" s="147"/>
      <c r="D19" s="144"/>
      <c r="E19" s="148">
        <f>E17+E18</f>
        <v>123.6908</v>
      </c>
      <c r="F19" s="176">
        <f>F17+F18</f>
        <v>12369.08</v>
      </c>
      <c r="G19" s="10"/>
      <c r="H19" s="10"/>
      <c r="I19" s="10"/>
      <c r="J19" s="10"/>
      <c r="K19" s="10"/>
    </row>
    <row r="20" spans="2:12" ht="15" x14ac:dyDescent="0.35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2" ht="15.45" x14ac:dyDescent="0.4">
      <c r="B21" s="110" t="s">
        <v>80</v>
      </c>
      <c r="C21" s="111"/>
      <c r="D21" s="111"/>
      <c r="E21" s="111"/>
      <c r="F21" s="113"/>
      <c r="G21" s="10"/>
      <c r="H21" s="10"/>
      <c r="I21" s="10"/>
      <c r="J21" s="10"/>
      <c r="K21" s="10"/>
    </row>
    <row r="22" spans="2:12" ht="15.45" x14ac:dyDescent="0.4">
      <c r="B22" s="116" t="s">
        <v>137</v>
      </c>
      <c r="C22" s="35">
        <f>'3. SexedSemenProtocol Cost'!E103</f>
        <v>0.84479999999999988</v>
      </c>
      <c r="D22" s="3"/>
      <c r="E22" s="10"/>
      <c r="F22" s="115"/>
      <c r="G22" s="10"/>
      <c r="H22" s="10"/>
      <c r="I22" s="10"/>
      <c r="J22" s="10"/>
      <c r="K22" s="10"/>
    </row>
    <row r="23" spans="2:12" ht="15.45" x14ac:dyDescent="0.4">
      <c r="B23" s="114" t="s">
        <v>82</v>
      </c>
      <c r="C23" s="6" t="s">
        <v>106</v>
      </c>
      <c r="E23" s="3" t="s">
        <v>79</v>
      </c>
      <c r="F23" s="122" t="s">
        <v>81</v>
      </c>
      <c r="G23" s="10"/>
      <c r="H23" s="10"/>
      <c r="I23" s="10"/>
      <c r="J23" s="109"/>
      <c r="K23" s="10"/>
    </row>
    <row r="24" spans="2:12" ht="15.45" x14ac:dyDescent="0.4">
      <c r="B24" s="118" t="s">
        <v>152</v>
      </c>
      <c r="C24" s="147">
        <f>'4. Natural Service Bull Cost'!F19</f>
        <v>20</v>
      </c>
      <c r="D24" s="144"/>
      <c r="E24" s="148">
        <f>'4. Natural Service Bull Cost'!G19</f>
        <v>82.568749999999994</v>
      </c>
      <c r="F24" s="176">
        <f>E24*C6</f>
        <v>8256.875</v>
      </c>
      <c r="G24" s="10"/>
      <c r="H24" s="10"/>
      <c r="I24" s="10"/>
      <c r="J24" s="109"/>
      <c r="K24" s="10"/>
    </row>
    <row r="25" spans="2:12" ht="15" x14ac:dyDescent="0.35">
      <c r="C25" s="84"/>
      <c r="E25" s="64"/>
      <c r="F25" s="65"/>
      <c r="G25" s="10"/>
      <c r="H25" s="10"/>
      <c r="I25" s="10"/>
      <c r="J25" s="109"/>
      <c r="K25" s="10"/>
    </row>
    <row r="26" spans="2:12" ht="15.45" x14ac:dyDescent="0.4">
      <c r="B26" s="120" t="s">
        <v>153</v>
      </c>
      <c r="C26" s="120"/>
      <c r="D26" s="140"/>
      <c r="E26" s="121">
        <f>E19-E24</f>
        <v>41.122050000000002</v>
      </c>
      <c r="F26" s="119">
        <f>F19-F24</f>
        <v>4112.2049999999999</v>
      </c>
      <c r="G26" s="10"/>
      <c r="H26" s="10"/>
      <c r="J26" s="3"/>
      <c r="K26" s="10"/>
    </row>
    <row r="27" spans="2:12" ht="15.45" x14ac:dyDescent="0.4">
      <c r="B27" s="131"/>
      <c r="C27" s="112"/>
      <c r="D27" s="163"/>
      <c r="E27" s="163" t="s">
        <v>96</v>
      </c>
      <c r="F27" s="112"/>
      <c r="H27" s="10"/>
      <c r="J27" s="3"/>
      <c r="K27" s="10"/>
      <c r="L27" s="10"/>
    </row>
    <row r="28" spans="2:12" ht="15.45" x14ac:dyDescent="0.4">
      <c r="B28" s="116" t="s">
        <v>257</v>
      </c>
      <c r="C28" s="19" t="s">
        <v>90</v>
      </c>
      <c r="D28" s="19" t="s">
        <v>85</v>
      </c>
      <c r="E28" s="205" t="s">
        <v>97</v>
      </c>
      <c r="F28" s="206"/>
      <c r="H28" s="10"/>
      <c r="J28" s="3"/>
      <c r="K28" s="10"/>
    </row>
    <row r="29" spans="2:12" ht="15.45" x14ac:dyDescent="0.4">
      <c r="B29" s="114" t="s">
        <v>199</v>
      </c>
      <c r="C29" s="66">
        <f>D29*E29*0.01</f>
        <v>901.80000000000007</v>
      </c>
      <c r="D29" s="202">
        <f>'1. Key Data &amp; Advantage'!C7</f>
        <v>540</v>
      </c>
      <c r="E29" s="203">
        <f>'1. Key Data &amp; Advantage'!D7</f>
        <v>167</v>
      </c>
      <c r="H29" s="10"/>
      <c r="J29" s="3"/>
      <c r="K29" s="10"/>
      <c r="L29" s="86"/>
    </row>
    <row r="30" spans="2:12" ht="15.45" x14ac:dyDescent="0.4">
      <c r="B30" s="165" t="s">
        <v>87</v>
      </c>
      <c r="C30" s="66">
        <f>D30*E30*0.01</f>
        <v>724.2</v>
      </c>
      <c r="D30" s="202">
        <f>'1. Key Data &amp; Advantage'!C8</f>
        <v>510</v>
      </c>
      <c r="E30" s="203">
        <f>'1. Key Data &amp; Advantage'!D8</f>
        <v>142</v>
      </c>
      <c r="H30" s="10"/>
      <c r="J30" s="3"/>
      <c r="K30" s="10"/>
      <c r="L30" s="86"/>
    </row>
    <row r="31" spans="2:12" ht="15.45" x14ac:dyDescent="0.4">
      <c r="B31" s="207" t="s">
        <v>161</v>
      </c>
      <c r="C31" s="166">
        <f>C29-C30</f>
        <v>177.60000000000002</v>
      </c>
      <c r="D31" s="204">
        <f>D29-D30</f>
        <v>30</v>
      </c>
      <c r="E31" s="166">
        <f>E29-E30</f>
        <v>25</v>
      </c>
      <c r="H31" s="10"/>
      <c r="J31" s="3"/>
      <c r="K31" s="10"/>
      <c r="L31" s="86"/>
    </row>
    <row r="32" spans="2:12" ht="15.45" x14ac:dyDescent="0.4">
      <c r="B32" s="21"/>
      <c r="C32" s="14"/>
      <c r="D32" s="83"/>
      <c r="H32" s="10"/>
      <c r="I32" s="3"/>
      <c r="L32" s="86"/>
    </row>
    <row r="33" spans="2:11" ht="15.45" x14ac:dyDescent="0.4">
      <c r="B33" s="116" t="s">
        <v>165</v>
      </c>
      <c r="C33" s="71">
        <f>(C34/((D29+D30)/2))*100</f>
        <v>154.85714285714286</v>
      </c>
      <c r="E33" s="129" t="s">
        <v>122</v>
      </c>
      <c r="F33" s="225" t="s">
        <v>81</v>
      </c>
      <c r="G33" s="206"/>
    </row>
    <row r="34" spans="2:11" ht="15.45" x14ac:dyDescent="0.4">
      <c r="B34" s="118" t="s">
        <v>258</v>
      </c>
      <c r="C34" s="119">
        <f>((E29*0.01*$D$29*0.5)+(E30*0.01*D30*0.5))</f>
        <v>813</v>
      </c>
      <c r="D34" s="136" t="s">
        <v>1</v>
      </c>
      <c r="E34" s="130">
        <f>'3. SexedSemenProtocol Cost'!E106</f>
        <v>84.47999999999999</v>
      </c>
      <c r="F34" s="238">
        <f>C34*E34</f>
        <v>68682.239999999991</v>
      </c>
      <c r="G34" s="206"/>
      <c r="H34" s="10"/>
      <c r="I34" s="99"/>
      <c r="K34" s="64"/>
    </row>
    <row r="35" spans="2:11" ht="15" x14ac:dyDescent="0.35">
      <c r="H35" s="10"/>
      <c r="I35" s="99"/>
      <c r="K35" s="64"/>
    </row>
    <row r="36" spans="2:11" ht="15.45" x14ac:dyDescent="0.4">
      <c r="B36" s="128" t="s">
        <v>101</v>
      </c>
      <c r="C36" s="168" t="s">
        <v>134</v>
      </c>
      <c r="D36" s="112"/>
      <c r="E36" s="111" t="s">
        <v>222</v>
      </c>
      <c r="F36" s="164" t="s">
        <v>54</v>
      </c>
      <c r="H36" s="10"/>
      <c r="I36" s="3"/>
      <c r="K36" s="64"/>
    </row>
    <row r="37" spans="2:11" ht="15" x14ac:dyDescent="0.35">
      <c r="B37" s="117"/>
      <c r="D37" s="129" t="s">
        <v>154</v>
      </c>
      <c r="E37" s="16">
        <f>'3. SexedSemenProtocol Cost'!F87</f>
        <v>64.430400000000006</v>
      </c>
      <c r="F37" s="133">
        <f>E37/E40</f>
        <v>0.75283230510375776</v>
      </c>
      <c r="G37" s="5"/>
      <c r="H37" s="64"/>
      <c r="I37" s="10"/>
      <c r="J37" s="10"/>
      <c r="K37" s="97"/>
    </row>
    <row r="38" spans="2:11" ht="15" x14ac:dyDescent="0.35">
      <c r="B38" s="117"/>
      <c r="D38" s="134" t="s">
        <v>5</v>
      </c>
      <c r="E38" s="16">
        <f>'3. SexedSemenProtocol Cost'!F88</f>
        <v>21.153599999999994</v>
      </c>
      <c r="F38" s="133">
        <f>E38/E40</f>
        <v>0.24716769489624221</v>
      </c>
      <c r="I38" s="65"/>
      <c r="J38" s="81"/>
      <c r="K38" s="65"/>
    </row>
    <row r="39" spans="2:11" ht="15.45" x14ac:dyDescent="0.4">
      <c r="B39" s="116" t="s">
        <v>164</v>
      </c>
      <c r="C39" s="14">
        <f>(C40/(($D$29*F37+(D30*$F$38))))*100</f>
        <v>161.08284444275952</v>
      </c>
      <c r="D39" s="81"/>
      <c r="E39" s="16"/>
      <c r="F39" s="135"/>
      <c r="H39" s="10"/>
      <c r="I39" s="10"/>
      <c r="J39" s="10"/>
      <c r="K39" s="97"/>
    </row>
    <row r="40" spans="2:11" ht="15.45" x14ac:dyDescent="0.4">
      <c r="B40" s="132" t="s">
        <v>259</v>
      </c>
      <c r="C40" s="149">
        <f>((E29*0.01*$D$29*F37)+(E30*0.01*D30*$F$38))</f>
        <v>857.90301738642734</v>
      </c>
      <c r="D40" s="169" t="s">
        <v>1</v>
      </c>
      <c r="E40" s="208">
        <f>E37+E38</f>
        <v>85.584000000000003</v>
      </c>
      <c r="F40" s="170">
        <f>C40*E40</f>
        <v>73422.771840000001</v>
      </c>
      <c r="H40" s="10" t="s">
        <v>157</v>
      </c>
      <c r="I40" s="10"/>
      <c r="J40" s="10"/>
      <c r="K40" s="97"/>
    </row>
    <row r="41" spans="2:11" ht="15.45" x14ac:dyDescent="0.4">
      <c r="B41" s="207" t="s">
        <v>260</v>
      </c>
      <c r="C41" s="171"/>
      <c r="D41" s="172"/>
      <c r="E41" s="173"/>
      <c r="F41" s="174">
        <f>F40-F34</f>
        <v>4740.5318400000106</v>
      </c>
      <c r="H41" s="181"/>
    </row>
    <row r="42" spans="2:11" ht="15" x14ac:dyDescent="0.35">
      <c r="H42" s="10"/>
      <c r="I42" s="10"/>
      <c r="J42" s="10"/>
    </row>
    <row r="43" spans="2:11" ht="15.45" x14ac:dyDescent="0.4">
      <c r="B43" s="110" t="s">
        <v>256</v>
      </c>
      <c r="C43" s="177"/>
      <c r="D43" s="178" t="s">
        <v>3</v>
      </c>
      <c r="E43" s="111" t="s">
        <v>90</v>
      </c>
      <c r="F43" s="179" t="s">
        <v>81</v>
      </c>
      <c r="H43" s="10"/>
      <c r="I43" s="10"/>
      <c r="J43" s="10"/>
      <c r="K43" s="10"/>
    </row>
    <row r="44" spans="2:11" ht="15.45" x14ac:dyDescent="0.4">
      <c r="B44" s="114" t="s">
        <v>136</v>
      </c>
      <c r="C44" s="180">
        <v>0</v>
      </c>
      <c r="D44" s="87">
        <f>C44*C6*0.01</f>
        <v>0</v>
      </c>
      <c r="E44" s="65">
        <f>C40</f>
        <v>857.90301738642734</v>
      </c>
      <c r="F44" s="124">
        <f>D44*E44</f>
        <v>0</v>
      </c>
      <c r="H44" s="10" t="s">
        <v>156</v>
      </c>
      <c r="J44" s="80"/>
      <c r="K44" s="80"/>
    </row>
    <row r="45" spans="2:11" ht="15" x14ac:dyDescent="0.35">
      <c r="B45" s="114" t="s">
        <v>105</v>
      </c>
      <c r="C45" s="82" t="s">
        <v>246</v>
      </c>
      <c r="D45" s="65" t="s">
        <v>93</v>
      </c>
      <c r="E45" s="95" t="s">
        <v>102</v>
      </c>
      <c r="F45" s="125"/>
      <c r="I45" s="10"/>
      <c r="J45" s="80"/>
      <c r="K45" s="80"/>
    </row>
    <row r="46" spans="2:11" ht="15.45" x14ac:dyDescent="0.4">
      <c r="B46" s="114"/>
      <c r="C46" s="180">
        <v>15</v>
      </c>
      <c r="D46" s="243">
        <v>2</v>
      </c>
      <c r="E46" s="180">
        <v>50</v>
      </c>
      <c r="F46" s="125"/>
      <c r="G46" s="22">
        <f>'1. Key Data &amp; Advantage'!I37</f>
        <v>0.63208076275939429</v>
      </c>
      <c r="H46" s="10" t="s">
        <v>292</v>
      </c>
      <c r="J46" s="80"/>
      <c r="K46" s="80"/>
    </row>
    <row r="47" spans="2:11" ht="15" x14ac:dyDescent="0.35">
      <c r="B47" s="114" t="s">
        <v>92</v>
      </c>
      <c r="C47" s="85" t="s">
        <v>86</v>
      </c>
      <c r="E47" s="85" t="s">
        <v>94</v>
      </c>
      <c r="F47" s="126"/>
      <c r="I47" s="10"/>
      <c r="J47" s="80"/>
      <c r="K47" s="80"/>
    </row>
    <row r="48" spans="2:11" ht="15.45" x14ac:dyDescent="0.4">
      <c r="B48" s="114"/>
      <c r="C48" s="10">
        <f>C46*D46</f>
        <v>30</v>
      </c>
      <c r="D48" s="127">
        <f>D50*E46*0.01</f>
        <v>42.792000000000002</v>
      </c>
      <c r="E48" s="84">
        <f>C48*D48</f>
        <v>1283.76</v>
      </c>
      <c r="F48" s="124">
        <f>E48*C39*0.01</f>
        <v>2067.9171238183694</v>
      </c>
      <c r="I48" s="96"/>
      <c r="J48" s="80"/>
      <c r="K48" s="80"/>
    </row>
    <row r="49" spans="2:11" ht="15.45" x14ac:dyDescent="0.4">
      <c r="B49" s="114" t="s">
        <v>133</v>
      </c>
      <c r="C49" s="10" t="s">
        <v>86</v>
      </c>
      <c r="D49" s="123" t="s">
        <v>3</v>
      </c>
      <c r="E49" s="8" t="s">
        <v>135</v>
      </c>
      <c r="F49" s="115"/>
      <c r="I49" s="10"/>
      <c r="J49" s="10"/>
      <c r="K49" s="10"/>
    </row>
    <row r="50" spans="2:11" ht="15.45" x14ac:dyDescent="0.4">
      <c r="B50" s="114"/>
      <c r="C50" s="180">
        <v>0</v>
      </c>
      <c r="D50" s="156">
        <f>E50*C6</f>
        <v>85.583999999999989</v>
      </c>
      <c r="E50" s="20">
        <f>'3. SexedSemenProtocol Cost'!G90</f>
        <v>0.85583999999999993</v>
      </c>
      <c r="F50" s="157">
        <f>D50*C50*C39*0.01</f>
        <v>0</v>
      </c>
      <c r="H50" s="10" t="s">
        <v>91</v>
      </c>
      <c r="I50" s="10"/>
      <c r="J50" s="10"/>
      <c r="K50" s="10"/>
    </row>
    <row r="51" spans="2:11" ht="15.45" x14ac:dyDescent="0.4">
      <c r="B51" s="159" t="s">
        <v>261</v>
      </c>
      <c r="C51" s="158">
        <f>((D29*F37)+(D30*F38))+C50+E48/D51</f>
        <v>547.58496915311275</v>
      </c>
      <c r="D51" s="160">
        <f>D50+D44</f>
        <v>85.583999999999989</v>
      </c>
      <c r="E51" s="161">
        <f>E50+C44*0.01</f>
        <v>0.85583999999999993</v>
      </c>
      <c r="F51" s="162">
        <f>F40+F44+F48</f>
        <v>75490.688963818364</v>
      </c>
      <c r="H51" s="10"/>
      <c r="I51" s="10"/>
      <c r="J51" s="10"/>
      <c r="K51" s="10"/>
    </row>
    <row r="52" spans="2:11" ht="15" x14ac:dyDescent="0.35">
      <c r="C52" s="10"/>
      <c r="E52" s="10"/>
      <c r="F52" s="10"/>
      <c r="H52" s="10"/>
      <c r="I52" s="10"/>
      <c r="J52" s="10"/>
      <c r="K52" s="10"/>
    </row>
    <row r="53" spans="2:11" ht="15.45" x14ac:dyDescent="0.4">
      <c r="B53" s="128" t="s">
        <v>251</v>
      </c>
      <c r="C53" s="137"/>
      <c r="D53" s="138"/>
      <c r="E53" s="137"/>
      <c r="F53" s="139">
        <f>SUM(F41:F50)</f>
        <v>6808.4489638183804</v>
      </c>
      <c r="G53" s="10"/>
      <c r="H53" s="10"/>
      <c r="I53" s="10"/>
      <c r="J53" s="10"/>
      <c r="K53" s="10"/>
    </row>
    <row r="54" spans="2:11" ht="15.45" x14ac:dyDescent="0.4">
      <c r="B54" s="132" t="s">
        <v>262</v>
      </c>
      <c r="C54" s="120"/>
      <c r="D54" s="140"/>
      <c r="E54" s="120"/>
      <c r="F54" s="141">
        <f>F53-F26</f>
        <v>2696.2439638183805</v>
      </c>
      <c r="G54" s="10"/>
      <c r="H54" s="10"/>
      <c r="I54" s="10"/>
      <c r="J54" s="10"/>
      <c r="K54" s="10"/>
    </row>
    <row r="55" spans="2:11" ht="15.45" x14ac:dyDescent="0.4">
      <c r="B55" s="114"/>
      <c r="C55" s="10"/>
      <c r="D55" s="8" t="s">
        <v>109</v>
      </c>
      <c r="E55" s="8" t="s">
        <v>109</v>
      </c>
      <c r="F55" s="146" t="s">
        <v>111</v>
      </c>
      <c r="G55" s="10"/>
      <c r="H55" s="10"/>
      <c r="I55" s="10"/>
      <c r="J55" s="10"/>
      <c r="K55" s="10"/>
    </row>
    <row r="56" spans="2:11" ht="15.45" x14ac:dyDescent="0.4">
      <c r="B56" s="132" t="s">
        <v>262</v>
      </c>
      <c r="C56" s="10"/>
      <c r="D56" s="8" t="s">
        <v>110</v>
      </c>
      <c r="E56" s="8" t="s">
        <v>112</v>
      </c>
      <c r="F56" s="146" t="s">
        <v>155</v>
      </c>
      <c r="G56" s="10"/>
      <c r="H56" s="10"/>
      <c r="I56" s="10"/>
      <c r="J56" s="10"/>
      <c r="K56" s="10"/>
    </row>
    <row r="57" spans="2:11" ht="15.45" x14ac:dyDescent="0.4">
      <c r="B57" s="132" t="s">
        <v>113</v>
      </c>
      <c r="C57" s="140"/>
      <c r="D57" s="121">
        <f>F26/C6</f>
        <v>41.122050000000002</v>
      </c>
      <c r="E57" s="142">
        <f>F53/C6</f>
        <v>68.084489638183811</v>
      </c>
      <c r="F57" s="143">
        <f>E57-D57</f>
        <v>26.96243963818381</v>
      </c>
      <c r="G57" s="10"/>
      <c r="H57" s="10"/>
      <c r="I57" s="10"/>
      <c r="J57" s="10"/>
      <c r="K57" s="10"/>
    </row>
    <row r="58" spans="2:11" ht="15" x14ac:dyDescent="0.35">
      <c r="B58" s="117"/>
      <c r="F58" s="115"/>
      <c r="G58" s="10"/>
      <c r="H58" s="10"/>
      <c r="I58" s="10"/>
      <c r="J58" s="10"/>
      <c r="K58" s="10"/>
    </row>
    <row r="59" spans="2:11" ht="15.45" x14ac:dyDescent="0.4">
      <c r="B59" s="118" t="s">
        <v>114</v>
      </c>
      <c r="C59" s="144"/>
      <c r="D59" s="144"/>
      <c r="E59" s="144"/>
      <c r="F59" s="145">
        <f>F57/D57</f>
        <v>0.65566866530690493</v>
      </c>
      <c r="G59" s="10"/>
      <c r="H59" s="10"/>
      <c r="I59" s="10"/>
      <c r="J59" s="10"/>
      <c r="K59" s="10"/>
    </row>
    <row r="60" spans="2:11" ht="15" x14ac:dyDescent="0.3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1" ht="15" x14ac:dyDescent="0.35">
      <c r="B61" s="152" t="s">
        <v>166</v>
      </c>
      <c r="C61" s="10"/>
      <c r="D61" s="10"/>
      <c r="F61" s="10"/>
      <c r="G61" s="10"/>
      <c r="H61" s="10"/>
      <c r="I61" s="10"/>
      <c r="J61" s="10"/>
      <c r="K61" s="10"/>
    </row>
    <row r="62" spans="2:11" ht="15" x14ac:dyDescent="0.35">
      <c r="B62" s="152" t="s">
        <v>160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5" x14ac:dyDescent="0.35">
      <c r="C63" s="10"/>
      <c r="D63" s="10"/>
      <c r="E63" s="10"/>
      <c r="F63" s="10"/>
      <c r="G63" s="10"/>
      <c r="H63" s="10"/>
      <c r="I63" s="10"/>
      <c r="J63" s="10"/>
      <c r="K63" s="10"/>
    </row>
  </sheetData>
  <sheetProtection sheet="1" objects="1" scenarios="1"/>
  <mergeCells count="2">
    <mergeCell ref="B2:F2"/>
    <mergeCell ref="B3:F3"/>
  </mergeCells>
  <phoneticPr fontId="6" type="noConversion"/>
  <pageMargins left="1" right="0.75" top="1" bottom="1" header="0.5" footer="0.5"/>
  <pageSetup scale="69" orientation="portrait" r:id="rId1"/>
  <headerFooter alignWithMargins="0">
    <oddFooter xml:space="preserve">&amp;L&amp;F&amp;R&amp;A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"/>
  <sheetViews>
    <sheetView showGridLines="0" tabSelected="1" zoomScaleNormal="100" workbookViewId="0">
      <pane ySplit="1" topLeftCell="A26" activePane="bottomLeft" state="frozen"/>
      <selection pane="bottomLeft" activeCell="F59" sqref="F59"/>
    </sheetView>
  </sheetViews>
  <sheetFormatPr defaultRowHeight="12.45" x14ac:dyDescent="0.3"/>
  <cols>
    <col min="1" max="1" width="4.15234375" customWidth="1"/>
    <col min="2" max="2" width="47.3046875" customWidth="1"/>
    <col min="3" max="3" width="8.69140625" customWidth="1"/>
    <col min="4" max="4" width="11.69140625" customWidth="1"/>
    <col min="5" max="5" width="11.15234375" customWidth="1"/>
    <col min="6" max="6" width="12.921875" customWidth="1"/>
    <col min="7" max="7" width="11.53515625" customWidth="1"/>
  </cols>
  <sheetData>
    <row r="1" spans="2:8" x14ac:dyDescent="0.3">
      <c r="G1" s="191"/>
    </row>
    <row r="2" spans="2:8" ht="15.45" x14ac:dyDescent="0.4">
      <c r="B2" s="251" t="s">
        <v>42</v>
      </c>
      <c r="C2" s="250"/>
      <c r="D2" s="250"/>
      <c r="E2" s="250"/>
      <c r="F2" s="250"/>
      <c r="G2" s="250"/>
      <c r="H2" s="250"/>
    </row>
    <row r="3" spans="2:8" ht="15.45" x14ac:dyDescent="0.4">
      <c r="B3" s="251" t="s">
        <v>307</v>
      </c>
      <c r="C3" s="251"/>
      <c r="D3" s="251"/>
      <c r="E3" s="251"/>
      <c r="F3" s="251"/>
      <c r="G3" s="251"/>
      <c r="H3" s="250"/>
    </row>
    <row r="4" spans="2:8" ht="15.45" x14ac:dyDescent="0.4">
      <c r="B4" s="3" t="s">
        <v>34</v>
      </c>
      <c r="C4" s="10"/>
      <c r="D4" s="10"/>
      <c r="E4" s="10"/>
      <c r="F4" s="10"/>
      <c r="G4" s="10"/>
      <c r="H4" s="10"/>
    </row>
    <row r="5" spans="2:8" ht="15" x14ac:dyDescent="0.35">
      <c r="B5" s="150" t="s">
        <v>245</v>
      </c>
      <c r="C5" s="150"/>
      <c r="D5" s="150"/>
      <c r="E5" s="150"/>
      <c r="F5" s="150"/>
      <c r="G5" s="150"/>
      <c r="H5" s="150"/>
    </row>
    <row r="6" spans="2:8" ht="15.45" x14ac:dyDescent="0.4">
      <c r="B6" s="153" t="s">
        <v>30</v>
      </c>
      <c r="C6" s="12"/>
      <c r="D6" s="12"/>
      <c r="E6" s="12"/>
      <c r="F6" s="12"/>
      <c r="G6" s="12"/>
      <c r="H6" s="12"/>
    </row>
    <row r="7" spans="2:8" ht="15" x14ac:dyDescent="0.35">
      <c r="B7" s="150" t="s">
        <v>201</v>
      </c>
      <c r="C7" s="150"/>
      <c r="D7" s="150"/>
      <c r="E7" s="150"/>
      <c r="F7" s="150"/>
      <c r="G7" s="150"/>
      <c r="H7" s="150"/>
    </row>
    <row r="8" spans="2:8" ht="15" x14ac:dyDescent="0.35">
      <c r="B8" s="154"/>
      <c r="C8" s="155"/>
      <c r="D8" s="155"/>
      <c r="E8" s="155"/>
      <c r="F8" s="155"/>
      <c r="G8" s="155"/>
      <c r="H8" s="155"/>
    </row>
    <row r="9" spans="2:8" ht="15.45" x14ac:dyDescent="0.4">
      <c r="B9" s="151" t="s">
        <v>158</v>
      </c>
      <c r="C9" s="155"/>
      <c r="D9" s="155"/>
      <c r="E9" s="155"/>
      <c r="F9" s="155"/>
      <c r="G9" s="155"/>
      <c r="H9" s="155"/>
    </row>
    <row r="10" spans="2:8" ht="15" x14ac:dyDescent="0.35">
      <c r="B10" s="259" t="s">
        <v>212</v>
      </c>
      <c r="C10" s="259"/>
      <c r="D10" s="259"/>
      <c r="E10" s="259"/>
      <c r="F10" s="259"/>
      <c r="G10" s="259"/>
      <c r="H10" s="259"/>
    </row>
    <row r="11" spans="2:8" ht="15" x14ac:dyDescent="0.35">
      <c r="B11" s="259" t="s">
        <v>213</v>
      </c>
      <c r="C11" s="259"/>
      <c r="D11" s="259"/>
      <c r="E11" s="259"/>
      <c r="F11" s="259"/>
      <c r="G11" s="259"/>
      <c r="H11" s="259"/>
    </row>
    <row r="12" spans="2:8" ht="15" x14ac:dyDescent="0.35">
      <c r="B12" s="259"/>
      <c r="C12" s="259"/>
      <c r="D12" s="259"/>
      <c r="E12" s="259"/>
      <c r="F12" s="259"/>
      <c r="G12" s="259"/>
      <c r="H12" s="259"/>
    </row>
    <row r="13" spans="2:8" ht="15" x14ac:dyDescent="0.35">
      <c r="B13" s="259" t="s">
        <v>214</v>
      </c>
      <c r="C13" s="259"/>
      <c r="D13" s="259"/>
      <c r="E13" s="259"/>
      <c r="F13" s="259"/>
      <c r="G13" s="259"/>
      <c r="H13" s="259"/>
    </row>
    <row r="14" spans="2:8" ht="15" x14ac:dyDescent="0.35">
      <c r="B14" s="259" t="s">
        <v>215</v>
      </c>
      <c r="C14" s="259"/>
      <c r="D14" s="259"/>
      <c r="E14" s="259"/>
      <c r="F14" s="259"/>
      <c r="G14" s="259"/>
      <c r="H14" s="259"/>
    </row>
    <row r="15" spans="2:8" ht="15" x14ac:dyDescent="0.35">
      <c r="B15" s="259"/>
      <c r="C15" s="259"/>
      <c r="D15" s="259"/>
      <c r="E15" s="259"/>
      <c r="F15" s="259"/>
      <c r="G15" s="259"/>
      <c r="H15" s="259"/>
    </row>
    <row r="16" spans="2:8" ht="15" x14ac:dyDescent="0.35">
      <c r="B16" s="195"/>
      <c r="C16" s="195"/>
      <c r="D16" s="195"/>
      <c r="E16" s="195"/>
      <c r="F16" s="195"/>
      <c r="G16" s="195"/>
      <c r="H16" s="195"/>
    </row>
    <row r="17" spans="2:11" ht="14.15" x14ac:dyDescent="0.35">
      <c r="B17" s="256" t="s">
        <v>202</v>
      </c>
      <c r="C17" s="257"/>
      <c r="D17" s="257"/>
      <c r="E17" s="257"/>
      <c r="F17" s="257"/>
      <c r="G17" s="257"/>
      <c r="H17" s="258"/>
    </row>
    <row r="18" spans="2:11" ht="15" x14ac:dyDescent="0.35">
      <c r="B18" s="21"/>
      <c r="D18" s="38"/>
      <c r="E18" s="38"/>
      <c r="F18" s="38"/>
      <c r="G18" s="38"/>
      <c r="H18" s="21"/>
    </row>
    <row r="19" spans="2:11" ht="15.45" x14ac:dyDescent="0.4">
      <c r="B19" s="3" t="s">
        <v>69</v>
      </c>
      <c r="C19" s="83">
        <f>'2. Summary of IncomeDifference'!C6</f>
        <v>100</v>
      </c>
      <c r="D19" s="3" t="s">
        <v>68</v>
      </c>
      <c r="E19" s="10" t="str">
        <f>IF('2. Summary of IncomeDifference'!C7="S","Steers","Heifer")</f>
        <v>Steers</v>
      </c>
      <c r="F19" s="21"/>
      <c r="G19" s="21"/>
      <c r="H19" s="21"/>
      <c r="I19" s="6"/>
    </row>
    <row r="20" spans="2:11" ht="15.45" x14ac:dyDescent="0.4">
      <c r="B20" s="21"/>
      <c r="C20" s="102"/>
      <c r="D20" s="3"/>
      <c r="E20" s="18"/>
      <c r="F20" s="21"/>
      <c r="G20" s="21"/>
      <c r="H20" s="21"/>
      <c r="I20" s="6"/>
    </row>
    <row r="21" spans="2:11" ht="15" x14ac:dyDescent="0.35">
      <c r="B21" s="10" t="s">
        <v>104</v>
      </c>
      <c r="C21" s="16">
        <f>'2. Summary of IncomeDifference'!C12</f>
        <v>60</v>
      </c>
      <c r="D21" s="10" t="s">
        <v>145</v>
      </c>
      <c r="F21" s="21"/>
      <c r="G21" s="16">
        <f>'2. Summary of IncomeDifference'!C13</f>
        <v>92</v>
      </c>
      <c r="H21" s="21" t="s">
        <v>2</v>
      </c>
    </row>
    <row r="22" spans="2:11" ht="15" x14ac:dyDescent="0.35">
      <c r="B22" s="21" t="s">
        <v>103</v>
      </c>
      <c r="C22" s="16">
        <f>C21*G21*0.01</f>
        <v>55.2</v>
      </c>
      <c r="D22" s="21" t="s">
        <v>2</v>
      </c>
      <c r="F22" s="10" t="s">
        <v>65</v>
      </c>
      <c r="G22" s="16">
        <f>'2. Summary of IncomeDifference'!C11</f>
        <v>90</v>
      </c>
      <c r="H22" s="21" t="s">
        <v>2</v>
      </c>
      <c r="K22" s="21"/>
    </row>
    <row r="23" spans="2:11" ht="15" x14ac:dyDescent="0.35">
      <c r="B23" s="21" t="s">
        <v>16</v>
      </c>
      <c r="C23" s="16">
        <f>'2. Summary of IncomeDifference'!C9</f>
        <v>88</v>
      </c>
      <c r="D23" s="21" t="s">
        <v>2</v>
      </c>
      <c r="E23" s="21"/>
      <c r="F23" s="21"/>
      <c r="G23" s="21"/>
      <c r="H23" s="21"/>
    </row>
    <row r="24" spans="2:11" ht="15" x14ac:dyDescent="0.35">
      <c r="B24" s="10" t="s">
        <v>108</v>
      </c>
      <c r="C24" s="108">
        <f>G90*100</f>
        <v>85.583999999999989</v>
      </c>
      <c r="D24" s="21" t="s">
        <v>2</v>
      </c>
      <c r="E24" s="21"/>
      <c r="F24" s="21"/>
      <c r="G24" s="21"/>
      <c r="H24" s="21"/>
    </row>
    <row r="25" spans="2:11" ht="15" x14ac:dyDescent="0.35">
      <c r="B25" s="21"/>
      <c r="C25" s="21"/>
      <c r="D25" s="40" t="s">
        <v>66</v>
      </c>
      <c r="E25" s="40" t="s">
        <v>6</v>
      </c>
      <c r="F25" s="40" t="s">
        <v>1</v>
      </c>
      <c r="G25" s="21"/>
      <c r="H25" s="21"/>
      <c r="J25" s="10" t="s">
        <v>95</v>
      </c>
    </row>
    <row r="26" spans="2:11" ht="15.45" x14ac:dyDescent="0.4">
      <c r="B26" s="21" t="s">
        <v>17</v>
      </c>
      <c r="C26" s="10" t="s">
        <v>198</v>
      </c>
      <c r="D26" s="91">
        <f t="shared" ref="D26:E28" si="0">D77</f>
        <v>49.680000000000007</v>
      </c>
      <c r="E26" s="91">
        <f t="shared" si="0"/>
        <v>16.399999999999995</v>
      </c>
      <c r="F26" s="91">
        <f>D26+E26</f>
        <v>66.08</v>
      </c>
      <c r="G26" s="26">
        <f>IF(F28=0,0,F26/$F$28)</f>
        <v>0.75090909090909086</v>
      </c>
      <c r="H26" s="21"/>
      <c r="J26" s="66">
        <f>'2. Summary of IncomeDifference'!C40</f>
        <v>857.90301738642734</v>
      </c>
    </row>
    <row r="27" spans="2:11" ht="15.45" x14ac:dyDescent="0.4">
      <c r="B27" s="21"/>
      <c r="C27" s="10" t="s">
        <v>204</v>
      </c>
      <c r="D27" s="91">
        <f t="shared" si="0"/>
        <v>5.5200000000000005</v>
      </c>
      <c r="E27" s="91">
        <f t="shared" si="0"/>
        <v>16.399999999999995</v>
      </c>
      <c r="F27" s="91">
        <f>D27+E27</f>
        <v>21.919999999999995</v>
      </c>
      <c r="G27" s="26">
        <f>IF(F28=0,0,F27/$F$28)</f>
        <v>0.24909090909090903</v>
      </c>
      <c r="H27" s="21"/>
    </row>
    <row r="28" spans="2:11" ht="15.45" x14ac:dyDescent="0.4">
      <c r="B28" s="21"/>
      <c r="C28" s="21" t="s">
        <v>1</v>
      </c>
      <c r="D28" s="92">
        <f t="shared" si="0"/>
        <v>55.20000000000001</v>
      </c>
      <c r="E28" s="92">
        <f t="shared" si="0"/>
        <v>32.79999999999999</v>
      </c>
      <c r="F28" s="92">
        <f>F26+F27</f>
        <v>88</v>
      </c>
      <c r="G28" s="21"/>
      <c r="H28" s="21"/>
    </row>
    <row r="29" spans="2:11" ht="15.45" x14ac:dyDescent="0.4">
      <c r="B29" s="3" t="s">
        <v>8</v>
      </c>
      <c r="C29" s="21"/>
      <c r="D29" s="21" t="s">
        <v>0</v>
      </c>
      <c r="E29" s="21"/>
      <c r="F29" s="41"/>
      <c r="G29" s="41"/>
      <c r="H29" s="21"/>
    </row>
    <row r="30" spans="2:11" ht="15" x14ac:dyDescent="0.35">
      <c r="B30" s="21" t="s">
        <v>9</v>
      </c>
      <c r="C30" s="39"/>
      <c r="D30" s="38">
        <v>21</v>
      </c>
      <c r="E30" s="38"/>
      <c r="F30" s="39"/>
      <c r="G30" s="42"/>
      <c r="H30" s="42"/>
    </row>
    <row r="31" spans="2:11" ht="15" x14ac:dyDescent="0.35">
      <c r="B31" s="21" t="s">
        <v>10</v>
      </c>
      <c r="C31" s="39"/>
      <c r="D31" s="38">
        <v>39</v>
      </c>
      <c r="E31" s="38"/>
      <c r="F31" s="21"/>
      <c r="G31" s="21"/>
      <c r="H31" s="42"/>
    </row>
    <row r="32" spans="2:11" ht="15" x14ac:dyDescent="0.35">
      <c r="B32" s="21" t="s">
        <v>7</v>
      </c>
      <c r="C32" s="39"/>
      <c r="D32" s="43">
        <f>D30+D31</f>
        <v>60</v>
      </c>
      <c r="E32" s="43"/>
      <c r="F32" s="21"/>
      <c r="G32" s="21"/>
      <c r="H32" s="42"/>
    </row>
    <row r="33" spans="2:9" ht="15.45" x14ac:dyDescent="0.4">
      <c r="B33" s="21"/>
      <c r="C33" s="44"/>
      <c r="D33" s="8" t="s">
        <v>33</v>
      </c>
      <c r="E33" s="45"/>
      <c r="F33" s="8" t="s">
        <v>31</v>
      </c>
      <c r="G33" s="40"/>
      <c r="H33" s="46" t="s">
        <v>32</v>
      </c>
      <c r="I33" s="4"/>
    </row>
    <row r="34" spans="2:9" ht="15.45" x14ac:dyDescent="0.4">
      <c r="B34" s="3" t="s">
        <v>13</v>
      </c>
      <c r="C34" s="47" t="s">
        <v>11</v>
      </c>
      <c r="D34" s="8" t="s">
        <v>11</v>
      </c>
      <c r="E34" s="48" t="s">
        <v>14</v>
      </c>
      <c r="F34" s="8" t="s">
        <v>83</v>
      </c>
      <c r="G34" s="8" t="s">
        <v>1</v>
      </c>
      <c r="H34" s="8" t="s">
        <v>1</v>
      </c>
      <c r="I34" s="4"/>
    </row>
    <row r="35" spans="2:9" ht="15" x14ac:dyDescent="0.35">
      <c r="B35" s="100" t="s">
        <v>123</v>
      </c>
      <c r="C35" s="100" t="s">
        <v>3</v>
      </c>
      <c r="D35" s="89">
        <f>C19</f>
        <v>100</v>
      </c>
      <c r="E35" s="39">
        <v>5</v>
      </c>
      <c r="F35" s="49">
        <f>IF($C$19=0,0,G35/$C$19)</f>
        <v>5</v>
      </c>
      <c r="G35" s="42">
        <f>D35*E35</f>
        <v>500</v>
      </c>
      <c r="H35" s="50">
        <f t="shared" ref="H35:H44" si="1">G35/$G$57</f>
        <v>4.0423378294909572E-2</v>
      </c>
      <c r="I35" s="4"/>
    </row>
    <row r="36" spans="2:9" ht="15" x14ac:dyDescent="0.35">
      <c r="B36" s="167" t="s">
        <v>124</v>
      </c>
      <c r="C36" s="100" t="s">
        <v>3</v>
      </c>
      <c r="D36" s="89">
        <f>D35</f>
        <v>100</v>
      </c>
      <c r="E36" s="39">
        <v>10</v>
      </c>
      <c r="F36" s="49">
        <f>IF($C$19=0,0,G36/$C$19)</f>
        <v>10</v>
      </c>
      <c r="G36" s="42">
        <f>D36*E36</f>
        <v>1000</v>
      </c>
      <c r="H36" s="50">
        <f t="shared" si="1"/>
        <v>8.0846756589819144E-2</v>
      </c>
      <c r="I36" s="4"/>
    </row>
    <row r="37" spans="2:9" ht="15" x14ac:dyDescent="0.35">
      <c r="B37" s="167" t="s">
        <v>125</v>
      </c>
      <c r="C37" s="100" t="s">
        <v>3</v>
      </c>
      <c r="D37" s="89">
        <f t="shared" ref="D37:D39" si="2">D36</f>
        <v>100</v>
      </c>
      <c r="E37" s="39">
        <v>8</v>
      </c>
      <c r="F37" s="49">
        <f t="shared" ref="F37:F47" si="3">IF($C$19=0,0,G37/$C$19)</f>
        <v>8</v>
      </c>
      <c r="G37" s="42">
        <f>D37*E37</f>
        <v>800</v>
      </c>
      <c r="H37" s="50">
        <f t="shared" si="1"/>
        <v>6.4677405271855309E-2</v>
      </c>
      <c r="I37" s="4"/>
    </row>
    <row r="38" spans="2:9" ht="15" x14ac:dyDescent="0.35">
      <c r="B38" s="100" t="s">
        <v>200</v>
      </c>
      <c r="C38" s="100" t="s">
        <v>3</v>
      </c>
      <c r="D38" s="89">
        <f t="shared" si="2"/>
        <v>100</v>
      </c>
      <c r="E38" s="39">
        <v>1</v>
      </c>
      <c r="F38" s="49">
        <f t="shared" si="3"/>
        <v>1</v>
      </c>
      <c r="G38" s="42">
        <f t="shared" ref="G38:G46" si="4">D38*E38</f>
        <v>100</v>
      </c>
      <c r="H38" s="50">
        <f t="shared" si="1"/>
        <v>8.0846756589819137E-3</v>
      </c>
      <c r="I38" s="4"/>
    </row>
    <row r="39" spans="2:9" ht="15" x14ac:dyDescent="0.35">
      <c r="B39" s="167" t="s">
        <v>36</v>
      </c>
      <c r="C39" s="100" t="s">
        <v>3</v>
      </c>
      <c r="D39" s="89">
        <f t="shared" si="2"/>
        <v>100</v>
      </c>
      <c r="E39" s="39">
        <v>8</v>
      </c>
      <c r="F39" s="49">
        <f t="shared" si="3"/>
        <v>8</v>
      </c>
      <c r="G39" s="42">
        <f t="shared" si="4"/>
        <v>800</v>
      </c>
      <c r="H39" s="50">
        <f t="shared" si="1"/>
        <v>6.4677405271855309E-2</v>
      </c>
      <c r="I39" s="4"/>
    </row>
    <row r="40" spans="2:9" ht="15" x14ac:dyDescent="0.35">
      <c r="B40" s="100" t="s">
        <v>207</v>
      </c>
      <c r="C40" s="100" t="s">
        <v>206</v>
      </c>
      <c r="D40" s="93">
        <v>2</v>
      </c>
      <c r="E40" s="39">
        <v>110</v>
      </c>
      <c r="F40" s="49">
        <f t="shared" ref="F40" si="5">IF($C$19=0,0,G40/$C$19)</f>
        <v>2.2000000000000002</v>
      </c>
      <c r="G40" s="42">
        <f t="shared" ref="G40" si="6">D40*E40</f>
        <v>220</v>
      </c>
      <c r="H40" s="50">
        <f t="shared" si="1"/>
        <v>1.778628644976021E-2</v>
      </c>
      <c r="I40" s="4"/>
    </row>
    <row r="41" spans="2:9" ht="15" x14ac:dyDescent="0.35">
      <c r="B41" s="100" t="s">
        <v>37</v>
      </c>
      <c r="C41" s="100" t="s">
        <v>3</v>
      </c>
      <c r="D41" s="89">
        <f>D35</f>
        <v>100</v>
      </c>
      <c r="E41" s="39">
        <v>5</v>
      </c>
      <c r="F41" s="49">
        <f t="shared" si="3"/>
        <v>5</v>
      </c>
      <c r="G41" s="42">
        <f t="shared" si="4"/>
        <v>500</v>
      </c>
      <c r="H41" s="50">
        <f t="shared" si="1"/>
        <v>4.0423378294909572E-2</v>
      </c>
      <c r="I41" s="4"/>
    </row>
    <row r="42" spans="2:9" ht="15" x14ac:dyDescent="0.35">
      <c r="B42" s="100" t="s">
        <v>12</v>
      </c>
      <c r="C42" s="100" t="s">
        <v>3</v>
      </c>
      <c r="D42" s="89">
        <f t="shared" ref="D42:D44" si="7">D36</f>
        <v>100</v>
      </c>
      <c r="E42" s="39">
        <v>0</v>
      </c>
      <c r="F42" s="49">
        <f t="shared" si="3"/>
        <v>0</v>
      </c>
      <c r="G42" s="42">
        <f t="shared" si="4"/>
        <v>0</v>
      </c>
      <c r="H42" s="50">
        <f t="shared" si="1"/>
        <v>0</v>
      </c>
      <c r="I42" s="4"/>
    </row>
    <row r="43" spans="2:9" ht="15" x14ac:dyDescent="0.35">
      <c r="B43" s="100" t="s">
        <v>12</v>
      </c>
      <c r="C43" s="100" t="s">
        <v>3</v>
      </c>
      <c r="D43" s="89">
        <f t="shared" si="7"/>
        <v>100</v>
      </c>
      <c r="E43" s="39">
        <v>0</v>
      </c>
      <c r="F43" s="49">
        <f t="shared" si="3"/>
        <v>0</v>
      </c>
      <c r="G43" s="42">
        <f>D43*E43</f>
        <v>0</v>
      </c>
      <c r="H43" s="50">
        <f t="shared" si="1"/>
        <v>0</v>
      </c>
      <c r="I43" s="4"/>
    </row>
    <row r="44" spans="2:9" ht="15" x14ac:dyDescent="0.35">
      <c r="B44" s="100" t="s">
        <v>12</v>
      </c>
      <c r="C44" s="100" t="s">
        <v>3</v>
      </c>
      <c r="D44" s="89">
        <f t="shared" si="7"/>
        <v>100</v>
      </c>
      <c r="E44" s="39">
        <v>0</v>
      </c>
      <c r="F44" s="49">
        <f t="shared" si="3"/>
        <v>0</v>
      </c>
      <c r="G44" s="42">
        <f t="shared" si="4"/>
        <v>0</v>
      </c>
      <c r="H44" s="50">
        <f t="shared" si="1"/>
        <v>0</v>
      </c>
      <c r="I44" s="4"/>
    </row>
    <row r="45" spans="2:9" ht="15" x14ac:dyDescent="0.35">
      <c r="B45" s="94" t="s">
        <v>208</v>
      </c>
      <c r="C45" s="100" t="s">
        <v>209</v>
      </c>
      <c r="D45" s="93">
        <v>6</v>
      </c>
      <c r="F45" s="49"/>
      <c r="G45" s="42"/>
      <c r="H45" s="50"/>
      <c r="I45" s="4"/>
    </row>
    <row r="46" spans="2:9" ht="15" x14ac:dyDescent="0.35">
      <c r="B46" s="94" t="s">
        <v>210</v>
      </c>
      <c r="C46" s="100" t="s">
        <v>3</v>
      </c>
      <c r="D46" s="89">
        <f>D45*D44</f>
        <v>600</v>
      </c>
      <c r="E46" s="39">
        <v>3</v>
      </c>
      <c r="F46" s="49">
        <f>D46*E46/D43</f>
        <v>18</v>
      </c>
      <c r="G46" s="42">
        <f t="shared" si="4"/>
        <v>1800</v>
      </c>
      <c r="H46" s="50">
        <f>G46/$G$57</f>
        <v>0.14552416186167447</v>
      </c>
      <c r="I46" s="4"/>
    </row>
    <row r="47" spans="2:9" ht="15" x14ac:dyDescent="0.35">
      <c r="B47" s="94" t="s">
        <v>211</v>
      </c>
      <c r="C47" s="100" t="s">
        <v>0</v>
      </c>
      <c r="D47" s="93">
        <v>3</v>
      </c>
      <c r="E47" s="39">
        <v>150</v>
      </c>
      <c r="F47" s="49">
        <f t="shared" si="3"/>
        <v>4.5</v>
      </c>
      <c r="G47" s="42">
        <f>D47*E47</f>
        <v>450</v>
      </c>
      <c r="H47" s="50">
        <f>G47/$G$57</f>
        <v>3.6381040465418617E-2</v>
      </c>
      <c r="I47" s="4"/>
    </row>
    <row r="48" spans="2:9" ht="15.45" x14ac:dyDescent="0.4">
      <c r="B48" s="197" t="s">
        <v>84</v>
      </c>
      <c r="C48" s="100"/>
      <c r="E48" s="39"/>
      <c r="F48" s="57">
        <f>SUM(F35:F47)</f>
        <v>61.7</v>
      </c>
      <c r="G48" s="42"/>
      <c r="H48" s="50"/>
      <c r="I48" s="4"/>
    </row>
    <row r="49" spans="1:13" ht="15" x14ac:dyDescent="0.35">
      <c r="B49" s="39"/>
      <c r="C49" s="39"/>
      <c r="D49" s="40" t="s">
        <v>4</v>
      </c>
      <c r="E49" s="39"/>
      <c r="F49" s="51"/>
      <c r="G49" s="42"/>
      <c r="H49" s="42"/>
      <c r="I49" s="4"/>
    </row>
    <row r="50" spans="1:13" ht="15" x14ac:dyDescent="0.35">
      <c r="B50" s="21"/>
      <c r="D50" s="40" t="s">
        <v>126</v>
      </c>
      <c r="E50" s="40" t="s">
        <v>15</v>
      </c>
      <c r="F50" s="49"/>
      <c r="G50" s="21"/>
      <c r="H50" s="40"/>
    </row>
    <row r="51" spans="1:13" ht="15.45" x14ac:dyDescent="0.4">
      <c r="B51" s="3" t="s">
        <v>146</v>
      </c>
      <c r="C51" s="52"/>
      <c r="D51" s="38">
        <v>1</v>
      </c>
      <c r="E51" s="199">
        <f>'2. Summary of IncomeDifference'!D15</f>
        <v>25</v>
      </c>
      <c r="F51" s="49">
        <f>IF($C$19=0,0,G51/$C$19)</f>
        <v>25</v>
      </c>
      <c r="G51" s="42">
        <f>D51*E51*C19</f>
        <v>2500</v>
      </c>
      <c r="H51" s="50">
        <f>G51/$G$57</f>
        <v>0.20211689147454787</v>
      </c>
      <c r="K51" s="1"/>
      <c r="L51" s="5"/>
      <c r="M51" s="5"/>
    </row>
    <row r="52" spans="1:13" ht="15.45" x14ac:dyDescent="0.4">
      <c r="B52" s="3" t="s">
        <v>84</v>
      </c>
      <c r="C52" s="40"/>
      <c r="D52" s="40"/>
      <c r="E52" s="45"/>
      <c r="F52" s="57">
        <f>SUM(F48:F51)</f>
        <v>86.7</v>
      </c>
      <c r="G52" s="53"/>
      <c r="H52" s="53"/>
      <c r="K52" s="7">
        <f>SUM(F35:F51)</f>
        <v>148.4</v>
      </c>
      <c r="L52" t="s">
        <v>41</v>
      </c>
    </row>
    <row r="53" spans="1:13" ht="15" x14ac:dyDescent="0.35">
      <c r="B53" s="21"/>
      <c r="C53" s="38"/>
      <c r="D53" s="54"/>
      <c r="E53" s="45"/>
      <c r="F53" s="51"/>
      <c r="G53" s="53"/>
      <c r="H53" s="53"/>
    </row>
    <row r="54" spans="1:13" ht="15" x14ac:dyDescent="0.35">
      <c r="B54" s="21" t="s">
        <v>89</v>
      </c>
      <c r="C54" s="41">
        <f>E68</f>
        <v>44.79999999999999</v>
      </c>
      <c r="D54" s="40" t="str">
        <f>+E19</f>
        <v>Steers</v>
      </c>
      <c r="E54" s="198" t="s">
        <v>216</v>
      </c>
      <c r="F54" s="51"/>
      <c r="G54" s="53"/>
      <c r="H54" s="53"/>
    </row>
    <row r="55" spans="1:13" ht="15.45" x14ac:dyDescent="0.4">
      <c r="B55" s="21" t="s">
        <v>88</v>
      </c>
      <c r="C55" s="16">
        <f>'4. Natural Service Bull Cost'!F19</f>
        <v>20</v>
      </c>
      <c r="D55" s="55">
        <f>C54/C55</f>
        <v>2.2399999999999993</v>
      </c>
      <c r="E55" s="56">
        <f>'4. Natural Service Bull Cost'!E19</f>
        <v>1651.375</v>
      </c>
      <c r="F55" s="57">
        <f>IF($C$19=0,0,G55/$C$19)</f>
        <v>36.990799999999993</v>
      </c>
      <c r="G55" s="53">
        <f>D55*E55</f>
        <v>3699.079999999999</v>
      </c>
      <c r="H55" s="50">
        <f>G55/$G$57</f>
        <v>0.29905862036626812</v>
      </c>
    </row>
    <row r="56" spans="1:13" ht="15" x14ac:dyDescent="0.35">
      <c r="B56" s="21"/>
      <c r="C56" s="21"/>
      <c r="D56" s="21"/>
      <c r="E56" s="21"/>
      <c r="F56" s="49"/>
      <c r="G56" s="53"/>
      <c r="H56" s="53"/>
    </row>
    <row r="57" spans="1:13" ht="15.45" x14ac:dyDescent="0.4">
      <c r="B57" s="3" t="s">
        <v>70</v>
      </c>
      <c r="C57" s="3"/>
      <c r="D57" s="3"/>
      <c r="E57" s="3"/>
      <c r="F57" s="57">
        <f>F52+F55</f>
        <v>123.6908</v>
      </c>
      <c r="G57" s="58">
        <f>SUM(G35:G55)</f>
        <v>12369.079999999998</v>
      </c>
      <c r="H57" s="53"/>
      <c r="I57" s="2"/>
    </row>
    <row r="58" spans="1:13" ht="15.45" x14ac:dyDescent="0.4">
      <c r="B58" s="3"/>
      <c r="C58" s="3"/>
      <c r="D58" s="3"/>
      <c r="E58" s="3"/>
      <c r="F58" s="57"/>
      <c r="G58" s="58"/>
      <c r="H58" s="53"/>
      <c r="I58" s="2"/>
    </row>
    <row r="59" spans="1:13" ht="15.45" x14ac:dyDescent="0.4">
      <c r="B59" s="3" t="s">
        <v>71</v>
      </c>
      <c r="C59" s="8" t="s">
        <v>3</v>
      </c>
      <c r="D59" s="59">
        <f>F28</f>
        <v>88</v>
      </c>
      <c r="E59" s="3"/>
      <c r="F59" s="61">
        <f>G57/F28</f>
        <v>140.55772727272725</v>
      </c>
      <c r="G59" s="21"/>
      <c r="H59" s="53"/>
      <c r="I59" s="2"/>
    </row>
    <row r="60" spans="1:13" ht="15.45" x14ac:dyDescent="0.4">
      <c r="B60" s="3" t="s">
        <v>67</v>
      </c>
      <c r="C60" s="21"/>
      <c r="D60" s="21"/>
      <c r="E60" s="21"/>
      <c r="F60" s="60"/>
      <c r="G60" s="53"/>
      <c r="H60" s="53"/>
    </row>
    <row r="62" spans="1:13" ht="17.600000000000001" x14ac:dyDescent="0.4">
      <c r="A62" s="30"/>
      <c r="B62" s="3" t="s">
        <v>98</v>
      </c>
      <c r="C62" s="10"/>
      <c r="D62" s="10"/>
      <c r="E62" s="10"/>
      <c r="F62" s="10"/>
      <c r="G62" s="10"/>
      <c r="H62" s="13"/>
      <c r="I62" s="14"/>
    </row>
    <row r="63" spans="1:13" ht="15" x14ac:dyDescent="0.35">
      <c r="B63" s="10" t="s">
        <v>203</v>
      </c>
      <c r="E63" s="64" t="str">
        <f>E19</f>
        <v>Steers</v>
      </c>
      <c r="G63" s="10"/>
    </row>
    <row r="64" spans="1:13" ht="15" x14ac:dyDescent="0.35">
      <c r="B64" s="10" t="s">
        <v>43</v>
      </c>
      <c r="E64" s="84">
        <f>G22</f>
        <v>90</v>
      </c>
    </row>
    <row r="65" spans="2:10" ht="15" x14ac:dyDescent="0.35">
      <c r="B65" s="10" t="s">
        <v>99</v>
      </c>
      <c r="E65" s="87">
        <f>C23</f>
        <v>88</v>
      </c>
    </row>
    <row r="66" spans="2:10" ht="15.45" x14ac:dyDescent="0.4">
      <c r="B66" s="10" t="s">
        <v>104</v>
      </c>
      <c r="E66" s="37">
        <f>C21</f>
        <v>60</v>
      </c>
    </row>
    <row r="67" spans="2:10" ht="15.45" x14ac:dyDescent="0.4">
      <c r="B67" s="3" t="s">
        <v>44</v>
      </c>
      <c r="D67" s="8" t="s">
        <v>45</v>
      </c>
      <c r="E67" s="8" t="s">
        <v>46</v>
      </c>
    </row>
    <row r="68" spans="2:10" ht="15.45" x14ac:dyDescent="0.4">
      <c r="B68" s="10" t="s">
        <v>47</v>
      </c>
      <c r="D68" s="15">
        <f>C19</f>
        <v>100</v>
      </c>
      <c r="E68" s="16">
        <f>IF(E70=0,0,D68-D80)</f>
        <v>44.79999999999999</v>
      </c>
      <c r="F68" s="10"/>
      <c r="I68" s="87">
        <f>((E65*D68*0.01)-(D80))</f>
        <v>32.79999999999999</v>
      </c>
      <c r="J68" s="3" t="s">
        <v>100</v>
      </c>
    </row>
    <row r="69" spans="2:10" ht="15.45" x14ac:dyDescent="0.4">
      <c r="B69" s="10" t="s">
        <v>48</v>
      </c>
      <c r="C69" s="3">
        <f>G21</f>
        <v>92</v>
      </c>
      <c r="D69" s="16">
        <f>C69*E66*0.01</f>
        <v>55.2</v>
      </c>
    </row>
    <row r="70" spans="2:10" ht="15" x14ac:dyDescent="0.35">
      <c r="B70" s="10" t="s">
        <v>49</v>
      </c>
      <c r="D70" s="10"/>
      <c r="E70" s="16">
        <f>(I68/(D68-D80)*100)</f>
        <v>73.214285714285708</v>
      </c>
    </row>
    <row r="71" spans="2:10" ht="15" x14ac:dyDescent="0.35">
      <c r="B71" s="10" t="s">
        <v>50</v>
      </c>
      <c r="D71" s="10">
        <f>'2. Summary of IncomeDifference'!H14</f>
        <v>0</v>
      </c>
      <c r="E71" s="10">
        <f>'2. Summary of IncomeDifference'!I14</f>
        <v>0</v>
      </c>
      <c r="G71" s="10"/>
    </row>
    <row r="72" spans="2:10" ht="15" x14ac:dyDescent="0.35">
      <c r="B72" s="10" t="s">
        <v>51</v>
      </c>
      <c r="D72" s="10">
        <f>'2. Summary of IncomeDifference'!H15</f>
        <v>2</v>
      </c>
      <c r="E72" s="10">
        <f>'2. Summary of IncomeDifference'!I15</f>
        <v>4</v>
      </c>
      <c r="G72" s="10"/>
    </row>
    <row r="73" spans="2:10" ht="15" x14ac:dyDescent="0.35">
      <c r="B73" s="10" t="s">
        <v>52</v>
      </c>
      <c r="D73" s="104">
        <f>E51</f>
        <v>25</v>
      </c>
      <c r="E73" s="18"/>
    </row>
    <row r="74" spans="2:10" ht="15" x14ac:dyDescent="0.35">
      <c r="B74" s="10"/>
      <c r="D74" s="10"/>
      <c r="E74" s="10"/>
    </row>
    <row r="75" spans="2:10" ht="15.45" x14ac:dyDescent="0.4">
      <c r="B75" s="10" t="s">
        <v>101</v>
      </c>
      <c r="D75" s="88" t="s">
        <v>53</v>
      </c>
      <c r="E75" s="10"/>
    </row>
    <row r="76" spans="2:10" ht="15.45" x14ac:dyDescent="0.4">
      <c r="B76" s="10"/>
      <c r="C76" s="10"/>
      <c r="D76" s="8" t="s">
        <v>45</v>
      </c>
      <c r="E76" s="19" t="s">
        <v>6</v>
      </c>
      <c r="F76" s="19" t="s">
        <v>1</v>
      </c>
      <c r="G76" s="19" t="s">
        <v>54</v>
      </c>
    </row>
    <row r="77" spans="2:10" ht="15" x14ac:dyDescent="0.35">
      <c r="B77" s="10" t="s">
        <v>17</v>
      </c>
      <c r="C77" s="10" t="s">
        <v>154</v>
      </c>
      <c r="D77" s="89">
        <f>IF(D75="Sexed",(IF($E$63="Steers",(D$69*0.01*$E$64*0.01*D$68),(D$69*0.01*(100-$E$64)*0.01*D$68))),(D$68*D$69*0.01*0.5))</f>
        <v>49.680000000000007</v>
      </c>
      <c r="E77" s="89">
        <f>IF(E70=0,0,(E68)*0.5*0.01*$E$70)</f>
        <v>16.399999999999995</v>
      </c>
      <c r="F77" s="89">
        <f>D77+E77</f>
        <v>66.08</v>
      </c>
      <c r="G77" s="20">
        <f>IF(F79=0,0,F77/$F$79)</f>
        <v>0.75090909090909086</v>
      </c>
    </row>
    <row r="78" spans="2:10" ht="15" x14ac:dyDescent="0.35">
      <c r="B78" s="10"/>
      <c r="C78" s="10" t="s">
        <v>204</v>
      </c>
      <c r="D78" s="89">
        <f>IF(D75="Sexed",(IF($E$63="Heifer",(D$69*0.01*$E$64*0.01*D$68),(D$69*0.01*(100-$E$64)*0.01*D$68))),(D$68*D$69*0.01*0.5))</f>
        <v>5.5200000000000005</v>
      </c>
      <c r="E78" s="89">
        <f>IF(E75="Sexed",(IF($E$63="Heifer",(E$70*0.01*$E$64*0.01*E$68),(E$70*0.01*(100-$E$64)*0.01*E$68))),(E$68*E$70*0.01*0.5))</f>
        <v>16.399999999999995</v>
      </c>
      <c r="F78" s="89">
        <f>D78+E78</f>
        <v>21.919999999999995</v>
      </c>
      <c r="G78" s="20">
        <f>IF(F79=0,0,F78/$F$79)</f>
        <v>0.24909090909090903</v>
      </c>
    </row>
    <row r="79" spans="2:10" ht="15.45" x14ac:dyDescent="0.4">
      <c r="B79" s="10"/>
      <c r="C79" s="10" t="s">
        <v>1</v>
      </c>
      <c r="D79" s="89">
        <f>D77+D78</f>
        <v>55.20000000000001</v>
      </c>
      <c r="E79" s="89">
        <f>E77+E78</f>
        <v>32.79999999999999</v>
      </c>
      <c r="F79" s="90">
        <f>F77+F78</f>
        <v>88</v>
      </c>
      <c r="G79" s="20"/>
    </row>
    <row r="80" spans="2:10" ht="15.45" x14ac:dyDescent="0.4">
      <c r="B80" s="3" t="s">
        <v>55</v>
      </c>
      <c r="C80" s="21"/>
      <c r="D80" s="90">
        <f>D77+D78</f>
        <v>55.20000000000001</v>
      </c>
      <c r="E80" s="90">
        <f>E77+E78</f>
        <v>32.79999999999999</v>
      </c>
      <c r="F80" s="91">
        <f>SUM(D80:E80)</f>
        <v>88</v>
      </c>
      <c r="G80" s="22">
        <f>F80/D68</f>
        <v>0.88</v>
      </c>
    </row>
    <row r="81" spans="2:9" ht="15.45" x14ac:dyDescent="0.4">
      <c r="B81" s="21" t="s">
        <v>56</v>
      </c>
      <c r="C81" s="21"/>
      <c r="D81" s="92">
        <f>D71</f>
        <v>0</v>
      </c>
      <c r="E81" s="92">
        <f>E71</f>
        <v>0</v>
      </c>
      <c r="F81" s="91"/>
      <c r="G81" s="23"/>
    </row>
    <row r="82" spans="2:9" ht="15.45" x14ac:dyDescent="0.4">
      <c r="B82" s="21" t="s">
        <v>57</v>
      </c>
      <c r="C82" s="21"/>
      <c r="D82" s="92">
        <f>(D80*(1-D81*0.01))</f>
        <v>55.20000000000001</v>
      </c>
      <c r="E82" s="92">
        <f>(E80*(1-E81*0.01))</f>
        <v>32.79999999999999</v>
      </c>
      <c r="F82" s="91">
        <f>SUM(D82:E82)</f>
        <v>88</v>
      </c>
      <c r="G82" s="24"/>
    </row>
    <row r="83" spans="2:9" ht="15.45" x14ac:dyDescent="0.4">
      <c r="B83" s="3" t="s">
        <v>58</v>
      </c>
      <c r="C83" s="21"/>
      <c r="D83" s="91"/>
      <c r="E83" s="91"/>
      <c r="F83" s="92"/>
      <c r="G83" s="22">
        <f>(F82/D68)</f>
        <v>0.88</v>
      </c>
    </row>
    <row r="84" spans="2:9" ht="15.45" x14ac:dyDescent="0.4">
      <c r="B84" s="21" t="s">
        <v>59</v>
      </c>
      <c r="C84" s="21"/>
      <c r="D84" s="92">
        <f>+D72</f>
        <v>2</v>
      </c>
      <c r="E84" s="92">
        <f>+E72</f>
        <v>4</v>
      </c>
      <c r="F84" s="91"/>
      <c r="G84" s="23"/>
    </row>
    <row r="85" spans="2:9" ht="15.45" x14ac:dyDescent="0.4">
      <c r="B85" s="21" t="s">
        <v>60</v>
      </c>
      <c r="C85" s="21"/>
      <c r="D85" s="92">
        <f>(D82*(1-D84*0.01))</f>
        <v>54.096000000000011</v>
      </c>
      <c r="E85" s="92">
        <f>(E82*(1-E84*0.01))</f>
        <v>31.487999999999989</v>
      </c>
      <c r="F85" s="91">
        <f>SUM(D85:E85)</f>
        <v>85.584000000000003</v>
      </c>
    </row>
    <row r="86" spans="2:9" ht="15.45" x14ac:dyDescent="0.4">
      <c r="B86" s="3" t="s">
        <v>61</v>
      </c>
      <c r="C86" s="21"/>
      <c r="D86" s="26">
        <f>D85/D80</f>
        <v>0.98</v>
      </c>
      <c r="E86" s="26">
        <f>IF(E80=0,0,E85/E80)</f>
        <v>0.96</v>
      </c>
      <c r="F86" s="25"/>
    </row>
    <row r="87" spans="2:9" ht="15" x14ac:dyDescent="0.35">
      <c r="B87" s="10" t="s">
        <v>62</v>
      </c>
      <c r="C87" s="10" t="s">
        <v>154</v>
      </c>
      <c r="D87" s="27">
        <f>D$86*D77</f>
        <v>48.686400000000006</v>
      </c>
      <c r="E87" s="27">
        <f>E86*E77</f>
        <v>15.743999999999994</v>
      </c>
      <c r="F87" s="28">
        <f>SUM(D87:E87)</f>
        <v>64.430400000000006</v>
      </c>
      <c r="G87" s="181">
        <f>F87/F89</f>
        <v>0.75283230510375787</v>
      </c>
    </row>
    <row r="88" spans="2:9" ht="15" x14ac:dyDescent="0.35">
      <c r="C88" s="10" t="s">
        <v>5</v>
      </c>
      <c r="D88" s="27">
        <f>D86*D78</f>
        <v>5.4096000000000002</v>
      </c>
      <c r="E88" s="27">
        <f>E86*E78</f>
        <v>15.743999999999994</v>
      </c>
      <c r="F88" s="28">
        <f>SUM(D88:E88)</f>
        <v>21.153599999999994</v>
      </c>
      <c r="G88" s="181">
        <f>F88/F89</f>
        <v>0.24716769489624224</v>
      </c>
    </row>
    <row r="89" spans="2:9" ht="15.45" x14ac:dyDescent="0.4">
      <c r="B89" s="3" t="s">
        <v>62</v>
      </c>
      <c r="C89" s="6"/>
      <c r="D89" s="92">
        <f>D87+D88</f>
        <v>54.096000000000004</v>
      </c>
      <c r="E89" s="92">
        <f>E87+E88</f>
        <v>31.487999999999989</v>
      </c>
      <c r="F89" s="92">
        <f>D89+E89</f>
        <v>85.583999999999989</v>
      </c>
    </row>
    <row r="90" spans="2:9" ht="15.45" x14ac:dyDescent="0.4">
      <c r="B90" s="21" t="s">
        <v>63</v>
      </c>
      <c r="C90" s="21"/>
      <c r="D90" s="29">
        <f>IF(D68=0,0,D89/D68)</f>
        <v>0.54096</v>
      </c>
      <c r="E90" s="29">
        <f>IF(E68=0,0,E89/E68)</f>
        <v>0.70285714285714274</v>
      </c>
      <c r="F90" s="3"/>
      <c r="G90" s="22">
        <f>F89/D68</f>
        <v>0.85583999999999993</v>
      </c>
    </row>
    <row r="91" spans="2:9" ht="15" x14ac:dyDescent="0.35">
      <c r="B91" s="31" t="s">
        <v>64</v>
      </c>
      <c r="C91" s="31"/>
      <c r="D91" s="31"/>
      <c r="E91" s="31"/>
      <c r="F91" s="31"/>
      <c r="G91" s="31"/>
    </row>
    <row r="92" spans="2:9" ht="15.45" x14ac:dyDescent="0.4">
      <c r="B92" s="10"/>
      <c r="C92" s="3"/>
      <c r="E92" s="18"/>
      <c r="F92" s="32"/>
      <c r="G92" s="33"/>
      <c r="H92" s="13"/>
      <c r="I92" s="14"/>
    </row>
    <row r="93" spans="2:9" ht="15.45" x14ac:dyDescent="0.4">
      <c r="B93" s="3" t="s">
        <v>128</v>
      </c>
      <c r="C93" s="34"/>
      <c r="E93" s="8" t="s">
        <v>6</v>
      </c>
      <c r="F93" s="16"/>
      <c r="G93" s="35"/>
      <c r="H93" s="13"/>
      <c r="I93" s="14"/>
    </row>
    <row r="94" spans="2:9" ht="15.45" x14ac:dyDescent="0.4">
      <c r="B94" s="10"/>
      <c r="C94" s="34"/>
      <c r="E94" s="3" t="s">
        <v>131</v>
      </c>
      <c r="F94" s="16"/>
      <c r="G94" s="35"/>
      <c r="H94" s="13"/>
      <c r="I94" s="14"/>
    </row>
    <row r="95" spans="2:9" ht="15.45" x14ac:dyDescent="0.4">
      <c r="B95" s="10" t="s">
        <v>130</v>
      </c>
      <c r="C95" s="36"/>
      <c r="D95" s="3"/>
      <c r="E95" s="90">
        <f>C19</f>
        <v>100</v>
      </c>
      <c r="F95" s="37"/>
      <c r="G95" s="10"/>
      <c r="H95" s="13"/>
      <c r="I95" s="14"/>
    </row>
    <row r="96" spans="2:9" ht="15.45" x14ac:dyDescent="0.4">
      <c r="B96" s="21" t="s">
        <v>129</v>
      </c>
      <c r="C96" s="21"/>
      <c r="D96" s="90"/>
      <c r="E96" s="59">
        <f>C23</f>
        <v>88</v>
      </c>
      <c r="F96" s="105"/>
      <c r="G96" s="10"/>
      <c r="H96" s="13"/>
      <c r="I96" s="14"/>
    </row>
    <row r="97" spans="2:5" ht="15.45" x14ac:dyDescent="0.4">
      <c r="B97" s="3" t="s">
        <v>55</v>
      </c>
      <c r="C97" s="21"/>
      <c r="D97" s="90"/>
      <c r="E97" s="92">
        <f>E95*E96*0.01</f>
        <v>88</v>
      </c>
    </row>
    <row r="98" spans="2:5" ht="15.45" x14ac:dyDescent="0.4">
      <c r="B98" s="21" t="s">
        <v>56</v>
      </c>
      <c r="C98" s="21"/>
      <c r="D98" s="92"/>
      <c r="E98" s="92">
        <f>'2. Summary of IncomeDifference'!I14</f>
        <v>0</v>
      </c>
    </row>
    <row r="99" spans="2:5" ht="15.45" x14ac:dyDescent="0.4">
      <c r="B99" s="21" t="s">
        <v>57</v>
      </c>
      <c r="C99" s="21"/>
      <c r="D99" s="92"/>
      <c r="E99" s="92">
        <f>(E97*(1-E98*0.01))</f>
        <v>88</v>
      </c>
    </row>
    <row r="100" spans="2:5" ht="15.45" x14ac:dyDescent="0.4">
      <c r="B100" s="3" t="s">
        <v>58</v>
      </c>
      <c r="C100" s="21"/>
      <c r="D100" s="91"/>
      <c r="E100" s="101">
        <f>E99/E95</f>
        <v>0.88</v>
      </c>
    </row>
    <row r="101" spans="2:5" ht="15.45" x14ac:dyDescent="0.4">
      <c r="B101" s="21" t="s">
        <v>59</v>
      </c>
      <c r="C101" s="21"/>
      <c r="D101" s="92"/>
      <c r="E101" s="92">
        <f>'2. Summary of IncomeDifference'!I15</f>
        <v>4</v>
      </c>
    </row>
    <row r="102" spans="2:5" ht="15.45" x14ac:dyDescent="0.4">
      <c r="B102" s="21" t="s">
        <v>60</v>
      </c>
      <c r="C102" s="21"/>
      <c r="D102" s="92"/>
      <c r="E102" s="92">
        <f>(E99*(1-E101*0.01))</f>
        <v>84.47999999999999</v>
      </c>
    </row>
    <row r="103" spans="2:5" ht="15.45" x14ac:dyDescent="0.4">
      <c r="B103" s="3" t="s">
        <v>61</v>
      </c>
      <c r="C103" s="21"/>
      <c r="D103" s="26"/>
      <c r="E103" s="26">
        <f>IF(E95=0,0,E102/E95)</f>
        <v>0.84479999999999988</v>
      </c>
    </row>
    <row r="104" spans="2:5" ht="15" x14ac:dyDescent="0.35">
      <c r="B104" s="10" t="s">
        <v>62</v>
      </c>
      <c r="C104" s="10" t="s">
        <v>154</v>
      </c>
      <c r="D104" s="27"/>
      <c r="E104" s="27">
        <f>E102*0.5</f>
        <v>42.239999999999995</v>
      </c>
    </row>
    <row r="105" spans="2:5" ht="15" x14ac:dyDescent="0.35">
      <c r="C105" s="10" t="s">
        <v>5</v>
      </c>
      <c r="D105" s="27"/>
      <c r="E105" s="27">
        <f>E102*0.5</f>
        <v>42.239999999999995</v>
      </c>
    </row>
    <row r="106" spans="2:5" ht="15.45" x14ac:dyDescent="0.4">
      <c r="B106" s="3" t="s">
        <v>62</v>
      </c>
      <c r="C106" s="6"/>
      <c r="D106" s="92"/>
      <c r="E106" s="92">
        <f>E104+E105</f>
        <v>84.47999999999999</v>
      </c>
    </row>
    <row r="107" spans="2:5" ht="15" x14ac:dyDescent="0.35">
      <c r="B107" s="21"/>
      <c r="C107" s="21"/>
      <c r="D107" s="29"/>
      <c r="E107" s="29"/>
    </row>
    <row r="108" spans="2:5" ht="15" x14ac:dyDescent="0.35">
      <c r="E108" s="29"/>
    </row>
  </sheetData>
  <sheetProtection sheet="1" objects="1" scenarios="1"/>
  <mergeCells count="9">
    <mergeCell ref="B17:H17"/>
    <mergeCell ref="B14:H14"/>
    <mergeCell ref="B15:H15"/>
    <mergeCell ref="B2:H2"/>
    <mergeCell ref="B3:H3"/>
    <mergeCell ref="B10:H10"/>
    <mergeCell ref="B11:H11"/>
    <mergeCell ref="B12:H12"/>
    <mergeCell ref="B13:H13"/>
  </mergeCells>
  <phoneticPr fontId="6" type="noConversion"/>
  <pageMargins left="1" right="0.5" top="1" bottom="1" header="0.5" footer="0.5"/>
  <pageSetup scale="72" orientation="portrait" r:id="rId1"/>
  <headerFooter alignWithMargins="0">
    <oddFooter xml:space="preserve">&amp;L&amp;F&amp;RPage &amp;P  of &amp;N
&amp;A
</oddFooter>
  </headerFooter>
  <rowBreaks count="1" manualBreakCount="1">
    <brk id="60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2"/>
  <sheetViews>
    <sheetView showGridLines="0" workbookViewId="0">
      <pane ySplit="1" topLeftCell="A12" activePane="bottomLeft" state="frozen"/>
      <selection pane="bottomLeft" activeCell="B31" sqref="B31:G31"/>
    </sheetView>
  </sheetViews>
  <sheetFormatPr defaultRowHeight="12.45" x14ac:dyDescent="0.3"/>
  <cols>
    <col min="1" max="1" width="3.3046875" customWidth="1"/>
    <col min="2" max="2" width="33.69140625" customWidth="1"/>
    <col min="5" max="5" width="12.3046875" customWidth="1"/>
    <col min="6" max="6" width="10.15234375" customWidth="1"/>
    <col min="7" max="7" width="11.3828125" customWidth="1"/>
    <col min="8" max="8" width="5.15234375" customWidth="1"/>
  </cols>
  <sheetData>
    <row r="1" spans="2:10" x14ac:dyDescent="0.3">
      <c r="J1" s="191"/>
    </row>
    <row r="2" spans="2:10" ht="15.45" x14ac:dyDescent="0.4">
      <c r="B2" s="251" t="s">
        <v>304</v>
      </c>
      <c r="C2" s="251"/>
      <c r="D2" s="251"/>
      <c r="E2" s="251"/>
      <c r="F2" s="251"/>
      <c r="G2" s="251"/>
    </row>
    <row r="3" spans="2:10" ht="15" x14ac:dyDescent="0.35">
      <c r="B3" s="9"/>
      <c r="C3" s="9"/>
      <c r="D3" s="9"/>
      <c r="E3" s="9"/>
      <c r="F3" s="9"/>
      <c r="G3" s="9"/>
    </row>
    <row r="4" spans="2:10" ht="15" x14ac:dyDescent="0.35">
      <c r="B4" s="10"/>
      <c r="C4" s="10"/>
      <c r="D4" s="10"/>
      <c r="E4" s="10"/>
      <c r="F4" s="10"/>
      <c r="G4" s="10"/>
    </row>
    <row r="5" spans="2:10" ht="63" customHeight="1" x14ac:dyDescent="0.4">
      <c r="B5" s="10" t="s">
        <v>18</v>
      </c>
      <c r="C5" s="10"/>
      <c r="D5" s="10"/>
      <c r="E5" s="192" t="s">
        <v>194</v>
      </c>
      <c r="F5" s="62" t="s">
        <v>35</v>
      </c>
      <c r="G5" s="192" t="s">
        <v>193</v>
      </c>
    </row>
    <row r="6" spans="2:10" ht="15.45" x14ac:dyDescent="0.4">
      <c r="B6" s="3" t="s">
        <v>73</v>
      </c>
      <c r="C6" s="10"/>
      <c r="D6" s="10"/>
      <c r="E6" s="62"/>
      <c r="F6" s="62"/>
      <c r="G6" s="62"/>
    </row>
    <row r="7" spans="2:10" ht="15" x14ac:dyDescent="0.35">
      <c r="B7" s="10" t="s">
        <v>19</v>
      </c>
      <c r="C7" s="10"/>
      <c r="D7" s="10"/>
      <c r="E7" s="79">
        <v>750</v>
      </c>
      <c r="F7" s="63"/>
      <c r="G7" s="64">
        <f>E7/$F$19</f>
        <v>37.5</v>
      </c>
    </row>
    <row r="8" spans="2:10" ht="15" x14ac:dyDescent="0.35">
      <c r="B8" s="10" t="s">
        <v>21</v>
      </c>
      <c r="C8" s="10"/>
      <c r="D8" s="10"/>
      <c r="E8" s="79">
        <v>65</v>
      </c>
      <c r="F8" s="63"/>
      <c r="G8" s="64">
        <f>E8/$F$19</f>
        <v>3.25</v>
      </c>
      <c r="I8" s="6" t="s">
        <v>221</v>
      </c>
    </row>
    <row r="9" spans="2:10" ht="15" x14ac:dyDescent="0.35">
      <c r="B9" s="68" t="s">
        <v>29</v>
      </c>
      <c r="C9" s="10"/>
      <c r="D9" s="10"/>
      <c r="E9" s="79">
        <v>0</v>
      </c>
      <c r="F9" s="63"/>
      <c r="G9" s="64">
        <f>E9/$F$19</f>
        <v>0</v>
      </c>
    </row>
    <row r="10" spans="2:10" ht="15" x14ac:dyDescent="0.35">
      <c r="B10" s="10" t="s">
        <v>40</v>
      </c>
      <c r="C10" s="10"/>
      <c r="D10" s="10"/>
      <c r="E10" s="66">
        <f>((E7+E8)*0.5)*E26*0.01</f>
        <v>20.375</v>
      </c>
      <c r="F10" s="64"/>
      <c r="G10" s="64">
        <f>E10/$F$19</f>
        <v>1.01875</v>
      </c>
    </row>
    <row r="11" spans="2:10" ht="15.45" x14ac:dyDescent="0.4">
      <c r="B11" s="3" t="s">
        <v>74</v>
      </c>
      <c r="C11" s="67"/>
      <c r="D11" s="10"/>
      <c r="E11" s="71">
        <f>SUM(E7:E10)</f>
        <v>835.375</v>
      </c>
      <c r="F11" s="72"/>
      <c r="G11" s="73">
        <f>E11/$F$19</f>
        <v>41.768749999999997</v>
      </c>
    </row>
    <row r="12" spans="2:10" ht="15.45" x14ac:dyDescent="0.4">
      <c r="B12" s="3" t="s">
        <v>72</v>
      </c>
      <c r="C12" s="67"/>
      <c r="D12" s="10"/>
      <c r="E12" s="65"/>
      <c r="F12" s="63"/>
      <c r="G12" s="64"/>
    </row>
    <row r="13" spans="2:10" ht="15" x14ac:dyDescent="0.35">
      <c r="B13" s="10" t="s">
        <v>20</v>
      </c>
      <c r="C13" s="10"/>
      <c r="D13" s="10"/>
      <c r="E13" s="65">
        <f>(G21-G24)/G22</f>
        <v>640</v>
      </c>
      <c r="F13" s="63"/>
      <c r="G13" s="64">
        <f>E13/$F$19</f>
        <v>32</v>
      </c>
    </row>
    <row r="14" spans="2:10" ht="15" x14ac:dyDescent="0.35">
      <c r="B14" s="10" t="s">
        <v>38</v>
      </c>
      <c r="C14" s="10"/>
      <c r="D14" s="10"/>
      <c r="E14" s="66">
        <f>F29*E26*0.01</f>
        <v>136</v>
      </c>
      <c r="F14" s="64"/>
      <c r="G14" s="64">
        <f>E14/$F$19</f>
        <v>6.8</v>
      </c>
    </row>
    <row r="16" spans="2:10" ht="15" x14ac:dyDescent="0.35">
      <c r="B16" s="10" t="s">
        <v>305</v>
      </c>
      <c r="C16" s="78">
        <v>1</v>
      </c>
      <c r="D16" s="10" t="s">
        <v>2</v>
      </c>
      <c r="E16" s="65">
        <f>G21*C16*0.01</f>
        <v>40</v>
      </c>
      <c r="F16" s="63"/>
      <c r="G16" s="64">
        <f>E16/$F$19</f>
        <v>2</v>
      </c>
    </row>
    <row r="17" spans="2:7" ht="15.45" x14ac:dyDescent="0.4">
      <c r="B17" s="3" t="s">
        <v>75</v>
      </c>
      <c r="E17" s="71">
        <f>SUM(E13:E16)</f>
        <v>816</v>
      </c>
      <c r="G17" s="71">
        <f>SUM(G13:G16)</f>
        <v>40.799999999999997</v>
      </c>
    </row>
    <row r="19" spans="2:7" ht="15.45" x14ac:dyDescent="0.4">
      <c r="B19" s="3" t="s">
        <v>77</v>
      </c>
      <c r="C19" s="10"/>
      <c r="D19" s="10"/>
      <c r="E19" s="69">
        <f>E17+E11</f>
        <v>1651.375</v>
      </c>
      <c r="F19" s="103">
        <v>20</v>
      </c>
      <c r="G19" s="70">
        <f>E19/F19</f>
        <v>82.568749999999994</v>
      </c>
    </row>
    <row r="20" spans="2:7" ht="15" x14ac:dyDescent="0.35">
      <c r="B20" s="10"/>
      <c r="C20" s="10"/>
      <c r="D20" s="10"/>
      <c r="E20" s="10"/>
      <c r="F20" s="10"/>
      <c r="G20" s="10"/>
    </row>
    <row r="21" spans="2:7" ht="15.45" x14ac:dyDescent="0.4">
      <c r="B21" s="11" t="s">
        <v>22</v>
      </c>
      <c r="C21" s="10"/>
      <c r="D21" s="10"/>
      <c r="E21" s="10"/>
      <c r="F21" s="10"/>
      <c r="G21" s="74">
        <v>4000</v>
      </c>
    </row>
    <row r="22" spans="2:7" ht="15" x14ac:dyDescent="0.35">
      <c r="B22" s="10" t="s">
        <v>23</v>
      </c>
      <c r="C22" s="10"/>
      <c r="D22" s="10"/>
      <c r="E22" s="10"/>
      <c r="F22" s="10"/>
      <c r="G22" s="75">
        <v>4</v>
      </c>
    </row>
    <row r="23" spans="2:7" ht="15" x14ac:dyDescent="0.35">
      <c r="B23" s="10"/>
      <c r="C23" s="10"/>
      <c r="D23" s="10"/>
      <c r="E23" s="19" t="s">
        <v>24</v>
      </c>
      <c r="F23" s="19" t="s">
        <v>25</v>
      </c>
      <c r="G23" s="19" t="s">
        <v>26</v>
      </c>
    </row>
    <row r="24" spans="2:7" ht="15" x14ac:dyDescent="0.35">
      <c r="B24" s="10" t="s">
        <v>27</v>
      </c>
      <c r="C24" s="10"/>
      <c r="D24" s="10"/>
      <c r="E24" s="77">
        <v>1800</v>
      </c>
      <c r="F24" s="76">
        <v>80</v>
      </c>
      <c r="G24" s="66">
        <f>E24*F24*0.01</f>
        <v>1440</v>
      </c>
    </row>
    <row r="25" spans="2:7" ht="15" x14ac:dyDescent="0.35">
      <c r="B25" s="10"/>
      <c r="C25" s="10"/>
      <c r="D25" s="10"/>
      <c r="E25" s="10"/>
      <c r="F25" s="10"/>
      <c r="G25" s="10"/>
    </row>
    <row r="26" spans="2:7" ht="15" x14ac:dyDescent="0.35">
      <c r="B26" s="10" t="s">
        <v>39</v>
      </c>
      <c r="C26" s="10"/>
      <c r="D26" s="10"/>
      <c r="E26" s="78">
        <v>5</v>
      </c>
      <c r="F26" s="10" t="s">
        <v>2</v>
      </c>
      <c r="G26" s="10"/>
    </row>
    <row r="27" spans="2:7" ht="15" x14ac:dyDescent="0.35">
      <c r="B27" s="10"/>
      <c r="C27" s="10"/>
      <c r="D27" s="10"/>
      <c r="E27" s="67"/>
      <c r="F27" s="10"/>
      <c r="G27" s="10"/>
    </row>
    <row r="28" spans="2:7" ht="15.45" x14ac:dyDescent="0.4">
      <c r="B28" s="3" t="s">
        <v>76</v>
      </c>
      <c r="C28" s="10"/>
      <c r="D28" s="10"/>
      <c r="E28" s="10"/>
      <c r="F28" s="10"/>
      <c r="G28" s="10"/>
    </row>
    <row r="29" spans="2:7" ht="15" x14ac:dyDescent="0.35">
      <c r="B29" s="10" t="s">
        <v>28</v>
      </c>
      <c r="C29" s="10"/>
      <c r="D29" s="10"/>
      <c r="F29" s="66">
        <f>(G21+G24)/2</f>
        <v>2720</v>
      </c>
    </row>
    <row r="30" spans="2:7" ht="15" x14ac:dyDescent="0.35">
      <c r="B30" s="10"/>
      <c r="C30" s="10"/>
      <c r="D30" s="10"/>
      <c r="E30" s="10"/>
      <c r="F30" s="10"/>
      <c r="G30" s="10"/>
    </row>
    <row r="31" spans="2:7" ht="15" x14ac:dyDescent="0.35">
      <c r="B31" s="260" t="s">
        <v>299</v>
      </c>
      <c r="C31" s="261"/>
      <c r="D31" s="261"/>
      <c r="E31" s="261"/>
      <c r="F31" s="261"/>
      <c r="G31" s="262"/>
    </row>
    <row r="32" spans="2:7" ht="15" x14ac:dyDescent="0.35">
      <c r="B32" s="260"/>
      <c r="C32" s="261"/>
      <c r="D32" s="261"/>
      <c r="E32" s="261"/>
      <c r="F32" s="261"/>
      <c r="G32" s="262"/>
    </row>
  </sheetData>
  <sheetProtection sheet="1" objects="1" scenarios="1"/>
  <mergeCells count="3">
    <mergeCell ref="B2:G2"/>
    <mergeCell ref="B32:G32"/>
    <mergeCell ref="B31:G31"/>
  </mergeCells>
  <phoneticPr fontId="6" type="noConversion"/>
  <pageMargins left="1" right="0.75" top="1" bottom="1" header="0.5" footer="0.5"/>
  <pageSetup orientation="portrait" r:id="rId1"/>
  <headerFooter alignWithMargins="0">
    <oddFooter>&amp;L&amp;F&amp;R&amp;A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140"/>
  <sheetViews>
    <sheetView showGridLines="0" topLeftCell="C1" zoomScaleNormal="100" workbookViewId="0">
      <pane ySplit="1" topLeftCell="A4" activePane="bottomLeft" state="frozen"/>
      <selection pane="bottomLeft" activeCell="L54" sqref="L54"/>
    </sheetView>
  </sheetViews>
  <sheetFormatPr defaultRowHeight="12.45" x14ac:dyDescent="0.3"/>
  <cols>
    <col min="11" max="11" width="10.3046875" customWidth="1"/>
    <col min="12" max="12" width="29.3828125" customWidth="1"/>
    <col min="13" max="13" width="23.53515625" customWidth="1"/>
    <col min="14" max="14" width="12" customWidth="1"/>
    <col min="15" max="15" width="11.84375" customWidth="1"/>
  </cols>
  <sheetData>
    <row r="1" spans="2:15" x14ac:dyDescent="0.3">
      <c r="J1" s="193"/>
      <c r="K1" s="193"/>
    </row>
    <row r="2" spans="2:15" ht="17.600000000000001" x14ac:dyDescent="0.4">
      <c r="B2" s="249" t="s">
        <v>187</v>
      </c>
      <c r="C2" s="250"/>
      <c r="D2" s="250"/>
      <c r="E2" s="250"/>
      <c r="F2" s="250"/>
      <c r="G2" s="250"/>
      <c r="H2" s="250"/>
      <c r="I2" s="250"/>
      <c r="J2" s="250"/>
      <c r="K2" s="250"/>
    </row>
    <row r="4" spans="2:15" x14ac:dyDescent="0.3">
      <c r="M4" s="6" t="s">
        <v>182</v>
      </c>
    </row>
    <row r="5" spans="2:15" x14ac:dyDescent="0.3">
      <c r="N5" s="182" t="s">
        <v>53</v>
      </c>
      <c r="O5" s="182" t="s">
        <v>46</v>
      </c>
    </row>
    <row r="6" spans="2:15" x14ac:dyDescent="0.3">
      <c r="M6" t="s">
        <v>181</v>
      </c>
      <c r="N6" s="183">
        <f>'2. Summary of IncomeDifference'!C9</f>
        <v>88</v>
      </c>
      <c r="O6" s="183">
        <f>'3. SexedSemenProtocol Cost'!E96</f>
        <v>88</v>
      </c>
    </row>
    <row r="7" spans="2:15" x14ac:dyDescent="0.3">
      <c r="M7" t="s">
        <v>167</v>
      </c>
      <c r="N7" s="184">
        <f>'2. Summary of IncomeDifference'!E51*100</f>
        <v>85.583999999999989</v>
      </c>
      <c r="O7" s="184">
        <f>'2. Summary of IncomeDifference'!C22*100</f>
        <v>84.47999999999999</v>
      </c>
    </row>
    <row r="9" spans="2:15" x14ac:dyDescent="0.3">
      <c r="N9" s="184"/>
      <c r="O9" s="184"/>
    </row>
    <row r="10" spans="2:15" x14ac:dyDescent="0.3">
      <c r="N10" s="184"/>
      <c r="O10" s="184"/>
    </row>
    <row r="11" spans="2:15" x14ac:dyDescent="0.3">
      <c r="N11" s="184"/>
      <c r="O11" s="184"/>
    </row>
    <row r="12" spans="2:15" x14ac:dyDescent="0.3">
      <c r="N12" s="184"/>
      <c r="O12" s="184"/>
    </row>
    <row r="13" spans="2:15" x14ac:dyDescent="0.3">
      <c r="N13" s="184"/>
      <c r="O13" s="184"/>
    </row>
    <row r="14" spans="2:15" x14ac:dyDescent="0.3">
      <c r="N14" s="184"/>
      <c r="O14" s="184"/>
    </row>
    <row r="15" spans="2:15" x14ac:dyDescent="0.3">
      <c r="N15" s="184"/>
      <c r="O15" s="184"/>
    </row>
    <row r="16" spans="2:15" x14ac:dyDescent="0.3">
      <c r="N16" s="183"/>
      <c r="O16" s="183"/>
    </row>
    <row r="20" spans="13:15" x14ac:dyDescent="0.3">
      <c r="M20" s="6"/>
    </row>
    <row r="21" spans="13:15" x14ac:dyDescent="0.3">
      <c r="M21" s="6"/>
    </row>
    <row r="22" spans="13:15" x14ac:dyDescent="0.3">
      <c r="M22" s="6" t="s">
        <v>184</v>
      </c>
    </row>
    <row r="23" spans="13:15" x14ac:dyDescent="0.3">
      <c r="M23" s="6"/>
    </row>
    <row r="24" spans="13:15" x14ac:dyDescent="0.3">
      <c r="N24" t="s">
        <v>66</v>
      </c>
      <c r="O24" t="s">
        <v>183</v>
      </c>
    </row>
    <row r="25" spans="13:15" x14ac:dyDescent="0.3">
      <c r="M25" s="23" t="s">
        <v>169</v>
      </c>
      <c r="N25">
        <f>'2. Summary of IncomeDifference'!H14</f>
        <v>0</v>
      </c>
      <c r="O25">
        <f>'2. Summary of IncomeDifference'!I14</f>
        <v>0</v>
      </c>
    </row>
    <row r="26" spans="13:15" x14ac:dyDescent="0.3">
      <c r="M26" s="23" t="s">
        <v>170</v>
      </c>
      <c r="N26">
        <f>'2. Summary of IncomeDifference'!H15</f>
        <v>2</v>
      </c>
      <c r="O26">
        <f>'2. Summary of IncomeDifference'!I15</f>
        <v>4</v>
      </c>
    </row>
    <row r="28" spans="13:15" x14ac:dyDescent="0.3">
      <c r="M28" s="6"/>
    </row>
    <row r="29" spans="13:15" x14ac:dyDescent="0.3">
      <c r="N29" s="4"/>
      <c r="O29" s="4"/>
    </row>
    <row r="30" spans="13:15" x14ac:dyDescent="0.3">
      <c r="M30" s="23"/>
    </row>
    <row r="31" spans="13:15" x14ac:dyDescent="0.3">
      <c r="M31" s="23"/>
    </row>
    <row r="32" spans="13:15" x14ac:dyDescent="0.3">
      <c r="M32" s="23"/>
    </row>
    <row r="33" spans="13:15" x14ac:dyDescent="0.3">
      <c r="M33" s="23"/>
    </row>
    <row r="34" spans="13:15" x14ac:dyDescent="0.3">
      <c r="M34" s="23"/>
    </row>
    <row r="35" spans="13:15" x14ac:dyDescent="0.3">
      <c r="M35" s="23"/>
    </row>
    <row r="36" spans="13:15" x14ac:dyDescent="0.3">
      <c r="M36" s="23"/>
    </row>
    <row r="37" spans="13:15" x14ac:dyDescent="0.3">
      <c r="M37" s="23"/>
    </row>
    <row r="38" spans="13:15" x14ac:dyDescent="0.3">
      <c r="M38" t="s">
        <v>168</v>
      </c>
    </row>
    <row r="39" spans="13:15" x14ac:dyDescent="0.3">
      <c r="N39" s="182" t="s">
        <v>53</v>
      </c>
      <c r="O39" s="182" t="s">
        <v>46</v>
      </c>
    </row>
    <row r="40" spans="13:15" x14ac:dyDescent="0.3">
      <c r="M40" t="s">
        <v>154</v>
      </c>
      <c r="N40" s="185">
        <f>'2. Summary of IncomeDifference'!F37</f>
        <v>0.75283230510375776</v>
      </c>
      <c r="O40" s="105">
        <v>0.5</v>
      </c>
    </row>
    <row r="41" spans="13:15" x14ac:dyDescent="0.3">
      <c r="M41" t="s">
        <v>5</v>
      </c>
      <c r="N41" s="185">
        <f>'2. Summary of IncomeDifference'!F38</f>
        <v>0.24716769489624221</v>
      </c>
      <c r="O41" s="105">
        <v>0.5</v>
      </c>
    </row>
    <row r="45" spans="13:15" x14ac:dyDescent="0.3">
      <c r="N45" s="185"/>
      <c r="O45" s="105"/>
    </row>
    <row r="46" spans="13:15" x14ac:dyDescent="0.3">
      <c r="N46" s="185"/>
      <c r="O46" s="105"/>
    </row>
    <row r="47" spans="13:15" x14ac:dyDescent="0.3">
      <c r="N47" s="185"/>
      <c r="O47" s="105"/>
    </row>
    <row r="48" spans="13:15" x14ac:dyDescent="0.3">
      <c r="N48" s="185"/>
      <c r="O48" s="105"/>
    </row>
    <row r="49" spans="11:15" x14ac:dyDescent="0.3">
      <c r="N49" s="185"/>
      <c r="O49" s="105"/>
    </row>
    <row r="51" spans="11:15" x14ac:dyDescent="0.3">
      <c r="N51" s="185"/>
      <c r="O51" s="105"/>
    </row>
    <row r="52" spans="11:15" x14ac:dyDescent="0.3">
      <c r="N52" s="185"/>
      <c r="O52" s="105"/>
    </row>
    <row r="53" spans="11:15" x14ac:dyDescent="0.3">
      <c r="N53" s="185"/>
      <c r="O53" s="105"/>
    </row>
    <row r="54" spans="11:15" x14ac:dyDescent="0.3">
      <c r="K54" s="6" t="s">
        <v>192</v>
      </c>
    </row>
    <row r="59" spans="11:15" x14ac:dyDescent="0.3">
      <c r="M59" s="23" t="s">
        <v>173</v>
      </c>
    </row>
    <row r="60" spans="11:15" x14ac:dyDescent="0.3">
      <c r="N60" s="182" t="s">
        <v>53</v>
      </c>
      <c r="O60" s="182" t="s">
        <v>46</v>
      </c>
    </row>
    <row r="61" spans="11:15" x14ac:dyDescent="0.3">
      <c r="M61" t="s">
        <v>66</v>
      </c>
      <c r="N61" s="5">
        <f>'2. Summary of IncomeDifference'!E17</f>
        <v>86.7</v>
      </c>
      <c r="O61" s="5"/>
    </row>
    <row r="62" spans="11:15" x14ac:dyDescent="0.3">
      <c r="M62" s="196" t="s">
        <v>303</v>
      </c>
      <c r="N62" s="5">
        <f>'2. Summary of IncomeDifference'!E18</f>
        <v>36.990799999999993</v>
      </c>
      <c r="O62" s="5"/>
    </row>
    <row r="63" spans="11:15" x14ac:dyDescent="0.3">
      <c r="M63" t="s">
        <v>172</v>
      </c>
      <c r="N63" s="5">
        <f>N62+N61</f>
        <v>123.6908</v>
      </c>
      <c r="O63" s="5">
        <f>'2. Summary of IncomeDifference'!E24</f>
        <v>82.568749999999994</v>
      </c>
    </row>
    <row r="64" spans="11:15" x14ac:dyDescent="0.3">
      <c r="M64" t="s">
        <v>180</v>
      </c>
      <c r="N64" s="5">
        <f>'2. Summary of IncomeDifference'!D15</f>
        <v>25</v>
      </c>
      <c r="O64" s="5"/>
    </row>
    <row r="65" spans="13:15" x14ac:dyDescent="0.3">
      <c r="N65" s="5"/>
      <c r="O65" s="5"/>
    </row>
    <row r="66" spans="13:15" x14ac:dyDescent="0.3">
      <c r="N66" s="5"/>
      <c r="O66" s="5"/>
    </row>
    <row r="67" spans="13:15" x14ac:dyDescent="0.3">
      <c r="N67" s="5"/>
      <c r="O67" s="5"/>
    </row>
    <row r="68" spans="13:15" x14ac:dyDescent="0.3">
      <c r="N68" s="5"/>
      <c r="O68" s="5"/>
    </row>
    <row r="69" spans="13:15" x14ac:dyDescent="0.3">
      <c r="N69" s="5"/>
      <c r="O69" s="5"/>
    </row>
    <row r="70" spans="13:15" x14ac:dyDescent="0.3">
      <c r="N70" s="5"/>
      <c r="O70" s="5"/>
    </row>
    <row r="71" spans="13:15" x14ac:dyDescent="0.3">
      <c r="N71" s="5"/>
      <c r="O71" s="5"/>
    </row>
    <row r="72" spans="13:15" x14ac:dyDescent="0.3">
      <c r="N72" s="5"/>
      <c r="O72" s="5"/>
    </row>
    <row r="76" spans="13:15" x14ac:dyDescent="0.3">
      <c r="M76" t="s">
        <v>189</v>
      </c>
    </row>
    <row r="77" spans="13:15" x14ac:dyDescent="0.3">
      <c r="N77" t="s">
        <v>26</v>
      </c>
    </row>
    <row r="78" spans="13:15" x14ac:dyDescent="0.3">
      <c r="M78" s="23" t="s">
        <v>198</v>
      </c>
      <c r="N78" s="186">
        <f>'2. Summary of IncomeDifference'!C29</f>
        <v>901.80000000000007</v>
      </c>
    </row>
    <row r="79" spans="13:15" x14ac:dyDescent="0.3">
      <c r="M79" t="s">
        <v>5</v>
      </c>
      <c r="N79" s="186">
        <f>'2. Summary of IncomeDifference'!C30</f>
        <v>724.2</v>
      </c>
    </row>
    <row r="80" spans="13:15" x14ac:dyDescent="0.3">
      <c r="M80" s="23"/>
      <c r="N80" s="186"/>
    </row>
    <row r="81" spans="13:16" x14ac:dyDescent="0.3">
      <c r="M81" s="23"/>
      <c r="N81" s="186"/>
    </row>
    <row r="82" spans="13:16" x14ac:dyDescent="0.3">
      <c r="M82" s="23"/>
      <c r="N82" s="186"/>
    </row>
    <row r="83" spans="13:16" x14ac:dyDescent="0.3">
      <c r="M83" s="23"/>
      <c r="N83" s="186"/>
    </row>
    <row r="84" spans="13:16" x14ac:dyDescent="0.3">
      <c r="M84" s="23"/>
      <c r="N84" s="186"/>
    </row>
    <row r="85" spans="13:16" x14ac:dyDescent="0.3">
      <c r="M85" s="23"/>
      <c r="N85" s="186"/>
    </row>
    <row r="86" spans="13:16" x14ac:dyDescent="0.3">
      <c r="M86" s="23"/>
      <c r="N86" s="186"/>
    </row>
    <row r="87" spans="13:16" x14ac:dyDescent="0.3">
      <c r="M87" s="23"/>
      <c r="N87" s="186"/>
    </row>
    <row r="88" spans="13:16" x14ac:dyDescent="0.3">
      <c r="M88" s="23"/>
      <c r="N88" s="186"/>
    </row>
    <row r="89" spans="13:16" x14ac:dyDescent="0.3">
      <c r="M89" s="23"/>
      <c r="N89" s="186"/>
    </row>
    <row r="90" spans="13:16" x14ac:dyDescent="0.3">
      <c r="M90" s="23"/>
      <c r="N90" s="186"/>
    </row>
    <row r="93" spans="13:16" x14ac:dyDescent="0.3">
      <c r="M93" s="23" t="s">
        <v>179</v>
      </c>
    </row>
    <row r="94" spans="13:16" x14ac:dyDescent="0.3">
      <c r="N94" s="182" t="s">
        <v>53</v>
      </c>
      <c r="O94" s="182" t="s">
        <v>46</v>
      </c>
      <c r="P94" s="23" t="s">
        <v>178</v>
      </c>
    </row>
    <row r="95" spans="13:16" x14ac:dyDescent="0.3">
      <c r="M95" s="23" t="s">
        <v>174</v>
      </c>
      <c r="N95" s="186">
        <f>'2. Summary of IncomeDifference'!F51</f>
        <v>75490.688963818364</v>
      </c>
      <c r="O95" s="186">
        <f>'2. Summary of IncomeDifference'!F34</f>
        <v>68682.239999999991</v>
      </c>
      <c r="P95" s="186">
        <f>N95-O95</f>
        <v>6808.4489638183732</v>
      </c>
    </row>
    <row r="96" spans="13:16" x14ac:dyDescent="0.3">
      <c r="M96" s="23" t="s">
        <v>171</v>
      </c>
      <c r="N96" s="186">
        <f>'2. Summary of IncomeDifference'!F19</f>
        <v>12369.08</v>
      </c>
      <c r="O96" s="186">
        <f>'2. Summary of IncomeDifference'!F24</f>
        <v>8256.875</v>
      </c>
      <c r="P96" s="186">
        <f>N96-O96</f>
        <v>4112.2049999999999</v>
      </c>
    </row>
    <row r="97" spans="11:16" x14ac:dyDescent="0.3">
      <c r="M97" s="23" t="s">
        <v>177</v>
      </c>
      <c r="N97" s="186">
        <f>N95-N96</f>
        <v>63121.608963818362</v>
      </c>
      <c r="O97" s="186">
        <f>O95-O96</f>
        <v>60425.364999999991</v>
      </c>
      <c r="P97" s="186">
        <f>N97-O97</f>
        <v>2696.2439638183714</v>
      </c>
    </row>
    <row r="98" spans="11:16" x14ac:dyDescent="0.3">
      <c r="M98" s="23"/>
      <c r="N98" s="186"/>
      <c r="O98" s="186"/>
      <c r="P98" s="186"/>
    </row>
    <row r="99" spans="11:16" x14ac:dyDescent="0.3">
      <c r="M99" s="23"/>
      <c r="N99" s="186"/>
      <c r="O99" s="186"/>
      <c r="P99" s="186"/>
    </row>
    <row r="100" spans="11:16" x14ac:dyDescent="0.3">
      <c r="M100" s="23"/>
      <c r="N100" s="186"/>
      <c r="O100" s="186"/>
      <c r="P100" s="186"/>
    </row>
    <row r="101" spans="11:16" x14ac:dyDescent="0.3">
      <c r="M101" s="23"/>
      <c r="N101" s="186"/>
      <c r="O101" s="186"/>
      <c r="P101" s="186"/>
    </row>
    <row r="102" spans="11:16" x14ac:dyDescent="0.3">
      <c r="M102" s="23"/>
      <c r="N102" s="186"/>
      <c r="O102" s="186"/>
    </row>
    <row r="103" spans="11:16" x14ac:dyDescent="0.3">
      <c r="M103" s="23"/>
      <c r="N103" s="186"/>
      <c r="O103" s="186"/>
    </row>
    <row r="104" spans="11:16" x14ac:dyDescent="0.3">
      <c r="M104" s="23"/>
      <c r="N104" s="186"/>
      <c r="O104" s="186"/>
    </row>
    <row r="105" spans="11:16" x14ac:dyDescent="0.3">
      <c r="M105" s="23"/>
      <c r="N105" s="186"/>
      <c r="O105" s="186"/>
    </row>
    <row r="106" spans="11:16" x14ac:dyDescent="0.3">
      <c r="M106" s="23"/>
      <c r="N106" s="186"/>
      <c r="O106" s="186"/>
    </row>
    <row r="107" spans="11:16" x14ac:dyDescent="0.3">
      <c r="M107" s="23"/>
      <c r="N107" s="186"/>
      <c r="O107" s="186"/>
    </row>
    <row r="108" spans="11:16" x14ac:dyDescent="0.3">
      <c r="M108" s="23"/>
      <c r="N108" s="186"/>
      <c r="O108" s="186"/>
    </row>
    <row r="110" spans="11:16" x14ac:dyDescent="0.3">
      <c r="M110" s="23"/>
    </row>
    <row r="111" spans="11:16" x14ac:dyDescent="0.3">
      <c r="K111" s="6"/>
      <c r="M111" s="23"/>
    </row>
    <row r="112" spans="11:16" x14ac:dyDescent="0.3">
      <c r="K112" s="6" t="s">
        <v>191</v>
      </c>
      <c r="M112" s="23" t="s">
        <v>186</v>
      </c>
    </row>
    <row r="113" spans="13:15" x14ac:dyDescent="0.3">
      <c r="N113" s="182" t="s">
        <v>53</v>
      </c>
      <c r="O113" s="182" t="s">
        <v>46</v>
      </c>
    </row>
    <row r="114" spans="13:15" x14ac:dyDescent="0.3">
      <c r="M114" s="23" t="s">
        <v>185</v>
      </c>
      <c r="N114" s="187">
        <f>'2. Summary of IncomeDifference'!D15/'2. Summary of IncomeDifference'!C40</f>
        <v>2.9140823022352408E-2</v>
      </c>
      <c r="O114" s="188"/>
    </row>
    <row r="115" spans="13:15" x14ac:dyDescent="0.3">
      <c r="M115" s="23" t="s">
        <v>188</v>
      </c>
      <c r="N115" s="105">
        <f>'2. Summary of IncomeDifference'!E19/'2. Summary of IncomeDifference'!C40</f>
        <v>0.14417806849172748</v>
      </c>
      <c r="O115" s="189">
        <f>'2. Summary of IncomeDifference'!E24/'2. Summary of IncomeDifference'!C34</f>
        <v>0.10156057810578105</v>
      </c>
    </row>
    <row r="116" spans="13:15" x14ac:dyDescent="0.3">
      <c r="M116" s="23"/>
    </row>
    <row r="117" spans="13:15" x14ac:dyDescent="0.3">
      <c r="M117" s="23"/>
    </row>
    <row r="118" spans="13:15" x14ac:dyDescent="0.3">
      <c r="M118" s="23"/>
    </row>
    <row r="119" spans="13:15" x14ac:dyDescent="0.3">
      <c r="M119" s="23"/>
    </row>
    <row r="120" spans="13:15" x14ac:dyDescent="0.3">
      <c r="M120" s="23"/>
    </row>
    <row r="121" spans="13:15" x14ac:dyDescent="0.3">
      <c r="M121" s="23"/>
    </row>
    <row r="122" spans="13:15" x14ac:dyDescent="0.3">
      <c r="M122" s="23"/>
    </row>
    <row r="123" spans="13:15" x14ac:dyDescent="0.3">
      <c r="M123" s="23"/>
    </row>
    <row r="124" spans="13:15" x14ac:dyDescent="0.3">
      <c r="M124" s="23"/>
    </row>
    <row r="125" spans="13:15" x14ac:dyDescent="0.3">
      <c r="M125" s="23"/>
    </row>
    <row r="126" spans="13:15" x14ac:dyDescent="0.3">
      <c r="M126" s="23"/>
    </row>
    <row r="127" spans="13:15" x14ac:dyDescent="0.3">
      <c r="M127" s="23"/>
    </row>
    <row r="128" spans="13:15" x14ac:dyDescent="0.3">
      <c r="M128" s="23"/>
    </row>
    <row r="129" spans="13:14" x14ac:dyDescent="0.3">
      <c r="M129" s="23"/>
    </row>
    <row r="130" spans="13:14" x14ac:dyDescent="0.3">
      <c r="M130" s="23"/>
    </row>
    <row r="131" spans="13:14" x14ac:dyDescent="0.3">
      <c r="M131" s="23"/>
    </row>
    <row r="132" spans="13:14" x14ac:dyDescent="0.3">
      <c r="M132" s="23"/>
    </row>
    <row r="133" spans="13:14" x14ac:dyDescent="0.3">
      <c r="M133" s="23"/>
    </row>
    <row r="134" spans="13:14" x14ac:dyDescent="0.3">
      <c r="M134" s="23"/>
    </row>
    <row r="135" spans="13:14" x14ac:dyDescent="0.3">
      <c r="M135" s="23"/>
    </row>
    <row r="136" spans="13:14" x14ac:dyDescent="0.3">
      <c r="M136" s="23" t="s">
        <v>190</v>
      </c>
    </row>
    <row r="137" spans="13:14" x14ac:dyDescent="0.3">
      <c r="M137" s="23"/>
    </row>
    <row r="138" spans="13:14" x14ac:dyDescent="0.3">
      <c r="M138" s="23" t="s">
        <v>175</v>
      </c>
      <c r="N138" s="5">
        <f>'2. Summary of IncomeDifference'!D57</f>
        <v>41.122050000000002</v>
      </c>
    </row>
    <row r="139" spans="13:14" x14ac:dyDescent="0.3">
      <c r="M139" s="23" t="s">
        <v>176</v>
      </c>
      <c r="N139" s="5">
        <f>'2. Summary of IncomeDifference'!E57</f>
        <v>68.084489638183811</v>
      </c>
    </row>
    <row r="140" spans="13:14" x14ac:dyDescent="0.3">
      <c r="M140" s="23" t="s">
        <v>111</v>
      </c>
      <c r="N140" s="5">
        <f>'2. Summary of IncomeDifference'!F57</f>
        <v>26.96243963818381</v>
      </c>
    </row>
  </sheetData>
  <sheetProtection sheet="1" objects="1" scenarios="1"/>
  <mergeCells count="1">
    <mergeCell ref="B2:K2"/>
  </mergeCells>
  <phoneticPr fontId="35" type="noConversion"/>
  <pageMargins left="1" right="0.75" top="1" bottom="1" header="0.5" footer="0.5"/>
  <pageSetup scale="80" orientation="portrait" r:id="rId1"/>
  <headerFooter alignWithMargins="0">
    <oddFooter>&amp;R&amp;A
Page &amp;P of &amp;N</oddFooter>
  </headerFooter>
  <rowBreaks count="2" manualBreakCount="2">
    <brk id="53" min="1" max="10" man="1"/>
    <brk id="111" min="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C55"/>
  <sheetViews>
    <sheetView showGridLines="0" workbookViewId="0">
      <pane ySplit="1" topLeftCell="A30" activePane="bottomLeft" state="frozen"/>
      <selection pane="bottomLeft" activeCell="D44" sqref="D44"/>
    </sheetView>
  </sheetViews>
  <sheetFormatPr defaultRowHeight="12.45" x14ac:dyDescent="0.3"/>
  <cols>
    <col min="1" max="1" width="5.69140625" customWidth="1"/>
    <col min="2" max="2" width="95.921875" customWidth="1"/>
  </cols>
  <sheetData>
    <row r="1" spans="2:3" x14ac:dyDescent="0.3">
      <c r="C1" s="191"/>
    </row>
    <row r="2" spans="2:3" ht="15.45" x14ac:dyDescent="0.4">
      <c r="B2" s="241" t="s">
        <v>115</v>
      </c>
    </row>
    <row r="3" spans="2:3" ht="15.45" x14ac:dyDescent="0.4">
      <c r="B3" s="241"/>
    </row>
    <row r="4" spans="2:3" ht="17.600000000000001" x14ac:dyDescent="0.4">
      <c r="B4" s="241" t="s">
        <v>254</v>
      </c>
      <c r="C4" s="240"/>
    </row>
    <row r="5" spans="2:3" ht="17.600000000000001" x14ac:dyDescent="0.4">
      <c r="B5" s="152" t="s">
        <v>159</v>
      </c>
      <c r="C5" s="240"/>
    </row>
    <row r="6" spans="2:3" ht="17.600000000000001" x14ac:dyDescent="0.4">
      <c r="B6" s="152" t="s">
        <v>205</v>
      </c>
      <c r="C6" s="240"/>
    </row>
    <row r="7" spans="2:3" ht="17.600000000000001" x14ac:dyDescent="0.4">
      <c r="B7" s="240"/>
      <c r="C7" s="240"/>
    </row>
    <row r="8" spans="2:3" ht="15" x14ac:dyDescent="0.35">
      <c r="B8" s="10" t="s">
        <v>279</v>
      </c>
    </row>
    <row r="9" spans="2:3" ht="15" x14ac:dyDescent="0.35">
      <c r="B9" s="10"/>
    </row>
    <row r="10" spans="2:3" ht="15" x14ac:dyDescent="0.35">
      <c r="B10" s="10" t="s">
        <v>116</v>
      </c>
    </row>
    <row r="11" spans="2:3" ht="15" x14ac:dyDescent="0.35">
      <c r="B11" s="10" t="s">
        <v>138</v>
      </c>
    </row>
    <row r="12" spans="2:3" ht="15" x14ac:dyDescent="0.35">
      <c r="B12" s="10"/>
    </row>
    <row r="13" spans="2:3" ht="15" x14ac:dyDescent="0.35">
      <c r="B13" s="10" t="s">
        <v>275</v>
      </c>
    </row>
    <row r="14" spans="2:3" ht="15" x14ac:dyDescent="0.35">
      <c r="B14" s="10"/>
    </row>
    <row r="15" spans="2:3" ht="15.45" x14ac:dyDescent="0.4">
      <c r="B15" s="3" t="s">
        <v>117</v>
      </c>
    </row>
    <row r="16" spans="2:3" ht="15" x14ac:dyDescent="0.35">
      <c r="B16" s="10"/>
    </row>
    <row r="17" spans="2:2" ht="15.45" x14ac:dyDescent="0.4">
      <c r="B17" s="98" t="s">
        <v>281</v>
      </c>
    </row>
    <row r="18" spans="2:2" ht="15" x14ac:dyDescent="0.35">
      <c r="B18" s="10"/>
    </row>
    <row r="19" spans="2:2" ht="15" x14ac:dyDescent="0.35">
      <c r="B19" s="10" t="s">
        <v>265</v>
      </c>
    </row>
    <row r="20" spans="2:2" ht="15" x14ac:dyDescent="0.35">
      <c r="B20" s="10"/>
    </row>
    <row r="21" spans="2:2" ht="15.45" x14ac:dyDescent="0.4">
      <c r="B21" s="10" t="s">
        <v>280</v>
      </c>
    </row>
    <row r="22" spans="2:2" ht="15" x14ac:dyDescent="0.35">
      <c r="B22" s="10" t="s">
        <v>276</v>
      </c>
    </row>
    <row r="23" spans="2:2" ht="15" x14ac:dyDescent="0.35">
      <c r="B23" s="10" t="s">
        <v>266</v>
      </c>
    </row>
    <row r="24" spans="2:2" ht="15" x14ac:dyDescent="0.35">
      <c r="B24" s="10" t="s">
        <v>277</v>
      </c>
    </row>
    <row r="25" spans="2:2" ht="15" x14ac:dyDescent="0.35">
      <c r="B25" s="10"/>
    </row>
    <row r="26" spans="2:2" ht="15.45" x14ac:dyDescent="0.4">
      <c r="B26" s="10" t="s">
        <v>282</v>
      </c>
    </row>
    <row r="27" spans="2:2" ht="15" x14ac:dyDescent="0.35">
      <c r="B27" s="10"/>
    </row>
    <row r="28" spans="2:2" ht="15.45" x14ac:dyDescent="0.4">
      <c r="B28" s="3" t="s">
        <v>283</v>
      </c>
    </row>
    <row r="29" spans="2:2" ht="15.45" x14ac:dyDescent="0.4">
      <c r="B29" s="10" t="s">
        <v>284</v>
      </c>
    </row>
    <row r="30" spans="2:2" ht="15" x14ac:dyDescent="0.35">
      <c r="B30" s="10"/>
    </row>
    <row r="31" spans="2:2" ht="15" x14ac:dyDescent="0.35">
      <c r="B31" s="10" t="s">
        <v>285</v>
      </c>
    </row>
    <row r="32" spans="2:2" ht="15" x14ac:dyDescent="0.35">
      <c r="B32" s="10"/>
    </row>
    <row r="33" spans="2:2" ht="15" x14ac:dyDescent="0.35">
      <c r="B33" s="10" t="s">
        <v>278</v>
      </c>
    </row>
    <row r="34" spans="2:2" ht="15.45" x14ac:dyDescent="0.4">
      <c r="B34" s="10" t="s">
        <v>269</v>
      </c>
    </row>
    <row r="35" spans="2:2" ht="15" x14ac:dyDescent="0.35">
      <c r="B35" s="10" t="s">
        <v>286</v>
      </c>
    </row>
    <row r="36" spans="2:2" ht="15" x14ac:dyDescent="0.35">
      <c r="B36" s="10" t="s">
        <v>118</v>
      </c>
    </row>
    <row r="37" spans="2:2" ht="15" x14ac:dyDescent="0.35">
      <c r="B37" s="10"/>
    </row>
    <row r="38" spans="2:2" ht="15.45" x14ac:dyDescent="0.4">
      <c r="B38" s="3" t="s">
        <v>288</v>
      </c>
    </row>
    <row r="39" spans="2:2" ht="15.45" x14ac:dyDescent="0.4">
      <c r="B39" s="3" t="s">
        <v>267</v>
      </c>
    </row>
    <row r="40" spans="2:2" ht="15.45" x14ac:dyDescent="0.4">
      <c r="B40" s="3" t="s">
        <v>270</v>
      </c>
    </row>
    <row r="41" spans="2:2" ht="15.45" x14ac:dyDescent="0.4">
      <c r="B41" s="3"/>
    </row>
    <row r="42" spans="2:2" ht="15.45" x14ac:dyDescent="0.4">
      <c r="B42" s="3" t="s">
        <v>287</v>
      </c>
    </row>
    <row r="43" spans="2:2" ht="15" x14ac:dyDescent="0.35">
      <c r="B43" s="10"/>
    </row>
    <row r="44" spans="2:2" ht="15.45" x14ac:dyDescent="0.4">
      <c r="B44" s="3" t="s">
        <v>119</v>
      </c>
    </row>
    <row r="45" spans="2:2" ht="15" x14ac:dyDescent="0.35">
      <c r="B45" s="10"/>
    </row>
    <row r="46" spans="2:2" ht="15.45" x14ac:dyDescent="0.4">
      <c r="B46" s="3" t="s">
        <v>271</v>
      </c>
    </row>
    <row r="47" spans="2:2" ht="15" x14ac:dyDescent="0.35">
      <c r="B47" s="10"/>
    </row>
    <row r="48" spans="2:2" ht="15" x14ac:dyDescent="0.35">
      <c r="B48" s="10" t="s">
        <v>120</v>
      </c>
    </row>
    <row r="49" spans="2:2" ht="15" x14ac:dyDescent="0.35">
      <c r="B49" s="10" t="s">
        <v>121</v>
      </c>
    </row>
    <row r="50" spans="2:2" ht="15" x14ac:dyDescent="0.35">
      <c r="B50" s="10"/>
    </row>
    <row r="51" spans="2:2" ht="15" x14ac:dyDescent="0.35">
      <c r="B51" s="10" t="s">
        <v>268</v>
      </c>
    </row>
    <row r="52" spans="2:2" ht="15" x14ac:dyDescent="0.35">
      <c r="B52" s="10" t="s">
        <v>289</v>
      </c>
    </row>
    <row r="53" spans="2:2" ht="15" x14ac:dyDescent="0.35">
      <c r="B53" s="10"/>
    </row>
    <row r="54" spans="2:2" ht="15" x14ac:dyDescent="0.35">
      <c r="B54" s="10" t="s">
        <v>291</v>
      </c>
    </row>
    <row r="55" spans="2:2" ht="15.45" x14ac:dyDescent="0.4">
      <c r="B55" s="3" t="s">
        <v>290</v>
      </c>
    </row>
  </sheetData>
  <sheetProtection sheet="1" objects="1" scenarios="1"/>
  <phoneticPr fontId="29" type="noConversion"/>
  <pageMargins left="0.95" right="0.45" top="0.75" bottom="0.75" header="0.3" footer="0.3"/>
  <pageSetup scale="83" orientation="portrait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1. Key Data &amp; Advantage</vt:lpstr>
      <vt:lpstr>2. Summary of IncomeDifference</vt:lpstr>
      <vt:lpstr>3. SexedSemenProtocol Cost</vt:lpstr>
      <vt:lpstr>4. Natural Service Bull Cost</vt:lpstr>
      <vt:lpstr>5. Graphs</vt:lpstr>
      <vt:lpstr>User Guide</vt:lpstr>
      <vt:lpstr>'1. Key Data &amp; Advantage'!Print_Area</vt:lpstr>
      <vt:lpstr>'2. Summary of IncomeDifference'!Print_Area</vt:lpstr>
      <vt:lpstr>'3. SexedSemenProtocol Cost'!Print_Area</vt:lpstr>
      <vt:lpstr>'4. Natural Service Bull Cost'!Print_Area</vt:lpstr>
      <vt:lpstr>'5. Graphs'!Print_Area</vt:lpstr>
      <vt:lpstr>'User Guide'!Print_Area</vt:lpstr>
    </vt:vector>
  </TitlesOfParts>
  <Company>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Jim McGrann</cp:lastModifiedBy>
  <cp:lastPrinted>2020-03-09T15:45:48Z</cp:lastPrinted>
  <dcterms:created xsi:type="dcterms:W3CDTF">2001-10-02T12:38:48Z</dcterms:created>
  <dcterms:modified xsi:type="dcterms:W3CDTF">2020-03-10T07:46:04Z</dcterms:modified>
</cp:coreProperties>
</file>