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19 TAMU Additions 4-23-2019\Q. Herd Bull Replacement Economics 4-22-19\"/>
    </mc:Choice>
  </mc:AlternateContent>
  <xr:revisionPtr revIDLastSave="0" documentId="13_ncr:1_{E3DF5D13-E69C-456B-BC68-77D16B8FFE8D}" xr6:coauthVersionLast="43" xr6:coauthVersionMax="43" xr10:uidLastSave="{00000000-0000-0000-0000-000000000000}"/>
  <bookViews>
    <workbookView xWindow="-103" yWindow="-103" windowWidth="16663" windowHeight="8863" activeTab="2" xr2:uid="{00000000-000D-0000-FFFF-FFFF00000000}"/>
  </bookViews>
  <sheets>
    <sheet name="1. Bull Cost &amp; Key Data" sheetId="5" r:id="rId1"/>
    <sheet name="2. Bull Investment Cost " sheetId="3" r:id="rId2"/>
    <sheet name="3. Investment Perspective" sheetId="4" r:id="rId3"/>
  </sheets>
  <definedNames>
    <definedName name="_xlnm.Print_Area" localSheetId="0">'1. Bull Cost &amp; Key Data'!$B$1:$G$52</definedName>
    <definedName name="_xlnm.Print_Area" localSheetId="1">'2. Bull Investment Cost '!$B$1:$I$64</definedName>
    <definedName name="_xlnm.Print_Area" localSheetId="2">'3. Investment Perspective'!$B$1:$J$33</definedName>
  </definedNames>
  <calcPr calcId="181029"/>
</workbook>
</file>

<file path=xl/calcChain.xml><?xml version="1.0" encoding="utf-8"?>
<calcChain xmlns="http://schemas.openxmlformats.org/spreadsheetml/2006/main">
  <c r="H6" i="4" l="1"/>
  <c r="E24" i="5"/>
  <c r="B4" i="3" l="1"/>
  <c r="H40" i="5" l="1"/>
  <c r="E29" i="3"/>
  <c r="G22" i="3"/>
  <c r="E22" i="5" l="1"/>
  <c r="E26" i="5"/>
  <c r="E28" i="5"/>
  <c r="E30" i="3" l="1"/>
  <c r="E44" i="5"/>
  <c r="G30" i="3" s="1"/>
  <c r="E42" i="5"/>
  <c r="D18" i="3"/>
  <c r="D15" i="3"/>
  <c r="G18" i="3"/>
  <c r="E26" i="3"/>
  <c r="G23" i="3"/>
  <c r="F25" i="3"/>
  <c r="E25" i="3"/>
  <c r="G25" i="4" l="1"/>
  <c r="C19" i="4"/>
  <c r="C15" i="4"/>
  <c r="C10" i="4"/>
  <c r="C9" i="4"/>
  <c r="C25" i="4" l="1"/>
  <c r="J6" i="4" l="1"/>
  <c r="I6" i="4"/>
  <c r="G6" i="4"/>
  <c r="E16" i="5"/>
  <c r="F6" i="4" s="1"/>
  <c r="E14" i="5"/>
  <c r="E6" i="4" s="1"/>
  <c r="E12" i="5"/>
  <c r="D6" i="4" s="1"/>
  <c r="E10" i="5"/>
  <c r="C6" i="4" s="1"/>
  <c r="F14" i="4" l="1"/>
  <c r="F35" i="4"/>
  <c r="F11" i="4"/>
  <c r="F23" i="4"/>
  <c r="C11" i="4"/>
  <c r="C14" i="4" s="1"/>
  <c r="E15" i="3"/>
  <c r="L15" i="3" s="1"/>
  <c r="G25" i="3"/>
  <c r="F27" i="3" s="1"/>
  <c r="E14" i="3" s="1"/>
  <c r="F54" i="3"/>
  <c r="G54" i="3" s="1"/>
  <c r="H54" i="3" s="1"/>
  <c r="H18" i="3"/>
  <c r="F20" i="3" s="1"/>
  <c r="C59" i="3"/>
  <c r="C60" i="3" s="1"/>
  <c r="E9" i="3"/>
  <c r="E10" i="3" s="1"/>
  <c r="C43" i="3"/>
  <c r="C38" i="3"/>
  <c r="E31" i="3"/>
  <c r="I11" i="4" l="1"/>
  <c r="I14" i="4" s="1"/>
  <c r="H11" i="4"/>
  <c r="H14" i="4" s="1"/>
  <c r="H17" i="4" s="1"/>
  <c r="H21" i="4" s="1"/>
  <c r="H35" i="4"/>
  <c r="H23" i="4" s="1"/>
  <c r="F24" i="5" s="1"/>
  <c r="H28" i="4"/>
  <c r="H29" i="4" s="1"/>
  <c r="C35" i="4"/>
  <c r="E35" i="4"/>
  <c r="E23" i="4" s="1"/>
  <c r="G35" i="4"/>
  <c r="G23" i="4" s="1"/>
  <c r="J35" i="4"/>
  <c r="J23" i="4" s="1"/>
  <c r="D35" i="4"/>
  <c r="D23" i="4" s="1"/>
  <c r="I35" i="4"/>
  <c r="I23" i="4" s="1"/>
  <c r="G31" i="3"/>
  <c r="I32" i="3" s="1"/>
  <c r="F40" i="5" s="1"/>
  <c r="J11" i="4"/>
  <c r="J14" i="4" s="1"/>
  <c r="E11" i="4"/>
  <c r="E14" i="4" s="1"/>
  <c r="E17" i="4" s="1"/>
  <c r="E21" i="4" s="1"/>
  <c r="D11" i="4"/>
  <c r="D14" i="4" s="1"/>
  <c r="D17" i="4" s="1"/>
  <c r="D21" i="4" s="1"/>
  <c r="G11" i="4"/>
  <c r="G14" i="4" s="1"/>
  <c r="E43" i="3"/>
  <c r="C23" i="4"/>
  <c r="E54" i="3"/>
  <c r="D54" i="3" s="1"/>
  <c r="D59" i="3" s="1"/>
  <c r="E13" i="3"/>
  <c r="G13" i="3" s="1"/>
  <c r="H13" i="3" s="1"/>
  <c r="G15" i="3"/>
  <c r="H15" i="3" s="1"/>
  <c r="G8" i="3"/>
  <c r="H8" i="3" s="1"/>
  <c r="G14" i="3"/>
  <c r="H14" i="3" s="1"/>
  <c r="G10" i="3"/>
  <c r="H10" i="3" s="1"/>
  <c r="G9" i="3"/>
  <c r="H9" i="3" s="1"/>
  <c r="G7" i="3"/>
  <c r="H7" i="3" s="1"/>
  <c r="G6" i="3"/>
  <c r="H6" i="3" s="1"/>
  <c r="C44" i="3"/>
  <c r="C45" i="3" s="1"/>
  <c r="C46" i="3" s="1"/>
  <c r="E46" i="3" s="1"/>
  <c r="C58" i="3"/>
  <c r="F58" i="3" s="1"/>
  <c r="F59" i="3"/>
  <c r="F32" i="5" s="1"/>
  <c r="H59" i="3"/>
  <c r="C42" i="3"/>
  <c r="F60" i="3"/>
  <c r="H60" i="3"/>
  <c r="C61" i="3"/>
  <c r="G60" i="3"/>
  <c r="G59" i="3"/>
  <c r="C17" i="4"/>
  <c r="D60" i="3" l="1"/>
  <c r="E60" i="3"/>
  <c r="E59" i="3"/>
  <c r="G28" i="4"/>
  <c r="G29" i="4" s="1"/>
  <c r="F22" i="5"/>
  <c r="C28" i="4"/>
  <c r="C29" i="4" s="1"/>
  <c r="F10" i="5"/>
  <c r="J28" i="4"/>
  <c r="J29" i="4" s="1"/>
  <c r="F28" i="5"/>
  <c r="F28" i="4"/>
  <c r="F29" i="4" s="1"/>
  <c r="F16" i="5"/>
  <c r="D28" i="4"/>
  <c r="D29" i="4" s="1"/>
  <c r="F12" i="5"/>
  <c r="E28" i="4"/>
  <c r="E29" i="4" s="1"/>
  <c r="F14" i="5"/>
  <c r="I28" i="4"/>
  <c r="I29" i="4" s="1"/>
  <c r="F26" i="5"/>
  <c r="I43" i="3"/>
  <c r="C21" i="4"/>
  <c r="E16" i="3"/>
  <c r="G16" i="3" s="1"/>
  <c r="H16" i="3" s="1"/>
  <c r="F43" i="3"/>
  <c r="E58" i="3"/>
  <c r="E45" i="3"/>
  <c r="I45" i="3" s="1"/>
  <c r="D58" i="3"/>
  <c r="H58" i="3"/>
  <c r="E44" i="3"/>
  <c r="F44" i="3" s="1"/>
  <c r="C57" i="3"/>
  <c r="F57" i="3" s="1"/>
  <c r="G58" i="3"/>
  <c r="C41" i="3"/>
  <c r="E42" i="3"/>
  <c r="F46" i="3"/>
  <c r="G46" i="3"/>
  <c r="H46" i="3" s="1"/>
  <c r="I46" i="3"/>
  <c r="G61" i="3"/>
  <c r="F61" i="3"/>
  <c r="C62" i="3"/>
  <c r="H61" i="3"/>
  <c r="E61" i="3"/>
  <c r="D61" i="3"/>
  <c r="F17" i="4"/>
  <c r="F21" i="4" s="1"/>
  <c r="G17" i="4" l="1"/>
  <c r="G21" i="4" s="1"/>
  <c r="E19" i="3"/>
  <c r="I10" i="3" s="1"/>
  <c r="D57" i="3"/>
  <c r="G44" i="3"/>
  <c r="H44" i="3" s="1"/>
  <c r="G45" i="3"/>
  <c r="H45" i="3" s="1"/>
  <c r="E57" i="3"/>
  <c r="F45" i="3"/>
  <c r="H57" i="3"/>
  <c r="I44" i="3"/>
  <c r="G57" i="3"/>
  <c r="C56" i="3"/>
  <c r="H56" i="3" s="1"/>
  <c r="I42" i="3"/>
  <c r="G42" i="3"/>
  <c r="H42" i="3" s="1"/>
  <c r="F42" i="3"/>
  <c r="E41" i="3"/>
  <c r="C40" i="3"/>
  <c r="E40" i="3" s="1"/>
  <c r="G62" i="3"/>
  <c r="D62" i="3"/>
  <c r="E62" i="3"/>
  <c r="H62" i="3"/>
  <c r="F62" i="3"/>
  <c r="E20" i="3"/>
  <c r="I16" i="3" l="1"/>
  <c r="G19" i="3"/>
  <c r="H19" i="3" s="1"/>
  <c r="J17" i="4"/>
  <c r="J21" i="4" s="1"/>
  <c r="I17" i="4"/>
  <c r="I21" i="4" s="1"/>
  <c r="E56" i="3"/>
  <c r="F56" i="3"/>
  <c r="G56" i="3"/>
  <c r="D56" i="3"/>
  <c r="I41" i="3"/>
  <c r="F41" i="3"/>
  <c r="G41" i="3"/>
  <c r="H41" i="3" s="1"/>
  <c r="G40" i="3"/>
  <c r="H40" i="3" s="1"/>
  <c r="F40" i="3"/>
  <c r="I40" i="3"/>
  <c r="I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J. Kelly</author>
  </authors>
  <commentList>
    <comment ref="G5" authorId="0" shapeId="0" xr:uid="{00000000-0006-0000-0000-000001000000}">
      <text>
        <r>
          <rPr>
            <sz val="8"/>
            <color indexed="81"/>
            <rFont val="Tahoma"/>
          </rPr>
          <t xml:space="preserve">See the number of cows input per bull below </t>
        </r>
      </text>
    </comment>
    <comment ref="H5" authorId="0" shapeId="0" xr:uid="{00000000-0006-0000-0000-000002000000}">
      <text>
        <r>
          <rPr>
            <sz val="8"/>
            <color indexed="81"/>
            <rFont val="Tahoma"/>
          </rPr>
          <t xml:space="preserve">See the production per exposed female below  that is used as the devisor. </t>
        </r>
      </text>
    </comment>
    <comment ref="E13" authorId="0" shapeId="0" xr:uid="{00000000-0006-0000-0000-000003000000}">
      <text>
        <r>
          <rPr>
            <sz val="8"/>
            <color indexed="81"/>
            <rFont val="Tahoma"/>
          </rPr>
          <t>Cost - Salvage value divided by useful life.</t>
        </r>
      </text>
    </comment>
  </commentList>
</comments>
</file>

<file path=xl/sharedStrings.xml><?xml version="1.0" encoding="utf-8"?>
<sst xmlns="http://schemas.openxmlformats.org/spreadsheetml/2006/main" count="186" uniqueCount="160">
  <si>
    <t>Annual
Cow
Service Cost</t>
  </si>
  <si>
    <t>Depreciation</t>
  </si>
  <si>
    <t>%</t>
  </si>
  <si>
    <t>Wt. Lb./Hd.</t>
  </si>
  <si>
    <t>$/Cwt.</t>
  </si>
  <si>
    <t xml:space="preserve">  $/Head</t>
  </si>
  <si>
    <t>Average Annual Interest Cost*</t>
  </si>
  <si>
    <t>Bull Purchase Cost</t>
  </si>
  <si>
    <t>Cows  per Year</t>
  </si>
  <si>
    <t>Change in
Cow
Service Cost</t>
  </si>
  <si>
    <t>Price of Weaned Calf</t>
  </si>
  <si>
    <t>Comments:</t>
  </si>
  <si>
    <t>Interest rate Used</t>
  </si>
  <si>
    <t>Base Purchase cost</t>
  </si>
  <si>
    <t xml:space="preserve">Annual
Bull Cost
</t>
  </si>
  <si>
    <t>Annual
Bull Service Cost per Cow</t>
  </si>
  <si>
    <t>Annual Bull Cost for Different Bull Purchase Cost</t>
  </si>
  <si>
    <t>Pounds of Weaned Calf per Cow*</t>
  </si>
  <si>
    <t>Weaned Calf/Exposed Female</t>
  </si>
  <si>
    <t>Lb.</t>
  </si>
  <si>
    <t>---------------------------------------</t>
  </si>
  <si>
    <t>Annual
Service Cost per Cwt Weaned</t>
  </si>
  <si>
    <t>Annual
Service Cost per Cwt Weaned*</t>
  </si>
  <si>
    <t>Average investment is cost plus salvage value divided by 2 or</t>
  </si>
  <si>
    <t>Purchase Cost  of Bull</t>
  </si>
  <si>
    <t>$/Cow</t>
  </si>
  <si>
    <t>Per Cwt</t>
  </si>
  <si>
    <t>Grazing and Supplemental Feed</t>
  </si>
  <si>
    <t>Head Serviced Annually</t>
  </si>
  <si>
    <t>Head Annually</t>
  </si>
  <si>
    <t>Annual Operating Cost</t>
  </si>
  <si>
    <t>Annual Ownership Cost</t>
  </si>
  <si>
    <t>Percent of Total Cost</t>
  </si>
  <si>
    <t>Bull Per Hd.</t>
  </si>
  <si>
    <t>Bull Investment - Annual Bull and Per Cow Cost Calculator</t>
  </si>
  <si>
    <t>Death Loss (% of  Purchase Cost)</t>
  </si>
  <si>
    <t>Total Cost per Calf Weaned</t>
  </si>
  <si>
    <t>Annual Interest on 1/2 of Operating Cost</t>
  </si>
  <si>
    <t>Operating Cost Item</t>
  </si>
  <si>
    <t>Ownership Cost</t>
  </si>
  <si>
    <t>Calves During Life of Bull</t>
  </si>
  <si>
    <t>Useful Life - Years</t>
  </si>
  <si>
    <t>Weaned Calf Price</t>
  </si>
  <si>
    <t>$/Head</t>
  </si>
  <si>
    <t>Sensitivity Analysis to Number of Cows Serviced</t>
  </si>
  <si>
    <t xml:space="preserve">Bull Salvage Value </t>
  </si>
  <si>
    <t>Total &amp; Cost per Cow Exposed - Cwt. Weaned</t>
  </si>
  <si>
    <t>Cows Exposed/Bull</t>
  </si>
  <si>
    <t xml:space="preserve">Exposed/Yr. </t>
  </si>
  <si>
    <t>Table - Number of Cows Serviced Increment</t>
  </si>
  <si>
    <t>Table Price Increment</t>
  </si>
  <si>
    <t>Breeding Cow Total Production Cost</t>
  </si>
  <si>
    <t>Weaned Calf Crop - Based of Exposed Females</t>
  </si>
  <si>
    <t>*Change in pounds weaned per exposed female or percent weaned times average weaning weight.</t>
  </si>
  <si>
    <t>Bulls used  for spring calving herd</t>
  </si>
  <si>
    <t>Number of Cows Serviced Annually and Cost per Exposed Cow</t>
  </si>
  <si>
    <t>of Total Cost</t>
  </si>
  <si>
    <t xml:space="preserve">Bull as % </t>
  </si>
  <si>
    <t>% of Calf Val.</t>
  </si>
  <si>
    <t>Head of</t>
  </si>
  <si>
    <t>Calves/Bull</t>
  </si>
  <si>
    <t xml:space="preserve"> Breeding Seasons Per Year</t>
  </si>
  <si>
    <t xml:space="preserve">       Calves per Bull Investment</t>
  </si>
  <si>
    <t>-------------------------------------------------------------------------------------------------------------------------------------------------------------------------</t>
  </si>
  <si>
    <t>Salvage Value</t>
  </si>
  <si>
    <t xml:space="preserve"> Sales Weight - Lb./Head</t>
  </si>
  <si>
    <t>Average Weaned Calf Value $/Cwt.</t>
  </si>
  <si>
    <t>Getting the Bull Investment Cost Into Proper Perspective</t>
  </si>
  <si>
    <t>Bull Investment -  $/Head</t>
  </si>
  <si>
    <t xml:space="preserve"> Price of Cull Bulls - $/Cwt.</t>
  </si>
  <si>
    <t>Depreciation Cost of Investment</t>
  </si>
  <si>
    <t xml:space="preserve"> Investment minus Salvage Value</t>
  </si>
  <si>
    <t>Annual Deprecation Cost</t>
  </si>
  <si>
    <t>Number of Female Serviced Annually</t>
  </si>
  <si>
    <t>Depreciation per Female Serviced</t>
  </si>
  <si>
    <t>Steers and Heifers</t>
  </si>
  <si>
    <t>Average Weaning Weight - Steers and Heifers</t>
  </si>
  <si>
    <t xml:space="preserve">Desired Genetics Desired </t>
  </si>
  <si>
    <t>Purchase at Production Auction Sale</t>
  </si>
  <si>
    <t>Purchase at Bull Test Auction Sale</t>
  </si>
  <si>
    <t>Name of Bull Sire</t>
  </si>
  <si>
    <t xml:space="preserve">Name of Bull </t>
  </si>
  <si>
    <t>Purchase Cost</t>
  </si>
  <si>
    <t>Investment</t>
  </si>
  <si>
    <t xml:space="preserve">Alternative Source of Purchased Bulls - Yearling </t>
  </si>
  <si>
    <t>User described alternative</t>
  </si>
  <si>
    <t>Total Cost of</t>
  </si>
  <si>
    <t>Per Head Valuations</t>
  </si>
  <si>
    <t>All bulls are BSE tested etc.</t>
  </si>
  <si>
    <t>Raised Production Option and Calculated Cost - See Raised Bull Decision Aids</t>
  </si>
  <si>
    <t xml:space="preserve">Sexed Semen AI Raised - Owned Recipients </t>
  </si>
  <si>
    <t>*Hauling or freight and participation time etc.</t>
  </si>
  <si>
    <t>______________________________________________________________________________________________________________________</t>
  </si>
  <si>
    <t>Total Annual Cost of Bull per Female</t>
  </si>
  <si>
    <t>Annual Cost Per Exposed Female</t>
  </si>
  <si>
    <t xml:space="preserve">   To pay Bull Annual Cost</t>
  </si>
  <si>
    <t xml:space="preserve">     Percent of Weaning Weight</t>
  </si>
  <si>
    <t xml:space="preserve">Pounds of Weaned Calf Required </t>
  </si>
  <si>
    <t>Buying quality genetics is investing for the future and it’s a low cost input that can be managed.</t>
  </si>
  <si>
    <t>Exposed Females Per Bull</t>
  </si>
  <si>
    <t>Units</t>
  </si>
  <si>
    <t>Years</t>
  </si>
  <si>
    <t>Head</t>
  </si>
  <si>
    <t>Culled Bull Weight</t>
  </si>
  <si>
    <t>Cull Price of Aged Bulls</t>
  </si>
  <si>
    <t>Pounds</t>
  </si>
  <si>
    <t>Interest Rate on Capital Invested</t>
  </si>
  <si>
    <t>Bull Death Loss</t>
  </si>
  <si>
    <t>Breeding Seasons Used Per Year</t>
  </si>
  <si>
    <t>Number</t>
  </si>
  <si>
    <t>Spring</t>
  </si>
  <si>
    <t>Years of Productive Life -Years</t>
  </si>
  <si>
    <t xml:space="preserve">Bull Cost </t>
  </si>
  <si>
    <t>Exposed</t>
  </si>
  <si>
    <t xml:space="preserve">Other </t>
  </si>
  <si>
    <t>Costs*</t>
  </si>
  <si>
    <t xml:space="preserve">Economic or Depreciable Life </t>
  </si>
  <si>
    <t>costs are basically the same.</t>
  </si>
  <si>
    <t>Weaned Calf Crop or Weaning Percent</t>
  </si>
  <si>
    <t>Average Weaning Weight - Steers</t>
  </si>
  <si>
    <t>Lb./Head</t>
  </si>
  <si>
    <t>Average Weaning Weight - Heifers</t>
  </si>
  <si>
    <t>Weaned Steer Price</t>
  </si>
  <si>
    <t>Weaned Heifer Price</t>
  </si>
  <si>
    <t xml:space="preserve">      Value</t>
  </si>
  <si>
    <t xml:space="preserve">Irrespective of bull investment level and quality the annual operating costs for health, feed, grazing and other maintenance </t>
  </si>
  <si>
    <t>Option Considered - See Sheet 1.</t>
  </si>
  <si>
    <t xml:space="preserve">         Average</t>
  </si>
  <si>
    <t>__________________________________________________________________________________________________________</t>
  </si>
  <si>
    <t xml:space="preserve">Per Female </t>
  </si>
  <si>
    <t xml:space="preserve"> #</t>
  </si>
  <si>
    <t>Notes:</t>
  </si>
  <si>
    <t>Keep in mind to evaluate there must have similar genetics to have a fair comparison</t>
  </si>
  <si>
    <t>Embryo Cost</t>
  </si>
  <si>
    <t>ET Purchase Sexed Embryos Owned Recipients</t>
  </si>
  <si>
    <t>Semen  Cost</t>
  </si>
  <si>
    <t xml:space="preserve">        $/Head</t>
  </si>
  <si>
    <t>Health &amp; BSE</t>
  </si>
  <si>
    <t>Annually</t>
  </si>
  <si>
    <t>*Date is used to calculate cost per exposed females to compare alternatives see sheet 2 to enter annual operating costs.</t>
  </si>
  <si>
    <t>______________________________</t>
  </si>
  <si>
    <t>Alternative Herd Bull Purchase or Raised Cost Calculator - A Planning Tool</t>
  </si>
  <si>
    <t xml:space="preserve">Direct Purchase or  Private Treaty </t>
  </si>
  <si>
    <t>Detail Analysis</t>
  </si>
  <si>
    <t>Head of Calves</t>
  </si>
  <si>
    <t>Bull Investment</t>
  </si>
  <si>
    <t>Lb. weaned per exposed female.</t>
  </si>
  <si>
    <t xml:space="preserve">     Cover </t>
  </si>
  <si>
    <t xml:space="preserve">Total Purchase Cost </t>
  </si>
  <si>
    <t>Key Investment  Data*</t>
  </si>
  <si>
    <t xml:space="preserve"> $/Per Exposed</t>
  </si>
  <si>
    <t>Angus - top growth and feed efficiency</t>
  </si>
  <si>
    <t>Purchase bull detailed analyses</t>
  </si>
  <si>
    <t>Other</t>
  </si>
  <si>
    <t>Death loss per female exposed.</t>
  </si>
  <si>
    <t>Buying or raising quality genetics is investing for the future.</t>
  </si>
  <si>
    <t>Non-Sexed Embryo ET Owned Recipients</t>
  </si>
  <si>
    <t>Version 4-22-2019</t>
  </si>
  <si>
    <t>Average Lb. per Head</t>
  </si>
  <si>
    <t>Conventional AI Raised - Owned Exposed Cows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</si>
</sst>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 d\,\ yyyy"/>
    <numFmt numFmtId="167" formatCode="0.0_);[Red]\(0.0\)"/>
    <numFmt numFmtId="168" formatCode="0.0%"/>
    <numFmt numFmtId="169" formatCode="0.0"/>
    <numFmt numFmtId="170" formatCode="0_);[Red]\(0\)"/>
    <numFmt numFmtId="171" formatCode="#,##0.0_);[Red]\(#,##0.0\)"/>
    <numFmt numFmtId="172" formatCode="_(* #,##0_);_(* \(#,##0\);_(* &quot;-&quot;??_);_(@_)"/>
    <numFmt numFmtId="173" formatCode="[$$-409]#,##0_);\([$$-409]#,##0\)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48"/>
      <name val="Arial"/>
    </font>
    <font>
      <sz val="10"/>
      <name val="Arial"/>
      <family val="2"/>
    </font>
    <font>
      <sz val="8"/>
      <color indexed="81"/>
      <name val="Tahoma"/>
    </font>
    <font>
      <sz val="10"/>
      <color indexed="12"/>
      <name val="Arial"/>
    </font>
    <font>
      <b/>
      <sz val="12"/>
      <name val="Arial"/>
      <family val="2"/>
    </font>
    <font>
      <sz val="10"/>
      <color indexed="39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sz val="10"/>
      <color indexed="3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color rgb="FF3333FF"/>
      <name val="Arial"/>
      <family val="2"/>
    </font>
    <font>
      <sz val="10"/>
      <color rgb="FF3333FF"/>
      <name val="Arial"/>
      <family val="2"/>
    </font>
    <font>
      <sz val="11"/>
      <color rgb="FF3333FF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/>
    <xf numFmtId="165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6" fontId="0" fillId="0" borderId="0" xfId="0" applyNumberFormat="1"/>
    <xf numFmtId="164" fontId="5" fillId="0" borderId="0" xfId="0" applyNumberFormat="1" applyFont="1"/>
    <xf numFmtId="166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quotePrefix="1"/>
    <xf numFmtId="6" fontId="7" fillId="0" borderId="0" xfId="0" applyNumberFormat="1" applyFont="1"/>
    <xf numFmtId="8" fontId="2" fillId="0" borderId="0" xfId="0" applyNumberFormat="1" applyFont="1" applyAlignment="1">
      <alignment horizontal="center" wrapText="1"/>
    </xf>
    <xf numFmtId="166" fontId="5" fillId="0" borderId="0" xfId="0" applyNumberFormat="1" applyFont="1" applyAlignment="1">
      <alignment horizontal="center"/>
    </xf>
    <xf numFmtId="8" fontId="7" fillId="0" borderId="0" xfId="0" applyNumberFormat="1" applyFont="1" applyProtection="1">
      <protection locked="0"/>
    </xf>
    <xf numFmtId="169" fontId="2" fillId="0" borderId="0" xfId="0" applyNumberFormat="1" applyFont="1"/>
    <xf numFmtId="166" fontId="5" fillId="0" borderId="0" xfId="0" applyNumberFormat="1" applyFont="1" applyAlignment="1">
      <alignment horizontal="left"/>
    </xf>
    <xf numFmtId="0" fontId="9" fillId="0" borderId="1" xfId="0" applyFont="1" applyBorder="1" applyProtection="1">
      <protection locked="0"/>
    </xf>
    <xf numFmtId="0" fontId="9" fillId="0" borderId="2" xfId="0" applyFont="1" applyBorder="1" applyProtection="1">
      <protection locked="0"/>
    </xf>
    <xf numFmtId="6" fontId="2" fillId="0" borderId="0" xfId="0" applyNumberFormat="1" applyFont="1"/>
    <xf numFmtId="14" fontId="10" fillId="0" borderId="0" xfId="0" applyNumberFormat="1" applyFont="1" applyAlignment="1">
      <alignment horizontal="left"/>
    </xf>
    <xf numFmtId="0" fontId="2" fillId="0" borderId="0" xfId="0" applyFont="1"/>
    <xf numFmtId="8" fontId="5" fillId="0" borderId="0" xfId="0" applyNumberFormat="1" applyFont="1" applyAlignment="1">
      <alignment horizontal="center" wrapText="1"/>
    </xf>
    <xf numFmtId="169" fontId="5" fillId="0" borderId="0" xfId="0" applyNumberFormat="1" applyFont="1"/>
    <xf numFmtId="38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65" fontId="2" fillId="0" borderId="0" xfId="0" applyNumberFormat="1" applyFont="1"/>
    <xf numFmtId="164" fontId="12" fillId="0" borderId="0" xfId="0" applyNumberFormat="1" applyFont="1"/>
    <xf numFmtId="9" fontId="2" fillId="0" borderId="0" xfId="2" applyFont="1"/>
    <xf numFmtId="165" fontId="7" fillId="0" borderId="3" xfId="0" applyNumberFormat="1" applyFont="1" applyBorder="1" applyProtection="1">
      <protection locked="0"/>
    </xf>
    <xf numFmtId="6" fontId="7" fillId="0" borderId="3" xfId="0" applyNumberFormat="1" applyFont="1" applyBorder="1" applyProtection="1">
      <protection locked="0"/>
    </xf>
    <xf numFmtId="1" fontId="7" fillId="0" borderId="3" xfId="1" applyNumberFormat="1" applyFont="1" applyBorder="1" applyAlignment="1" applyProtection="1">
      <alignment horizontal="center"/>
      <protection locked="0"/>
    </xf>
    <xf numFmtId="1" fontId="2" fillId="0" borderId="0" xfId="0" applyNumberFormat="1" applyFont="1"/>
    <xf numFmtId="165" fontId="0" fillId="0" borderId="0" xfId="0" applyNumberFormat="1"/>
    <xf numFmtId="8" fontId="5" fillId="0" borderId="0" xfId="0" applyNumberFormat="1" applyFont="1"/>
    <xf numFmtId="170" fontId="7" fillId="0" borderId="0" xfId="2" applyNumberFormat="1" applyFont="1" applyAlignment="1" applyProtection="1">
      <alignment horizontal="right"/>
      <protection locked="0"/>
    </xf>
    <xf numFmtId="3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68" fontId="0" fillId="0" borderId="0" xfId="2" applyNumberFormat="1" applyFont="1"/>
    <xf numFmtId="168" fontId="2" fillId="0" borderId="0" xfId="2" applyNumberFormat="1" applyFont="1"/>
    <xf numFmtId="0" fontId="5" fillId="0" borderId="0" xfId="0" quotePrefix="1" applyFont="1"/>
    <xf numFmtId="0" fontId="13" fillId="0" borderId="4" xfId="0" applyFont="1" applyBorder="1" applyProtection="1">
      <protection locked="0"/>
    </xf>
    <xf numFmtId="170" fontId="0" fillId="0" borderId="0" xfId="0" applyNumberFormat="1"/>
    <xf numFmtId="10" fontId="2" fillId="0" borderId="0" xfId="0" applyNumberFormat="1" applyFont="1"/>
    <xf numFmtId="8" fontId="2" fillId="0" borderId="3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/>
    <xf numFmtId="0" fontId="8" fillId="0" borderId="0" xfId="0" applyFont="1"/>
    <xf numFmtId="165" fontId="14" fillId="0" borderId="0" xfId="0" applyNumberFormat="1" applyFont="1"/>
    <xf numFmtId="6" fontId="8" fillId="0" borderId="0" xfId="0" applyNumberFormat="1" applyFont="1"/>
    <xf numFmtId="8" fontId="8" fillId="0" borderId="0" xfId="0" applyNumberFormat="1" applyFont="1"/>
    <xf numFmtId="0" fontId="15" fillId="0" borderId="0" xfId="0" applyFont="1" applyAlignment="1">
      <alignment horizontal="center"/>
    </xf>
    <xf numFmtId="171" fontId="8" fillId="0" borderId="0" xfId="0" applyNumberFormat="1" applyFont="1"/>
    <xf numFmtId="0" fontId="16" fillId="0" borderId="0" xfId="0" applyFont="1"/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/>
    </xf>
    <xf numFmtId="165" fontId="17" fillId="0" borderId="3" xfId="0" applyNumberFormat="1" applyFont="1" applyBorder="1" applyProtection="1">
      <protection locked="0"/>
    </xf>
    <xf numFmtId="165" fontId="14" fillId="0" borderId="5" xfId="0" applyNumberFormat="1" applyFont="1" applyBorder="1"/>
    <xf numFmtId="165" fontId="17" fillId="0" borderId="0" xfId="0" applyNumberFormat="1" applyFont="1" applyProtection="1">
      <protection locked="0"/>
    </xf>
    <xf numFmtId="0" fontId="17" fillId="0" borderId="3" xfId="0" applyFont="1" applyBorder="1" applyProtection="1">
      <protection locked="0"/>
    </xf>
    <xf numFmtId="3" fontId="8" fillId="0" borderId="0" xfId="0" applyNumberFormat="1" applyFont="1" applyProtection="1">
      <protection locked="0"/>
    </xf>
    <xf numFmtId="172" fontId="8" fillId="0" borderId="0" xfId="3" applyNumberFormat="1" applyFont="1"/>
    <xf numFmtId="6" fontId="14" fillId="0" borderId="0" xfId="0" applyNumberFormat="1" applyFont="1"/>
    <xf numFmtId="3" fontId="14" fillId="0" borderId="0" xfId="0" applyNumberFormat="1" applyFont="1"/>
    <xf numFmtId="168" fontId="8" fillId="0" borderId="0" xfId="2" applyNumberFormat="1" applyFont="1"/>
    <xf numFmtId="0" fontId="8" fillId="0" borderId="0" xfId="0" applyFont="1" applyProtection="1">
      <protection locked="0"/>
    </xf>
    <xf numFmtId="6" fontId="5" fillId="0" borderId="0" xfId="0" applyNumberFormat="1" applyFont="1"/>
    <xf numFmtId="3" fontId="5" fillId="0" borderId="0" xfId="0" applyNumberFormat="1" applyFont="1"/>
    <xf numFmtId="167" fontId="5" fillId="0" borderId="0" xfId="2" applyNumberFormat="1" applyFont="1" applyAlignment="1">
      <alignment horizontal="right"/>
    </xf>
    <xf numFmtId="3" fontId="5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8" fontId="14" fillId="0" borderId="0" xfId="0" applyNumberFormat="1" applyFont="1"/>
    <xf numFmtId="164" fontId="14" fillId="0" borderId="0" xfId="0" applyNumberFormat="1" applyFont="1"/>
    <xf numFmtId="170" fontId="5" fillId="0" borderId="0" xfId="2" applyNumberFormat="1" applyFont="1" applyAlignment="1">
      <alignment horizontal="right"/>
    </xf>
    <xf numFmtId="3" fontId="8" fillId="0" borderId="0" xfId="0" applyNumberFormat="1" applyFont="1"/>
    <xf numFmtId="0" fontId="19" fillId="0" borderId="6" xfId="0" applyFont="1" applyBorder="1" applyAlignment="1" applyProtection="1">
      <alignment horizontal="left"/>
      <protection locked="0"/>
    </xf>
    <xf numFmtId="165" fontId="17" fillId="0" borderId="7" xfId="0" applyNumberFormat="1" applyFont="1" applyBorder="1"/>
    <xf numFmtId="165" fontId="17" fillId="0" borderId="0" xfId="0" applyNumberFormat="1" applyFont="1"/>
    <xf numFmtId="0" fontId="20" fillId="0" borderId="0" xfId="0" applyFont="1"/>
    <xf numFmtId="0" fontId="17" fillId="0" borderId="0" xfId="0" applyFont="1" applyAlignment="1" applyProtection="1">
      <alignment horizontal="center"/>
      <protection locked="0"/>
    </xf>
    <xf numFmtId="172" fontId="17" fillId="0" borderId="3" xfId="3" applyNumberFormat="1" applyFont="1" applyBorder="1" applyProtection="1">
      <protection locked="0"/>
    </xf>
    <xf numFmtId="165" fontId="17" fillId="0" borderId="7" xfId="0" applyNumberFormat="1" applyFont="1" applyBorder="1" applyProtection="1">
      <protection locked="0"/>
    </xf>
    <xf numFmtId="173" fontId="8" fillId="0" borderId="0" xfId="3" applyNumberFormat="1" applyFont="1"/>
    <xf numFmtId="2" fontId="2" fillId="0" borderId="0" xfId="0" applyNumberFormat="1" applyFont="1"/>
    <xf numFmtId="0" fontId="14" fillId="0" borderId="0" xfId="0" applyFont="1" applyProtection="1">
      <protection locked="0"/>
    </xf>
    <xf numFmtId="0" fontId="19" fillId="0" borderId="4" xfId="0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18" fillId="0" borderId="2" xfId="0" applyFont="1" applyBorder="1" applyProtection="1">
      <protection locked="0"/>
    </xf>
    <xf numFmtId="2" fontId="8" fillId="0" borderId="0" xfId="0" applyNumberFormat="1" applyFont="1"/>
    <xf numFmtId="0" fontId="0" fillId="0" borderId="0" xfId="0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Border="1" applyProtection="1">
      <protection locked="0"/>
    </xf>
    <xf numFmtId="165" fontId="17" fillId="0" borderId="0" xfId="0" applyNumberFormat="1" applyFont="1" applyBorder="1" applyProtection="1">
      <protection locked="0"/>
    </xf>
    <xf numFmtId="0" fontId="18" fillId="0" borderId="4" xfId="0" applyFont="1" applyBorder="1"/>
    <xf numFmtId="0" fontId="0" fillId="0" borderId="1" xfId="0" applyBorder="1"/>
    <xf numFmtId="0" fontId="0" fillId="0" borderId="2" xfId="0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9" fillId="0" borderId="4" xfId="0" applyFont="1" applyBorder="1" applyProtection="1">
      <protection locked="0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5" fillId="0" borderId="5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332015</xdr:colOff>
      <xdr:row>3</xdr:row>
      <xdr:rowOff>108857</xdr:rowOff>
    </xdr:from>
    <xdr:to>
      <xdr:col>10</xdr:col>
      <xdr:colOff>228601</xdr:colOff>
      <xdr:row>5</xdr:row>
      <xdr:rowOff>292100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95C8850C-7737-497D-84FA-EA14CD39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3415" y="555171"/>
          <a:ext cx="1202872" cy="575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332015</xdr:colOff>
      <xdr:row>2</xdr:row>
      <xdr:rowOff>108857</xdr:rowOff>
    </xdr:from>
    <xdr:to>
      <xdr:col>12</xdr:col>
      <xdr:colOff>228601</xdr:colOff>
      <xdr:row>4</xdr:row>
      <xdr:rowOff>292100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3415" y="555171"/>
          <a:ext cx="1202872" cy="575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611E-DD8E-4FB8-81F6-E4DA4F67F408}">
  <sheetPr>
    <pageSetUpPr fitToPage="1"/>
  </sheetPr>
  <dimension ref="B1:J52"/>
  <sheetViews>
    <sheetView workbookViewId="0">
      <selection activeCell="G3" sqref="G3"/>
    </sheetView>
  </sheetViews>
  <sheetFormatPr defaultRowHeight="12.45" x14ac:dyDescent="0.3"/>
  <cols>
    <col min="1" max="1" width="4.69140625" customWidth="1"/>
    <col min="2" max="2" width="46.69140625" customWidth="1"/>
    <col min="3" max="3" width="17" customWidth="1"/>
    <col min="4" max="4" width="12.3046875" customWidth="1"/>
    <col min="5" max="5" width="13.765625" customWidth="1"/>
    <col min="6" max="6" width="13" customWidth="1"/>
    <col min="7" max="7" width="4.3046875" customWidth="1"/>
  </cols>
  <sheetData>
    <row r="1" spans="2:10" ht="15.45" x14ac:dyDescent="0.4">
      <c r="B1" s="102" t="s">
        <v>141</v>
      </c>
      <c r="C1" s="103"/>
      <c r="D1" s="103"/>
      <c r="E1" s="104"/>
      <c r="F1" s="104"/>
    </row>
    <row r="2" spans="2:10" ht="15" x14ac:dyDescent="0.35">
      <c r="B2" s="51"/>
      <c r="C2" s="51"/>
      <c r="D2" s="51"/>
      <c r="E2" s="51"/>
      <c r="F2" s="51"/>
    </row>
    <row r="3" spans="2:10" ht="15.45" x14ac:dyDescent="0.4">
      <c r="B3" s="52" t="s">
        <v>77</v>
      </c>
      <c r="C3" s="90" t="s">
        <v>151</v>
      </c>
      <c r="D3" s="91"/>
      <c r="E3" s="92"/>
      <c r="F3" s="51"/>
      <c r="I3" s="11"/>
      <c r="J3" s="41" t="s">
        <v>157</v>
      </c>
    </row>
    <row r="4" spans="2:10" ht="15.45" x14ac:dyDescent="0.4">
      <c r="B4" s="51" t="s">
        <v>80</v>
      </c>
      <c r="C4" s="105"/>
      <c r="D4" s="100"/>
      <c r="E4" s="101"/>
      <c r="F4" s="51"/>
      <c r="I4" s="11"/>
      <c r="J4" s="11"/>
    </row>
    <row r="5" spans="2:10" ht="15" x14ac:dyDescent="0.35">
      <c r="B5" s="51" t="s">
        <v>81</v>
      </c>
      <c r="C5" s="105"/>
      <c r="D5" s="100"/>
      <c r="E5" s="101"/>
      <c r="F5" s="51"/>
    </row>
    <row r="6" spans="2:10" ht="15.45" x14ac:dyDescent="0.4">
      <c r="B6" s="51"/>
      <c r="C6" s="51"/>
      <c r="D6" s="51"/>
      <c r="E6" s="51"/>
      <c r="F6" s="11" t="s">
        <v>112</v>
      </c>
    </row>
    <row r="7" spans="2:10" ht="15.45" x14ac:dyDescent="0.4">
      <c r="B7" s="52" t="s">
        <v>84</v>
      </c>
      <c r="C7" s="51"/>
      <c r="D7" s="51"/>
      <c r="E7" s="60" t="s">
        <v>86</v>
      </c>
      <c r="F7" s="11" t="s">
        <v>129</v>
      </c>
    </row>
    <row r="8" spans="2:10" ht="15.45" x14ac:dyDescent="0.4">
      <c r="B8" s="52"/>
      <c r="C8" s="60"/>
      <c r="D8" s="60" t="s">
        <v>114</v>
      </c>
      <c r="E8" s="60" t="s">
        <v>83</v>
      </c>
      <c r="F8" s="11" t="s">
        <v>113</v>
      </c>
      <c r="G8" s="60" t="s">
        <v>130</v>
      </c>
    </row>
    <row r="9" spans="2:10" ht="15.45" x14ac:dyDescent="0.4">
      <c r="B9" s="52" t="s">
        <v>87</v>
      </c>
      <c r="C9" s="60" t="s">
        <v>82</v>
      </c>
      <c r="D9" s="60" t="s">
        <v>115</v>
      </c>
      <c r="E9" s="51" t="s">
        <v>136</v>
      </c>
      <c r="F9" s="11" t="s">
        <v>138</v>
      </c>
      <c r="G9" s="2"/>
    </row>
    <row r="10" spans="2:10" ht="15" x14ac:dyDescent="0.35">
      <c r="B10" s="51" t="s">
        <v>142</v>
      </c>
      <c r="C10" s="61">
        <v>5000</v>
      </c>
      <c r="D10" s="61">
        <v>200</v>
      </c>
      <c r="E10" s="62">
        <f>C10+D10</f>
        <v>5200</v>
      </c>
      <c r="F10" s="76">
        <f>'3. Investment Perspective'!C23</f>
        <v>92.275000000000006</v>
      </c>
      <c r="G10" s="51">
        <v>1</v>
      </c>
    </row>
    <row r="11" spans="2:10" ht="15" x14ac:dyDescent="0.35">
      <c r="B11" s="51"/>
      <c r="C11" s="51"/>
      <c r="D11" s="51"/>
      <c r="E11" s="51"/>
      <c r="F11" s="51"/>
      <c r="G11" s="51"/>
    </row>
    <row r="12" spans="2:10" ht="15" x14ac:dyDescent="0.35">
      <c r="B12" s="51" t="s">
        <v>78</v>
      </c>
      <c r="C12" s="61">
        <v>6000</v>
      </c>
      <c r="D12" s="61">
        <v>200</v>
      </c>
      <c r="E12" s="62">
        <f>C12+D12</f>
        <v>6200</v>
      </c>
      <c r="F12" s="76">
        <f>'3. Investment Perspective'!D23</f>
        <v>94.075000000000003</v>
      </c>
      <c r="G12" s="51">
        <v>2</v>
      </c>
    </row>
    <row r="13" spans="2:10" ht="15" x14ac:dyDescent="0.35">
      <c r="B13" s="51"/>
      <c r="C13" s="51"/>
      <c r="D13" s="51"/>
      <c r="E13" s="51"/>
      <c r="F13" s="51"/>
      <c r="G13" s="51"/>
    </row>
    <row r="14" spans="2:10" ht="15" x14ac:dyDescent="0.35">
      <c r="B14" s="51" t="s">
        <v>79</v>
      </c>
      <c r="C14" s="61">
        <v>6500</v>
      </c>
      <c r="D14" s="61">
        <v>200</v>
      </c>
      <c r="E14" s="62">
        <f>C14+D14</f>
        <v>6700</v>
      </c>
      <c r="F14" s="76">
        <f>'3. Investment Perspective'!E23</f>
        <v>94.974999999999994</v>
      </c>
      <c r="G14" s="51">
        <v>3</v>
      </c>
    </row>
    <row r="15" spans="2:10" ht="15" x14ac:dyDescent="0.35">
      <c r="B15" s="51"/>
      <c r="C15" s="63"/>
      <c r="D15" s="63"/>
      <c r="E15" s="53"/>
      <c r="F15" s="51"/>
      <c r="G15" s="51"/>
    </row>
    <row r="16" spans="2:10" ht="15" x14ac:dyDescent="0.35">
      <c r="B16" s="64" t="s">
        <v>85</v>
      </c>
      <c r="C16" s="61">
        <v>0</v>
      </c>
      <c r="D16" s="61">
        <v>0</v>
      </c>
      <c r="E16" s="62">
        <f>C16+D16</f>
        <v>0</v>
      </c>
      <c r="F16" s="76">
        <f>'3. Investment Perspective'!F23</f>
        <v>0</v>
      </c>
      <c r="G16" s="51">
        <v>4</v>
      </c>
    </row>
    <row r="17" spans="2:7" ht="8.0500000000000007" customHeight="1" x14ac:dyDescent="0.35">
      <c r="B17" s="51"/>
      <c r="C17" s="51"/>
      <c r="D17" s="51"/>
      <c r="E17" s="51"/>
      <c r="F17" s="51"/>
    </row>
    <row r="18" spans="2:7" ht="15" x14ac:dyDescent="0.35">
      <c r="B18" s="51" t="s">
        <v>91</v>
      </c>
      <c r="C18" s="51"/>
      <c r="D18" s="51"/>
      <c r="E18" s="51"/>
      <c r="F18" s="51"/>
    </row>
    <row r="19" spans="2:7" ht="15" x14ac:dyDescent="0.35">
      <c r="B19" s="51"/>
      <c r="C19" s="51"/>
      <c r="D19" s="51"/>
      <c r="E19" s="51"/>
      <c r="F19" s="51"/>
    </row>
    <row r="20" spans="2:7" ht="15.45" x14ac:dyDescent="0.4">
      <c r="B20" s="52" t="s">
        <v>89</v>
      </c>
      <c r="C20" s="51"/>
      <c r="D20" s="51"/>
      <c r="E20" s="51"/>
      <c r="F20" s="51"/>
      <c r="G20" s="60" t="s">
        <v>130</v>
      </c>
    </row>
    <row r="21" spans="2:7" ht="15" x14ac:dyDescent="0.35">
      <c r="B21" s="51"/>
      <c r="C21" s="51"/>
      <c r="D21" s="41" t="s">
        <v>135</v>
      </c>
      <c r="E21" s="51"/>
      <c r="F21" s="51"/>
    </row>
    <row r="22" spans="2:7" ht="15" x14ac:dyDescent="0.35">
      <c r="B22" s="64" t="s">
        <v>90</v>
      </c>
      <c r="C22" s="61">
        <v>3276</v>
      </c>
      <c r="D22" s="61">
        <v>40</v>
      </c>
      <c r="E22" s="53">
        <f>C22</f>
        <v>3276</v>
      </c>
      <c r="F22" s="76">
        <f>'3. Investment Perspective'!G23</f>
        <v>88.811800000000005</v>
      </c>
      <c r="G22" s="51">
        <v>5</v>
      </c>
    </row>
    <row r="23" spans="2:7" s="94" customFormat="1" ht="15" x14ac:dyDescent="0.35">
      <c r="B23" s="97"/>
      <c r="C23" s="98"/>
      <c r="D23" s="98"/>
      <c r="E23" s="53"/>
      <c r="F23" s="76"/>
      <c r="G23" s="51"/>
    </row>
    <row r="24" spans="2:7" s="94" customFormat="1" ht="15" x14ac:dyDescent="0.35">
      <c r="B24" s="97" t="s">
        <v>159</v>
      </c>
      <c r="C24" s="61">
        <v>4187</v>
      </c>
      <c r="D24" s="61">
        <v>15</v>
      </c>
      <c r="E24" s="53">
        <f>C24</f>
        <v>4187</v>
      </c>
      <c r="F24" s="76">
        <f>'3. Investment Perspective'!H23</f>
        <v>90.451599999999999</v>
      </c>
      <c r="G24" s="51">
        <v>6</v>
      </c>
    </row>
    <row r="25" spans="2:7" ht="15" x14ac:dyDescent="0.35">
      <c r="D25" s="41" t="s">
        <v>133</v>
      </c>
      <c r="F25" s="51"/>
    </row>
    <row r="26" spans="2:7" ht="15" x14ac:dyDescent="0.35">
      <c r="B26" s="64" t="s">
        <v>134</v>
      </c>
      <c r="C26" s="61">
        <v>5400</v>
      </c>
      <c r="D26" s="61">
        <v>500</v>
      </c>
      <c r="E26" s="53">
        <f>C26</f>
        <v>5400</v>
      </c>
      <c r="F26" s="76">
        <f>'3. Investment Perspective'!I23</f>
        <v>92.635000000000005</v>
      </c>
      <c r="G26" s="51">
        <v>7</v>
      </c>
    </row>
    <row r="27" spans="2:7" ht="15" x14ac:dyDescent="0.35">
      <c r="D27" s="41" t="s">
        <v>133</v>
      </c>
      <c r="F27" s="51"/>
    </row>
    <row r="28" spans="2:7" ht="15" x14ac:dyDescent="0.35">
      <c r="B28" s="64" t="s">
        <v>156</v>
      </c>
      <c r="C28" s="61">
        <v>6320</v>
      </c>
      <c r="D28" s="61">
        <v>300</v>
      </c>
      <c r="E28" s="53">
        <f>C28</f>
        <v>6320</v>
      </c>
      <c r="F28" s="76">
        <f>'3. Investment Perspective'!J23</f>
        <v>94.290999999999997</v>
      </c>
      <c r="G28" s="51">
        <v>8</v>
      </c>
    </row>
    <row r="29" spans="2:7" ht="15" x14ac:dyDescent="0.35">
      <c r="B29" s="41" t="s">
        <v>128</v>
      </c>
      <c r="D29" s="51"/>
    </row>
    <row r="30" spans="2:7" ht="15.45" x14ac:dyDescent="0.4">
      <c r="B30" s="70" t="s">
        <v>149</v>
      </c>
      <c r="C30" s="11" t="s">
        <v>100</v>
      </c>
      <c r="D30" s="52" t="s">
        <v>124</v>
      </c>
      <c r="F30" s="11" t="s">
        <v>112</v>
      </c>
    </row>
    <row r="31" spans="2:7" ht="15.45" x14ac:dyDescent="0.4">
      <c r="B31" s="64" t="s">
        <v>152</v>
      </c>
      <c r="C31" s="11"/>
      <c r="D31" s="52"/>
      <c r="F31" s="23" t="s">
        <v>150</v>
      </c>
    </row>
    <row r="32" spans="2:7" ht="15" x14ac:dyDescent="0.35">
      <c r="B32" s="89" t="s">
        <v>148</v>
      </c>
      <c r="C32" s="60" t="s">
        <v>102</v>
      </c>
      <c r="D32" s="61">
        <v>6000</v>
      </c>
      <c r="F32" s="76">
        <f>'2. Bull Investment Cost '!F59</f>
        <v>93.715000000000003</v>
      </c>
    </row>
    <row r="33" spans="2:9" ht="15" x14ac:dyDescent="0.35">
      <c r="B33" s="51" t="s">
        <v>116</v>
      </c>
      <c r="C33" s="60" t="s">
        <v>101</v>
      </c>
      <c r="D33" s="64">
        <v>4</v>
      </c>
    </row>
    <row r="34" spans="2:9" ht="15" x14ac:dyDescent="0.35">
      <c r="B34" s="51" t="s">
        <v>103</v>
      </c>
      <c r="C34" s="60" t="s">
        <v>105</v>
      </c>
      <c r="D34" s="85">
        <v>1800</v>
      </c>
    </row>
    <row r="35" spans="2:9" ht="15" x14ac:dyDescent="0.35">
      <c r="B35" s="51" t="s">
        <v>104</v>
      </c>
      <c r="C35" s="60" t="s">
        <v>4</v>
      </c>
      <c r="D35" s="61">
        <v>80</v>
      </c>
    </row>
    <row r="36" spans="2:9" ht="15" x14ac:dyDescent="0.35">
      <c r="B36" s="51" t="s">
        <v>107</v>
      </c>
      <c r="C36" s="60" t="s">
        <v>2</v>
      </c>
      <c r="D36" s="64">
        <v>2</v>
      </c>
    </row>
    <row r="37" spans="2:9" ht="15" x14ac:dyDescent="0.35">
      <c r="B37" s="51" t="s">
        <v>99</v>
      </c>
      <c r="C37" s="60" t="s">
        <v>102</v>
      </c>
      <c r="D37" s="64">
        <v>25</v>
      </c>
      <c r="F37" s="41" t="s">
        <v>147</v>
      </c>
    </row>
    <row r="38" spans="2:9" ht="15" x14ac:dyDescent="0.35">
      <c r="B38" s="51" t="s">
        <v>108</v>
      </c>
      <c r="C38" s="60" t="s">
        <v>109</v>
      </c>
      <c r="D38" s="64">
        <v>1</v>
      </c>
      <c r="E38" s="80" t="s">
        <v>110</v>
      </c>
      <c r="F38" s="41" t="s">
        <v>145</v>
      </c>
    </row>
    <row r="39" spans="2:9" ht="15" x14ac:dyDescent="0.35">
      <c r="B39" s="51" t="s">
        <v>106</v>
      </c>
      <c r="C39" s="60" t="s">
        <v>2</v>
      </c>
      <c r="D39" s="64">
        <v>5</v>
      </c>
      <c r="F39" s="41" t="s">
        <v>144</v>
      </c>
      <c r="H39" s="41" t="s">
        <v>146</v>
      </c>
    </row>
    <row r="40" spans="2:9" ht="15.45" x14ac:dyDescent="0.4">
      <c r="B40" s="51" t="s">
        <v>118</v>
      </c>
      <c r="C40" s="60" t="s">
        <v>2</v>
      </c>
      <c r="D40" s="64">
        <v>85</v>
      </c>
      <c r="F40" s="93">
        <f>'2. Bull Investment Cost '!I32</f>
        <v>7.577910391209624</v>
      </c>
      <c r="H40">
        <f>D40*E42*0.01</f>
        <v>459</v>
      </c>
      <c r="I40" s="41" t="s">
        <v>19</v>
      </c>
    </row>
    <row r="41" spans="2:9" ht="15" x14ac:dyDescent="0.35">
      <c r="B41" s="51" t="s">
        <v>119</v>
      </c>
      <c r="C41" s="60" t="s">
        <v>120</v>
      </c>
      <c r="D41" s="64">
        <v>550</v>
      </c>
      <c r="E41" s="58" t="s">
        <v>127</v>
      </c>
    </row>
    <row r="42" spans="2:9" ht="15" x14ac:dyDescent="0.35">
      <c r="B42" s="51" t="s">
        <v>121</v>
      </c>
      <c r="C42" s="60" t="s">
        <v>120</v>
      </c>
      <c r="D42" s="64">
        <v>530</v>
      </c>
      <c r="E42" s="51">
        <f>(D41+D42)*0.5</f>
        <v>540</v>
      </c>
    </row>
    <row r="43" spans="2:9" ht="15" x14ac:dyDescent="0.35">
      <c r="B43" s="51" t="s">
        <v>122</v>
      </c>
      <c r="C43" s="60" t="s">
        <v>4</v>
      </c>
      <c r="D43" s="61">
        <v>180</v>
      </c>
      <c r="E43" s="58" t="s">
        <v>127</v>
      </c>
    </row>
    <row r="44" spans="2:9" ht="15" x14ac:dyDescent="0.35">
      <c r="B44" s="51" t="s">
        <v>123</v>
      </c>
      <c r="C44" s="60" t="s">
        <v>4</v>
      </c>
      <c r="D44" s="61">
        <v>165</v>
      </c>
      <c r="E44" s="77">
        <f>(D43+D44)*0.5</f>
        <v>172.5</v>
      </c>
    </row>
    <row r="45" spans="2:9" ht="8.0500000000000007" customHeight="1" x14ac:dyDescent="0.35">
      <c r="B45" s="51" t="s">
        <v>140</v>
      </c>
      <c r="C45" s="60"/>
      <c r="D45" s="86"/>
      <c r="E45" s="77"/>
    </row>
    <row r="46" spans="2:9" ht="15" x14ac:dyDescent="0.35">
      <c r="B46" s="41" t="s">
        <v>139</v>
      </c>
      <c r="C46" s="60"/>
      <c r="D46" s="81"/>
    </row>
    <row r="47" spans="2:9" ht="15" x14ac:dyDescent="0.35">
      <c r="B47" s="83" t="s">
        <v>131</v>
      </c>
      <c r="C47" s="60"/>
      <c r="D47" s="82"/>
    </row>
    <row r="48" spans="2:9" x14ac:dyDescent="0.3">
      <c r="B48" s="99" t="s">
        <v>132</v>
      </c>
      <c r="C48" s="100"/>
      <c r="D48" s="100"/>
      <c r="E48" s="100"/>
      <c r="F48" s="101"/>
    </row>
    <row r="49" spans="2:6" x14ac:dyDescent="0.3">
      <c r="B49" s="99" t="s">
        <v>88</v>
      </c>
      <c r="C49" s="100"/>
      <c r="D49" s="100"/>
      <c r="E49" s="100"/>
      <c r="F49" s="101"/>
    </row>
    <row r="50" spans="2:6" x14ac:dyDescent="0.3">
      <c r="B50" s="99"/>
      <c r="C50" s="100"/>
      <c r="D50" s="100"/>
      <c r="E50" s="100"/>
      <c r="F50" s="101"/>
    </row>
    <row r="51" spans="2:6" x14ac:dyDescent="0.3">
      <c r="B51" s="99"/>
      <c r="C51" s="100"/>
      <c r="D51" s="100"/>
      <c r="E51" s="100"/>
      <c r="F51" s="101"/>
    </row>
    <row r="52" spans="2:6" x14ac:dyDescent="0.3">
      <c r="B52" s="99"/>
      <c r="C52" s="100"/>
      <c r="D52" s="100"/>
      <c r="E52" s="100"/>
      <c r="F52" s="101"/>
    </row>
  </sheetData>
  <sheetProtection sheet="1" objects="1" scenarios="1"/>
  <mergeCells count="8">
    <mergeCell ref="B52:F52"/>
    <mergeCell ref="B1:F1"/>
    <mergeCell ref="B48:F48"/>
    <mergeCell ref="B49:F49"/>
    <mergeCell ref="B50:F50"/>
    <mergeCell ref="B51:F51"/>
    <mergeCell ref="C4:E4"/>
    <mergeCell ref="C5:E5"/>
  </mergeCells>
  <pageMargins left="0.95" right="0.45" top="0.75" bottom="0.75" header="0.3" footer="0.3"/>
  <pageSetup scale="86" orientation="portrait" horizontalDpi="4294967295" verticalDpi="4294967295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64"/>
  <sheetViews>
    <sheetView workbookViewId="0">
      <selection activeCell="I2" sqref="I2"/>
    </sheetView>
  </sheetViews>
  <sheetFormatPr defaultRowHeight="12.45" x14ac:dyDescent="0.3"/>
  <cols>
    <col min="1" max="1" width="3.15234375" customWidth="1"/>
    <col min="2" max="2" width="22.69140625" customWidth="1"/>
    <col min="4" max="4" width="10.23046875" customWidth="1"/>
    <col min="5" max="5" width="11.69140625" customWidth="1"/>
    <col min="6" max="6" width="9.69140625" bestFit="1" customWidth="1"/>
    <col min="7" max="7" width="10.84375" customWidth="1"/>
    <col min="8" max="8" width="12" customWidth="1"/>
    <col min="9" max="9" width="11.53515625" customWidth="1"/>
    <col min="10" max="10" width="3.3828125" customWidth="1"/>
  </cols>
  <sheetData>
    <row r="1" spans="2:16" ht="17.600000000000001" x14ac:dyDescent="0.4">
      <c r="B1" s="108" t="s">
        <v>34</v>
      </c>
      <c r="C1" s="103"/>
      <c r="D1" s="103"/>
      <c r="E1" s="103"/>
      <c r="F1" s="103"/>
      <c r="G1" s="103"/>
      <c r="H1" s="103"/>
      <c r="I1" s="103"/>
      <c r="J1" s="2"/>
      <c r="K1" s="11"/>
      <c r="L1" s="11"/>
    </row>
    <row r="2" spans="2:16" ht="17.600000000000001" x14ac:dyDescent="0.4">
      <c r="B2" s="50"/>
      <c r="C2" s="2"/>
      <c r="D2" s="2"/>
      <c r="E2" s="2"/>
      <c r="F2" s="2"/>
      <c r="G2" s="2"/>
      <c r="H2" s="2"/>
      <c r="I2" s="2"/>
      <c r="J2" s="2"/>
      <c r="K2" s="11"/>
      <c r="L2" s="11"/>
      <c r="M2" s="41" t="s">
        <v>157</v>
      </c>
    </row>
    <row r="3" spans="2:16" ht="15.45" x14ac:dyDescent="0.4">
      <c r="B3" s="102" t="s">
        <v>155</v>
      </c>
      <c r="C3" s="111"/>
      <c r="D3" s="111"/>
      <c r="E3" s="111"/>
      <c r="F3" s="111"/>
      <c r="G3" s="111"/>
      <c r="H3" s="103"/>
      <c r="I3" s="103"/>
      <c r="J3" s="2"/>
      <c r="K3" s="11"/>
      <c r="L3" s="11"/>
    </row>
    <row r="4" spans="2:16" ht="15.45" x14ac:dyDescent="0.4">
      <c r="B4" s="112" t="str">
        <f>'1. Bull Cost &amp; Key Data'!B31</f>
        <v>Purchase bull detailed analyses</v>
      </c>
      <c r="C4" s="113"/>
      <c r="D4" s="113"/>
      <c r="E4" s="110"/>
      <c r="F4" s="11"/>
      <c r="G4" s="84"/>
    </row>
    <row r="5" spans="2:16" ht="50.15" customHeight="1" x14ac:dyDescent="0.3">
      <c r="B5" s="23" t="s">
        <v>38</v>
      </c>
      <c r="E5" s="3" t="s">
        <v>14</v>
      </c>
      <c r="F5" s="3" t="s">
        <v>8</v>
      </c>
      <c r="G5" s="3" t="s">
        <v>0</v>
      </c>
      <c r="H5" s="3" t="s">
        <v>21</v>
      </c>
      <c r="I5" s="3" t="s">
        <v>32</v>
      </c>
    </row>
    <row r="6" spans="2:16" x14ac:dyDescent="0.3">
      <c r="B6" t="s">
        <v>27</v>
      </c>
      <c r="E6" s="33">
        <v>800</v>
      </c>
      <c r="F6" s="4"/>
      <c r="G6" s="9">
        <f>E6/$H$18</f>
        <v>32</v>
      </c>
      <c r="H6" s="6">
        <f>G6/$E$31*100</f>
        <v>6.9716775599128544</v>
      </c>
    </row>
    <row r="7" spans="2:16" x14ac:dyDescent="0.3">
      <c r="B7" s="59" t="s">
        <v>137</v>
      </c>
      <c r="E7" s="33">
        <v>75</v>
      </c>
      <c r="F7" s="4"/>
      <c r="G7" s="9">
        <f>E7/$H$18</f>
        <v>3</v>
      </c>
      <c r="H7" s="6">
        <f>G7/$E$31*100</f>
        <v>0.65359477124183007</v>
      </c>
    </row>
    <row r="8" spans="2:16" x14ac:dyDescent="0.3">
      <c r="B8" s="59" t="s">
        <v>153</v>
      </c>
      <c r="E8" s="33">
        <v>0</v>
      </c>
      <c r="F8" s="4"/>
      <c r="G8" s="9">
        <f>E8/$H$18</f>
        <v>0</v>
      </c>
      <c r="H8" s="6">
        <f>G8/$E$31*100</f>
        <v>0</v>
      </c>
    </row>
    <row r="9" spans="2:16" x14ac:dyDescent="0.3">
      <c r="B9" t="s">
        <v>37</v>
      </c>
      <c r="E9" s="8">
        <f>(SUM(E6:E8)*0.5*E26*0.01)</f>
        <v>21.875</v>
      </c>
      <c r="F9" s="6"/>
      <c r="G9" s="9">
        <f>E9/$H$18</f>
        <v>0.875</v>
      </c>
      <c r="H9" s="6">
        <f>G9/$E$31*100</f>
        <v>0.19063180827886711</v>
      </c>
      <c r="P9" s="37"/>
    </row>
    <row r="10" spans="2:16" x14ac:dyDescent="0.3">
      <c r="B10" s="23" t="s">
        <v>30</v>
      </c>
      <c r="E10" s="30">
        <f>SUM(E6:E9)</f>
        <v>896.875</v>
      </c>
      <c r="F10" s="31"/>
      <c r="G10" s="7">
        <f>E10/$H$18</f>
        <v>35.875</v>
      </c>
      <c r="H10" s="7">
        <f>G10/$E$31*100</f>
        <v>7.8159041394335507</v>
      </c>
      <c r="I10" s="32">
        <f>E10/E19</f>
        <v>0.38280958224403777</v>
      </c>
      <c r="P10" s="8"/>
    </row>
    <row r="11" spans="2:16" x14ac:dyDescent="0.3">
      <c r="B11" s="23"/>
      <c r="E11" s="5"/>
      <c r="F11" s="4"/>
      <c r="G11" s="9"/>
      <c r="H11" s="6"/>
      <c r="P11" s="30"/>
    </row>
    <row r="12" spans="2:16" x14ac:dyDescent="0.3">
      <c r="B12" s="23" t="s">
        <v>39</v>
      </c>
    </row>
    <row r="13" spans="2:16" x14ac:dyDescent="0.3">
      <c r="B13" t="s">
        <v>1</v>
      </c>
      <c r="E13" s="5">
        <f>(G22-G25)/G23</f>
        <v>1140</v>
      </c>
      <c r="F13" s="4"/>
      <c r="G13" s="9">
        <f>E13/$H$18</f>
        <v>45.6</v>
      </c>
      <c r="H13" s="6">
        <f>G13/$E$31*100</f>
        <v>9.9346405228758172</v>
      </c>
    </row>
    <row r="14" spans="2:16" x14ac:dyDescent="0.3">
      <c r="B14" t="s">
        <v>6</v>
      </c>
      <c r="E14" s="8">
        <f>F27*E26*0.01</f>
        <v>186</v>
      </c>
      <c r="F14" s="6"/>
      <c r="G14" s="9">
        <f>E14/$H$18</f>
        <v>7.44</v>
      </c>
      <c r="H14" s="6">
        <f>G14/$E$31*100</f>
        <v>1.6209150326797386</v>
      </c>
      <c r="L14" s="41" t="s">
        <v>154</v>
      </c>
    </row>
    <row r="15" spans="2:16" x14ac:dyDescent="0.3">
      <c r="B15" t="s">
        <v>35</v>
      </c>
      <c r="D15" s="73">
        <f>'1. Bull Cost &amp; Key Data'!D36</f>
        <v>2</v>
      </c>
      <c r="E15" s="5">
        <f>G22*D15*0.01</f>
        <v>120</v>
      </c>
      <c r="F15" s="4"/>
      <c r="G15" s="9">
        <f>E15/$H$18</f>
        <v>4.8</v>
      </c>
      <c r="H15" s="6">
        <f>G15/$E$31*100</f>
        <v>1.0457516339869279</v>
      </c>
      <c r="L15" s="6">
        <f>E15/G18</f>
        <v>4.8</v>
      </c>
    </row>
    <row r="16" spans="2:16" x14ac:dyDescent="0.3">
      <c r="B16" s="23" t="s">
        <v>31</v>
      </c>
      <c r="C16" s="23"/>
      <c r="D16" s="23"/>
      <c r="E16" s="30">
        <f>SUM(E13:E15)</f>
        <v>1446</v>
      </c>
      <c r="F16" s="23"/>
      <c r="G16" s="7">
        <f>E16/$H$18</f>
        <v>57.84</v>
      </c>
      <c r="H16" s="7">
        <f>G16/$E$31*100</f>
        <v>12.601307189542485</v>
      </c>
      <c r="I16" s="32">
        <f>E16/E19</f>
        <v>0.61719041775596217</v>
      </c>
    </row>
    <row r="17" spans="2:11" x14ac:dyDescent="0.3">
      <c r="B17" s="23"/>
      <c r="C17" s="23"/>
      <c r="D17" s="23"/>
      <c r="E17" s="30"/>
      <c r="F17" s="23"/>
      <c r="G17" s="7"/>
      <c r="H17" s="7" t="s">
        <v>48</v>
      </c>
      <c r="I17" s="32"/>
    </row>
    <row r="18" spans="2:11" x14ac:dyDescent="0.3">
      <c r="B18" s="41" t="s">
        <v>61</v>
      </c>
      <c r="D18" s="72">
        <f>'1. Bull Cost &amp; Key Data'!D38</f>
        <v>1</v>
      </c>
      <c r="E18" t="s">
        <v>47</v>
      </c>
      <c r="G18" s="74">
        <f>'1. Bull Cost &amp; Key Data'!D37</f>
        <v>25</v>
      </c>
      <c r="H18" s="40">
        <f>D18*G18</f>
        <v>25</v>
      </c>
      <c r="I18" t="s">
        <v>58</v>
      </c>
    </row>
    <row r="19" spans="2:11" x14ac:dyDescent="0.3">
      <c r="B19" s="23" t="s">
        <v>46</v>
      </c>
      <c r="E19" s="30">
        <f>E10+E16</f>
        <v>2342.875</v>
      </c>
      <c r="G19" s="75">
        <f>E19/(G18*D18)</f>
        <v>93.715000000000003</v>
      </c>
      <c r="H19" s="7">
        <f>G19/$E$31*100</f>
        <v>20.417211328976034</v>
      </c>
      <c r="I19" s="48">
        <f>G19/G31</f>
        <v>0.11836064538536832</v>
      </c>
      <c r="K19" s="6"/>
    </row>
    <row r="20" spans="2:11" x14ac:dyDescent="0.3">
      <c r="B20" s="23" t="s">
        <v>36</v>
      </c>
      <c r="E20" s="7">
        <f>E19/(H18*E29*0.01)</f>
        <v>110.25294117647059</v>
      </c>
      <c r="F20" s="36">
        <f>H18*G23*E29*0.01</f>
        <v>85</v>
      </c>
      <c r="G20" s="23" t="s">
        <v>40</v>
      </c>
      <c r="K20" s="6"/>
    </row>
    <row r="21" spans="2:11" x14ac:dyDescent="0.3">
      <c r="G21" s="37"/>
    </row>
    <row r="22" spans="2:11" x14ac:dyDescent="0.3">
      <c r="B22" s="23" t="s">
        <v>24</v>
      </c>
      <c r="C22" s="23"/>
      <c r="D22" s="23"/>
      <c r="E22" s="23"/>
      <c r="F22" s="23"/>
      <c r="G22" s="21">
        <f>'1. Bull Cost &amp; Key Data'!D32</f>
        <v>6000</v>
      </c>
      <c r="H22" s="71" t="s">
        <v>143</v>
      </c>
    </row>
    <row r="23" spans="2:11" x14ac:dyDescent="0.3">
      <c r="B23" t="s">
        <v>41</v>
      </c>
      <c r="E23" s="41"/>
      <c r="F23" s="41"/>
      <c r="G23" s="41">
        <f>'1. Bull Cost &amp; Key Data'!D33</f>
        <v>4</v>
      </c>
      <c r="H23" s="41"/>
    </row>
    <row r="24" spans="2:11" x14ac:dyDescent="0.3">
      <c r="E24" s="42" t="s">
        <v>3</v>
      </c>
      <c r="F24" s="41"/>
      <c r="G24" s="42" t="s">
        <v>5</v>
      </c>
      <c r="H24" s="42"/>
    </row>
    <row r="25" spans="2:11" x14ac:dyDescent="0.3">
      <c r="B25" t="s">
        <v>45</v>
      </c>
      <c r="E25" s="72">
        <f>'1. Bull Cost &amp; Key Data'!D34</f>
        <v>1800</v>
      </c>
      <c r="F25" s="9">
        <f>'1. Bull Cost &amp; Key Data'!D35</f>
        <v>80</v>
      </c>
      <c r="G25" s="71">
        <f>E25*F25*0.01</f>
        <v>1440</v>
      </c>
      <c r="H25" s="71"/>
    </row>
    <row r="26" spans="2:11" x14ac:dyDescent="0.3">
      <c r="B26" t="s">
        <v>12</v>
      </c>
      <c r="E26" s="73">
        <f>'1. Bull Cost &amp; Key Data'!D39</f>
        <v>5</v>
      </c>
      <c r="F26" s="41" t="s">
        <v>2</v>
      </c>
      <c r="G26" s="41"/>
      <c r="H26" s="41"/>
    </row>
    <row r="27" spans="2:11" x14ac:dyDescent="0.3">
      <c r="B27" t="s">
        <v>23</v>
      </c>
      <c r="F27" s="8">
        <f>(G22+G25)/2</f>
        <v>3720</v>
      </c>
    </row>
    <row r="28" spans="2:11" x14ac:dyDescent="0.3">
      <c r="B28" s="12" t="s">
        <v>20</v>
      </c>
      <c r="F28" s="8"/>
    </row>
    <row r="29" spans="2:11" x14ac:dyDescent="0.3">
      <c r="B29" s="41" t="s">
        <v>52</v>
      </c>
      <c r="E29" s="73">
        <f>'1. Bull Cost &amp; Key Data'!D40</f>
        <v>85</v>
      </c>
      <c r="F29" s="41" t="s">
        <v>2</v>
      </c>
      <c r="G29" s="23" t="s">
        <v>42</v>
      </c>
      <c r="H29" s="23"/>
    </row>
    <row r="30" spans="2:11" x14ac:dyDescent="0.3">
      <c r="B30" t="s">
        <v>76</v>
      </c>
      <c r="E30" s="78">
        <f>'1. Bull Cost &amp; Key Data'!E42</f>
        <v>540</v>
      </c>
      <c r="F30" s="41" t="s">
        <v>19</v>
      </c>
      <c r="G30" s="38">
        <f>'1. Bull Cost &amp; Key Data'!E44</f>
        <v>172.5</v>
      </c>
      <c r="H30" s="2" t="s">
        <v>4</v>
      </c>
      <c r="I30" s="42" t="s">
        <v>59</v>
      </c>
    </row>
    <row r="31" spans="2:11" x14ac:dyDescent="0.3">
      <c r="B31" s="23" t="s">
        <v>18</v>
      </c>
      <c r="E31" s="36">
        <f>E29*E30*0.01</f>
        <v>459</v>
      </c>
      <c r="F31" s="23" t="s">
        <v>19</v>
      </c>
      <c r="G31" s="38">
        <f>E31*G30*0.01</f>
        <v>791.77499999999998</v>
      </c>
      <c r="H31" s="2" t="s">
        <v>43</v>
      </c>
      <c r="I31" s="42" t="s">
        <v>60</v>
      </c>
    </row>
    <row r="32" spans="2:11" x14ac:dyDescent="0.3">
      <c r="E32" s="39"/>
      <c r="F32" s="23" t="s">
        <v>62</v>
      </c>
      <c r="I32" s="88">
        <f>G22/G31</f>
        <v>7.577910391209624</v>
      </c>
    </row>
    <row r="33" spans="2:14" x14ac:dyDescent="0.3">
      <c r="B33" s="45" t="s">
        <v>63</v>
      </c>
      <c r="G33" s="8"/>
      <c r="H33" s="8"/>
      <c r="I33" s="1"/>
    </row>
    <row r="34" spans="2:14" ht="15.45" x14ac:dyDescent="0.4">
      <c r="B34" s="102" t="s">
        <v>16</v>
      </c>
      <c r="C34" s="102"/>
      <c r="D34" s="102"/>
      <c r="E34" s="102"/>
      <c r="F34" s="102"/>
      <c r="G34" s="102"/>
      <c r="H34" s="103"/>
      <c r="I34" s="103"/>
    </row>
    <row r="35" spans="2:14" ht="62.15" x14ac:dyDescent="0.3">
      <c r="E35" s="3" t="s">
        <v>15</v>
      </c>
      <c r="F35" s="3" t="s">
        <v>22</v>
      </c>
      <c r="G35" s="3" t="s">
        <v>9</v>
      </c>
      <c r="H35" s="3" t="s">
        <v>17</v>
      </c>
      <c r="I35" s="3" t="s">
        <v>51</v>
      </c>
    </row>
    <row r="36" spans="2:14" x14ac:dyDescent="0.3">
      <c r="E36" s="2" t="s">
        <v>25</v>
      </c>
      <c r="F36" s="2" t="s">
        <v>4</v>
      </c>
      <c r="G36" s="2" t="s">
        <v>25</v>
      </c>
      <c r="H36" s="2" t="s">
        <v>19</v>
      </c>
      <c r="I36" s="2" t="s">
        <v>25</v>
      </c>
    </row>
    <row r="37" spans="2:14" ht="15" x14ac:dyDescent="0.35">
      <c r="B37" s="18" t="s">
        <v>50</v>
      </c>
      <c r="C37" s="34">
        <v>500</v>
      </c>
      <c r="D37" s="15" t="s">
        <v>33</v>
      </c>
      <c r="E37" s="10"/>
      <c r="G37" s="10"/>
      <c r="H37" s="10"/>
      <c r="I37" s="34">
        <v>750</v>
      </c>
      <c r="J37" s="10"/>
      <c r="K37" s="10"/>
      <c r="L37" s="10"/>
    </row>
    <row r="38" spans="2:14" ht="15" x14ac:dyDescent="0.35">
      <c r="B38" s="18" t="s">
        <v>10</v>
      </c>
      <c r="C38" s="1">
        <f>G30</f>
        <v>172.5</v>
      </c>
      <c r="D38" s="15" t="s">
        <v>26</v>
      </c>
      <c r="E38" s="10"/>
      <c r="G38" s="7"/>
      <c r="H38" s="10"/>
      <c r="I38" s="42" t="s">
        <v>57</v>
      </c>
      <c r="J38" s="17"/>
      <c r="K38" s="10"/>
      <c r="L38" s="10"/>
    </row>
    <row r="39" spans="2:14" x14ac:dyDescent="0.3">
      <c r="D39" s="13"/>
      <c r="I39" s="42" t="s">
        <v>56</v>
      </c>
      <c r="M39" s="47"/>
      <c r="N39" s="41"/>
    </row>
    <row r="40" spans="2:14" x14ac:dyDescent="0.3">
      <c r="B40" t="s">
        <v>7</v>
      </c>
      <c r="C40" s="8">
        <f>$C41-$C$37</f>
        <v>4500</v>
      </c>
      <c r="E40" s="24">
        <f t="shared" ref="E40:E46" si="0">((($C40+$G$25)/2)*$E$26*0.01+$D$15*0.01*$C40+$E$10+($C40-$G$25)/$G$23)/$H$18</f>
        <v>76.015000000000001</v>
      </c>
      <c r="F40" s="9">
        <f>E40/$E$31*100</f>
        <v>16.561002178649236</v>
      </c>
      <c r="G40" s="9">
        <f>E40-'3. Investment Perspective'!C35</f>
        <v>-16.260000000000005</v>
      </c>
      <c r="H40" s="25">
        <f>G40/($G$30*0.01)</f>
        <v>-9.4260869565217416</v>
      </c>
      <c r="I40" s="43">
        <f>E40/$I$37</f>
        <v>0.10135333333333334</v>
      </c>
      <c r="K40" s="6"/>
    </row>
    <row r="41" spans="2:14" x14ac:dyDescent="0.3">
      <c r="C41" s="8">
        <f>$C42-$C$37</f>
        <v>5000</v>
      </c>
      <c r="E41" s="24">
        <f t="shared" si="0"/>
        <v>81.915000000000006</v>
      </c>
      <c r="F41" s="9">
        <f>E41/$E$31*100</f>
        <v>17.846405228758172</v>
      </c>
      <c r="G41" s="9">
        <f>E41-'3. Investment Perspective'!C35</f>
        <v>-10.36</v>
      </c>
      <c r="H41" s="25">
        <f>G41/($G$30*0.01)</f>
        <v>-6.005797101449275</v>
      </c>
      <c r="I41" s="43">
        <f>E41/$I$37</f>
        <v>0.10922000000000001</v>
      </c>
      <c r="K41" s="6"/>
    </row>
    <row r="42" spans="2:14" x14ac:dyDescent="0.3">
      <c r="C42" s="8">
        <f>$C43-$C$37</f>
        <v>5500</v>
      </c>
      <c r="E42" s="24">
        <f t="shared" si="0"/>
        <v>87.814999999999998</v>
      </c>
      <c r="F42" s="9">
        <f>E42/$E$31*100</f>
        <v>19.131808278867101</v>
      </c>
      <c r="G42" s="9">
        <f>E42-'3. Investment Perspective'!C35</f>
        <v>-4.460000000000008</v>
      </c>
      <c r="H42" s="25">
        <f>G42/($G$30*0.01)</f>
        <v>-2.5855072463768161</v>
      </c>
      <c r="I42" s="43">
        <f>E42/$I$37</f>
        <v>0.11708666666666666</v>
      </c>
      <c r="K42" s="6"/>
    </row>
    <row r="43" spans="2:14" x14ac:dyDescent="0.3">
      <c r="B43" t="s">
        <v>13</v>
      </c>
      <c r="C43" s="21">
        <f>G22</f>
        <v>6000</v>
      </c>
      <c r="E43" s="24">
        <f t="shared" si="0"/>
        <v>93.715000000000003</v>
      </c>
      <c r="F43" s="7">
        <f>'3. Investment Perspective'!C35/$E$31*100</f>
        <v>20.103485838779957</v>
      </c>
      <c r="G43" s="7"/>
      <c r="H43" s="17"/>
      <c r="I43" s="44">
        <f>'3. Investment Perspective'!C35/$I$37</f>
        <v>0.12303333333333334</v>
      </c>
      <c r="K43" s="6"/>
    </row>
    <row r="44" spans="2:14" x14ac:dyDescent="0.3">
      <c r="C44" s="8">
        <f>$C43+$C$37</f>
        <v>6500</v>
      </c>
      <c r="E44" s="24">
        <f t="shared" si="0"/>
        <v>99.614999999999995</v>
      </c>
      <c r="F44" s="9">
        <f>E44/$E$31*100</f>
        <v>21.702614379084967</v>
      </c>
      <c r="G44" s="9">
        <f>E44-'3. Investment Perspective'!C35</f>
        <v>7.3399999999999892</v>
      </c>
      <c r="H44" s="25">
        <f>G44/($G$30*0.01)</f>
        <v>4.2550724637681094</v>
      </c>
      <c r="I44" s="43">
        <f>E44/$I$37</f>
        <v>0.13281999999999999</v>
      </c>
      <c r="K44" s="6"/>
    </row>
    <row r="45" spans="2:14" x14ac:dyDescent="0.3">
      <c r="C45" s="8">
        <f>$C44+$C$37</f>
        <v>7000</v>
      </c>
      <c r="E45" s="24">
        <f t="shared" si="0"/>
        <v>105.515</v>
      </c>
      <c r="F45" s="9">
        <f>E45/$E$31*100</f>
        <v>22.988017429193899</v>
      </c>
      <c r="G45" s="9">
        <f>E45-'3. Investment Perspective'!C35</f>
        <v>13.239999999999995</v>
      </c>
      <c r="H45" s="25">
        <f>G45/($G$30*0.01)</f>
        <v>7.675362318840576</v>
      </c>
      <c r="I45" s="43">
        <f>E45/$I$37</f>
        <v>0.14068666666666665</v>
      </c>
      <c r="K45" s="6"/>
    </row>
    <row r="46" spans="2:14" x14ac:dyDescent="0.3">
      <c r="C46" s="8">
        <f>$C45+$C$37</f>
        <v>7500</v>
      </c>
      <c r="E46" s="24">
        <f t="shared" si="0"/>
        <v>111.41500000000001</v>
      </c>
      <c r="F46" s="9">
        <f>E46/$E$31*100</f>
        <v>24.273420479302835</v>
      </c>
      <c r="G46" s="9">
        <f>E46-'3. Investment Perspective'!C35</f>
        <v>19.14</v>
      </c>
      <c r="H46" s="25">
        <f>G46/($G$30*0.01)</f>
        <v>11.095652173913043</v>
      </c>
      <c r="I46" s="43">
        <f>E46/$I$37</f>
        <v>0.14855333333333334</v>
      </c>
      <c r="K46" s="6"/>
    </row>
    <row r="47" spans="2:14" x14ac:dyDescent="0.3">
      <c r="B47" s="41" t="s">
        <v>53</v>
      </c>
      <c r="C47" s="8"/>
      <c r="E47" s="14"/>
      <c r="F47" s="7"/>
      <c r="J47" s="17"/>
    </row>
    <row r="48" spans="2:14" x14ac:dyDescent="0.3">
      <c r="C48" s="8"/>
      <c r="E48" s="14"/>
      <c r="F48" s="7"/>
      <c r="G48" s="17"/>
    </row>
    <row r="49" spans="2:10" x14ac:dyDescent="0.3">
      <c r="B49" t="s">
        <v>11</v>
      </c>
      <c r="C49" s="46" t="s">
        <v>54</v>
      </c>
      <c r="D49" s="19"/>
      <c r="E49" s="19"/>
      <c r="F49" s="19"/>
      <c r="G49" s="20"/>
    </row>
    <row r="50" spans="2:10" x14ac:dyDescent="0.3">
      <c r="B50" s="45" t="s">
        <v>63</v>
      </c>
      <c r="G50" s="8"/>
      <c r="H50" s="1"/>
    </row>
    <row r="51" spans="2:10" ht="15.45" x14ac:dyDescent="0.4">
      <c r="C51" s="102" t="s">
        <v>44</v>
      </c>
      <c r="D51" s="103"/>
      <c r="E51" s="103"/>
      <c r="F51" s="103"/>
      <c r="G51" s="103"/>
      <c r="H51" s="103"/>
    </row>
    <row r="52" spans="2:10" x14ac:dyDescent="0.3">
      <c r="B52" s="18" t="s">
        <v>49</v>
      </c>
      <c r="E52" s="35">
        <v>5</v>
      </c>
      <c r="F52" s="109" t="s">
        <v>29</v>
      </c>
      <c r="G52" s="110"/>
      <c r="H52" s="110"/>
      <c r="I52" s="1"/>
    </row>
    <row r="53" spans="2:10" x14ac:dyDescent="0.3">
      <c r="B53" s="18"/>
      <c r="C53" s="106" t="s">
        <v>55</v>
      </c>
      <c r="D53" s="107"/>
      <c r="E53" s="107"/>
      <c r="F53" s="107"/>
      <c r="G53" s="107"/>
      <c r="H53" s="107"/>
      <c r="I53" s="1"/>
    </row>
    <row r="54" spans="2:10" x14ac:dyDescent="0.3">
      <c r="B54" s="18" t="s">
        <v>28</v>
      </c>
      <c r="C54" s="16"/>
      <c r="D54" s="26">
        <f>E54-E52</f>
        <v>15</v>
      </c>
      <c r="E54" s="26">
        <f>(F54-E52)</f>
        <v>20</v>
      </c>
      <c r="F54" s="28">
        <f>D18*G18</f>
        <v>25</v>
      </c>
      <c r="G54" s="26">
        <f>(F54+E52)</f>
        <v>30</v>
      </c>
      <c r="H54" s="29">
        <f>G54+E52</f>
        <v>35</v>
      </c>
      <c r="I54" s="1"/>
    </row>
    <row r="55" spans="2:10" x14ac:dyDescent="0.3">
      <c r="C55" s="23" t="s">
        <v>5</v>
      </c>
      <c r="D55" s="13"/>
      <c r="F55" s="27" t="s">
        <v>25</v>
      </c>
      <c r="G55" s="8"/>
      <c r="H55" s="8"/>
      <c r="I55" s="1"/>
    </row>
    <row r="56" spans="2:10" x14ac:dyDescent="0.3">
      <c r="C56" s="8">
        <f>$C57-$C$37</f>
        <v>4500</v>
      </c>
      <c r="D56" s="24">
        <f t="shared" ref="D56:H62" si="1">((($C56+$G$25)/2)*$E$26*0.01+$D$15*0.01*$C56+$E$10+($C56-$G$25)/$G$23)/D$54</f>
        <v>126.69166666666666</v>
      </c>
      <c r="E56" s="24">
        <f t="shared" si="1"/>
        <v>95.018749999999997</v>
      </c>
      <c r="F56" s="24">
        <f t="shared" si="1"/>
        <v>76.015000000000001</v>
      </c>
      <c r="G56" s="24">
        <f t="shared" si="1"/>
        <v>63.345833333333331</v>
      </c>
      <c r="H56" s="24">
        <f t="shared" si="1"/>
        <v>54.296428571428571</v>
      </c>
    </row>
    <row r="57" spans="2:10" x14ac:dyDescent="0.3">
      <c r="C57" s="8">
        <f>$C58-$C$37</f>
        <v>5000</v>
      </c>
      <c r="D57" s="24">
        <f t="shared" si="1"/>
        <v>136.52500000000001</v>
      </c>
      <c r="E57" s="24">
        <f t="shared" si="1"/>
        <v>102.39375</v>
      </c>
      <c r="F57" s="24">
        <f t="shared" si="1"/>
        <v>81.915000000000006</v>
      </c>
      <c r="G57" s="24">
        <f t="shared" si="1"/>
        <v>68.262500000000003</v>
      </c>
      <c r="H57" s="24">
        <f t="shared" si="1"/>
        <v>58.510714285714286</v>
      </c>
    </row>
    <row r="58" spans="2:10" x14ac:dyDescent="0.3">
      <c r="C58" s="8">
        <f>$C59-$C$37</f>
        <v>5500</v>
      </c>
      <c r="D58" s="24">
        <f t="shared" si="1"/>
        <v>146.35833333333332</v>
      </c>
      <c r="E58" s="24">
        <f t="shared" si="1"/>
        <v>109.76875</v>
      </c>
      <c r="F58" s="24">
        <f t="shared" si="1"/>
        <v>87.814999999999998</v>
      </c>
      <c r="G58" s="24">
        <f t="shared" si="1"/>
        <v>73.17916666666666</v>
      </c>
      <c r="H58" s="24">
        <f t="shared" si="1"/>
        <v>62.725000000000001</v>
      </c>
    </row>
    <row r="59" spans="2:10" x14ac:dyDescent="0.3">
      <c r="B59" t="s">
        <v>13</v>
      </c>
      <c r="C59" s="21">
        <f>G22</f>
        <v>6000</v>
      </c>
      <c r="D59" s="24">
        <f t="shared" si="1"/>
        <v>156.19166666666666</v>
      </c>
      <c r="E59" s="24">
        <f t="shared" si="1"/>
        <v>117.14375</v>
      </c>
      <c r="F59" s="49">
        <f t="shared" si="1"/>
        <v>93.715000000000003</v>
      </c>
      <c r="G59" s="24">
        <f t="shared" si="1"/>
        <v>78.095833333333331</v>
      </c>
      <c r="H59" s="24">
        <f t="shared" si="1"/>
        <v>66.939285714285717</v>
      </c>
      <c r="J59" s="1"/>
    </row>
    <row r="60" spans="2:10" x14ac:dyDescent="0.3">
      <c r="C60" s="8">
        <f>$C59+$C$37</f>
        <v>6500</v>
      </c>
      <c r="D60" s="24">
        <f t="shared" si="1"/>
        <v>166.02500000000001</v>
      </c>
      <c r="E60" s="24">
        <f t="shared" si="1"/>
        <v>124.51875</v>
      </c>
      <c r="F60" s="24">
        <f t="shared" si="1"/>
        <v>99.614999999999995</v>
      </c>
      <c r="G60" s="24">
        <f t="shared" si="1"/>
        <v>83.012500000000003</v>
      </c>
      <c r="H60" s="24">
        <f t="shared" si="1"/>
        <v>71.153571428571425</v>
      </c>
    </row>
    <row r="61" spans="2:10" x14ac:dyDescent="0.3">
      <c r="C61" s="8">
        <f>$C60+$C$37</f>
        <v>7000</v>
      </c>
      <c r="D61" s="24">
        <f t="shared" si="1"/>
        <v>175.85833333333332</v>
      </c>
      <c r="E61" s="24">
        <f t="shared" si="1"/>
        <v>131.89375000000001</v>
      </c>
      <c r="F61" s="24">
        <f t="shared" si="1"/>
        <v>105.515</v>
      </c>
      <c r="G61" s="24">
        <f t="shared" si="1"/>
        <v>87.92916666666666</v>
      </c>
      <c r="H61" s="24">
        <f t="shared" si="1"/>
        <v>75.367857142857147</v>
      </c>
    </row>
    <row r="62" spans="2:10" x14ac:dyDescent="0.3">
      <c r="C62" s="8">
        <f>$C61+$C$37</f>
        <v>7500</v>
      </c>
      <c r="D62" s="24">
        <f t="shared" si="1"/>
        <v>185.69166666666666</v>
      </c>
      <c r="E62" s="24">
        <f t="shared" si="1"/>
        <v>139.26875000000001</v>
      </c>
      <c r="F62" s="24">
        <f t="shared" si="1"/>
        <v>111.41500000000001</v>
      </c>
      <c r="G62" s="24">
        <f t="shared" si="1"/>
        <v>92.845833333333331</v>
      </c>
      <c r="H62" s="24">
        <f t="shared" si="1"/>
        <v>79.582142857142856</v>
      </c>
    </row>
    <row r="63" spans="2:10" x14ac:dyDescent="0.3">
      <c r="B63" s="45" t="s">
        <v>63</v>
      </c>
    </row>
    <row r="64" spans="2:10" x14ac:dyDescent="0.3">
      <c r="B64" s="22"/>
    </row>
  </sheetData>
  <sheetProtection sheet="1" objects="1" scenarios="1"/>
  <mergeCells count="7">
    <mergeCell ref="C53:H53"/>
    <mergeCell ref="B1:I1"/>
    <mergeCell ref="B34:I34"/>
    <mergeCell ref="C51:H51"/>
    <mergeCell ref="F52:H52"/>
    <mergeCell ref="B3:I3"/>
    <mergeCell ref="B4:E4"/>
  </mergeCells>
  <phoneticPr fontId="0" type="noConversion"/>
  <pageMargins left="1" right="0.5" top="1" bottom="1" header="0.5" footer="0.5"/>
  <pageSetup scale="71" orientation="portrait" r:id="rId1"/>
  <headerFooter alignWithMargins="0">
    <oddFooter>&amp;L&amp;F&amp;R&amp;A
Printed 
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35"/>
  <sheetViews>
    <sheetView tabSelected="1" workbookViewId="0">
      <selection activeCell="E9" sqref="E9"/>
    </sheetView>
  </sheetViews>
  <sheetFormatPr defaultRowHeight="12.45" x14ac:dyDescent="0.3"/>
  <cols>
    <col min="1" max="1" width="4.15234375" customWidth="1"/>
    <col min="2" max="2" width="39.23046875" customWidth="1"/>
    <col min="3" max="3" width="11.23046875" customWidth="1"/>
    <col min="4" max="4" width="10.23046875" customWidth="1"/>
    <col min="8" max="8" width="9.23046875" style="94"/>
    <col min="9" max="9" width="11.07421875" customWidth="1"/>
    <col min="10" max="10" width="10.84375" bestFit="1" customWidth="1"/>
  </cols>
  <sheetData>
    <row r="1" spans="2:11" ht="17.600000000000001" x14ac:dyDescent="0.4">
      <c r="B1" s="108" t="s">
        <v>67</v>
      </c>
      <c r="C1" s="114"/>
      <c r="D1" s="114"/>
      <c r="E1" s="114"/>
      <c r="F1" s="114"/>
      <c r="G1" s="114"/>
      <c r="H1" s="114"/>
      <c r="I1" s="103"/>
      <c r="J1" s="103"/>
    </row>
    <row r="2" spans="2:11" ht="17.600000000000001" x14ac:dyDescent="0.4">
      <c r="B2" s="50"/>
      <c r="C2" s="56"/>
      <c r="D2" s="56"/>
      <c r="E2" s="56"/>
      <c r="F2" s="56"/>
      <c r="G2" s="56"/>
      <c r="H2" s="96"/>
    </row>
    <row r="3" spans="2:11" ht="15.45" x14ac:dyDescent="0.4">
      <c r="B3" s="102" t="s">
        <v>98</v>
      </c>
      <c r="C3" s="103"/>
      <c r="D3" s="103"/>
      <c r="E3" s="103"/>
      <c r="F3" s="103"/>
      <c r="G3" s="103"/>
      <c r="H3" s="103"/>
      <c r="I3" s="104"/>
      <c r="J3" s="104"/>
    </row>
    <row r="4" spans="2:11" ht="15.45" x14ac:dyDescent="0.4">
      <c r="B4" s="102"/>
      <c r="C4" s="111"/>
      <c r="D4" s="111"/>
      <c r="E4" s="111"/>
      <c r="F4" s="111"/>
      <c r="G4" s="111"/>
      <c r="H4" s="95"/>
    </row>
    <row r="5" spans="2:11" ht="15.45" x14ac:dyDescent="0.4">
      <c r="B5" s="52" t="s">
        <v>126</v>
      </c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51">
        <v>6</v>
      </c>
      <c r="I5" s="51">
        <v>7</v>
      </c>
      <c r="J5" s="51">
        <v>8</v>
      </c>
    </row>
    <row r="6" spans="2:11" ht="15.45" x14ac:dyDescent="0.4">
      <c r="B6" s="52" t="s">
        <v>68</v>
      </c>
      <c r="C6" s="54">
        <f>'1. Bull Cost &amp; Key Data'!E10</f>
        <v>5200</v>
      </c>
      <c r="D6" s="54">
        <f>'1. Bull Cost &amp; Key Data'!E12</f>
        <v>6200</v>
      </c>
      <c r="E6" s="65">
        <f>'1. Bull Cost &amp; Key Data'!E14</f>
        <v>6700</v>
      </c>
      <c r="F6" s="54">
        <f>'1. Bull Cost &amp; Key Data'!E16</f>
        <v>0</v>
      </c>
      <c r="G6" s="54">
        <f>'1. Bull Cost &amp; Key Data'!E22</f>
        <v>3276</v>
      </c>
      <c r="H6" s="54">
        <f>'1. Bull Cost &amp; Key Data'!C24</f>
        <v>4187</v>
      </c>
      <c r="I6" s="66">
        <f>'1. Bull Cost &amp; Key Data'!E26</f>
        <v>5400</v>
      </c>
      <c r="J6" s="87">
        <f>'1. Bull Cost &amp; Key Data'!E28</f>
        <v>6320</v>
      </c>
    </row>
    <row r="7" spans="2:11" ht="15" x14ac:dyDescent="0.35">
      <c r="B7" s="51"/>
      <c r="C7" s="51"/>
      <c r="D7" s="51"/>
      <c r="E7" s="51"/>
      <c r="F7" s="51"/>
      <c r="G7" s="51"/>
      <c r="H7" s="51"/>
    </row>
    <row r="8" spans="2:11" ht="15.45" x14ac:dyDescent="0.4">
      <c r="B8" s="52" t="s">
        <v>64</v>
      </c>
      <c r="C8" s="51"/>
      <c r="D8" s="51"/>
      <c r="E8" s="51"/>
      <c r="F8" s="51"/>
      <c r="G8" s="51"/>
      <c r="H8" s="51"/>
    </row>
    <row r="9" spans="2:11" ht="15" x14ac:dyDescent="0.35">
      <c r="B9" s="51" t="s">
        <v>65</v>
      </c>
      <c r="C9" s="68">
        <f>'2. Bull Investment Cost '!E25</f>
        <v>1800</v>
      </c>
      <c r="D9" s="51"/>
      <c r="E9" s="51"/>
      <c r="F9" s="51"/>
      <c r="G9" s="51"/>
      <c r="H9" s="51"/>
      <c r="K9" s="51"/>
    </row>
    <row r="10" spans="2:11" ht="15" x14ac:dyDescent="0.35">
      <c r="B10" s="51" t="s">
        <v>69</v>
      </c>
      <c r="C10" s="67">
        <f>'2. Bull Investment Cost '!F25</f>
        <v>80</v>
      </c>
      <c r="D10" s="51"/>
      <c r="E10" s="51"/>
      <c r="F10" s="51"/>
      <c r="G10" s="51"/>
      <c r="H10" s="51"/>
    </row>
    <row r="11" spans="2:11" ht="15.45" x14ac:dyDescent="0.4">
      <c r="B11" s="52" t="s">
        <v>64</v>
      </c>
      <c r="C11" s="53">
        <f>C9*C10*0.01</f>
        <v>1440</v>
      </c>
      <c r="D11" s="53">
        <f t="shared" ref="D11:E11" si="0">IF(D6=0,0,$C$11)</f>
        <v>1440</v>
      </c>
      <c r="E11" s="53">
        <f t="shared" si="0"/>
        <v>1440</v>
      </c>
      <c r="F11" s="53">
        <f>IF(F6=0,0,$C$11)</f>
        <v>0</v>
      </c>
      <c r="G11" s="53">
        <f t="shared" ref="G11:J11" si="1">IF(G6=0,0,$C$11)</f>
        <v>1440</v>
      </c>
      <c r="H11" s="53">
        <f t="shared" si="1"/>
        <v>1440</v>
      </c>
      <c r="I11" s="53">
        <f t="shared" si="1"/>
        <v>1440</v>
      </c>
      <c r="J11" s="53">
        <f t="shared" si="1"/>
        <v>1440</v>
      </c>
    </row>
    <row r="12" spans="2:11" ht="15" x14ac:dyDescent="0.35">
      <c r="B12" s="51"/>
      <c r="C12" s="51"/>
      <c r="D12" s="51"/>
      <c r="E12" s="51"/>
      <c r="F12" s="51"/>
      <c r="G12" s="51"/>
      <c r="H12" s="51"/>
    </row>
    <row r="13" spans="2:11" ht="15" x14ac:dyDescent="0.35">
      <c r="B13" s="51" t="s">
        <v>70</v>
      </c>
      <c r="C13" s="51"/>
      <c r="D13" s="51"/>
      <c r="E13" s="51"/>
      <c r="F13" s="51"/>
      <c r="G13" s="51"/>
      <c r="H13" s="51"/>
    </row>
    <row r="14" spans="2:11" ht="15.45" x14ac:dyDescent="0.4">
      <c r="B14" s="51" t="s">
        <v>71</v>
      </c>
      <c r="C14" s="54">
        <f>IF(C6=0,0,C6-C11)</f>
        <v>3760</v>
      </c>
      <c r="D14" s="54">
        <f t="shared" ref="D14:J14" si="2">IF(D6=0,0,D6-D11)</f>
        <v>4760</v>
      </c>
      <c r="E14" s="54">
        <f t="shared" si="2"/>
        <v>5260</v>
      </c>
      <c r="F14" s="54">
        <f t="shared" si="2"/>
        <v>0</v>
      </c>
      <c r="G14" s="54">
        <f t="shared" si="2"/>
        <v>1836</v>
      </c>
      <c r="H14" s="54">
        <f t="shared" si="2"/>
        <v>2747</v>
      </c>
      <c r="I14" s="54">
        <f t="shared" si="2"/>
        <v>3960</v>
      </c>
      <c r="J14" s="54">
        <f t="shared" si="2"/>
        <v>4880</v>
      </c>
    </row>
    <row r="15" spans="2:11" ht="15" x14ac:dyDescent="0.35">
      <c r="B15" s="51" t="s">
        <v>111</v>
      </c>
      <c r="C15" s="51">
        <f>'2. Bull Investment Cost '!G23</f>
        <v>4</v>
      </c>
      <c r="D15" s="51"/>
      <c r="E15" s="51"/>
      <c r="F15" s="51"/>
      <c r="G15" s="51"/>
      <c r="H15" s="51"/>
      <c r="K15" s="51"/>
    </row>
    <row r="16" spans="2:11" ht="15" x14ac:dyDescent="0.35">
      <c r="B16" s="51"/>
      <c r="C16" s="51"/>
      <c r="D16" s="51"/>
      <c r="E16" s="51"/>
      <c r="F16" s="51"/>
      <c r="G16" s="51"/>
      <c r="H16" s="51"/>
    </row>
    <row r="17" spans="2:11" ht="15.45" x14ac:dyDescent="0.4">
      <c r="B17" s="52" t="s">
        <v>72</v>
      </c>
      <c r="C17" s="54">
        <f t="shared" ref="C17:J17" si="3">C14/$C$15</f>
        <v>940</v>
      </c>
      <c r="D17" s="54">
        <f t="shared" si="3"/>
        <v>1190</v>
      </c>
      <c r="E17" s="54">
        <f t="shared" si="3"/>
        <v>1315</v>
      </c>
      <c r="F17" s="54">
        <f t="shared" si="3"/>
        <v>0</v>
      </c>
      <c r="G17" s="54">
        <f t="shared" si="3"/>
        <v>459</v>
      </c>
      <c r="H17" s="54">
        <f t="shared" si="3"/>
        <v>686.75</v>
      </c>
      <c r="I17" s="54">
        <f t="shared" si="3"/>
        <v>990</v>
      </c>
      <c r="J17" s="54">
        <f t="shared" si="3"/>
        <v>1220</v>
      </c>
    </row>
    <row r="18" spans="2:11" ht="15" x14ac:dyDescent="0.35">
      <c r="B18" s="51"/>
      <c r="C18" s="51"/>
      <c r="D18" s="51"/>
      <c r="E18" s="51"/>
      <c r="F18" s="51"/>
      <c r="G18" s="51"/>
      <c r="H18" s="51"/>
    </row>
    <row r="19" spans="2:11" ht="15.45" x14ac:dyDescent="0.4">
      <c r="B19" s="51" t="s">
        <v>73</v>
      </c>
      <c r="C19" s="79">
        <f>'2. Bull Investment Cost '!G18</f>
        <v>25</v>
      </c>
      <c r="D19" s="51"/>
      <c r="E19" s="51"/>
      <c r="F19" s="51"/>
      <c r="G19" s="51"/>
      <c r="H19" s="51"/>
      <c r="K19" s="51"/>
    </row>
    <row r="20" spans="2:11" ht="15" x14ac:dyDescent="0.35">
      <c r="B20" s="51"/>
      <c r="C20" s="51"/>
      <c r="D20" s="51"/>
      <c r="E20" s="51"/>
      <c r="F20" s="51"/>
      <c r="G20" s="51"/>
      <c r="H20" s="51"/>
    </row>
    <row r="21" spans="2:11" ht="15.45" x14ac:dyDescent="0.4">
      <c r="B21" s="52" t="s">
        <v>74</v>
      </c>
      <c r="C21" s="55">
        <f t="shared" ref="C21:H21" si="4">C17/$C$19</f>
        <v>37.6</v>
      </c>
      <c r="D21" s="55">
        <f t="shared" si="4"/>
        <v>47.6</v>
      </c>
      <c r="E21" s="55">
        <f t="shared" si="4"/>
        <v>52.6</v>
      </c>
      <c r="F21" s="55">
        <f t="shared" si="4"/>
        <v>0</v>
      </c>
      <c r="G21" s="55">
        <f t="shared" si="4"/>
        <v>18.36</v>
      </c>
      <c r="H21" s="55">
        <f t="shared" si="4"/>
        <v>27.47</v>
      </c>
      <c r="I21" s="55">
        <f t="shared" ref="I21:J21" si="5">I17/$C$19</f>
        <v>39.6</v>
      </c>
      <c r="J21" s="55">
        <f t="shared" si="5"/>
        <v>48.8</v>
      </c>
    </row>
    <row r="22" spans="2:11" ht="15.45" x14ac:dyDescent="0.4">
      <c r="E22" s="55"/>
      <c r="F22" s="55"/>
      <c r="G22" s="55"/>
      <c r="H22" s="55"/>
      <c r="I22" s="55"/>
      <c r="J22" s="55"/>
    </row>
    <row r="23" spans="2:11" ht="15.45" x14ac:dyDescent="0.4">
      <c r="B23" s="52" t="s">
        <v>93</v>
      </c>
      <c r="C23" s="55">
        <f>C35</f>
        <v>92.275000000000006</v>
      </c>
      <c r="D23" s="55">
        <f>IF(D6=0,0,D35)</f>
        <v>94.075000000000003</v>
      </c>
      <c r="E23" s="55">
        <f t="shared" ref="E23:J23" si="6">IF(E6=0,0,E35)</f>
        <v>94.974999999999994</v>
      </c>
      <c r="F23" s="55">
        <f t="shared" si="6"/>
        <v>0</v>
      </c>
      <c r="G23" s="55">
        <f t="shared" si="6"/>
        <v>88.811800000000005</v>
      </c>
      <c r="H23" s="55">
        <f t="shared" si="6"/>
        <v>90.451599999999999</v>
      </c>
      <c r="I23" s="55">
        <f t="shared" si="6"/>
        <v>92.635000000000005</v>
      </c>
      <c r="J23" s="55">
        <f t="shared" si="6"/>
        <v>94.290999999999997</v>
      </c>
    </row>
    <row r="24" spans="2:11" ht="15" x14ac:dyDescent="0.35">
      <c r="B24" s="51"/>
      <c r="C24" s="51"/>
      <c r="D24" s="51"/>
      <c r="E24" s="51"/>
      <c r="F24" s="51"/>
      <c r="G24" s="51"/>
      <c r="H24" s="51"/>
    </row>
    <row r="25" spans="2:11" ht="15.45" x14ac:dyDescent="0.4">
      <c r="B25" s="51" t="s">
        <v>66</v>
      </c>
      <c r="C25" s="55">
        <f>'2. Bull Investment Cost '!G30</f>
        <v>172.5</v>
      </c>
      <c r="D25" s="51" t="s">
        <v>75</v>
      </c>
      <c r="F25" s="51"/>
      <c r="G25" s="52">
        <f>'2. Bull Investment Cost '!E30</f>
        <v>540</v>
      </c>
      <c r="H25" s="51" t="s">
        <v>158</v>
      </c>
      <c r="I25" s="51"/>
    </row>
    <row r="27" spans="2:11" ht="15.45" x14ac:dyDescent="0.4">
      <c r="B27" s="52" t="s">
        <v>97</v>
      </c>
    </row>
    <row r="28" spans="2:11" ht="15.45" x14ac:dyDescent="0.4">
      <c r="B28" s="52" t="s">
        <v>95</v>
      </c>
      <c r="C28" s="57">
        <f>C23/($C$25*0.01)</f>
        <v>53.492753623188406</v>
      </c>
      <c r="D28" s="57">
        <f t="shared" ref="D28:J28" si="7">D23/($C$25*0.01)</f>
        <v>54.536231884057969</v>
      </c>
      <c r="E28" s="57">
        <f t="shared" si="7"/>
        <v>55.05797101449275</v>
      </c>
      <c r="F28" s="57">
        <f t="shared" si="7"/>
        <v>0</v>
      </c>
      <c r="G28" s="57">
        <f t="shared" si="7"/>
        <v>51.485101449275362</v>
      </c>
      <c r="H28" s="57">
        <f t="shared" si="7"/>
        <v>52.435710144927533</v>
      </c>
      <c r="I28" s="57">
        <f t="shared" si="7"/>
        <v>53.701449275362322</v>
      </c>
      <c r="J28" s="57">
        <f t="shared" si="7"/>
        <v>54.661449275362315</v>
      </c>
    </row>
    <row r="29" spans="2:11" ht="15.45" x14ac:dyDescent="0.4">
      <c r="B29" s="52" t="s">
        <v>96</v>
      </c>
      <c r="C29" s="69">
        <f>C28/'2. Bull Investment Cost '!$E$30</f>
        <v>9.9060654857756308E-2</v>
      </c>
      <c r="D29" s="69">
        <f>D28/'2. Bull Investment Cost '!$E$30</f>
        <v>0.10099302200751475</v>
      </c>
      <c r="E29" s="69">
        <f>E28/'2. Bull Investment Cost '!$E$30</f>
        <v>0.10195920558239398</v>
      </c>
      <c r="F29" s="69">
        <f>F28/'2. Bull Investment Cost '!$E$30</f>
        <v>0</v>
      </c>
      <c r="G29" s="69">
        <f>G28/'2. Bull Investment Cost '!$E$30</f>
        <v>9.5342780461621035E-2</v>
      </c>
      <c r="H29" s="69">
        <f>H28/'2. Bull Investment Cost '!$E$30</f>
        <v>9.7103166935050986E-2</v>
      </c>
      <c r="I29" s="69">
        <f>I28/'2. Bull Investment Cost '!$E$30</f>
        <v>9.9447128287708006E-2</v>
      </c>
      <c r="J29" s="69">
        <f>J28/'2. Bull Investment Cost '!$E$30</f>
        <v>0.10122490606548577</v>
      </c>
    </row>
    <row r="30" spans="2:11" x14ac:dyDescent="0.3">
      <c r="B30" s="41" t="s">
        <v>92</v>
      </c>
    </row>
    <row r="31" spans="2:11" ht="14.15" x14ac:dyDescent="0.35">
      <c r="B31" s="58" t="s">
        <v>125</v>
      </c>
    </row>
    <row r="32" spans="2:11" ht="14.15" x14ac:dyDescent="0.35">
      <c r="B32" s="58" t="s">
        <v>117</v>
      </c>
    </row>
    <row r="33" spans="2:10" x14ac:dyDescent="0.3">
      <c r="B33" s="22"/>
    </row>
    <row r="35" spans="2:10" x14ac:dyDescent="0.3">
      <c r="B35" s="23" t="s">
        <v>94</v>
      </c>
      <c r="C35" s="14">
        <f>IF(C6=0,0,(((C6+'2. Bull Investment Cost '!$G$25)/2)*'2. Bull Investment Cost '!$E$26*0.01+'2. Bull Investment Cost '!$D$15*0.01*C6+'2. Bull Investment Cost '!$E$10+('2. Bull Investment Cost '!$C$43-'2. Bull Investment Cost '!$G$25)/'2. Bull Investment Cost '!$G$23)/'2. Bull Investment Cost '!$H$18)</f>
        <v>92.275000000000006</v>
      </c>
      <c r="D35" s="14">
        <f>IF(D6=0,0,(((D6+'2. Bull Investment Cost '!$G$25)/2)*'2. Bull Investment Cost '!$E$26*0.01+'2. Bull Investment Cost '!$D$15*0.01*D6+'2. Bull Investment Cost '!$E$10+('2. Bull Investment Cost '!$C$43-'2. Bull Investment Cost '!$G$25)/'2. Bull Investment Cost '!$G$23)/'2. Bull Investment Cost '!$H$18)</f>
        <v>94.075000000000003</v>
      </c>
      <c r="E35" s="14">
        <f>IF(E6=0,0,(((E6+'2. Bull Investment Cost '!$G$25)/2)*'2. Bull Investment Cost '!$E$26*0.01+'2. Bull Investment Cost '!$D$15*0.01*E6+'2. Bull Investment Cost '!$E$10+('2. Bull Investment Cost '!$C$43-'2. Bull Investment Cost '!$G$25)/'2. Bull Investment Cost '!$G$23)/'2. Bull Investment Cost '!$H$18)</f>
        <v>94.974999999999994</v>
      </c>
      <c r="F35" s="14">
        <f>IF(F6=0,0,(((F6+'2. Bull Investment Cost '!$G$25)/2)*'2. Bull Investment Cost '!$E$26*0.01+'2. Bull Investment Cost '!$D$15*0.01*F6+'2. Bull Investment Cost '!$E$10+('2. Bull Investment Cost '!$C$43-'2. Bull Investment Cost '!$G$25)/'2. Bull Investment Cost '!$G$23)/'2. Bull Investment Cost '!$H$18)</f>
        <v>0</v>
      </c>
      <c r="G35" s="14">
        <f>IF(G6=0,0,(((G6+'2. Bull Investment Cost '!$G$25)/2)*'2. Bull Investment Cost '!$E$26*0.01+'2. Bull Investment Cost '!$D$15*0.01*G6+'2. Bull Investment Cost '!$E$10+('2. Bull Investment Cost '!$C$43-'2. Bull Investment Cost '!$G$25)/'2. Bull Investment Cost '!$G$23)/'2. Bull Investment Cost '!$H$18)</f>
        <v>88.811800000000005</v>
      </c>
      <c r="H35" s="14">
        <f>IF(H6=0,0,(((H6+'2. Bull Investment Cost '!$G$25)/2)*'2. Bull Investment Cost '!$E$26*0.01+'2. Bull Investment Cost '!$D$15*0.01*H6+'2. Bull Investment Cost '!$E$10+('2. Bull Investment Cost '!$C$43-'2. Bull Investment Cost '!$G$25)/'2. Bull Investment Cost '!$G$23)/'2. Bull Investment Cost '!$H$18)</f>
        <v>90.451599999999999</v>
      </c>
      <c r="I35" s="14">
        <f>IF(I6=0,0,(((I6+'2. Bull Investment Cost '!$G$25)/2)*'2. Bull Investment Cost '!$E$26*0.01+'2. Bull Investment Cost '!$D$15*0.01*I6+'2. Bull Investment Cost '!$E$10+('2. Bull Investment Cost '!$C$43-'2. Bull Investment Cost '!$G$25)/'2. Bull Investment Cost '!$G$23)/'2. Bull Investment Cost '!$H$18)</f>
        <v>92.635000000000005</v>
      </c>
      <c r="J35" s="14">
        <f>IF(J6=0,0,(((J6+'2. Bull Investment Cost '!$G$25)/2)*'2. Bull Investment Cost '!$E$26*0.01+'2. Bull Investment Cost '!$D$15*0.01*J6+'2. Bull Investment Cost '!$E$10+('2. Bull Investment Cost '!$C$43-'2. Bull Investment Cost '!$G$25)/'2. Bull Investment Cost '!$G$23)/'2. Bull Investment Cost '!$H$18)</f>
        <v>94.290999999999997</v>
      </c>
    </row>
  </sheetData>
  <sheetProtection sheet="1" objects="1" scenarios="1"/>
  <mergeCells count="3">
    <mergeCell ref="B4:G4"/>
    <mergeCell ref="B3:J3"/>
    <mergeCell ref="B1:J1"/>
  </mergeCells>
  <pageMargins left="0.95" right="0.45" top="0.75" bottom="0.75" header="0.3" footer="0.3"/>
  <pageSetup orientation="landscape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Bull Cost &amp; Key Data</vt:lpstr>
      <vt:lpstr>2. Bull Investment Cost </vt:lpstr>
      <vt:lpstr>3. Investment Perspective</vt:lpstr>
      <vt:lpstr>'1. Bull Cost &amp; Key Data'!Print_Area</vt:lpstr>
      <vt:lpstr>'2. Bull Investment Cost '!Print_Area</vt:lpstr>
      <vt:lpstr>'3. Investment Perspective'!Print_Area</vt:lpstr>
    </vt:vector>
  </TitlesOfParts>
  <Company>Kelly Ranch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J. Kelly</dc:creator>
  <cp:lastModifiedBy>Jim McGrann</cp:lastModifiedBy>
  <cp:lastPrinted>2019-04-22T13:06:20Z</cp:lastPrinted>
  <dcterms:created xsi:type="dcterms:W3CDTF">2003-11-07T15:31:04Z</dcterms:created>
  <dcterms:modified xsi:type="dcterms:W3CDTF">2019-04-22T18:09:24Z</dcterms:modified>
</cp:coreProperties>
</file>