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Q. Herd Bull Replacement Economics 4-23-19\"/>
    </mc:Choice>
  </mc:AlternateContent>
  <xr:revisionPtr revIDLastSave="0" documentId="13_ncr:1_{D7249827-5595-4916-B3A1-404032CE2516}" xr6:coauthVersionLast="43" xr6:coauthVersionMax="43" xr10:uidLastSave="{00000000-0000-0000-0000-000000000000}"/>
  <bookViews>
    <workbookView xWindow="-103" yWindow="-103" windowWidth="16663" windowHeight="8863" tabRatio="837" xr2:uid="{5625CB5A-5CB9-4742-B8C4-B6BCE3224F0C}"/>
  </bookViews>
  <sheets>
    <sheet name="1. Bull Needs &amp; Costs" sheetId="9" r:id="rId1"/>
    <sheet name="3.Conventional AI Breeding Cost" sheetId="8" r:id="rId2"/>
    <sheet name="2. Exposed Female Cost" sheetId="4" r:id="rId3"/>
    <sheet name="4.Natural Service Breeding Cost" sheetId="3" r:id="rId4"/>
    <sheet name="5. Bulls Total Unit Cost" sheetId="1" r:id="rId5"/>
    <sheet name="Definitions" sheetId="5" r:id="rId6"/>
  </sheets>
  <definedNames>
    <definedName name="_xlnm.Print_Area" localSheetId="0">'1. Bull Needs &amp; Costs'!$B$1:$D$57</definedName>
    <definedName name="_xlnm.Print_Area" localSheetId="2">'2. Exposed Female Cost'!$B$1:$F$43</definedName>
    <definedName name="_xlnm.Print_Area" localSheetId="1">'3.Conventional AI Breeding Cost'!$B$1:$H$61</definedName>
    <definedName name="_xlnm.Print_Area" localSheetId="3">'4.Natural Service Breeding Cost'!$B$1:$G$35</definedName>
    <definedName name="_xlnm.Print_Area" localSheetId="4">'5. Bulls Total Unit Cost'!$B$1:$H$60</definedName>
    <definedName name="_xlnm.Print_Area" localSheetId="5">Definitions!$B$2:$B$24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8" i="4"/>
  <c r="C53" i="1" l="1"/>
  <c r="D15" i="8" l="1"/>
  <c r="D21" i="8" l="1"/>
  <c r="I21" i="1" l="1"/>
  <c r="D12" i="1" l="1"/>
  <c r="D17" i="1"/>
  <c r="D14" i="1"/>
  <c r="D19" i="1" s="1"/>
  <c r="D7" i="4" l="1"/>
  <c r="C47" i="9"/>
  <c r="C32" i="9"/>
  <c r="C18" i="9"/>
  <c r="C29" i="8" l="1"/>
  <c r="C29" i="4"/>
  <c r="D4" i="3" l="1"/>
  <c r="F24" i="3" s="1"/>
  <c r="G12" i="3" s="1"/>
  <c r="D17" i="8" l="1"/>
  <c r="D17" i="3"/>
  <c r="E49" i="8"/>
  <c r="D16" i="8"/>
  <c r="C8" i="9" l="1"/>
  <c r="C10" i="9" s="1"/>
  <c r="D20" i="9" l="1"/>
  <c r="C55" i="1" s="1"/>
  <c r="C20" i="9"/>
  <c r="E58" i="1" s="1"/>
  <c r="D5" i="3" l="1"/>
  <c r="G26" i="3" l="1"/>
  <c r="C19" i="3"/>
  <c r="D31" i="4" l="1"/>
  <c r="I10" i="1" l="1"/>
  <c r="I16" i="1" l="1"/>
  <c r="I15" i="1"/>
  <c r="F29" i="1" l="1"/>
  <c r="F24" i="4" l="1"/>
  <c r="D12" i="4"/>
  <c r="F21" i="4" s="1"/>
  <c r="D11" i="4"/>
  <c r="E12" i="4" s="1"/>
  <c r="F12" i="4" s="1"/>
  <c r="D9" i="4"/>
  <c r="E6" i="4"/>
  <c r="D25" i="4" s="1"/>
  <c r="F25" i="4" l="1"/>
  <c r="F17" i="4"/>
  <c r="F18" i="4"/>
  <c r="F19" i="4"/>
  <c r="F16" i="4"/>
  <c r="F20" i="4"/>
  <c r="G29" i="3" l="1"/>
  <c r="G31" i="3" s="1"/>
  <c r="E20" i="3" s="1"/>
  <c r="G13" i="3"/>
  <c r="G10" i="3"/>
  <c r="G20" i="3" l="1"/>
  <c r="E18" i="3"/>
  <c r="G18" i="3" s="1"/>
  <c r="E21" i="3"/>
  <c r="G21" i="3" s="1"/>
  <c r="G11" i="3"/>
  <c r="E14" i="3"/>
  <c r="M34" i="1"/>
  <c r="F31" i="1"/>
  <c r="H31" i="1" s="1"/>
  <c r="F30" i="1"/>
  <c r="H30" i="1" s="1"/>
  <c r="I14" i="1"/>
  <c r="I9" i="1"/>
  <c r="I6" i="1"/>
  <c r="I17" i="1" l="1"/>
  <c r="E22" i="3"/>
  <c r="G14" i="3"/>
  <c r="E24" i="3" l="1"/>
  <c r="G22" i="3"/>
  <c r="D25" i="1"/>
  <c r="I22" i="1"/>
  <c r="K24" i="1" s="1"/>
  <c r="D44" i="1" l="1"/>
  <c r="J44" i="1" s="1"/>
  <c r="G24" i="3"/>
  <c r="F53" i="8" s="1"/>
  <c r="F32" i="1"/>
  <c r="H32" i="1" s="1"/>
  <c r="G25" i="1" l="1"/>
  <c r="F33" i="1"/>
  <c r="E33" i="1" l="1"/>
  <c r="H9" i="4" l="1"/>
  <c r="H10" i="4" s="1"/>
  <c r="D3" i="3"/>
  <c r="D43" i="8"/>
  <c r="D20" i="8"/>
  <c r="D56" i="8" s="1"/>
  <c r="C34" i="8" l="1"/>
  <c r="D49" i="8" s="1"/>
  <c r="D23" i="8"/>
  <c r="C39" i="4" s="1"/>
  <c r="D24" i="8"/>
  <c r="D47" i="8"/>
  <c r="H47" i="8" s="1"/>
  <c r="F47" i="8" s="1"/>
  <c r="D44" i="8"/>
  <c r="H44" i="8" s="1"/>
  <c r="F44" i="8" s="1"/>
  <c r="C50" i="8" l="1"/>
  <c r="H43" i="8"/>
  <c r="F43" i="8" s="1"/>
  <c r="D39" i="8"/>
  <c r="H39" i="8" s="1"/>
  <c r="F39" i="8" s="1"/>
  <c r="H45" i="8"/>
  <c r="F45" i="8" s="1"/>
  <c r="D40" i="8"/>
  <c r="H40" i="8" s="1"/>
  <c r="F40" i="8" s="1"/>
  <c r="D41" i="8"/>
  <c r="H41" i="8" s="1"/>
  <c r="F41" i="8" s="1"/>
  <c r="D36" i="8"/>
  <c r="H36" i="8" s="1"/>
  <c r="D38" i="8"/>
  <c r="H38" i="8" s="1"/>
  <c r="F38" i="8" s="1"/>
  <c r="D25" i="8"/>
  <c r="I25" i="8" s="1"/>
  <c r="H49" i="8"/>
  <c r="K49" i="8" s="1"/>
  <c r="H46" i="8"/>
  <c r="F46" i="8" s="1"/>
  <c r="D48" i="8"/>
  <c r="H48" i="8" s="1"/>
  <c r="F48" i="8" s="1"/>
  <c r="D37" i="8"/>
  <c r="H37" i="8" s="1"/>
  <c r="F37" i="8" s="1"/>
  <c r="H28" i="8"/>
  <c r="C12" i="9" s="1"/>
  <c r="D31" i="8"/>
  <c r="F36" i="8"/>
  <c r="C36" i="4"/>
  <c r="F36" i="4" s="1"/>
  <c r="D27" i="8"/>
  <c r="E21" i="8" s="1"/>
  <c r="H7" i="4"/>
  <c r="F49" i="8" l="1"/>
  <c r="F50" i="8" s="1"/>
  <c r="H50" i="8"/>
  <c r="G40" i="8" s="1"/>
  <c r="E5" i="1"/>
  <c r="D29" i="8"/>
  <c r="E20" i="8"/>
  <c r="G37" i="8" l="1"/>
  <c r="G41" i="8"/>
  <c r="G47" i="8"/>
  <c r="G38" i="8"/>
  <c r="G43" i="8"/>
  <c r="G49" i="8"/>
  <c r="C44" i="9" s="1"/>
  <c r="G39" i="8"/>
  <c r="G36" i="8"/>
  <c r="G45" i="8"/>
  <c r="G44" i="8"/>
  <c r="G48" i="8"/>
  <c r="G46" i="8"/>
  <c r="E14" i="1"/>
  <c r="E12" i="1"/>
  <c r="J15" i="1" s="1"/>
  <c r="E17" i="1"/>
  <c r="G17" i="1" s="1"/>
  <c r="J14" i="1"/>
  <c r="C27" i="1"/>
  <c r="E24" i="8"/>
  <c r="C53" i="8"/>
  <c r="H53" i="8" s="1"/>
  <c r="E23" i="8"/>
  <c r="G31" i="1" l="1"/>
  <c r="C34" i="1"/>
  <c r="G32" i="1"/>
  <c r="G30" i="1"/>
  <c r="G29" i="1"/>
  <c r="E19" i="1"/>
  <c r="G12" i="1"/>
  <c r="G22" i="1" s="1"/>
  <c r="F53" i="1" s="1"/>
  <c r="C35" i="4"/>
  <c r="F35" i="4" s="1"/>
  <c r="F24" i="8"/>
  <c r="E25" i="8"/>
  <c r="E27" i="8"/>
  <c r="C34" i="4"/>
  <c r="F23" i="8"/>
  <c r="F25" i="8" s="1"/>
  <c r="H56" i="8"/>
  <c r="G33" i="1" l="1"/>
  <c r="D32" i="8"/>
  <c r="E32" i="8" s="1"/>
  <c r="C22" i="9" s="1"/>
  <c r="C25" i="9" s="1"/>
  <c r="C19" i="1"/>
  <c r="F36" i="1"/>
  <c r="F44" i="1"/>
  <c r="F37" i="1"/>
  <c r="H37" i="1" s="1"/>
  <c r="F38" i="1"/>
  <c r="H38" i="1" s="1"/>
  <c r="D48" i="1"/>
  <c r="F35" i="1"/>
  <c r="F39" i="1"/>
  <c r="H39" i="1" s="1"/>
  <c r="G24" i="8"/>
  <c r="G23" i="8"/>
  <c r="F56" i="8"/>
  <c r="E29" i="8"/>
  <c r="F27" i="8"/>
  <c r="C37" i="4"/>
  <c r="F34" i="4"/>
  <c r="F37" i="4" s="1"/>
  <c r="G53" i="8"/>
  <c r="D23" i="1" l="1"/>
  <c r="J16" i="1"/>
  <c r="C56" i="1"/>
  <c r="C52" i="9" s="1"/>
  <c r="F28" i="8"/>
  <c r="G26" i="8"/>
  <c r="F29" i="8"/>
  <c r="D58" i="8"/>
  <c r="G58" i="8" s="1"/>
  <c r="C48" i="9"/>
  <c r="C49" i="9" s="1"/>
  <c r="I24" i="8"/>
  <c r="E29" i="4"/>
  <c r="I39" i="4"/>
  <c r="I23" i="8"/>
  <c r="C50" i="9" l="1"/>
  <c r="C27" i="9"/>
  <c r="G29" i="8"/>
  <c r="I29" i="8"/>
  <c r="C35" i="9" s="1"/>
  <c r="H6" i="4" s="1"/>
  <c r="E22" i="4"/>
  <c r="F22" i="4" s="1"/>
  <c r="F23" i="4" s="1"/>
  <c r="C43" i="9"/>
  <c r="E23" i="4" l="1"/>
  <c r="I26" i="4"/>
  <c r="J26" i="4" s="1"/>
  <c r="F27" i="4" s="1"/>
  <c r="F31" i="4" s="1"/>
  <c r="E31" i="4" l="1"/>
  <c r="F39" i="4"/>
  <c r="F40" i="1" l="1"/>
  <c r="F7" i="1"/>
  <c r="E39" i="4"/>
  <c r="M31" i="1" l="1"/>
  <c r="N34" i="1" s="1"/>
  <c r="F48" i="1" s="1"/>
  <c r="E7" i="1"/>
  <c r="D40" i="1"/>
  <c r="D42" i="1" s="1"/>
  <c r="F42" i="1"/>
  <c r="M30" i="1"/>
  <c r="F46" i="1" l="1"/>
  <c r="M33" i="1"/>
  <c r="N33" i="1" s="1"/>
  <c r="F56" i="1" l="1"/>
  <c r="F49" i="1"/>
  <c r="D46" i="1"/>
  <c r="H56" i="1" l="1"/>
  <c r="D56" i="1"/>
  <c r="C54" i="9" s="1"/>
  <c r="C45" i="9" s="1"/>
  <c r="H29" i="1"/>
  <c r="H35" i="1"/>
  <c r="H36" i="1"/>
  <c r="H44" i="1"/>
  <c r="H33" i="1"/>
  <c r="H40" i="1"/>
  <c r="H7" i="1"/>
  <c r="H42" i="1"/>
  <c r="H48" i="1"/>
</calcChain>
</file>

<file path=xl/sharedStrings.xml><?xml version="1.0" encoding="utf-8"?>
<sst xmlns="http://schemas.openxmlformats.org/spreadsheetml/2006/main" count="382" uniqueCount="311">
  <si>
    <t>Description of Bulls</t>
  </si>
  <si>
    <t>Birth Date</t>
  </si>
  <si>
    <t xml:space="preserve">     Head</t>
  </si>
  <si>
    <t>Total Value</t>
  </si>
  <si>
    <t>Weight/Hd.</t>
  </si>
  <si>
    <t>$/Head</t>
  </si>
  <si>
    <t>Weaning Age</t>
  </si>
  <si>
    <t xml:space="preserve"> Culled Bull Sale</t>
  </si>
  <si>
    <t>Percent</t>
  </si>
  <si>
    <t>Head</t>
  </si>
  <si>
    <t>Revenue</t>
  </si>
  <si>
    <t>Culling Age</t>
  </si>
  <si>
    <t xml:space="preserve">  Culling Date and Percent</t>
  </si>
  <si>
    <t>$/Cwt.</t>
  </si>
  <si>
    <t xml:space="preserve">  Weight </t>
  </si>
  <si>
    <t>Death Loss - Head and  %</t>
  </si>
  <si>
    <t>Second Bull Culling</t>
  </si>
  <si>
    <t>%</t>
  </si>
  <si>
    <t>Head Days</t>
  </si>
  <si>
    <t>Beginning to pre Sales culling</t>
  </si>
  <si>
    <t>________________________________________________________________________________________________</t>
  </si>
  <si>
    <t>Total Months Fed and Grazed</t>
  </si>
  <si>
    <t>Input Use</t>
  </si>
  <si>
    <t>Unit</t>
  </si>
  <si>
    <t>$/Unit</t>
  </si>
  <si>
    <t>Cost/Bull</t>
  </si>
  <si>
    <t>Total Cost</t>
  </si>
  <si>
    <t xml:space="preserve">Annualized Capital Investment </t>
  </si>
  <si>
    <t>Subtotal Feed &amp; Grazing Cost</t>
  </si>
  <si>
    <t>Annualized ROI</t>
  </si>
  <si>
    <t xml:space="preserve">   % TUC</t>
  </si>
  <si>
    <t>Interest</t>
  </si>
  <si>
    <t>Finance Cost</t>
  </si>
  <si>
    <t xml:space="preserve">Other Costs </t>
  </si>
  <si>
    <t xml:space="preserve">Total Production Costs of All Bulls  </t>
  </si>
  <si>
    <t>Description of Protocol</t>
  </si>
  <si>
    <t>Number of Head</t>
  </si>
  <si>
    <t>Natural</t>
  </si>
  <si>
    <t>Over all Pregnancy</t>
  </si>
  <si>
    <t>Expected Pregnancy from Conventional AI</t>
  </si>
  <si>
    <t>Bull</t>
  </si>
  <si>
    <t>Breeding Method</t>
  </si>
  <si>
    <t xml:space="preserve">Natural </t>
  </si>
  <si>
    <t>Total</t>
  </si>
  <si>
    <t>Gender</t>
  </si>
  <si>
    <t>Heifer</t>
  </si>
  <si>
    <t>Pregnancy</t>
  </si>
  <si>
    <t>-</t>
  </si>
  <si>
    <t xml:space="preserve">No. of </t>
  </si>
  <si>
    <t>Per</t>
  </si>
  <si>
    <t>Units</t>
  </si>
  <si>
    <t>Female</t>
  </si>
  <si>
    <t>of Total</t>
  </si>
  <si>
    <t>Pre-Breeding Evaluation &amp; Selection</t>
  </si>
  <si>
    <t>Other</t>
  </si>
  <si>
    <t>Herd</t>
  </si>
  <si>
    <t>Pregnancy Test</t>
  </si>
  <si>
    <t xml:space="preserve">        Head</t>
  </si>
  <si>
    <t>Number of Females Exposed</t>
  </si>
  <si>
    <t>Total Cost per Exposed Female</t>
  </si>
  <si>
    <t>Operating Cost</t>
  </si>
  <si>
    <t xml:space="preserve">Annual
Per Year
Cost
</t>
  </si>
  <si>
    <t>Feed and Grazing</t>
  </si>
  <si>
    <t xml:space="preserve">Other Cost </t>
  </si>
  <si>
    <t>Annual Operating Cost</t>
  </si>
  <si>
    <t>Ownership Costs</t>
  </si>
  <si>
    <t>Death Loss-% Purchase cost</t>
  </si>
  <si>
    <t>Annual Ownership Cost</t>
  </si>
  <si>
    <t>Wt. Lb./Hd.</t>
  </si>
  <si>
    <t xml:space="preserve">  $/Head</t>
  </si>
  <si>
    <t xml:space="preserve">Bull Salvage Value </t>
  </si>
  <si>
    <t xml:space="preserve">Bull Investment Cost -$/Head </t>
  </si>
  <si>
    <t>Description</t>
  </si>
  <si>
    <t>Date Started</t>
  </si>
  <si>
    <t xml:space="preserve">        Days</t>
  </si>
  <si>
    <t>Ending Date</t>
  </si>
  <si>
    <t>Number of Exposed Females - Recipients</t>
  </si>
  <si>
    <t>Total Investment</t>
  </si>
  <si>
    <t>Estimates Remaining Life - Years</t>
  </si>
  <si>
    <t>Salvage Value - % of Value</t>
  </si>
  <si>
    <t xml:space="preserve">Total </t>
  </si>
  <si>
    <t>Recipient Annual Depreciation</t>
  </si>
  <si>
    <t>Depreciation = ((Value-Salvage Value)/life)</t>
  </si>
  <si>
    <t>Other Direct Costs of Recipients</t>
  </si>
  <si>
    <t>Units/Hd.</t>
  </si>
  <si>
    <t>Health</t>
  </si>
  <si>
    <t>$/Hd.</t>
  </si>
  <si>
    <t xml:space="preserve">   Other</t>
  </si>
  <si>
    <t>Total Direct Cost</t>
  </si>
  <si>
    <t>$/Hd. &amp; Total</t>
  </si>
  <si>
    <t>Indirect Cost</t>
  </si>
  <si>
    <t>$/Hd./Day</t>
  </si>
  <si>
    <t>Cost of Nutrition, Health and Other Costs</t>
  </si>
  <si>
    <t>Natural Bull Calves</t>
  </si>
  <si>
    <t>Natural Heifer Calves</t>
  </si>
  <si>
    <t>Interest Rate %</t>
  </si>
  <si>
    <t>Total direct+indirect*.5*interest rate*.01</t>
  </si>
  <si>
    <t>Replacement Bulls for Breeding</t>
  </si>
  <si>
    <t>BSE Exam and Disease Test</t>
  </si>
  <si>
    <t>Total of Replacement Bull</t>
  </si>
  <si>
    <t>Delivery Weight of Breeding Bulls</t>
  </si>
  <si>
    <t>Direct Production Cost</t>
  </si>
  <si>
    <t>Breeding Delivery Age</t>
  </si>
  <si>
    <t>Pre Sales culling through Sales and Breeding Season Begins</t>
  </si>
  <si>
    <t>Breeding Season Beginning Date</t>
  </si>
  <si>
    <t>Second culling</t>
  </si>
  <si>
    <t>Total Days Fed and Grazed  (Adjusted for Culls)</t>
  </si>
  <si>
    <t xml:space="preserve">    Days</t>
  </si>
  <si>
    <t>Per Head</t>
  </si>
  <si>
    <t>Gain per Head</t>
  </si>
  <si>
    <t>Interest %</t>
  </si>
  <si>
    <t xml:space="preserve">Finance Cost                                   </t>
  </si>
  <si>
    <t>________________________________</t>
  </si>
  <si>
    <t xml:space="preserve">Other Feeding Costs </t>
  </si>
  <si>
    <t>ADG not adjusted for culls</t>
  </si>
  <si>
    <t>Hd. Exposed</t>
  </si>
  <si>
    <t xml:space="preserve">    $/Cwt</t>
  </si>
  <si>
    <t>Head Check</t>
  </si>
  <si>
    <t>Production Costs - Includes Recipient cost as it is the first phase of production.</t>
  </si>
  <si>
    <t>Summary of Production</t>
  </si>
  <si>
    <t>Use expect number of exposed females</t>
  </si>
  <si>
    <t>Over all Pregnancy of Exposed Females</t>
  </si>
  <si>
    <t>Includes BSE exam.</t>
  </si>
  <si>
    <t>Interest Rate</t>
  </si>
  <si>
    <t>Depreciation*</t>
  </si>
  <si>
    <t>Useful Life - Years</t>
  </si>
  <si>
    <t>Annual
 Service Cost</t>
  </si>
  <si>
    <t>Females  per Year Per Bull</t>
  </si>
  <si>
    <t>_______________________________________________________________________________</t>
  </si>
  <si>
    <t>Purchase Cost of Bull</t>
  </si>
  <si>
    <t>Annual Herd Bull Cost per Exposed Female Calculator</t>
  </si>
  <si>
    <t>Added Clean-up Interest cost.</t>
  </si>
  <si>
    <t>Weaned  Bull Value at Recipient Cow-Calf Cost</t>
  </si>
  <si>
    <t>Days on Feed and Cost per Day</t>
  </si>
  <si>
    <t>Feed cost of gains per lb.</t>
  </si>
  <si>
    <t xml:space="preserve">      Head</t>
  </si>
  <si>
    <t>**Herd bull cost available for breeding can be compared to purchase bull price from alternatives.</t>
  </si>
  <si>
    <t>Herd Bulls for First Breeding Season</t>
  </si>
  <si>
    <t xml:space="preserve">        Total </t>
  </si>
  <si>
    <t>Other Production Cost</t>
  </si>
  <si>
    <t>Notes</t>
  </si>
  <si>
    <t>$/Head*</t>
  </si>
  <si>
    <t>Total*</t>
  </si>
  <si>
    <t>Total Value of Other  Calves</t>
  </si>
  <si>
    <t>*Cost adjusted for value of other calves. Cull cow adjustment reflected in depreciation cost.</t>
  </si>
  <si>
    <t>_____________________________</t>
  </si>
  <si>
    <t>Weaned bulls culled or death loss.</t>
  </si>
  <si>
    <t>Breeding Bull Success Rate Based on Females Exposed</t>
  </si>
  <si>
    <t>Total Weaned Calves</t>
  </si>
  <si>
    <t>*Depreciation = Purchase cost-salvage value divided by useful life.</t>
  </si>
  <si>
    <t>**Average investment is cost plus salvage value divided by 2.</t>
  </si>
  <si>
    <t>Average Investment**</t>
  </si>
  <si>
    <t>Average Annual Interest Cost**</t>
  </si>
  <si>
    <t xml:space="preserve">         Head</t>
  </si>
  <si>
    <t>$/Day for indirect cots.</t>
  </si>
  <si>
    <t>Culled Bull Sales Income for Adjustment</t>
  </si>
  <si>
    <t xml:space="preserve">  Total Cost</t>
  </si>
  <si>
    <t>Leased Grazing Cost</t>
  </si>
  <si>
    <t>Acres</t>
  </si>
  <si>
    <t>Labor and Management</t>
  </si>
  <si>
    <t xml:space="preserve"> </t>
  </si>
  <si>
    <r>
      <rPr>
        <b/>
        <sz val="12"/>
        <color theme="1"/>
        <rFont val="Arial"/>
        <family val="2"/>
      </rPr>
      <t>Direct Expenses</t>
    </r>
    <r>
      <rPr>
        <sz val="12"/>
        <color theme="1"/>
        <rFont val="Arial"/>
        <family val="2"/>
      </rPr>
      <t xml:space="preserve"> are expense items that are directly related to production activity such as grazing, feed, yardage, health, breeding and bull cost.</t>
    </r>
  </si>
  <si>
    <t>Calculation of Herd Bulls Replacement Needs</t>
  </si>
  <si>
    <t>Estimated Average Life - Years</t>
  </si>
  <si>
    <t xml:space="preserve">Annual Bull Requirement </t>
  </si>
  <si>
    <t>Raised Calves Data</t>
  </si>
  <si>
    <t xml:space="preserve">       Percent</t>
  </si>
  <si>
    <t xml:space="preserve">        Head </t>
  </si>
  <si>
    <t xml:space="preserve">Sexed Semen Herd Breeding Cost </t>
  </si>
  <si>
    <t xml:space="preserve"> AI </t>
  </si>
  <si>
    <t>AI</t>
  </si>
  <si>
    <t>Breeding Fee AI Technician</t>
  </si>
  <si>
    <t>Days</t>
  </si>
  <si>
    <t>Sexed Semen Cost</t>
  </si>
  <si>
    <t>Straw</t>
  </si>
  <si>
    <t>Total AI Breeding Cost</t>
  </si>
  <si>
    <t>Herd Bull Production Cost - Weaning To Initial  Breeding Season</t>
  </si>
  <si>
    <t>Number of Pregnancies by Gender</t>
  </si>
  <si>
    <t>Overall Pregnancy</t>
  </si>
  <si>
    <t xml:space="preserve">Females Bred </t>
  </si>
  <si>
    <t>Open Females</t>
  </si>
  <si>
    <t>Times Run Through the Cute</t>
  </si>
  <si>
    <t>Times</t>
  </si>
  <si>
    <t>Added Cute Work</t>
  </si>
  <si>
    <t xml:space="preserve"> $/Per Female</t>
  </si>
  <si>
    <t>Natural Service Clean Up Bull Cost</t>
  </si>
  <si>
    <t>Conventional AI &amp; Clean Up Bulls</t>
  </si>
  <si>
    <t>Cost per Exposed Heifer and Total Cost*</t>
  </si>
  <si>
    <t>Breeding System Cost Per Bred Female*</t>
  </si>
  <si>
    <t xml:space="preserve">*Does not include operating interest cost for breeding costs. </t>
  </si>
  <si>
    <t>Natural Calves</t>
  </si>
  <si>
    <t xml:space="preserve">3 days at </t>
  </si>
  <si>
    <t>Semen Cost</t>
  </si>
  <si>
    <t xml:space="preserve"> Weaned bull calves grown for breeding</t>
  </si>
  <si>
    <t>Estro Tech Patch</t>
  </si>
  <si>
    <t>Weaned Bulls Head In</t>
  </si>
  <si>
    <t>Bull Testing - BSE</t>
  </si>
  <si>
    <t>Trips</t>
  </si>
  <si>
    <t>Females Exposed In Herd</t>
  </si>
  <si>
    <t xml:space="preserve">Over All Pregnancy </t>
  </si>
  <si>
    <t>Total Weaned Calves Produced</t>
  </si>
  <si>
    <t xml:space="preserve">Total Production Costs </t>
  </si>
  <si>
    <t>*Includes adjustment for value of other calves produced and value of cull bulls.</t>
  </si>
  <si>
    <t xml:space="preserve">   Interest is charged on operating cost as it is included in the recipient cost summary. </t>
  </si>
  <si>
    <t>Weaning Percentage</t>
  </si>
  <si>
    <t xml:space="preserve">Supplemental Feed, Mineral &amp; Salt </t>
  </si>
  <si>
    <t>For bull ownership cost.</t>
  </si>
  <si>
    <t>Weaned Calves</t>
  </si>
  <si>
    <t xml:space="preserve">Per cleanup bull. </t>
  </si>
  <si>
    <t>Weight Lb./Hd.</t>
  </si>
  <si>
    <t>Natural Service Cleanup Bull  Breeding Cost Per Exposed Female</t>
  </si>
  <si>
    <t>Breeding Cost as % of Total Bull Cost</t>
  </si>
  <si>
    <t>Key Cost Data for "What If" Analysis</t>
  </si>
  <si>
    <t>Cleanup Bull Investment Cost per Head</t>
  </si>
  <si>
    <t>Exposed Females Requirements and Bull Costs Data</t>
  </si>
  <si>
    <t>Weaning % and Calves Produced</t>
  </si>
  <si>
    <t>Number Needed</t>
  </si>
  <si>
    <t>Net Weaning Percentage</t>
  </si>
  <si>
    <t xml:space="preserve"> AI Breeding  </t>
  </si>
  <si>
    <t>Travel Cost For Technician</t>
  </si>
  <si>
    <t>% of Pregnancy</t>
  </si>
  <si>
    <t>Spilt-Time AI Protocol</t>
  </si>
  <si>
    <t>Split-Time A.I. Protocol</t>
  </si>
  <si>
    <t>Breeding Protocols Description</t>
  </si>
  <si>
    <t>Added labor but in some operations this would not be necessary as existing labor would be adequate.</t>
  </si>
  <si>
    <t>Synchronization-CIDR</t>
  </si>
  <si>
    <t>Other Drugs</t>
  </si>
  <si>
    <t xml:space="preserve">  Include pregnancy testing.</t>
  </si>
  <si>
    <t>Pregnancy to Weaning Loss</t>
  </si>
  <si>
    <t>Death Loss Bulls Calves</t>
  </si>
  <si>
    <t>Bulls Culled for BSE Failure</t>
  </si>
  <si>
    <t>Average Exposed Females per Bull</t>
  </si>
  <si>
    <t>Exposed Females per Cleanup Bull</t>
  </si>
  <si>
    <t>Net AI Bulls Produced - Head</t>
  </si>
  <si>
    <t>AI - Breeding Cost per Bred Female - $/Head</t>
  </si>
  <si>
    <t>Summary of Calculated Values</t>
  </si>
  <si>
    <t>Data to Calculate Females to Exposed Required to Produce Bulls</t>
  </si>
  <si>
    <t>AI Pregnancy Rate for AI Bull Calves</t>
  </si>
  <si>
    <t>Females Exposed</t>
  </si>
  <si>
    <t xml:space="preserve">Pregnant Exposed Females </t>
  </si>
  <si>
    <t>Overall Pregnancy Percent</t>
  </si>
  <si>
    <t>Total Out</t>
  </si>
  <si>
    <t>Per Hd. Day</t>
  </si>
  <si>
    <t>Indirect Costs - Based On Head Days</t>
  </si>
  <si>
    <t xml:space="preserve">  $/Head-In</t>
  </si>
  <si>
    <t>AI Bull Cost per Head*</t>
  </si>
  <si>
    <t>Day 0 @ 5 PM CIDR in + GnRH</t>
  </si>
  <si>
    <t>Day 7 @ 5 PM CIDR out + PG + Heat Patch</t>
  </si>
  <si>
    <t>Day 10 @ 11 AM A.I. Estrous Females Only</t>
  </si>
  <si>
    <t>Day 11 @ 7 - 11 AM  A.I. Remaining Estrous Females</t>
  </si>
  <si>
    <t>First Bull Calf Culling</t>
  </si>
  <si>
    <t>BSE Testing</t>
  </si>
  <si>
    <t xml:space="preserve">Use exposed females to produce herd bulls </t>
  </si>
  <si>
    <t>Conventional AI Produced Bulls</t>
  </si>
  <si>
    <t>AI Semen Cost - $/Straw</t>
  </si>
  <si>
    <t>Definition of AI Herd Bull Production Economics Terms</t>
  </si>
  <si>
    <t>NAI weaning percent based of exposed females</t>
  </si>
  <si>
    <t>Weaned AI Bulls</t>
  </si>
  <si>
    <t>MarkAI Value or Cost Per Head</t>
  </si>
  <si>
    <t>Breeding AI Bulls produced</t>
  </si>
  <si>
    <t>Breeding Cost - See sheAI 2.</t>
  </si>
  <si>
    <t>Calf Sales Value Other Than AI Bulls</t>
  </si>
  <si>
    <t>Total Recipient Cost for Weaned AI Bulls*</t>
  </si>
  <si>
    <t>Starting Date for Weaned Bull AI Calf</t>
  </si>
  <si>
    <t>NAI Cull Bull Sales Revenue</t>
  </si>
  <si>
    <t>NAI to Capital</t>
  </si>
  <si>
    <r>
      <rPr>
        <b/>
        <sz val="12"/>
        <color theme="1"/>
        <rFont val="Arial"/>
        <family val="2"/>
      </rPr>
      <t>Total Production and Breeding</t>
    </r>
    <r>
      <rPr>
        <sz val="12"/>
        <color theme="1"/>
        <rFont val="Arial"/>
        <family val="2"/>
      </rPr>
      <t xml:space="preserve"> Cost Producers must add to direct costs full cost of the bull and the business’s general and administrative (G&amp;A) and finance costs. They must have total unit cost to have a true measure of profitability. Having G&amp;A and actual interest cost will mean the replacement bull profitability and TUC is consistent with the total business income statement or profit and loss (P&amp;L) statement.</t>
    </r>
  </si>
  <si>
    <t>Sheet 5</t>
  </si>
  <si>
    <t>AI Bulls</t>
  </si>
  <si>
    <t xml:space="preserve"> Net AI Cost Per Head</t>
  </si>
  <si>
    <t>Adjustment for Losses - Head</t>
  </si>
  <si>
    <t>Adjustment for Pregnancy to Net Bulls Losses</t>
  </si>
  <si>
    <t>Weaned AI Bulls - Head</t>
  </si>
  <si>
    <t xml:space="preserve">After Data Entry Must Enter Equal Value in Cell C25 in D25 </t>
  </si>
  <si>
    <t>Success Rate - Bulls as a % of All Exposed Females</t>
  </si>
  <si>
    <t>AI Pregnancy Success Rate of AI Bulls From Exposed</t>
  </si>
  <si>
    <t>Total Annual Bull Requirement before Loss Adjustments</t>
  </si>
  <si>
    <t>Number of AI Exposed Females &amp; Cleanup Natural</t>
  </si>
  <si>
    <t>Added Labor for Heat Detections</t>
  </si>
  <si>
    <t>Veterinary Medicine</t>
  </si>
  <si>
    <t>See sheet 2.</t>
  </si>
  <si>
    <t>*Includes cost adjustment for value of other calves produced and raised culls.</t>
  </si>
  <si>
    <t xml:space="preserve">  before the breeding season begins.</t>
  </si>
  <si>
    <t xml:space="preserve">      Adjustments </t>
  </si>
  <si>
    <t>___________________________________________________________________________</t>
  </si>
  <si>
    <t>______________________________________________________________________</t>
  </si>
  <si>
    <t>Necessary to Expose With Loss Adjustments - Head</t>
  </si>
  <si>
    <t>Includes all exposed females including from cleanup bull natural service.</t>
  </si>
  <si>
    <t>Exposed Female Cost for Weaned Calves</t>
  </si>
  <si>
    <t>AI Heifers</t>
  </si>
  <si>
    <t xml:space="preserve">Conventional AI Exposed Females Production Costs </t>
  </si>
  <si>
    <t>AI Total Unit Cost for Bulls (TUC)**</t>
  </si>
  <si>
    <t>Veterinary and Medicine</t>
  </si>
  <si>
    <t>Culled Bull AI Income</t>
  </si>
  <si>
    <t>Weaning to Testing Bulls Culls</t>
  </si>
  <si>
    <t>AI Semen Cost as % of Breeding Cost</t>
  </si>
  <si>
    <t xml:space="preserve">%       Loss </t>
  </si>
  <si>
    <t>Net Bulls Success Rate - Head &amp; %</t>
  </si>
  <si>
    <t>Annual Herd Net Bulls Replacement Requirement - Head</t>
  </si>
  <si>
    <t xml:space="preserve">Version </t>
  </si>
  <si>
    <t>Input value see sheet 1. cell D22</t>
  </si>
  <si>
    <t>AI Exposed Female Cost and Weaned Bull Cost - See Sheet 1.*</t>
  </si>
  <si>
    <t>Financial Costs include cash costs, depreciation, and non-cash adjustments, such as accounts payable, accrued interest cost.  These costs are recorded and reported in the business accounting system. The financial cost does not include opportunity cost of resources like lease equivalent or owned land and interest on equity capital.</t>
  </si>
  <si>
    <t>of improvements vehicles, machinery and equipment, labor and management, and property tax are examples of indirect costs.  Indirect costs continue as the number of cattle increase or decrease.  General and Administrative Costs (G&amp;A) are included in indirect costs to run the business such as bookkeeping, professional fees for accounting and legal services, dues, utilities, general insurance, office supplies and administrative personnel salary and payroll and benefits. There is management time spent on planning, implementation and marketing issues for the cattle custom feeding retained ownership activity. Indirect cost is also referred to as overhead costs or fixed cost.</t>
  </si>
  <si>
    <r>
      <rPr>
        <b/>
        <sz val="12"/>
        <color theme="1"/>
        <rFont val="Arial"/>
        <family val="2"/>
      </rPr>
      <t>Depreciation</t>
    </r>
    <r>
      <rPr>
        <sz val="12"/>
        <color theme="1"/>
        <rFont val="Arial"/>
        <family val="2"/>
      </rPr>
      <t xml:space="preserve"> is the value that accounts for the use of a capital asset over time. Depreciation of a bred replacement bull divided by productive cost is what the depreciation would be for breeding cows. This is a major cost of production. </t>
    </r>
  </si>
  <si>
    <r>
      <rPr>
        <b/>
        <sz val="12"/>
        <color theme="1"/>
        <rFont val="Arial"/>
        <family val="2"/>
      </rPr>
      <t>Economic Cost</t>
    </r>
    <r>
      <rPr>
        <sz val="12"/>
        <color theme="1"/>
        <rFont val="Arial"/>
        <family val="2"/>
      </rPr>
      <t xml:space="preserve"> is, in addition to the financial or accounting cost, an opportunity cost that is charged for owned land (what it could be leased for) and owner equity capital (what it would earn in an alternative investment or by how much it would reduce interest if used to repay debt).  Opportunity cost represents the return that could be received for a resource in its next best use.  Economic cost represents the cost “if all resources” earned their opportunity cost or a use forgone.</t>
    </r>
  </si>
  <si>
    <r>
      <rPr>
        <b/>
        <sz val="12"/>
        <color theme="1"/>
        <rFont val="Arial"/>
        <family val="2"/>
      </rPr>
      <t>Financial Analysis</t>
    </r>
    <r>
      <rPr>
        <sz val="12"/>
        <color theme="1"/>
        <rFont val="Arial"/>
        <family val="2"/>
      </rPr>
      <t xml:space="preserve"> focuses on determining the accounting cost (cash and non-cash), profitability or change in equity, and repayment capacity of the enterprise or business being evaluated.</t>
    </r>
  </si>
  <si>
    <r>
      <rPr>
        <b/>
        <sz val="12"/>
        <color theme="1"/>
        <rFont val="Arial"/>
        <family val="2"/>
      </rPr>
      <t>Indirect Costs</t>
    </r>
    <r>
      <rPr>
        <sz val="12"/>
        <color theme="1"/>
        <rFont val="Arial"/>
        <family val="2"/>
      </rPr>
      <t xml:space="preserve"> include asset ownership and operating costs. Depreciation and repair and maintenance </t>
    </r>
  </si>
  <si>
    <r>
      <rPr>
        <b/>
        <sz val="12"/>
        <color theme="1"/>
        <rFont val="Arial"/>
        <family val="2"/>
      </rPr>
      <t>Owner Operator Labor and Management</t>
    </r>
    <r>
      <rPr>
        <sz val="12"/>
        <color theme="1"/>
        <rFont val="Arial"/>
        <family val="2"/>
      </rPr>
      <t xml:space="preserve"> 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</si>
  <si>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r>
      <rPr>
        <b/>
        <sz val="12"/>
        <color theme="1"/>
        <rFont val="Arial"/>
        <family val="2"/>
      </rPr>
      <t>Profit (Loss)</t>
    </r>
    <r>
      <rPr>
        <sz val="12"/>
        <color theme="1"/>
        <rFont val="Arial"/>
        <family val="2"/>
      </rPr>
      <t>.  Great care must be exercised in reading reports in the cattle sector labeling the value profit or loss.  Most frequently in feedyard and other cattle reporting, these numbers are gross margins (gross revenue minus direct costs) and do not include overhead and owner labor and management costs, which are required to calculate a true profit or return to business equity.</t>
    </r>
  </si>
  <si>
    <r>
      <rPr>
        <b/>
        <sz val="12"/>
        <color theme="1"/>
        <rFont val="Arial"/>
        <family val="2"/>
      </rPr>
      <t>Sunk Cost</t>
    </r>
    <r>
      <rPr>
        <sz val="12"/>
        <color theme="1"/>
        <rFont val="Arial"/>
        <family val="2"/>
      </rPr>
      <t xml:space="preserve"> – is used to describe a cost that has incurred or has taken place that cannot be reversed. At the time to harvest a crop the cost of the seed and fertilizer are sunk costs and are irrelevant in the decision the harvest the crop or not. At the weaning time the costs to produce the calf are sunk costs. These costs do not determine if the weaned calves should be retained or not. It’s a question will the added revenue be greater than the added costs from retained ownership in greater than just selling the unweaned calf.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</si>
</sst>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0.0%"/>
    <numFmt numFmtId="166" formatCode="[$$-409]#,##0"/>
    <numFmt numFmtId="167" formatCode="_(* #,##0_);_(* \(#,##0\);_(* &quot;-&quot;??_);_(@_)"/>
    <numFmt numFmtId="168" formatCode="0.0"/>
    <numFmt numFmtId="169" formatCode="&quot;$&quot;#,##0"/>
    <numFmt numFmtId="170" formatCode="&quot;$&quot;#,##0.00"/>
    <numFmt numFmtId="171" formatCode="[$$-409]#,##0.00_);[Red]\([$$-409]#,##0.00\)"/>
    <numFmt numFmtId="172" formatCode="0_);\(0\)"/>
    <numFmt numFmtId="173" formatCode="0_)"/>
    <numFmt numFmtId="174" formatCode="mmmm\ d\,\ yyyy"/>
    <numFmt numFmtId="175" formatCode="dd\-mmm\-yy_)"/>
    <numFmt numFmtId="176" formatCode="0.0_);\(0.0\)"/>
    <numFmt numFmtId="177" formatCode="0.00_)"/>
    <numFmt numFmtId="178" formatCode="_(* #,##0.0_);_(* \(#,##0.0\);_(* &quot;-&quot;??_);_(@_)"/>
    <numFmt numFmtId="179" formatCode="0.000"/>
    <numFmt numFmtId="180" formatCode="0.00000"/>
    <numFmt numFmtId="181" formatCode="0.0000"/>
  </numFmts>
  <fonts count="36" x14ac:knownFonts="1">
    <font>
      <sz val="12"/>
      <color theme="1"/>
      <name val="Arial"/>
      <family val="2"/>
    </font>
    <font>
      <sz val="12"/>
      <color theme="1"/>
      <name val="Arial"/>
      <family val="2"/>
    </font>
    <font>
      <sz val="12"/>
      <color rgb="FFFF0000"/>
      <name val="Arial"/>
      <family val="2"/>
    </font>
    <font>
      <b/>
      <sz val="14"/>
      <name val="Arial"/>
      <family val="2"/>
    </font>
    <font>
      <sz val="14"/>
      <name val="Arial"/>
      <family val="2"/>
    </font>
    <font>
      <b/>
      <sz val="12"/>
      <name val="Arial"/>
      <family val="2"/>
    </font>
    <font>
      <sz val="12"/>
      <name val="Arial"/>
      <family val="2"/>
    </font>
    <font>
      <sz val="12"/>
      <color rgb="FF0000FF"/>
      <name val="Arial"/>
      <family val="2"/>
    </font>
    <font>
      <sz val="11"/>
      <color indexed="39"/>
      <name val="Arial"/>
      <family val="2"/>
    </font>
    <font>
      <b/>
      <sz val="10"/>
      <name val="Arial"/>
      <family val="2"/>
    </font>
    <font>
      <b/>
      <sz val="10"/>
      <color rgb="FFFF0000"/>
      <name val="Arial"/>
      <family val="2"/>
    </font>
    <font>
      <sz val="10"/>
      <name val="Arial"/>
      <family val="2"/>
    </font>
    <font>
      <sz val="12"/>
      <color indexed="39"/>
      <name val="Arial"/>
      <family val="2"/>
    </font>
    <font>
      <sz val="12"/>
      <color indexed="12"/>
      <name val="Arial"/>
      <family val="2"/>
    </font>
    <font>
      <b/>
      <sz val="12"/>
      <color indexed="39"/>
      <name val="Arial"/>
      <family val="2"/>
    </font>
    <font>
      <sz val="11"/>
      <name val="Arial"/>
      <family val="2"/>
    </font>
    <font>
      <b/>
      <sz val="11"/>
      <name val="Arial"/>
      <family val="2"/>
    </font>
    <font>
      <b/>
      <sz val="11"/>
      <color indexed="12"/>
      <name val="Arial"/>
      <family val="2"/>
    </font>
    <font>
      <b/>
      <sz val="10"/>
      <color indexed="12"/>
      <name val="Arial"/>
      <family val="2"/>
    </font>
    <font>
      <sz val="12"/>
      <color rgb="FF3333FF"/>
      <name val="Arial"/>
      <family val="2"/>
    </font>
    <font>
      <sz val="10"/>
      <color rgb="FFFF0000"/>
      <name val="Arial"/>
      <family val="2"/>
    </font>
    <font>
      <b/>
      <sz val="12"/>
      <color indexed="12"/>
      <name val="Arial"/>
      <family val="2"/>
    </font>
    <font>
      <b/>
      <i/>
      <sz val="12"/>
      <name val="Arial"/>
      <family val="2"/>
    </font>
    <font>
      <sz val="12"/>
      <color indexed="48"/>
      <name val="Arial"/>
      <family val="2"/>
    </font>
    <font>
      <sz val="12"/>
      <color indexed="30"/>
      <name val="Arial"/>
      <family val="2"/>
    </font>
    <font>
      <b/>
      <sz val="12"/>
      <color theme="1"/>
      <name val="Arial"/>
      <family val="2"/>
    </font>
    <font>
      <sz val="8"/>
      <name val="Arial"/>
      <family val="2"/>
    </font>
    <font>
      <sz val="12"/>
      <name val="Arial"/>
      <family val="2"/>
    </font>
    <font>
      <sz val="11"/>
      <color rgb="FF0000FF"/>
      <name val="Arial"/>
      <family val="2"/>
    </font>
    <font>
      <sz val="11"/>
      <color theme="1"/>
      <name val="Arial"/>
      <family val="2"/>
    </font>
    <font>
      <sz val="10"/>
      <color theme="1"/>
      <name val="Arial"/>
      <family val="2"/>
    </font>
    <font>
      <b/>
      <sz val="12"/>
      <color rgb="FF3333FF"/>
      <name val="Arial"/>
      <family val="2"/>
    </font>
    <font>
      <sz val="12"/>
      <color rgb="FFC00000"/>
      <name val="Arial"/>
      <family val="2"/>
    </font>
    <font>
      <b/>
      <sz val="12"/>
      <color rgb="FFC00000"/>
      <name val="Arial"/>
      <family val="2"/>
    </font>
    <font>
      <b/>
      <sz val="12"/>
      <color rgb="FFFF0000"/>
      <name val="Arial"/>
      <family val="2"/>
    </font>
    <font>
      <b/>
      <sz val="14"/>
      <color rgb="FF3333FF"/>
      <name val="Arial"/>
      <family val="2"/>
    </font>
  </fonts>
  <fills count="6">
    <fill>
      <patternFill patternType="none"/>
    </fill>
    <fill>
      <patternFill patternType="gray125"/>
    </fill>
    <fill>
      <patternFill patternType="solid">
        <fgColor indexed="9"/>
      </patternFill>
    </fill>
    <fill>
      <patternFill patternType="solid">
        <fgColor indexed="42"/>
        <bgColor indexed="64"/>
      </patternFill>
    </fill>
    <fill>
      <patternFill patternType="solid">
        <fgColor rgb="FFCCFFCC"/>
        <bgColor indexed="64"/>
      </patternFill>
    </fill>
    <fill>
      <patternFill patternType="solid">
        <fgColor indexed="9"/>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2" fontId="6" fillId="2" borderId="0"/>
    <xf numFmtId="44" fontId="1" fillId="0" borderId="0" applyFont="0" applyFill="0" applyBorder="0" applyAlignment="0" applyProtection="0"/>
  </cellStyleXfs>
  <cellXfs count="294">
    <xf numFmtId="0" fontId="0" fillId="0" borderId="0" xfId="0"/>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right"/>
    </xf>
    <xf numFmtId="0" fontId="6" fillId="0" borderId="0" xfId="0" applyFont="1"/>
    <xf numFmtId="164" fontId="8" fillId="0" borderId="1" xfId="0" applyNumberFormat="1" applyFont="1" applyBorder="1" applyProtection="1">
      <protection locked="0"/>
    </xf>
    <xf numFmtId="0" fontId="5" fillId="0" borderId="0" xfId="0" applyFont="1"/>
    <xf numFmtId="1" fontId="0" fillId="0" borderId="0" xfId="0" applyNumberFormat="1"/>
    <xf numFmtId="164" fontId="7" fillId="0" borderId="1" xfId="0" applyNumberFormat="1" applyFont="1" applyBorder="1" applyProtection="1">
      <protection locked="0"/>
    </xf>
    <xf numFmtId="1" fontId="6" fillId="0" borderId="0" xfId="0" applyNumberFormat="1" applyFont="1"/>
    <xf numFmtId="1" fontId="7" fillId="0" borderId="0" xfId="0" applyNumberFormat="1" applyFont="1"/>
    <xf numFmtId="0" fontId="9" fillId="0" borderId="0" xfId="0" applyFont="1"/>
    <xf numFmtId="0" fontId="10" fillId="0" borderId="0" xfId="0" applyFont="1"/>
    <xf numFmtId="4" fontId="6" fillId="0" borderId="0" xfId="0" applyNumberFormat="1" applyFont="1" applyAlignment="1">
      <alignment horizontal="center"/>
    </xf>
    <xf numFmtId="8" fontId="0" fillId="0" borderId="0" xfId="0" applyNumberFormat="1"/>
    <xf numFmtId="6" fontId="5" fillId="0" borderId="0" xfId="0" applyNumberFormat="1" applyFont="1"/>
    <xf numFmtId="9" fontId="6" fillId="0" borderId="0" xfId="2" applyFont="1"/>
    <xf numFmtId="0" fontId="11" fillId="0" borderId="0" xfId="0" applyFont="1"/>
    <xf numFmtId="1" fontId="12" fillId="0" borderId="0" xfId="0" applyNumberFormat="1" applyFont="1" applyProtection="1">
      <protection locked="0"/>
    </xf>
    <xf numFmtId="6" fontId="12" fillId="0" borderId="0" xfId="0" applyNumberFormat="1" applyFont="1" applyProtection="1">
      <protection locked="0"/>
    </xf>
    <xf numFmtId="6" fontId="6" fillId="0" borderId="0" xfId="0" applyNumberFormat="1" applyFont="1"/>
    <xf numFmtId="2" fontId="6" fillId="0" borderId="0" xfId="0" applyNumberFormat="1" applyFont="1" applyAlignment="1">
      <alignment horizontal="center"/>
    </xf>
    <xf numFmtId="0" fontId="6" fillId="0" borderId="0" xfId="0" applyFont="1" applyAlignment="1">
      <alignment horizontal="center"/>
    </xf>
    <xf numFmtId="164" fontId="13" fillId="0" borderId="1" xfId="0" applyNumberFormat="1" applyFont="1" applyBorder="1"/>
    <xf numFmtId="1" fontId="13" fillId="0" borderId="1" xfId="0" applyNumberFormat="1" applyFont="1" applyBorder="1"/>
    <xf numFmtId="166" fontId="5" fillId="0" borderId="0" xfId="0" applyNumberFormat="1" applyFont="1"/>
    <xf numFmtId="167" fontId="0" fillId="0" borderId="0" xfId="1" applyNumberFormat="1" applyFont="1"/>
    <xf numFmtId="168" fontId="12" fillId="0" borderId="0" xfId="0" applyNumberFormat="1" applyFont="1" applyProtection="1">
      <protection locked="0"/>
    </xf>
    <xf numFmtId="167" fontId="0" fillId="0" borderId="0" xfId="0" applyNumberFormat="1"/>
    <xf numFmtId="1" fontId="5" fillId="0" borderId="0" xfId="0" applyNumberFormat="1" applyFont="1"/>
    <xf numFmtId="2" fontId="0" fillId="0" borderId="0" xfId="0" applyNumberFormat="1"/>
    <xf numFmtId="2" fontId="5" fillId="0" borderId="0" xfId="0" applyNumberFormat="1" applyFont="1"/>
    <xf numFmtId="1" fontId="12" fillId="0" borderId="1" xfId="0" applyNumberFormat="1" applyFont="1" applyBorder="1" applyProtection="1">
      <protection locked="0"/>
    </xf>
    <xf numFmtId="164" fontId="6" fillId="0" borderId="0" xfId="0" applyNumberFormat="1" applyFont="1"/>
    <xf numFmtId="0" fontId="15" fillId="0" borderId="0" xfId="0" applyFont="1"/>
    <xf numFmtId="2" fontId="6" fillId="0" borderId="0" xfId="0" applyNumberFormat="1" applyFont="1"/>
    <xf numFmtId="1" fontId="11" fillId="0" borderId="0" xfId="0" applyNumberFormat="1" applyFont="1"/>
    <xf numFmtId="167" fontId="12" fillId="0" borderId="1" xfId="1" applyNumberFormat="1" applyFont="1" applyBorder="1" applyProtection="1">
      <protection locked="0"/>
    </xf>
    <xf numFmtId="168" fontId="6" fillId="0" borderId="0" xfId="0" applyNumberFormat="1" applyFont="1"/>
    <xf numFmtId="3" fontId="6" fillId="0" borderId="0" xfId="0" applyNumberFormat="1" applyFont="1"/>
    <xf numFmtId="2" fontId="5" fillId="0" borderId="0" xfId="3" applyFont="1" applyFill="1"/>
    <xf numFmtId="2" fontId="2" fillId="0" borderId="0" xfId="0" applyNumberFormat="1" applyFont="1"/>
    <xf numFmtId="2" fontId="5" fillId="0" borderId="0" xfId="3" applyFont="1" applyFill="1" applyAlignment="1">
      <alignment horizontal="center"/>
    </xf>
    <xf numFmtId="7" fontId="5" fillId="0" borderId="0" xfId="3" applyNumberFormat="1" applyFont="1" applyFill="1" applyAlignment="1">
      <alignment horizontal="center"/>
    </xf>
    <xf numFmtId="165" fontId="15" fillId="0" borderId="0" xfId="0" applyNumberFormat="1" applyFont="1"/>
    <xf numFmtId="169" fontId="0" fillId="0" borderId="0" xfId="0" applyNumberFormat="1"/>
    <xf numFmtId="169" fontId="6" fillId="0" borderId="0" xfId="0" applyNumberFormat="1" applyFont="1"/>
    <xf numFmtId="8" fontId="15" fillId="0" borderId="0" xfId="0" applyNumberFormat="1" applyFont="1"/>
    <xf numFmtId="6" fontId="15" fillId="0" borderId="0" xfId="0" applyNumberFormat="1" applyFont="1"/>
    <xf numFmtId="0" fontId="16" fillId="0" borderId="0" xfId="0" applyFont="1"/>
    <xf numFmtId="6" fontId="16" fillId="0" borderId="0" xfId="0" applyNumberFormat="1" applyFont="1"/>
    <xf numFmtId="169" fontId="5" fillId="0" borderId="0" xfId="0" applyNumberFormat="1" applyFont="1"/>
    <xf numFmtId="165" fontId="16" fillId="0" borderId="0" xfId="2" applyNumberFormat="1" applyFont="1"/>
    <xf numFmtId="9" fontId="15" fillId="0" borderId="0" xfId="2" applyFont="1"/>
    <xf numFmtId="170" fontId="15" fillId="0" borderId="0" xfId="2" applyNumberFormat="1" applyFont="1"/>
    <xf numFmtId="8" fontId="6" fillId="0" borderId="0" xfId="0" applyNumberFormat="1" applyFont="1"/>
    <xf numFmtId="170" fontId="0" fillId="0" borderId="0" xfId="0" applyNumberFormat="1"/>
    <xf numFmtId="0" fontId="12" fillId="0" borderId="0" xfId="0" applyFont="1" applyProtection="1">
      <protection locked="0"/>
    </xf>
    <xf numFmtId="8" fontId="5" fillId="0" borderId="0" xfId="0" applyNumberFormat="1" applyFont="1"/>
    <xf numFmtId="169" fontId="6" fillId="0" borderId="0" xfId="2" applyNumberFormat="1" applyFont="1"/>
    <xf numFmtId="170" fontId="17" fillId="0" borderId="0" xfId="0" applyNumberFormat="1" applyFont="1"/>
    <xf numFmtId="169" fontId="9" fillId="0" borderId="0" xfId="0" applyNumberFormat="1" applyFont="1"/>
    <xf numFmtId="6" fontId="5" fillId="0" borderId="0" xfId="0" applyNumberFormat="1" applyFont="1" applyProtection="1">
      <protection locked="0"/>
    </xf>
    <xf numFmtId="169" fontId="11" fillId="0" borderId="0" xfId="0" applyNumberFormat="1" applyFont="1"/>
    <xf numFmtId="170" fontId="18" fillId="0" borderId="0" xfId="0" applyNumberFormat="1" applyFont="1"/>
    <xf numFmtId="1" fontId="9" fillId="0" borderId="0" xfId="0" applyNumberFormat="1" applyFont="1"/>
    <xf numFmtId="6" fontId="0" fillId="0" borderId="0" xfId="0" applyNumberFormat="1"/>
    <xf numFmtId="165" fontId="9" fillId="0" borderId="0" xfId="2" applyNumberFormat="1" applyFont="1"/>
    <xf numFmtId="165" fontId="5" fillId="0" borderId="0" xfId="0" applyNumberFormat="1" applyFont="1"/>
    <xf numFmtId="2" fontId="11" fillId="0" borderId="0" xfId="3" applyFont="1" applyFill="1" applyAlignment="1">
      <alignment horizontal="center"/>
    </xf>
    <xf numFmtId="171" fontId="13" fillId="0" borderId="0" xfId="0" applyNumberFormat="1" applyFont="1" applyProtection="1">
      <protection locked="0"/>
    </xf>
    <xf numFmtId="0" fontId="13" fillId="0" borderId="0" xfId="0" applyFont="1" applyProtection="1">
      <protection locked="0"/>
    </xf>
    <xf numFmtId="171" fontId="6" fillId="0" borderId="0" xfId="0" applyNumberFormat="1" applyFont="1" applyProtection="1">
      <protection hidden="1"/>
    </xf>
    <xf numFmtId="9" fontId="5" fillId="0" borderId="0" xfId="2" applyFont="1" applyAlignment="1" applyProtection="1">
      <alignment horizontal="center"/>
      <protection hidden="1"/>
    </xf>
    <xf numFmtId="171" fontId="5" fillId="0" borderId="0" xfId="0" applyNumberFormat="1" applyFont="1" applyProtection="1">
      <protection hidden="1"/>
    </xf>
    <xf numFmtId="171" fontId="6" fillId="0" borderId="0" xfId="0" applyNumberFormat="1" applyFont="1" applyProtection="1">
      <protection locked="0"/>
    </xf>
    <xf numFmtId="0" fontId="6" fillId="0" borderId="0" xfId="0" applyFont="1" applyAlignment="1" applyProtection="1">
      <alignment horizontal="center"/>
      <protection hidden="1"/>
    </xf>
    <xf numFmtId="0" fontId="5" fillId="0" borderId="0" xfId="0" applyFont="1" applyAlignment="1" applyProtection="1">
      <alignment horizontal="center"/>
      <protection hidden="1"/>
    </xf>
    <xf numFmtId="171" fontId="6" fillId="0" borderId="0" xfId="0" applyNumberFormat="1" applyFont="1"/>
    <xf numFmtId="0" fontId="6" fillId="0" borderId="0" xfId="0" applyFont="1" applyAlignment="1">
      <alignment horizontal="left"/>
    </xf>
    <xf numFmtId="171" fontId="5" fillId="0" borderId="0" xfId="0" applyNumberFormat="1" applyFont="1"/>
    <xf numFmtId="170" fontId="6" fillId="0" borderId="0" xfId="0" applyNumberFormat="1" applyFont="1" applyProtection="1">
      <protection locked="0"/>
    </xf>
    <xf numFmtId="0" fontId="12" fillId="0" borderId="0" xfId="0" applyFont="1"/>
    <xf numFmtId="0" fontId="2" fillId="0" borderId="0" xfId="0" applyFont="1"/>
    <xf numFmtId="0" fontId="20" fillId="0" borderId="0" xfId="0" applyFont="1"/>
    <xf numFmtId="1" fontId="6" fillId="0" borderId="0" xfId="2" applyNumberFormat="1" applyFont="1"/>
    <xf numFmtId="9" fontId="5" fillId="0" borderId="0" xfId="2" applyFont="1"/>
    <xf numFmtId="172" fontId="21" fillId="0" borderId="0" xfId="0" applyNumberFormat="1" applyFont="1" applyProtection="1">
      <protection locked="0"/>
    </xf>
    <xf numFmtId="172" fontId="6" fillId="0" borderId="0" xfId="0" applyNumberFormat="1" applyFont="1"/>
    <xf numFmtId="172" fontId="5" fillId="0" borderId="0" xfId="0" applyNumberFormat="1" applyFont="1" applyProtection="1">
      <protection locked="0"/>
    </xf>
    <xf numFmtId="172" fontId="11" fillId="0" borderId="0" xfId="0" applyNumberFormat="1" applyFont="1"/>
    <xf numFmtId="173" fontId="5" fillId="0" borderId="0" xfId="0" applyNumberFormat="1" applyFont="1"/>
    <xf numFmtId="0" fontId="6" fillId="0" borderId="0" xfId="0" applyFont="1" applyAlignment="1">
      <alignment horizontal="fill"/>
    </xf>
    <xf numFmtId="0" fontId="11" fillId="0" borderId="0" xfId="0" applyFont="1" applyAlignment="1">
      <alignment horizontal="fill"/>
    </xf>
    <xf numFmtId="3" fontId="6" fillId="0" borderId="0" xfId="0" applyNumberFormat="1" applyFont="1" applyAlignment="1">
      <alignment horizontal="center"/>
    </xf>
    <xf numFmtId="166" fontId="6" fillId="0" borderId="0" xfId="0" applyNumberFormat="1" applyFont="1" applyAlignment="1" applyProtection="1">
      <alignment horizontal="center"/>
      <protection locked="0"/>
    </xf>
    <xf numFmtId="170" fontId="5" fillId="0" borderId="0" xfId="0" applyNumberFormat="1" applyFont="1" applyAlignment="1" applyProtection="1">
      <alignment horizontal="center"/>
      <protection locked="0"/>
    </xf>
    <xf numFmtId="3" fontId="5" fillId="0" borderId="0" xfId="0" applyNumberFormat="1" applyFont="1" applyAlignment="1">
      <alignment horizontal="center"/>
    </xf>
    <xf numFmtId="170" fontId="6" fillId="0" borderId="0" xfId="0" applyNumberFormat="1" applyFont="1"/>
    <xf numFmtId="170" fontId="12" fillId="0" borderId="0" xfId="0" applyNumberFormat="1" applyFont="1" applyProtection="1">
      <protection locked="0"/>
    </xf>
    <xf numFmtId="166" fontId="6" fillId="0" borderId="0" xfId="0" applyNumberFormat="1" applyFont="1"/>
    <xf numFmtId="165" fontId="6" fillId="0" borderId="0" xfId="2" applyNumberFormat="1" applyFont="1" applyProtection="1">
      <protection locked="0"/>
    </xf>
    <xf numFmtId="170" fontId="5" fillId="0" borderId="0" xfId="0" applyNumberFormat="1" applyFont="1" applyProtection="1">
      <protection locked="0"/>
    </xf>
    <xf numFmtId="3" fontId="5" fillId="0" borderId="0" xfId="0" applyNumberFormat="1" applyFont="1"/>
    <xf numFmtId="7" fontId="5" fillId="0" borderId="0" xfId="0" applyNumberFormat="1" applyFont="1"/>
    <xf numFmtId="170" fontId="5" fillId="0" borderId="0" xfId="0" applyNumberFormat="1" applyFont="1"/>
    <xf numFmtId="0" fontId="5" fillId="3" borderId="0" xfId="0" applyFont="1" applyFill="1"/>
    <xf numFmtId="0" fontId="0" fillId="3" borderId="0" xfId="0" applyFill="1"/>
    <xf numFmtId="5" fontId="5" fillId="0" borderId="0" xfId="0" applyNumberFormat="1" applyFont="1"/>
    <xf numFmtId="7" fontId="0" fillId="0" borderId="0" xfId="0" applyNumberFormat="1"/>
    <xf numFmtId="5" fontId="6" fillId="0" borderId="0" xfId="0" applyNumberFormat="1" applyFont="1"/>
    <xf numFmtId="0" fontId="9" fillId="3" borderId="0" xfId="0" applyFont="1" applyFill="1"/>
    <xf numFmtId="37" fontId="5" fillId="3" borderId="0" xfId="0" applyNumberFormat="1" applyFont="1" applyFill="1"/>
    <xf numFmtId="7" fontId="5" fillId="3" borderId="0" xfId="0" applyNumberFormat="1" applyFont="1" applyFill="1"/>
    <xf numFmtId="0" fontId="5" fillId="4" borderId="0" xfId="0" applyFont="1" applyFill="1"/>
    <xf numFmtId="174" fontId="22" fillId="0" borderId="0" xfId="0" applyNumberFormat="1" applyFont="1" applyAlignment="1">
      <alignment horizontal="center"/>
    </xf>
    <xf numFmtId="0" fontId="5" fillId="0" borderId="0" xfId="0" applyFont="1" applyAlignment="1">
      <alignment horizontal="center" wrapText="1"/>
    </xf>
    <xf numFmtId="0" fontId="16" fillId="0" borderId="0" xfId="0" applyFont="1" applyAlignment="1">
      <alignment horizontal="center" wrapText="1"/>
    </xf>
    <xf numFmtId="169" fontId="13" fillId="0" borderId="0" xfId="0" applyNumberFormat="1" applyFont="1" applyProtection="1">
      <protection locked="0"/>
    </xf>
    <xf numFmtId="170" fontId="23" fillId="0" borderId="0" xfId="0" applyNumberFormat="1" applyFont="1"/>
    <xf numFmtId="0" fontId="24" fillId="0" borderId="0" xfId="0" applyFont="1"/>
    <xf numFmtId="0" fontId="6" fillId="3" borderId="0" xfId="0" applyFont="1" applyFill="1"/>
    <xf numFmtId="169" fontId="5" fillId="3" borderId="0" xfId="0" applyNumberFormat="1" applyFont="1" applyFill="1"/>
    <xf numFmtId="170" fontId="5" fillId="3" borderId="0" xfId="0" applyNumberFormat="1" applyFont="1" applyFill="1"/>
    <xf numFmtId="3" fontId="14" fillId="0" borderId="0" xfId="0" applyNumberFormat="1" applyFont="1" applyProtection="1">
      <protection locked="0"/>
    </xf>
    <xf numFmtId="169" fontId="5" fillId="4" borderId="0" xfId="0" applyNumberFormat="1" applyFont="1" applyFill="1"/>
    <xf numFmtId="3" fontId="5" fillId="4" borderId="0" xfId="0" applyNumberFormat="1" applyFont="1" applyFill="1"/>
    <xf numFmtId="170" fontId="5" fillId="4" borderId="0" xfId="0" applyNumberFormat="1" applyFont="1" applyFill="1"/>
    <xf numFmtId="0" fontId="23" fillId="0" borderId="0" xfId="0" applyFont="1" applyProtection="1">
      <protection locked="0"/>
    </xf>
    <xf numFmtId="3" fontId="13" fillId="0" borderId="0" xfId="0" applyNumberFormat="1" applyFont="1" applyProtection="1">
      <protection locked="0"/>
    </xf>
    <xf numFmtId="8" fontId="13" fillId="0" borderId="0" xfId="0" applyNumberFormat="1" applyFont="1" applyProtection="1">
      <protection locked="0"/>
    </xf>
    <xf numFmtId="0" fontId="26" fillId="0" borderId="0" xfId="0" quotePrefix="1" applyFont="1"/>
    <xf numFmtId="14" fontId="15" fillId="0" borderId="0" xfId="0" applyNumberFormat="1" applyFont="1" applyAlignment="1">
      <alignment horizontal="left"/>
    </xf>
    <xf numFmtId="0" fontId="13" fillId="5" borderId="2" xfId="0" applyFont="1" applyFill="1" applyBorder="1" applyProtection="1">
      <protection locked="0"/>
    </xf>
    <xf numFmtId="0" fontId="13" fillId="5" borderId="3" xfId="0" applyFont="1" applyFill="1" applyBorder="1" applyProtection="1">
      <protection locked="0"/>
    </xf>
    <xf numFmtId="0" fontId="13" fillId="5" borderId="4" xfId="0" applyFont="1" applyFill="1" applyBorder="1" applyProtection="1">
      <protection locked="0"/>
    </xf>
    <xf numFmtId="175" fontId="13" fillId="5" borderId="1" xfId="0" applyNumberFormat="1" applyFont="1" applyFill="1" applyBorder="1" applyProtection="1">
      <protection locked="0"/>
    </xf>
    <xf numFmtId="0" fontId="27" fillId="0" borderId="0" xfId="0" applyFont="1"/>
    <xf numFmtId="0" fontId="27" fillId="0" borderId="0" xfId="0" applyFont="1" applyAlignment="1">
      <alignment horizontal="center"/>
    </xf>
    <xf numFmtId="167" fontId="13" fillId="0" borderId="5" xfId="1" applyNumberFormat="1" applyFont="1" applyBorder="1" applyProtection="1">
      <protection locked="0"/>
    </xf>
    <xf numFmtId="167" fontId="13" fillId="0" borderId="6" xfId="1" applyNumberFormat="1" applyFont="1" applyBorder="1" applyProtection="1">
      <protection locked="0"/>
    </xf>
    <xf numFmtId="170" fontId="6" fillId="0" borderId="0" xfId="0" applyNumberFormat="1" applyFont="1" applyAlignment="1">
      <alignment horizontal="right"/>
    </xf>
    <xf numFmtId="0" fontId="5" fillId="0" borderId="0" xfId="0" quotePrefix="1" applyFont="1" applyAlignment="1">
      <alignment horizontal="right"/>
    </xf>
    <xf numFmtId="0" fontId="5" fillId="0" borderId="0" xfId="0" applyFont="1" applyAlignment="1">
      <alignment horizontal="right"/>
    </xf>
    <xf numFmtId="9" fontId="0" fillId="0" borderId="0" xfId="2" applyFont="1"/>
    <xf numFmtId="170" fontId="0" fillId="0" borderId="0" xfId="4" applyNumberFormat="1" applyFont="1"/>
    <xf numFmtId="0" fontId="7" fillId="0" borderId="0" xfId="0" applyFont="1" applyProtection="1">
      <protection locked="0"/>
    </xf>
    <xf numFmtId="0" fontId="7" fillId="0" borderId="0" xfId="0" applyFont="1" applyAlignment="1">
      <alignment vertical="center"/>
    </xf>
    <xf numFmtId="176" fontId="12" fillId="0" borderId="0" xfId="0" applyNumberFormat="1" applyFont="1" applyProtection="1">
      <protection locked="0"/>
    </xf>
    <xf numFmtId="7" fontId="13" fillId="0" borderId="0" xfId="0" applyNumberFormat="1" applyFont="1" applyProtection="1">
      <protection locked="0"/>
    </xf>
    <xf numFmtId="177" fontId="0" fillId="0" borderId="0" xfId="0" applyNumberFormat="1"/>
    <xf numFmtId="7" fontId="5" fillId="0" borderId="0" xfId="0" applyNumberFormat="1" applyFont="1" applyAlignment="1">
      <alignment horizontal="left"/>
    </xf>
    <xf numFmtId="0" fontId="13" fillId="0" borderId="0" xfId="0" applyFont="1" applyAlignment="1" applyProtection="1">
      <alignment horizontal="center" vertical="center"/>
      <protection locked="0"/>
    </xf>
    <xf numFmtId="7" fontId="12" fillId="0" borderId="0" xfId="0" applyNumberFormat="1" applyFont="1" applyProtection="1">
      <protection locked="0"/>
    </xf>
    <xf numFmtId="169" fontId="5" fillId="0" borderId="0" xfId="4" applyNumberFormat="1" applyFont="1"/>
    <xf numFmtId="0" fontId="5" fillId="0" borderId="0" xfId="0" applyFont="1" applyProtection="1">
      <protection locked="0"/>
    </xf>
    <xf numFmtId="0" fontId="6" fillId="0" borderId="0" xfId="0" applyFont="1" applyAlignment="1" applyProtection="1">
      <alignment horizontal="center" vertical="center"/>
      <protection locked="0"/>
    </xf>
    <xf numFmtId="172" fontId="12" fillId="0" borderId="0" xfId="0" applyNumberFormat="1" applyFont="1" applyProtection="1">
      <protection locked="0"/>
    </xf>
    <xf numFmtId="172" fontId="6" fillId="0" borderId="0" xfId="0" applyNumberFormat="1" applyFont="1" applyAlignment="1" applyProtection="1">
      <alignment horizontal="center"/>
      <protection locked="0"/>
    </xf>
    <xf numFmtId="7" fontId="6" fillId="0" borderId="0" xfId="0" applyNumberFormat="1" applyFont="1" applyAlignment="1" applyProtection="1">
      <alignment horizontal="center"/>
      <protection locked="0"/>
    </xf>
    <xf numFmtId="0" fontId="5" fillId="0" borderId="0" xfId="0" quotePrefix="1" applyFont="1"/>
    <xf numFmtId="0" fontId="5" fillId="0" borderId="0" xfId="0" applyFont="1" applyAlignment="1" applyProtection="1">
      <alignment horizontal="center" vertical="center"/>
      <protection locked="0"/>
    </xf>
    <xf numFmtId="5" fontId="0" fillId="0" borderId="0" xfId="0" applyNumberFormat="1"/>
    <xf numFmtId="3" fontId="0" fillId="0" borderId="0" xfId="0" applyNumberFormat="1"/>
    <xf numFmtId="0" fontId="6" fillId="0" borderId="0" xfId="0" quotePrefix="1" applyFont="1"/>
    <xf numFmtId="1" fontId="25" fillId="0" borderId="0" xfId="0" applyNumberFormat="1" applyFont="1"/>
    <xf numFmtId="0" fontId="25" fillId="0" borderId="0" xfId="0" applyFont="1"/>
    <xf numFmtId="5" fontId="25" fillId="0" borderId="0" xfId="0" applyNumberFormat="1" applyFont="1"/>
    <xf numFmtId="2" fontId="19" fillId="0" borderId="0" xfId="3" applyFont="1" applyFill="1" applyProtection="1">
      <protection locked="0"/>
    </xf>
    <xf numFmtId="0" fontId="6" fillId="0" borderId="0" xfId="0" applyFont="1" applyProtection="1">
      <protection locked="0"/>
    </xf>
    <xf numFmtId="167" fontId="13" fillId="0" borderId="1" xfId="1" applyNumberFormat="1" applyFont="1" applyBorder="1"/>
    <xf numFmtId="43" fontId="25" fillId="0" borderId="0" xfId="0" applyNumberFormat="1" applyFont="1"/>
    <xf numFmtId="165" fontId="5" fillId="0" borderId="0" xfId="2" applyNumberFormat="1" applyFont="1"/>
    <xf numFmtId="6" fontId="25" fillId="0" borderId="0" xfId="0" applyNumberFormat="1" applyFont="1"/>
    <xf numFmtId="5" fontId="13" fillId="0" borderId="6" xfId="0" applyNumberFormat="1" applyFont="1" applyBorder="1" applyProtection="1">
      <protection locked="0"/>
    </xf>
    <xf numFmtId="167" fontId="5" fillId="0" borderId="0" xfId="0" applyNumberFormat="1" applyFont="1"/>
    <xf numFmtId="168" fontId="0" fillId="0" borderId="0" xfId="0" applyNumberFormat="1"/>
    <xf numFmtId="168" fontId="6" fillId="0" borderId="0" xfId="0" applyNumberFormat="1" applyFont="1" applyAlignment="1">
      <alignment horizontal="right" vertical="center"/>
    </xf>
    <xf numFmtId="0" fontId="29" fillId="0" borderId="0" xfId="0" applyFont="1"/>
    <xf numFmtId="167" fontId="25" fillId="0" borderId="0" xfId="0" applyNumberFormat="1" applyFont="1"/>
    <xf numFmtId="7" fontId="6" fillId="0" borderId="0" xfId="0" applyNumberFormat="1" applyFont="1"/>
    <xf numFmtId="176" fontId="6" fillId="0" borderId="0" xfId="0" applyNumberFormat="1" applyFont="1" applyProtection="1">
      <protection locked="0"/>
    </xf>
    <xf numFmtId="7" fontId="13" fillId="0" borderId="1" xfId="0" applyNumberFormat="1" applyFont="1" applyBorder="1" applyProtection="1">
      <protection locked="0"/>
    </xf>
    <xf numFmtId="8" fontId="16" fillId="0" borderId="0" xfId="0" applyNumberFormat="1" applyFont="1"/>
    <xf numFmtId="165" fontId="6" fillId="0" borderId="0" xfId="2" applyNumberFormat="1" applyFont="1"/>
    <xf numFmtId="9" fontId="9" fillId="0" borderId="0" xfId="2" applyFont="1"/>
    <xf numFmtId="1" fontId="5" fillId="4" borderId="0" xfId="0" applyNumberFormat="1" applyFont="1" applyFill="1"/>
    <xf numFmtId="169" fontId="9" fillId="4" borderId="0" xfId="0" applyNumberFormat="1" applyFont="1" applyFill="1"/>
    <xf numFmtId="0" fontId="0" fillId="0" borderId="0" xfId="0" applyAlignment="1">
      <alignment wrapText="1"/>
    </xf>
    <xf numFmtId="167" fontId="19" fillId="0" borderId="8" xfId="1" applyNumberFormat="1" applyFont="1" applyBorder="1" applyProtection="1">
      <protection locked="0"/>
    </xf>
    <xf numFmtId="165" fontId="0" fillId="0" borderId="0" xfId="2" applyNumberFormat="1" applyFont="1"/>
    <xf numFmtId="0" fontId="3" fillId="0" borderId="0" xfId="0" applyFont="1" applyAlignment="1">
      <alignment horizontal="center"/>
    </xf>
    <xf numFmtId="5" fontId="5" fillId="4" borderId="0" xfId="0" applyNumberFormat="1" applyFont="1" applyFill="1"/>
    <xf numFmtId="0" fontId="0" fillId="4" borderId="0" xfId="0" applyFill="1"/>
    <xf numFmtId="7" fontId="5" fillId="4" borderId="0" xfId="0" applyNumberFormat="1" applyFont="1" applyFill="1"/>
    <xf numFmtId="37" fontId="5" fillId="0" borderId="0" xfId="0" applyNumberFormat="1" applyFont="1"/>
    <xf numFmtId="9" fontId="0" fillId="0" borderId="0" xfId="0" applyNumberFormat="1"/>
    <xf numFmtId="173" fontId="0" fillId="0" borderId="0" xfId="0" applyNumberFormat="1"/>
    <xf numFmtId="6" fontId="5" fillId="0" borderId="1" xfId="0" applyNumberFormat="1" applyFont="1" applyBorder="1"/>
    <xf numFmtId="167" fontId="31" fillId="0" borderId="8" xfId="1" applyNumberFormat="1" applyFont="1" applyBorder="1" applyProtection="1">
      <protection locked="0"/>
    </xf>
    <xf numFmtId="43" fontId="0" fillId="0" borderId="0" xfId="0" applyNumberFormat="1"/>
    <xf numFmtId="169" fontId="19" fillId="0" borderId="8" xfId="1" applyNumberFormat="1" applyFont="1" applyBorder="1" applyProtection="1">
      <protection locked="0"/>
    </xf>
    <xf numFmtId="0" fontId="32" fillId="0" borderId="0" xfId="0" applyFont="1"/>
    <xf numFmtId="178" fontId="32" fillId="0" borderId="0" xfId="0" applyNumberFormat="1" applyFont="1"/>
    <xf numFmtId="43" fontId="32" fillId="0" borderId="0" xfId="0" applyNumberFormat="1" applyFont="1"/>
    <xf numFmtId="169" fontId="25" fillId="0" borderId="0" xfId="0" applyNumberFormat="1" applyFont="1"/>
    <xf numFmtId="176" fontId="6" fillId="0" borderId="0" xfId="0" applyNumberFormat="1" applyFont="1"/>
    <xf numFmtId="168" fontId="5" fillId="0" borderId="0" xfId="0" applyNumberFormat="1" applyFont="1"/>
    <xf numFmtId="7" fontId="6" fillId="0" borderId="0" xfId="0" applyNumberFormat="1" applyFont="1" applyProtection="1">
      <protection locked="0"/>
    </xf>
    <xf numFmtId="1" fontId="6" fillId="0" borderId="0" xfId="0" applyNumberFormat="1" applyFont="1" applyProtection="1">
      <protection locked="0"/>
    </xf>
    <xf numFmtId="167" fontId="6" fillId="0" borderId="9" xfId="1" applyNumberFormat="1" applyFont="1" applyBorder="1"/>
    <xf numFmtId="2" fontId="5" fillId="0" borderId="0" xfId="3" applyFont="1" applyFill="1" applyProtection="1">
      <protection locked="0"/>
    </xf>
    <xf numFmtId="2" fontId="6" fillId="0" borderId="0" xfId="3" applyFill="1"/>
    <xf numFmtId="167" fontId="13" fillId="0" borderId="0" xfId="1" applyNumberFormat="1" applyFont="1" applyProtection="1">
      <protection locked="0"/>
    </xf>
    <xf numFmtId="1" fontId="13" fillId="0" borderId="0" xfId="3" applyNumberFormat="1" applyFont="1" applyFill="1" applyProtection="1">
      <protection locked="0"/>
    </xf>
    <xf numFmtId="2" fontId="13" fillId="0" borderId="0" xfId="3" applyFont="1" applyFill="1" applyProtection="1">
      <protection locked="0"/>
    </xf>
    <xf numFmtId="9" fontId="25" fillId="0" borderId="0" xfId="2" applyFont="1"/>
    <xf numFmtId="43" fontId="30" fillId="0" borderId="0" xfId="0" applyNumberFormat="1" applyFont="1"/>
    <xf numFmtId="37" fontId="0" fillId="0" borderId="0" xfId="0" applyNumberFormat="1"/>
    <xf numFmtId="179" fontId="0" fillId="0" borderId="0" xfId="0" applyNumberFormat="1"/>
    <xf numFmtId="167" fontId="5" fillId="0" borderId="7" xfId="1" applyNumberFormat="1" applyFont="1" applyBorder="1"/>
    <xf numFmtId="10" fontId="6" fillId="0" borderId="0" xfId="2" applyNumberFormat="1" applyFont="1"/>
    <xf numFmtId="0" fontId="14" fillId="0" borderId="0" xfId="0" applyFont="1"/>
    <xf numFmtId="0" fontId="12" fillId="0" borderId="12" xfId="0" applyFont="1" applyBorder="1" applyAlignment="1" applyProtection="1">
      <alignment horizontal="left"/>
      <protection locked="0"/>
    </xf>
    <xf numFmtId="0" fontId="5" fillId="0" borderId="0" xfId="0" applyFont="1" applyAlignment="1">
      <alignment horizontal="left"/>
    </xf>
    <xf numFmtId="0" fontId="12" fillId="0" borderId="7" xfId="0" applyFont="1" applyBorder="1" applyAlignment="1" applyProtection="1">
      <alignment horizontal="left"/>
      <protection locked="0"/>
    </xf>
    <xf numFmtId="0" fontId="0" fillId="0" borderId="0" xfId="0"/>
    <xf numFmtId="0" fontId="0" fillId="0" borderId="0" xfId="0" applyFill="1" applyBorder="1"/>
    <xf numFmtId="1" fontId="2" fillId="0" borderId="0" xfId="0" applyNumberFormat="1" applyFont="1"/>
    <xf numFmtId="0" fontId="0" fillId="0" borderId="0" xfId="0"/>
    <xf numFmtId="0" fontId="0" fillId="0" borderId="0" xfId="0"/>
    <xf numFmtId="168" fontId="19" fillId="0" borderId="8" xfId="1" applyNumberFormat="1" applyFont="1" applyBorder="1" applyProtection="1">
      <protection locked="0"/>
    </xf>
    <xf numFmtId="168" fontId="19" fillId="0" borderId="1" xfId="1" applyNumberFormat="1" applyFont="1" applyBorder="1" applyProtection="1">
      <protection locked="0"/>
    </xf>
    <xf numFmtId="0" fontId="0" fillId="0" borderId="0" xfId="0" applyFont="1"/>
    <xf numFmtId="2" fontId="6" fillId="0" borderId="0" xfId="0" applyNumberFormat="1" applyFont="1" applyBorder="1"/>
    <xf numFmtId="6" fontId="5" fillId="0" borderId="0" xfId="0" applyNumberFormat="1" applyFont="1" applyBorder="1"/>
    <xf numFmtId="0" fontId="6" fillId="0" borderId="0" xfId="0" applyFont="1" applyBorder="1"/>
    <xf numFmtId="1" fontId="5" fillId="0" borderId="0" xfId="0" applyNumberFormat="1" applyFont="1" applyBorder="1"/>
    <xf numFmtId="2" fontId="5" fillId="0" borderId="0" xfId="0" applyNumberFormat="1" applyFont="1" applyBorder="1"/>
    <xf numFmtId="168" fontId="25" fillId="0" borderId="0" xfId="0" applyNumberFormat="1" applyFont="1"/>
    <xf numFmtId="2" fontId="25" fillId="0" borderId="0" xfId="0" applyNumberFormat="1" applyFont="1"/>
    <xf numFmtId="2" fontId="15" fillId="0" borderId="0" xfId="0" applyNumberFormat="1" applyFont="1"/>
    <xf numFmtId="8" fontId="12" fillId="0" borderId="1" xfId="0" applyNumberFormat="1" applyFont="1" applyBorder="1" applyProtection="1">
      <protection locked="0"/>
    </xf>
    <xf numFmtId="6" fontId="5" fillId="0" borderId="0" xfId="0" applyNumberFormat="1" applyFont="1" applyBorder="1" applyProtection="1"/>
    <xf numFmtId="178" fontId="5" fillId="0" borderId="0" xfId="0" applyNumberFormat="1" applyFont="1"/>
    <xf numFmtId="2" fontId="31" fillId="0" borderId="0" xfId="1" applyNumberFormat="1" applyFont="1" applyBorder="1" applyProtection="1">
      <protection locked="0"/>
    </xf>
    <xf numFmtId="0" fontId="25" fillId="4" borderId="0" xfId="0" applyFont="1" applyFill="1"/>
    <xf numFmtId="0" fontId="33" fillId="0" borderId="0" xfId="0" applyFont="1"/>
    <xf numFmtId="0" fontId="0" fillId="0" borderId="0" xfId="0"/>
    <xf numFmtId="2" fontId="19" fillId="0" borderId="1" xfId="1" applyNumberFormat="1" applyFont="1" applyBorder="1" applyProtection="1">
      <protection locked="0"/>
    </xf>
    <xf numFmtId="0" fontId="0" fillId="0" borderId="0" xfId="0"/>
    <xf numFmtId="0" fontId="0" fillId="0" borderId="0" xfId="0"/>
    <xf numFmtId="179" fontId="5" fillId="0" borderId="0" xfId="0" applyNumberFormat="1" applyFont="1"/>
    <xf numFmtId="180" fontId="0" fillId="0" borderId="0" xfId="0" applyNumberFormat="1"/>
    <xf numFmtId="0" fontId="0" fillId="0" borderId="0" xfId="0"/>
    <xf numFmtId="181" fontId="6" fillId="0" borderId="0" xfId="0" applyNumberFormat="1" applyFont="1"/>
    <xf numFmtId="0" fontId="0" fillId="0" borderId="0" xfId="0"/>
    <xf numFmtId="165" fontId="25" fillId="0" borderId="0" xfId="2" applyNumberFormat="1" applyFont="1"/>
    <xf numFmtId="181" fontId="0" fillId="0" borderId="0" xfId="0" applyNumberFormat="1"/>
    <xf numFmtId="179" fontId="5" fillId="0" borderId="0" xfId="0" applyNumberFormat="1" applyFont="1" applyFill="1"/>
    <xf numFmtId="2" fontId="25" fillId="4" borderId="0" xfId="0" applyNumberFormat="1" applyFont="1" applyFill="1"/>
    <xf numFmtId="178" fontId="25" fillId="4" borderId="0" xfId="0" applyNumberFormat="1" applyFont="1" applyFill="1"/>
    <xf numFmtId="0" fontId="34" fillId="0" borderId="0" xfId="0" applyFont="1" applyFill="1" applyBorder="1"/>
    <xf numFmtId="179" fontId="5" fillId="4" borderId="0" xfId="1" applyNumberFormat="1" applyFont="1" applyFill="1" applyBorder="1" applyProtection="1"/>
    <xf numFmtId="180" fontId="35" fillId="0" borderId="8" xfId="1" applyNumberFormat="1" applyFont="1" applyBorder="1" applyProtection="1">
      <protection locked="0"/>
    </xf>
    <xf numFmtId="0" fontId="30" fillId="0" borderId="0" xfId="0" applyFont="1"/>
    <xf numFmtId="0" fontId="25" fillId="0" borderId="0" xfId="0" applyFont="1" applyFill="1" applyBorder="1"/>
    <xf numFmtId="43" fontId="6" fillId="0" borderId="0" xfId="0" applyNumberFormat="1" applyFont="1"/>
    <xf numFmtId="6" fontId="7" fillId="0" borderId="1" xfId="0" applyNumberFormat="1" applyFont="1" applyBorder="1" applyProtection="1">
      <protection locked="0"/>
    </xf>
    <xf numFmtId="179" fontId="25" fillId="0" borderId="0" xfId="0" applyNumberFormat="1" applyFont="1"/>
    <xf numFmtId="14" fontId="29" fillId="0" borderId="0" xfId="0" applyNumberFormat="1" applyFont="1"/>
    <xf numFmtId="0" fontId="3" fillId="0" borderId="0" xfId="0" applyFont="1" applyAlignment="1">
      <alignment horizontal="center"/>
    </xf>
    <xf numFmtId="0" fontId="0" fillId="0" borderId="0" xfId="0" applyAlignment="1">
      <alignment horizontal="center"/>
    </xf>
    <xf numFmtId="0" fontId="14" fillId="0" borderId="10" xfId="0" applyFont="1" applyBorder="1"/>
    <xf numFmtId="0" fontId="12" fillId="0" borderId="7" xfId="0" applyFont="1" applyBorder="1"/>
    <xf numFmtId="0" fontId="12" fillId="0" borderId="11" xfId="0" applyFont="1" applyBorder="1"/>
    <xf numFmtId="0" fontId="19" fillId="0" borderId="2" xfId="0" applyFont="1" applyBorder="1" applyProtection="1">
      <protection locked="0"/>
    </xf>
    <xf numFmtId="0" fontId="19" fillId="0" borderId="3" xfId="0" applyFont="1" applyBorder="1" applyProtection="1">
      <protection locked="0"/>
    </xf>
    <xf numFmtId="0" fontId="19" fillId="0" borderId="4" xfId="0" applyFont="1" applyBorder="1" applyProtection="1">
      <protection locked="0"/>
    </xf>
    <xf numFmtId="0" fontId="12" fillId="0" borderId="7"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0" fillId="0" borderId="7" xfId="0" applyBorder="1" applyAlignment="1">
      <alignment horizontal="left"/>
    </xf>
    <xf numFmtId="0" fontId="0" fillId="0" borderId="11" xfId="0" applyBorder="1" applyAlignment="1">
      <alignment horizontal="left"/>
    </xf>
    <xf numFmtId="0" fontId="28" fillId="0" borderId="2" xfId="0" applyFont="1" applyBorder="1" applyProtection="1">
      <protection locked="0"/>
    </xf>
    <xf numFmtId="0" fontId="0" fillId="0" borderId="3" xfId="0" applyBorder="1"/>
    <xf numFmtId="0" fontId="0" fillId="0" borderId="4" xfId="0" applyBorder="1"/>
    <xf numFmtId="0" fontId="9" fillId="0" borderId="0" xfId="0" applyFont="1" applyAlignment="1">
      <alignment horizontal="center"/>
    </xf>
    <xf numFmtId="0" fontId="5" fillId="0" borderId="0" xfId="0" applyFont="1" applyAlignment="1">
      <alignment horizontal="center"/>
    </xf>
    <xf numFmtId="0" fontId="7" fillId="0" borderId="2" xfId="0" applyFont="1" applyBorder="1" applyProtection="1">
      <protection locked="0"/>
    </xf>
    <xf numFmtId="0" fontId="7" fillId="0" borderId="3" xfId="0" applyFont="1" applyBorder="1" applyProtection="1">
      <protection locked="0"/>
    </xf>
    <xf numFmtId="0" fontId="7" fillId="0" borderId="4" xfId="0" applyFont="1" applyBorder="1" applyProtection="1">
      <protection locked="0"/>
    </xf>
    <xf numFmtId="0" fontId="4" fillId="0" borderId="0" xfId="0" applyFont="1" applyAlignment="1">
      <alignment horizontal="center"/>
    </xf>
    <xf numFmtId="0" fontId="0" fillId="0" borderId="0" xfId="0"/>
  </cellXfs>
  <cellStyles count="5">
    <cellStyle name="Comma" xfId="1" builtinId="3"/>
    <cellStyle name="Currency" xfId="4" builtinId="4"/>
    <cellStyle name="Normal" xfId="0" builtinId="0"/>
    <cellStyle name="Normal_Cow Calf Budget" xfId="3" xr:uid="{F1EF2331-794E-47B6-930F-F1C5634074A7}"/>
    <cellStyle name="Percent" xfId="2" builtinId="5"/>
  </cellStyles>
  <dxfs count="0"/>
  <tableStyles count="0" defaultTableStyle="TableStyleMedium2" defaultPivotStyle="PivotStyleLight16"/>
  <colors>
    <mruColors>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38100</xdr:rowOff>
    </xdr:from>
    <xdr:to>
      <xdr:col>6</xdr:col>
      <xdr:colOff>576943</xdr:colOff>
      <xdr:row>5</xdr:row>
      <xdr:rowOff>5443</xdr:rowOff>
    </xdr:to>
    <xdr:pic>
      <xdr:nvPicPr>
        <xdr:cNvPr id="2" name="Picture 1" descr="TAMAgEXT">
          <a:extLst>
            <a:ext uri="{FF2B5EF4-FFF2-40B4-BE49-F238E27FC236}">
              <a16:creationId xmlns:a16="http://schemas.microsoft.com/office/drawing/2014/main" id="{8360077A-DB5E-4D0C-A381-78056DFC8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9514" y="429986"/>
          <a:ext cx="1611086" cy="549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1831-A2DD-4BE2-971A-0685AE1F3169}">
  <sheetPr>
    <pageSetUpPr fitToPage="1"/>
  </sheetPr>
  <dimension ref="B1:M57"/>
  <sheetViews>
    <sheetView tabSelected="1" topLeftCell="A43" workbookViewId="0">
      <selection activeCell="B15" sqref="B15"/>
    </sheetView>
  </sheetViews>
  <sheetFormatPr defaultRowHeight="15" x14ac:dyDescent="0.35"/>
  <cols>
    <col min="1" max="1" width="3" customWidth="1"/>
    <col min="2" max="2" width="48.4375" customWidth="1"/>
    <col min="3" max="3" width="9.1875" bestFit="1" customWidth="1"/>
    <col min="4" max="4" width="12" customWidth="1"/>
    <col min="5" max="5" width="7.75" customWidth="1"/>
    <col min="6" max="6" width="11.875" bestFit="1" customWidth="1"/>
  </cols>
  <sheetData>
    <row r="1" spans="2:7" ht="15.45" x14ac:dyDescent="0.4">
      <c r="B1" s="167" t="s">
        <v>162</v>
      </c>
    </row>
    <row r="2" spans="2:7" ht="15.45" x14ac:dyDescent="0.4">
      <c r="B2" s="167" t="s">
        <v>214</v>
      </c>
      <c r="F2" s="179" t="s">
        <v>299</v>
      </c>
      <c r="G2" s="271">
        <v>43575</v>
      </c>
    </row>
    <row r="4" spans="2:7" ht="15.45" x14ac:dyDescent="0.4">
      <c r="B4" s="167" t="s">
        <v>253</v>
      </c>
    </row>
    <row r="5" spans="2:7" ht="15.45" x14ac:dyDescent="0.4">
      <c r="C5" s="167" t="s">
        <v>167</v>
      </c>
    </row>
    <row r="6" spans="2:7" ht="15.45" x14ac:dyDescent="0.4">
      <c r="B6" s="167" t="s">
        <v>198</v>
      </c>
      <c r="C6" s="190">
        <v>1000</v>
      </c>
    </row>
    <row r="7" spans="2:7" x14ac:dyDescent="0.35">
      <c r="B7" t="s">
        <v>231</v>
      </c>
      <c r="C7" s="190">
        <v>25</v>
      </c>
    </row>
    <row r="8" spans="2:7" ht="15.45" x14ac:dyDescent="0.4">
      <c r="B8" s="167" t="s">
        <v>164</v>
      </c>
      <c r="C8" s="167">
        <f>C6/C7</f>
        <v>40</v>
      </c>
    </row>
    <row r="9" spans="2:7" x14ac:dyDescent="0.35">
      <c r="B9" t="s">
        <v>163</v>
      </c>
      <c r="C9" s="190">
        <v>4</v>
      </c>
    </row>
    <row r="10" spans="2:7" ht="15.45" x14ac:dyDescent="0.4">
      <c r="B10" s="247" t="s">
        <v>298</v>
      </c>
      <c r="C10" s="262">
        <f>1/C9*C8</f>
        <v>10</v>
      </c>
    </row>
    <row r="11" spans="2:7" s="227" customFormat="1" ht="15.45" x14ac:dyDescent="0.4">
      <c r="B11" s="167"/>
      <c r="C11" s="180"/>
    </row>
    <row r="12" spans="2:7" s="227" customFormat="1" ht="15.45" x14ac:dyDescent="0.4">
      <c r="B12" s="167" t="s">
        <v>237</v>
      </c>
      <c r="C12" s="217">
        <f>'3.Conventional AI Breeding Cost'!H28</f>
        <v>0.30000000000000004</v>
      </c>
      <c r="F12" s="220"/>
    </row>
    <row r="13" spans="2:7" x14ac:dyDescent="0.35">
      <c r="B13" s="227" t="s">
        <v>228</v>
      </c>
      <c r="C13" s="232">
        <v>4</v>
      </c>
      <c r="D13" s="227" t="s">
        <v>17</v>
      </c>
      <c r="F13" s="220"/>
    </row>
    <row r="14" spans="2:7" s="255" customFormat="1" x14ac:dyDescent="0.35">
      <c r="C14" s="233"/>
      <c r="F14" s="220"/>
    </row>
    <row r="15" spans="2:7" s="230" customFormat="1" x14ac:dyDescent="0.35">
      <c r="B15" s="230" t="s">
        <v>294</v>
      </c>
      <c r="C15" s="233">
        <v>1</v>
      </c>
      <c r="D15" s="230" t="s">
        <v>17</v>
      </c>
    </row>
    <row r="16" spans="2:7" s="230" customFormat="1" x14ac:dyDescent="0.35">
      <c r="B16" s="228" t="s">
        <v>229</v>
      </c>
      <c r="C16" s="250">
        <v>0.05</v>
      </c>
      <c r="D16" s="230" t="s">
        <v>17</v>
      </c>
    </row>
    <row r="17" spans="2:8" x14ac:dyDescent="0.35">
      <c r="B17" t="s">
        <v>230</v>
      </c>
      <c r="C17" s="232">
        <v>1</v>
      </c>
      <c r="D17" s="227" t="s">
        <v>17</v>
      </c>
      <c r="G17" s="259"/>
      <c r="H17" s="201"/>
    </row>
    <row r="18" spans="2:8" ht="15.45" x14ac:dyDescent="0.4">
      <c r="B18" t="s">
        <v>271</v>
      </c>
      <c r="C18" s="240">
        <f>SUM(C13:C17)</f>
        <v>6.05</v>
      </c>
      <c r="D18" t="s">
        <v>296</v>
      </c>
    </row>
    <row r="19" spans="2:8" s="255" customFormat="1" x14ac:dyDescent="0.35">
      <c r="C19" s="177"/>
      <c r="D19" s="266" t="s">
        <v>283</v>
      </c>
    </row>
    <row r="20" spans="2:8" ht="15.45" x14ac:dyDescent="0.4">
      <c r="B20" s="115" t="s">
        <v>276</v>
      </c>
      <c r="C20" s="264">
        <f>C10+(C10*C18*0.01)</f>
        <v>10.605</v>
      </c>
      <c r="D20" s="264">
        <f>(C10*C18*0.01)</f>
        <v>0.60499999999999998</v>
      </c>
      <c r="G20" s="220"/>
      <c r="H20" s="227"/>
    </row>
    <row r="21" spans="2:8" s="251" customFormat="1" x14ac:dyDescent="0.35">
      <c r="E21" s="219"/>
    </row>
    <row r="22" spans="2:8" ht="15.45" x14ac:dyDescent="0.4">
      <c r="B22" s="267" t="s">
        <v>275</v>
      </c>
      <c r="C22" s="258">
        <f>'3.Conventional AI Breeding Cost'!E32</f>
        <v>0.25271099999999996</v>
      </c>
      <c r="D22" s="228"/>
    </row>
    <row r="23" spans="2:8" s="231" customFormat="1" x14ac:dyDescent="0.35">
      <c r="C23" s="177"/>
      <c r="D23" s="228"/>
    </row>
    <row r="24" spans="2:8" s="227" customFormat="1" ht="15.45" x14ac:dyDescent="0.4">
      <c r="B24" s="263" t="s">
        <v>273</v>
      </c>
      <c r="C24" s="177"/>
      <c r="D24" s="228"/>
    </row>
    <row r="25" spans="2:8" ht="17.600000000000001" x14ac:dyDescent="0.4">
      <c r="B25" s="167" t="s">
        <v>286</v>
      </c>
      <c r="C25" s="254">
        <f>C20/C22</f>
        <v>41.964932274416235</v>
      </c>
      <c r="D25" s="265">
        <v>41.964930000000003</v>
      </c>
    </row>
    <row r="26" spans="2:8" s="231" customFormat="1" ht="15.45" x14ac:dyDescent="0.4">
      <c r="B26" s="167"/>
      <c r="C26" s="31"/>
      <c r="D26" s="246"/>
    </row>
    <row r="27" spans="2:8" ht="15.45" x14ac:dyDescent="0.4">
      <c r="B27" s="247" t="s">
        <v>233</v>
      </c>
      <c r="C27" s="262">
        <f>C52</f>
        <v>9.9999994252299995</v>
      </c>
    </row>
    <row r="28" spans="2:8" s="231" customFormat="1" ht="15.45" x14ac:dyDescent="0.4">
      <c r="B28" s="167"/>
      <c r="C28" s="180"/>
    </row>
    <row r="29" spans="2:8" ht="15.45" x14ac:dyDescent="0.4">
      <c r="B29" s="167" t="s">
        <v>236</v>
      </c>
      <c r="C29" s="180"/>
    </row>
    <row r="30" spans="2:8" ht="15.45" x14ac:dyDescent="0.4">
      <c r="B30" s="167" t="s">
        <v>165</v>
      </c>
      <c r="C30" s="167" t="s">
        <v>166</v>
      </c>
    </row>
    <row r="31" spans="2:8" ht="15.45" x14ac:dyDescent="0.4">
      <c r="B31" s="167" t="s">
        <v>199</v>
      </c>
      <c r="C31" s="190">
        <v>90</v>
      </c>
    </row>
    <row r="32" spans="2:8" ht="15.45" x14ac:dyDescent="0.4">
      <c r="B32" s="167" t="s">
        <v>217</v>
      </c>
      <c r="C32" s="221">
        <f>C31-C13</f>
        <v>86</v>
      </c>
    </row>
    <row r="33" spans="2:13" x14ac:dyDescent="0.35">
      <c r="B33" s="5" t="s">
        <v>39</v>
      </c>
      <c r="C33" s="190">
        <v>60</v>
      </c>
      <c r="F33" s="201"/>
    </row>
    <row r="34" spans="2:13" ht="15.45" x14ac:dyDescent="0.4">
      <c r="B34" s="167"/>
      <c r="C34" s="167" t="s">
        <v>57</v>
      </c>
      <c r="E34" s="31"/>
      <c r="F34" s="179"/>
      <c r="H34" s="201"/>
      <c r="J34" s="179"/>
    </row>
    <row r="35" spans="2:13" ht="15.45" x14ac:dyDescent="0.4">
      <c r="B35" s="7" t="s">
        <v>200</v>
      </c>
      <c r="C35" s="245">
        <f>'3.Conventional AI Breeding Cost'!I29</f>
        <v>32.480855820000009</v>
      </c>
      <c r="D35" s="218"/>
      <c r="I35" s="230"/>
      <c r="J35" s="179"/>
      <c r="K35" s="230"/>
      <c r="L35" s="230"/>
      <c r="M35" s="230"/>
    </row>
    <row r="36" spans="2:13" s="231" customFormat="1" ht="15.45" x14ac:dyDescent="0.4">
      <c r="B36" s="7"/>
      <c r="C36" s="176"/>
      <c r="D36" s="218"/>
      <c r="J36" s="179"/>
    </row>
    <row r="37" spans="2:13" ht="15.45" x14ac:dyDescent="0.4">
      <c r="B37" s="167" t="s">
        <v>212</v>
      </c>
      <c r="E37" s="201"/>
    </row>
    <row r="38" spans="2:13" x14ac:dyDescent="0.35">
      <c r="B38" s="5" t="s">
        <v>254</v>
      </c>
      <c r="C38" s="202">
        <v>15</v>
      </c>
      <c r="D38" s="203"/>
    </row>
    <row r="39" spans="2:13" x14ac:dyDescent="0.35">
      <c r="B39" s="5" t="s">
        <v>213</v>
      </c>
      <c r="C39" s="202">
        <v>6000</v>
      </c>
      <c r="D39" s="203"/>
    </row>
    <row r="40" spans="2:13" ht="15.45" x14ac:dyDescent="0.4">
      <c r="B40" t="s">
        <v>232</v>
      </c>
      <c r="C40" s="200">
        <v>35</v>
      </c>
      <c r="D40" s="203"/>
    </row>
    <row r="41" spans="2:13" x14ac:dyDescent="0.35">
      <c r="B41" s="5" t="s">
        <v>285</v>
      </c>
      <c r="C41" s="204"/>
      <c r="D41" s="205"/>
    </row>
    <row r="42" spans="2:13" ht="15.45" x14ac:dyDescent="0.4">
      <c r="B42" s="167" t="s">
        <v>235</v>
      </c>
    </row>
    <row r="43" spans="2:13" ht="15.45" x14ac:dyDescent="0.4">
      <c r="B43" s="167" t="s">
        <v>234</v>
      </c>
      <c r="C43" s="109">
        <f>'3.Conventional AI Breeding Cost'!G58</f>
        <v>125.01587083415708</v>
      </c>
    </row>
    <row r="44" spans="2:13" x14ac:dyDescent="0.35">
      <c r="B44" t="s">
        <v>295</v>
      </c>
      <c r="C44" s="197">
        <f>'3.Conventional AI Breeding Cost'!G49</f>
        <v>0.17448817202590206</v>
      </c>
    </row>
    <row r="45" spans="2:13" ht="15.45" x14ac:dyDescent="0.4">
      <c r="B45" t="s">
        <v>211</v>
      </c>
      <c r="C45" s="258">
        <f>C43/C54</f>
        <v>2.9857079925291713E-2</v>
      </c>
    </row>
    <row r="46" spans="2:13" ht="15.45" x14ac:dyDescent="0.4">
      <c r="B46" s="167"/>
    </row>
    <row r="47" spans="2:13" x14ac:dyDescent="0.35">
      <c r="B47" s="5" t="s">
        <v>238</v>
      </c>
      <c r="C47" s="39">
        <f>D25</f>
        <v>41.964930000000003</v>
      </c>
      <c r="D47" s="191" t="s">
        <v>9</v>
      </c>
    </row>
    <row r="48" spans="2:13" x14ac:dyDescent="0.35">
      <c r="B48" s="234" t="s">
        <v>239</v>
      </c>
      <c r="C48" s="39">
        <f>'3.Conventional AI Breeding Cost'!F27</f>
        <v>37.768437000000006</v>
      </c>
      <c r="D48" s="191" t="s">
        <v>9</v>
      </c>
    </row>
    <row r="49" spans="2:5" s="230" customFormat="1" x14ac:dyDescent="0.35">
      <c r="B49" s="234" t="s">
        <v>240</v>
      </c>
      <c r="C49" s="145">
        <f>C48/C47</f>
        <v>0.90000000000000013</v>
      </c>
    </row>
    <row r="50" spans="2:5" s="257" customFormat="1" ht="15.45" x14ac:dyDescent="0.4">
      <c r="B50" s="167" t="s">
        <v>274</v>
      </c>
      <c r="C50" s="258">
        <f>IF(C47=0,0,C52/C47)</f>
        <v>0.23829420006729427</v>
      </c>
      <c r="D50"/>
      <c r="E50" t="s">
        <v>287</v>
      </c>
    </row>
    <row r="51" spans="2:5" s="231" customFormat="1" ht="15.45" x14ac:dyDescent="0.4">
      <c r="B51" s="167"/>
      <c r="C51" s="145"/>
    </row>
    <row r="52" spans="2:5" ht="15.45" x14ac:dyDescent="0.4">
      <c r="B52" s="167" t="s">
        <v>233</v>
      </c>
      <c r="C52" s="208">
        <f>'5. Bulls Total Unit Cost'!C56</f>
        <v>9.9999994252299995</v>
      </c>
      <c r="E52" s="268" t="s">
        <v>267</v>
      </c>
    </row>
    <row r="54" spans="2:5" ht="15.45" x14ac:dyDescent="0.4">
      <c r="B54" s="167" t="s">
        <v>245</v>
      </c>
      <c r="C54" s="206">
        <f>'5. Bulls Total Unit Cost'!D56</f>
        <v>4187.1432553676177</v>
      </c>
    </row>
    <row r="55" spans="2:5" ht="15.45" x14ac:dyDescent="0.4">
      <c r="B55" s="167" t="s">
        <v>284</v>
      </c>
    </row>
    <row r="56" spans="2:5" x14ac:dyDescent="0.35">
      <c r="B56" s="35" t="s">
        <v>281</v>
      </c>
    </row>
    <row r="57" spans="2:5" x14ac:dyDescent="0.35">
      <c r="B57" s="179" t="s">
        <v>282</v>
      </c>
    </row>
  </sheetData>
  <sheetProtection sheet="1" objects="1" scenarios="1"/>
  <pageMargins left="0.95" right="0.45" top="0.75" bottom="0.75" header="0.3" footer="0.3"/>
  <pageSetup scale="79" orientation="portrait" horizontalDpi="4294967295" verticalDpi="4294967295"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80F6-6480-4688-8D61-5E87EBBB9710}">
  <sheetPr>
    <pageSetUpPr fitToPage="1"/>
  </sheetPr>
  <dimension ref="B1:N61"/>
  <sheetViews>
    <sheetView workbookViewId="0">
      <selection activeCell="E15" sqref="E15"/>
    </sheetView>
  </sheetViews>
  <sheetFormatPr defaultRowHeight="15" x14ac:dyDescent="0.35"/>
  <cols>
    <col min="1" max="1" width="3" customWidth="1"/>
    <col min="2" max="2" width="34.5" customWidth="1"/>
    <col min="4" max="4" width="11.75" customWidth="1"/>
    <col min="5" max="5" width="10.4375" customWidth="1"/>
    <col min="6" max="6" width="9.6875" customWidth="1"/>
  </cols>
  <sheetData>
    <row r="1" spans="2:11" ht="17.600000000000001" x14ac:dyDescent="0.4">
      <c r="B1" s="272" t="s">
        <v>168</v>
      </c>
      <c r="C1" s="273"/>
      <c r="D1" s="273"/>
      <c r="E1" s="273"/>
      <c r="F1" s="273"/>
      <c r="G1" s="273"/>
      <c r="H1" s="273"/>
      <c r="I1" s="1"/>
      <c r="J1" s="1"/>
    </row>
    <row r="2" spans="2:11" ht="17.600000000000001" x14ac:dyDescent="0.4">
      <c r="B2" s="192"/>
      <c r="C2" s="3"/>
      <c r="D2" s="3"/>
      <c r="E2" s="3"/>
      <c r="F2" s="3"/>
      <c r="G2" s="3"/>
      <c r="H2" s="3"/>
      <c r="I2" s="1"/>
      <c r="J2" s="1"/>
    </row>
    <row r="3" spans="2:11" ht="15.45" x14ac:dyDescent="0.4">
      <c r="B3" s="7" t="s">
        <v>35</v>
      </c>
      <c r="C3" s="274" t="s">
        <v>221</v>
      </c>
      <c r="D3" s="275"/>
      <c r="E3" s="275"/>
      <c r="F3" s="275"/>
      <c r="G3" s="275"/>
      <c r="H3" s="276"/>
      <c r="I3" s="5"/>
      <c r="K3" s="18"/>
    </row>
    <row r="4" spans="2:11" x14ac:dyDescent="0.35">
      <c r="B4" s="224" t="s">
        <v>222</v>
      </c>
      <c r="C4" s="224"/>
      <c r="D4" s="224"/>
      <c r="E4" s="224"/>
      <c r="F4" s="224"/>
      <c r="G4" s="224"/>
      <c r="H4" s="224"/>
      <c r="I4" s="5"/>
      <c r="K4" s="18"/>
    </row>
    <row r="5" spans="2:11" ht="15.45" x14ac:dyDescent="0.4">
      <c r="B5" s="225" t="s">
        <v>223</v>
      </c>
      <c r="C5" s="80"/>
      <c r="D5" s="80"/>
      <c r="E5" s="80"/>
      <c r="F5" s="80"/>
      <c r="G5" s="80"/>
      <c r="H5" s="80"/>
      <c r="I5" s="5"/>
      <c r="K5" s="18"/>
    </row>
    <row r="6" spans="2:11" x14ac:dyDescent="0.35">
      <c r="B6" s="280" t="s">
        <v>246</v>
      </c>
      <c r="C6" s="280"/>
      <c r="D6" s="280"/>
      <c r="E6" s="280"/>
      <c r="F6" s="280"/>
      <c r="G6" s="280"/>
      <c r="H6" s="280"/>
      <c r="I6" s="5"/>
      <c r="K6" s="18"/>
    </row>
    <row r="7" spans="2:11" x14ac:dyDescent="0.35">
      <c r="B7" s="280" t="s">
        <v>247</v>
      </c>
      <c r="C7" s="280"/>
      <c r="D7" s="280"/>
      <c r="E7" s="280"/>
      <c r="F7" s="280"/>
      <c r="G7" s="280"/>
      <c r="H7" s="280"/>
      <c r="I7" s="5"/>
      <c r="K7" s="18"/>
    </row>
    <row r="8" spans="2:11" x14ac:dyDescent="0.35">
      <c r="B8" s="280"/>
      <c r="C8" s="280"/>
      <c r="D8" s="280"/>
      <c r="E8" s="280"/>
      <c r="F8" s="280"/>
      <c r="G8" s="280"/>
      <c r="H8" s="280"/>
      <c r="I8" s="5"/>
      <c r="K8" s="18"/>
    </row>
    <row r="9" spans="2:11" x14ac:dyDescent="0.35">
      <c r="B9" s="280" t="s">
        <v>248</v>
      </c>
      <c r="C9" s="280"/>
      <c r="D9" s="280"/>
      <c r="E9" s="280"/>
      <c r="F9" s="280"/>
      <c r="G9" s="280"/>
      <c r="H9" s="280"/>
      <c r="I9" s="5"/>
      <c r="K9" s="18"/>
    </row>
    <row r="10" spans="2:11" x14ac:dyDescent="0.35">
      <c r="B10" s="280" t="s">
        <v>249</v>
      </c>
      <c r="C10" s="280"/>
      <c r="D10" s="280"/>
      <c r="E10" s="280"/>
      <c r="F10" s="280"/>
      <c r="G10" s="280"/>
      <c r="H10" s="280"/>
      <c r="I10" s="5"/>
      <c r="K10" s="18"/>
    </row>
    <row r="11" spans="2:11" x14ac:dyDescent="0.35">
      <c r="B11" s="280"/>
      <c r="C11" s="280"/>
      <c r="D11" s="280"/>
      <c r="E11" s="280"/>
      <c r="F11" s="280"/>
      <c r="G11" s="280"/>
      <c r="H11" s="280"/>
      <c r="I11" s="5"/>
      <c r="K11" s="18"/>
    </row>
    <row r="12" spans="2:11" x14ac:dyDescent="0.35">
      <c r="B12" s="226"/>
      <c r="C12" s="226"/>
      <c r="D12" s="226"/>
      <c r="E12" s="226"/>
      <c r="F12" s="226"/>
      <c r="G12" s="226"/>
      <c r="H12" s="226"/>
      <c r="I12" s="5"/>
      <c r="K12" s="18"/>
    </row>
    <row r="13" spans="2:11" x14ac:dyDescent="0.35">
      <c r="B13" s="281" t="s">
        <v>224</v>
      </c>
      <c r="C13" s="282"/>
      <c r="D13" s="282"/>
      <c r="E13" s="282"/>
      <c r="F13" s="282"/>
      <c r="G13" s="282"/>
      <c r="H13" s="283"/>
      <c r="I13" s="5"/>
      <c r="K13" s="18"/>
    </row>
    <row r="14" spans="2:11" ht="15.45" x14ac:dyDescent="0.4">
      <c r="B14" s="7"/>
      <c r="C14" s="223"/>
      <c r="D14" s="83"/>
      <c r="E14" s="83"/>
      <c r="F14" s="83"/>
      <c r="G14" s="83"/>
      <c r="H14" s="83"/>
      <c r="I14" s="5"/>
      <c r="K14" s="18"/>
    </row>
    <row r="15" spans="2:11" ht="15.45" x14ac:dyDescent="0.4">
      <c r="B15" s="7" t="s">
        <v>36</v>
      </c>
      <c r="C15" s="82" t="s">
        <v>9</v>
      </c>
      <c r="D15" s="32">
        <f>'1. Bull Needs &amp; Costs'!D25</f>
        <v>41.964930000000003</v>
      </c>
      <c r="E15" s="248" t="s">
        <v>300</v>
      </c>
      <c r="F15" s="83"/>
      <c r="G15" s="83"/>
      <c r="H15" s="83"/>
      <c r="I15" s="5"/>
    </row>
    <row r="16" spans="2:11" ht="15.45" x14ac:dyDescent="0.4">
      <c r="B16" s="7" t="s">
        <v>38</v>
      </c>
      <c r="D16" s="39">
        <f>'1. Bull Needs &amp; Costs'!C31</f>
        <v>90</v>
      </c>
      <c r="E16" s="83"/>
      <c r="F16" s="83"/>
      <c r="G16" s="83"/>
      <c r="H16" s="83"/>
      <c r="I16" s="5"/>
    </row>
    <row r="17" spans="2:14" x14ac:dyDescent="0.35">
      <c r="B17" s="5" t="s">
        <v>39</v>
      </c>
      <c r="D17" s="39">
        <f>'1. Bull Needs &amp; Costs'!C33</f>
        <v>60</v>
      </c>
      <c r="E17" s="5"/>
      <c r="F17" s="83"/>
      <c r="G17" s="83"/>
      <c r="H17" s="83"/>
      <c r="I17" s="5"/>
    </row>
    <row r="18" spans="2:14" x14ac:dyDescent="0.35">
      <c r="B18" s="5"/>
      <c r="D18" s="10"/>
    </row>
    <row r="19" spans="2:14" ht="15.45" x14ac:dyDescent="0.4">
      <c r="B19" s="7" t="s">
        <v>41</v>
      </c>
      <c r="D19" s="2" t="s">
        <v>169</v>
      </c>
      <c r="E19" s="2" t="s">
        <v>37</v>
      </c>
      <c r="G19" s="84"/>
      <c r="K19" s="67"/>
      <c r="L19" s="84"/>
      <c r="M19" s="56"/>
    </row>
    <row r="20" spans="2:14" x14ac:dyDescent="0.35">
      <c r="B20" s="5" t="s">
        <v>277</v>
      </c>
      <c r="D20" s="36">
        <f>D15</f>
        <v>41.964930000000003</v>
      </c>
      <c r="E20" s="10">
        <f>D20-D27</f>
        <v>16.785971999999997</v>
      </c>
      <c r="G20" s="5"/>
      <c r="H20" s="5"/>
      <c r="L20" s="85"/>
    </row>
    <row r="21" spans="2:14" x14ac:dyDescent="0.35">
      <c r="B21" s="18" t="s">
        <v>39</v>
      </c>
      <c r="C21" s="10"/>
      <c r="D21" s="39">
        <f>'1. Bull Needs &amp; Costs'!C33</f>
        <v>60</v>
      </c>
      <c r="E21" s="86">
        <f>IF(I25&lt;0,"Error",(I25/(D20-D27))*100)</f>
        <v>75.000000000000014</v>
      </c>
      <c r="L21" s="85"/>
    </row>
    <row r="22" spans="2:14" ht="15.45" x14ac:dyDescent="0.4">
      <c r="B22" s="5"/>
      <c r="C22" s="5"/>
      <c r="D22" s="2" t="s">
        <v>170</v>
      </c>
      <c r="E22" s="23" t="s">
        <v>42</v>
      </c>
      <c r="F22" s="23" t="s">
        <v>43</v>
      </c>
      <c r="G22" s="2" t="s">
        <v>44</v>
      </c>
    </row>
    <row r="23" spans="2:14" ht="15.45" x14ac:dyDescent="0.4">
      <c r="B23" s="5" t="s">
        <v>177</v>
      </c>
      <c r="C23" s="7" t="s">
        <v>40</v>
      </c>
      <c r="D23" s="36">
        <f>(D20*0.5*0.01*D21)</f>
        <v>12.589479000000003</v>
      </c>
      <c r="E23" s="36">
        <f>(E20*0.5*0.01*E21)</f>
        <v>6.2947395000000004</v>
      </c>
      <c r="F23" s="10">
        <f>D23+E23</f>
        <v>18.884218500000003</v>
      </c>
      <c r="G23" s="87">
        <f>IF(F25=0,0,F23/$F25)</f>
        <v>0.5</v>
      </c>
      <c r="I23" s="222">
        <f>E27/F27</f>
        <v>0.33333333333333331</v>
      </c>
      <c r="J23" s="5" t="s">
        <v>37</v>
      </c>
    </row>
    <row r="24" spans="2:14" ht="15.45" x14ac:dyDescent="0.4">
      <c r="B24" s="5"/>
      <c r="C24" s="5" t="s">
        <v>45</v>
      </c>
      <c r="D24" s="36">
        <f>(D20*0.5*0.01*D21)</f>
        <v>12.589479000000003</v>
      </c>
      <c r="E24" s="36">
        <f>(E20*0.5*0.01*E21)</f>
        <v>6.2947395000000004</v>
      </c>
      <c r="F24" s="10">
        <f>D24+E24</f>
        <v>18.884218500000003</v>
      </c>
      <c r="G24" s="87">
        <f>IF(F25=0,0,F24/$F25)</f>
        <v>0.5</v>
      </c>
      <c r="I24" s="222">
        <f>((D27)/F27)</f>
        <v>0.66666666666666674</v>
      </c>
      <c r="J24" s="5" t="s">
        <v>170</v>
      </c>
    </row>
    <row r="25" spans="2:14" ht="15.45" x14ac:dyDescent="0.4">
      <c r="B25" s="5"/>
      <c r="C25" s="7" t="s">
        <v>43</v>
      </c>
      <c r="D25" s="32">
        <f>D23+D24</f>
        <v>25.178958000000005</v>
      </c>
      <c r="E25" s="32">
        <f>E23+E24</f>
        <v>12.589479000000001</v>
      </c>
      <c r="F25" s="30">
        <f>F23+F24</f>
        <v>37.768437000000006</v>
      </c>
      <c r="G25" s="17"/>
      <c r="I25" s="36">
        <f>(D20*D16*0.01-(D25))</f>
        <v>12.589479000000001</v>
      </c>
      <c r="J25" s="5" t="s">
        <v>190</v>
      </c>
    </row>
    <row r="26" spans="2:14" ht="15.45" x14ac:dyDescent="0.4">
      <c r="B26" s="5" t="s">
        <v>178</v>
      </c>
      <c r="C26" s="5"/>
      <c r="D26" s="88"/>
      <c r="E26" s="88"/>
      <c r="F26" s="90" t="s">
        <v>46</v>
      </c>
      <c r="G26" s="173">
        <f>(F27/$D$20)</f>
        <v>0.90000000000000013</v>
      </c>
      <c r="J26" s="91"/>
    </row>
    <row r="27" spans="2:14" ht="15.45" x14ac:dyDescent="0.4">
      <c r="B27" s="5" t="s">
        <v>179</v>
      </c>
      <c r="C27" s="5" t="s">
        <v>9</v>
      </c>
      <c r="D27" s="32">
        <f>D23+D24</f>
        <v>25.178958000000005</v>
      </c>
      <c r="E27" s="32">
        <f>E23+E24</f>
        <v>12.589479000000001</v>
      </c>
      <c r="F27" s="30">
        <f>SUM(D27:E27)</f>
        <v>37.768437000000006</v>
      </c>
      <c r="G27" s="92"/>
      <c r="H27" t="s">
        <v>268</v>
      </c>
      <c r="I27" s="197"/>
      <c r="J27" s="18"/>
      <c r="N27" s="198"/>
    </row>
    <row r="28" spans="2:14" ht="15.45" x14ac:dyDescent="0.4">
      <c r="B28" t="s">
        <v>180</v>
      </c>
      <c r="C28" s="5" t="s">
        <v>220</v>
      </c>
      <c r="D28" s="32"/>
      <c r="E28" s="30"/>
      <c r="F28" s="30">
        <f>D15-F27</f>
        <v>4.1964929999999967</v>
      </c>
      <c r="G28" s="92"/>
      <c r="H28" s="145">
        <f>D23/D15</f>
        <v>0.30000000000000004</v>
      </c>
      <c r="K28" s="18"/>
      <c r="N28" s="198"/>
    </row>
    <row r="29" spans="2:14" ht="15.45" x14ac:dyDescent="0.4">
      <c r="B29" s="5" t="s">
        <v>215</v>
      </c>
      <c r="C29" s="39">
        <f>'1. Bull Needs &amp; Costs'!C32</f>
        <v>86</v>
      </c>
      <c r="D29" s="32">
        <f>$C$29*D27*0.01</f>
        <v>21.653903880000001</v>
      </c>
      <c r="E29" s="32">
        <f>$C$29*E27*0.01</f>
        <v>10.826951940000001</v>
      </c>
      <c r="F29" s="32">
        <f>$C$29*F27*0.01</f>
        <v>32.480855820000009</v>
      </c>
      <c r="G29" s="173">
        <f>(F29/$D$15)</f>
        <v>0.77400000000000013</v>
      </c>
      <c r="I29" s="31">
        <f>F29</f>
        <v>32.480855820000009</v>
      </c>
      <c r="K29" s="18"/>
      <c r="N29" s="198"/>
    </row>
    <row r="30" spans="2:14" s="252" customFormat="1" ht="15.45" x14ac:dyDescent="0.4">
      <c r="B30" s="5"/>
      <c r="C30" s="39"/>
      <c r="D30" s="32"/>
      <c r="E30" s="32"/>
      <c r="F30" s="32"/>
      <c r="G30" s="173"/>
      <c r="I30" s="31"/>
      <c r="K30" s="18"/>
      <c r="N30" s="198"/>
    </row>
    <row r="31" spans="2:14" ht="15.45" x14ac:dyDescent="0.4">
      <c r="B31" s="50" t="s">
        <v>272</v>
      </c>
      <c r="C31" s="5"/>
      <c r="D31" s="253">
        <f>C29*D23*0.01</f>
        <v>10.826951940000001</v>
      </c>
      <c r="E31" s="30"/>
      <c r="F31" s="10"/>
      <c r="G31" s="256"/>
      <c r="H31" s="92"/>
      <c r="K31" s="18"/>
      <c r="N31" s="198"/>
    </row>
    <row r="32" spans="2:14" s="252" customFormat="1" ht="15.45" x14ac:dyDescent="0.4">
      <c r="B32" s="50" t="s">
        <v>297</v>
      </c>
      <c r="C32" s="5"/>
      <c r="D32" s="253">
        <f>D31-'5. Bulls Total Unit Cost'!E19</f>
        <v>10.60499942523</v>
      </c>
      <c r="E32" s="173">
        <f>D32/D20</f>
        <v>0.25271099999999996</v>
      </c>
      <c r="F32" s="30" t="s">
        <v>17</v>
      </c>
      <c r="G32" s="10"/>
      <c r="H32" s="92"/>
      <c r="K32" s="18"/>
      <c r="N32" s="198"/>
    </row>
    <row r="33" spans="2:12" x14ac:dyDescent="0.35">
      <c r="B33" s="93" t="s">
        <v>47</v>
      </c>
      <c r="C33" s="93"/>
      <c r="D33" s="93"/>
      <c r="E33" s="93"/>
      <c r="F33" s="93"/>
      <c r="G33" s="93"/>
      <c r="H33" s="93"/>
      <c r="I33" s="93"/>
      <c r="J33" s="93"/>
      <c r="K33" s="94"/>
    </row>
    <row r="34" spans="2:12" ht="15.45" x14ac:dyDescent="0.4">
      <c r="B34" s="7" t="s">
        <v>36</v>
      </c>
      <c r="C34" s="95">
        <f>D20</f>
        <v>41.964930000000003</v>
      </c>
      <c r="D34" s="2" t="s">
        <v>48</v>
      </c>
      <c r="E34" s="95"/>
      <c r="F34" s="2" t="s">
        <v>49</v>
      </c>
      <c r="G34" s="2" t="s">
        <v>17</v>
      </c>
      <c r="H34" s="23"/>
      <c r="I34" s="5"/>
      <c r="J34" s="96"/>
      <c r="K34" s="18"/>
    </row>
    <row r="35" spans="2:12" ht="15.45" x14ac:dyDescent="0.4">
      <c r="B35" s="7" t="s">
        <v>218</v>
      </c>
      <c r="C35" s="97" t="s">
        <v>50</v>
      </c>
      <c r="D35" s="2" t="s">
        <v>50</v>
      </c>
      <c r="E35" s="98" t="s">
        <v>24</v>
      </c>
      <c r="F35" s="2" t="s">
        <v>51</v>
      </c>
      <c r="G35" s="2" t="s">
        <v>52</v>
      </c>
      <c r="H35" s="2" t="s">
        <v>43</v>
      </c>
      <c r="I35" s="5"/>
      <c r="J35" s="2"/>
      <c r="K35" s="18"/>
    </row>
    <row r="36" spans="2:12" ht="15.45" x14ac:dyDescent="0.4">
      <c r="B36" s="99" t="s">
        <v>53</v>
      </c>
      <c r="C36" s="100" t="s">
        <v>9</v>
      </c>
      <c r="D36" s="40">
        <f t="shared" ref="D36:D44" si="0">$C$34</f>
        <v>41.964930000000003</v>
      </c>
      <c r="E36" s="100">
        <v>5</v>
      </c>
      <c r="F36" s="79">
        <f t="shared" ref="F36:F49" si="1">IF($C$34=0,0,H36/$C$34)</f>
        <v>5</v>
      </c>
      <c r="G36" s="17">
        <f t="shared" ref="G36:G41" si="2">IF($H$50=0,0,H36/$H$50)</f>
        <v>5.8162724008634016E-2</v>
      </c>
      <c r="H36" s="101">
        <f t="shared" ref="H36:H49" si="3">IF($C$34=0,0,D36*E36)</f>
        <v>209.82465000000002</v>
      </c>
      <c r="I36" s="5"/>
      <c r="J36" s="2"/>
      <c r="K36" s="18"/>
      <c r="L36" s="5"/>
    </row>
    <row r="37" spans="2:12" ht="15.45" x14ac:dyDescent="0.4">
      <c r="B37" s="100" t="s">
        <v>225</v>
      </c>
      <c r="C37" s="100" t="s">
        <v>9</v>
      </c>
      <c r="D37" s="40">
        <f t="shared" si="0"/>
        <v>41.964930000000003</v>
      </c>
      <c r="E37" s="100">
        <v>10</v>
      </c>
      <c r="F37" s="79">
        <f t="shared" si="1"/>
        <v>10</v>
      </c>
      <c r="G37" s="17">
        <f t="shared" si="2"/>
        <v>0.11632544801726803</v>
      </c>
      <c r="H37" s="101">
        <f t="shared" si="3"/>
        <v>419.64930000000004</v>
      </c>
      <c r="I37" s="5"/>
      <c r="J37" s="2"/>
      <c r="K37" s="18"/>
      <c r="L37" s="5"/>
    </row>
    <row r="38" spans="2:12" ht="15.45" x14ac:dyDescent="0.4">
      <c r="B38" s="100" t="s">
        <v>226</v>
      </c>
      <c r="C38" s="100" t="s">
        <v>9</v>
      </c>
      <c r="D38" s="40">
        <f t="shared" si="0"/>
        <v>41.964930000000003</v>
      </c>
      <c r="E38" s="100">
        <v>8</v>
      </c>
      <c r="F38" s="79">
        <f t="shared" si="1"/>
        <v>8</v>
      </c>
      <c r="G38" s="17">
        <f t="shared" si="2"/>
        <v>9.3060358413814423E-2</v>
      </c>
      <c r="H38" s="101">
        <f t="shared" si="3"/>
        <v>335.71944000000002</v>
      </c>
      <c r="I38" s="5"/>
      <c r="J38" s="2"/>
      <c r="K38" s="18"/>
      <c r="L38" s="5"/>
    </row>
    <row r="39" spans="2:12" ht="15.45" x14ac:dyDescent="0.4">
      <c r="B39" s="100" t="s">
        <v>194</v>
      </c>
      <c r="C39" s="100" t="s">
        <v>9</v>
      </c>
      <c r="D39" s="40">
        <f t="shared" si="0"/>
        <v>41.964930000000003</v>
      </c>
      <c r="E39" s="100">
        <v>1</v>
      </c>
      <c r="F39" s="79">
        <f t="shared" si="1"/>
        <v>1</v>
      </c>
      <c r="G39" s="17">
        <f t="shared" si="2"/>
        <v>1.1632544801726803E-2</v>
      </c>
      <c r="H39" s="101">
        <f t="shared" si="3"/>
        <v>41.964930000000003</v>
      </c>
      <c r="I39" s="5"/>
      <c r="J39" s="2"/>
      <c r="K39" s="18"/>
      <c r="L39" s="5"/>
    </row>
    <row r="40" spans="2:12" x14ac:dyDescent="0.35">
      <c r="B40" s="100" t="s">
        <v>54</v>
      </c>
      <c r="C40" s="100" t="s">
        <v>9</v>
      </c>
      <c r="D40" s="40">
        <f t="shared" si="0"/>
        <v>41.964930000000003</v>
      </c>
      <c r="E40" s="100">
        <v>0</v>
      </c>
      <c r="F40" s="79">
        <f t="shared" si="1"/>
        <v>0</v>
      </c>
      <c r="G40" s="17">
        <f t="shared" si="2"/>
        <v>0</v>
      </c>
      <c r="H40" s="101">
        <f t="shared" si="3"/>
        <v>0</v>
      </c>
      <c r="I40" s="5"/>
      <c r="J40" s="102"/>
      <c r="K40" s="18"/>
      <c r="L40" s="5"/>
    </row>
    <row r="41" spans="2:12" x14ac:dyDescent="0.35">
      <c r="B41" s="100" t="s">
        <v>54</v>
      </c>
      <c r="C41" s="100" t="s">
        <v>9</v>
      </c>
      <c r="D41" s="40">
        <f t="shared" si="0"/>
        <v>41.964930000000003</v>
      </c>
      <c r="E41" s="100">
        <v>0</v>
      </c>
      <c r="F41" s="79">
        <f t="shared" si="1"/>
        <v>0</v>
      </c>
      <c r="G41" s="17">
        <f t="shared" si="2"/>
        <v>0</v>
      </c>
      <c r="H41" s="101">
        <f t="shared" si="3"/>
        <v>0</v>
      </c>
      <c r="I41" s="5"/>
      <c r="J41" s="102"/>
      <c r="K41" s="18"/>
      <c r="L41" s="5"/>
    </row>
    <row r="42" spans="2:12" x14ac:dyDescent="0.35">
      <c r="B42" s="82" t="s">
        <v>181</v>
      </c>
      <c r="C42" s="82" t="s">
        <v>182</v>
      </c>
      <c r="D42" s="58">
        <v>6</v>
      </c>
      <c r="E42" s="100"/>
      <c r="F42" s="79"/>
      <c r="G42" s="17"/>
      <c r="H42" s="101"/>
      <c r="I42" s="5"/>
      <c r="J42" s="102"/>
      <c r="K42" s="18"/>
      <c r="L42" s="5"/>
    </row>
    <row r="43" spans="2:12" x14ac:dyDescent="0.35">
      <c r="B43" s="82" t="s">
        <v>183</v>
      </c>
      <c r="C43" s="82" t="s">
        <v>9</v>
      </c>
      <c r="D43" s="40">
        <f>D42*D15</f>
        <v>251.78958</v>
      </c>
      <c r="E43" s="100">
        <v>3</v>
      </c>
      <c r="F43" s="79">
        <f t="shared" si="1"/>
        <v>18</v>
      </c>
      <c r="G43" s="17">
        <f t="shared" ref="G43:G49" si="4">IF($H$50=0,0,H43/$H$50)</f>
        <v>0.20938580643108243</v>
      </c>
      <c r="H43" s="101">
        <f t="shared" si="3"/>
        <v>755.36874</v>
      </c>
      <c r="I43" s="5"/>
      <c r="J43" s="102"/>
      <c r="K43" s="18"/>
      <c r="L43" s="5"/>
    </row>
    <row r="44" spans="2:12" x14ac:dyDescent="0.35">
      <c r="B44" s="5" t="s">
        <v>171</v>
      </c>
      <c r="C44" s="82" t="s">
        <v>55</v>
      </c>
      <c r="D44" s="40">
        <f t="shared" si="0"/>
        <v>41.964930000000003</v>
      </c>
      <c r="E44" s="100">
        <v>8</v>
      </c>
      <c r="F44" s="79">
        <f t="shared" si="1"/>
        <v>8</v>
      </c>
      <c r="G44" s="17">
        <f t="shared" si="4"/>
        <v>9.3060358413814423E-2</v>
      </c>
      <c r="H44" s="101">
        <f t="shared" si="3"/>
        <v>335.71944000000002</v>
      </c>
      <c r="I44" s="5"/>
      <c r="J44" s="102"/>
      <c r="K44" s="18"/>
      <c r="L44" s="5"/>
    </row>
    <row r="45" spans="2:12" x14ac:dyDescent="0.35">
      <c r="B45" s="5" t="s">
        <v>219</v>
      </c>
      <c r="C45" s="82" t="s">
        <v>197</v>
      </c>
      <c r="D45" s="58">
        <v>2</v>
      </c>
      <c r="E45" s="100">
        <v>110</v>
      </c>
      <c r="F45" s="79">
        <f t="shared" ref="F45" si="5">IF($C$34=0,0,H45/$C$34)</f>
        <v>5.2424727028020772</v>
      </c>
      <c r="G45" s="17">
        <f t="shared" si="4"/>
        <v>6.0983298587174967E-2</v>
      </c>
      <c r="H45" s="101">
        <f t="shared" ref="H45" si="6">IF($C$34=0,0,D45*E45)</f>
        <v>220</v>
      </c>
      <c r="I45" s="5" t="s">
        <v>227</v>
      </c>
      <c r="J45" s="102"/>
      <c r="K45" s="18"/>
      <c r="L45" s="5"/>
    </row>
    <row r="46" spans="2:12" x14ac:dyDescent="0.35">
      <c r="B46" s="82" t="s">
        <v>278</v>
      </c>
      <c r="C46" s="82" t="s">
        <v>172</v>
      </c>
      <c r="D46" s="58">
        <v>3</v>
      </c>
      <c r="E46" s="100">
        <v>150</v>
      </c>
      <c r="F46" s="79">
        <f t="shared" si="1"/>
        <v>10.723239619367886</v>
      </c>
      <c r="G46" s="17">
        <f t="shared" si="4"/>
        <v>0.12473856529194879</v>
      </c>
      <c r="H46" s="101">
        <f t="shared" si="3"/>
        <v>450</v>
      </c>
      <c r="I46" s="5"/>
      <c r="J46" s="102"/>
      <c r="K46" s="18" t="s">
        <v>191</v>
      </c>
      <c r="L46" s="5"/>
    </row>
    <row r="47" spans="2:12" x14ac:dyDescent="0.35">
      <c r="B47" s="82" t="s">
        <v>56</v>
      </c>
      <c r="C47" s="82" t="s">
        <v>9</v>
      </c>
      <c r="D47" s="40">
        <f>$C$34</f>
        <v>41.964930000000003</v>
      </c>
      <c r="E47" s="100">
        <v>5</v>
      </c>
      <c r="F47" s="79">
        <f t="shared" si="1"/>
        <v>5</v>
      </c>
      <c r="G47" s="17">
        <f t="shared" si="4"/>
        <v>5.8162724008634016E-2</v>
      </c>
      <c r="H47" s="101">
        <f t="shared" si="3"/>
        <v>209.82465000000002</v>
      </c>
      <c r="I47" s="5"/>
      <c r="J47" s="102"/>
      <c r="K47" s="18"/>
      <c r="L47" s="5"/>
    </row>
    <row r="48" spans="2:12" ht="15.45" x14ac:dyDescent="0.4">
      <c r="B48" s="100" t="s">
        <v>54</v>
      </c>
      <c r="C48" s="100" t="s">
        <v>9</v>
      </c>
      <c r="D48" s="40">
        <f>$C$34</f>
        <v>41.964930000000003</v>
      </c>
      <c r="E48" s="100">
        <v>0</v>
      </c>
      <c r="F48" s="79">
        <f t="shared" si="1"/>
        <v>0</v>
      </c>
      <c r="G48" s="17">
        <f t="shared" si="4"/>
        <v>0</v>
      </c>
      <c r="H48" s="101">
        <f t="shared" si="3"/>
        <v>0</v>
      </c>
      <c r="I48" s="5"/>
      <c r="J48" s="102"/>
      <c r="K48" s="7" t="s">
        <v>192</v>
      </c>
    </row>
    <row r="49" spans="2:12" ht="15.45" x14ac:dyDescent="0.4">
      <c r="B49" s="5" t="s">
        <v>173</v>
      </c>
      <c r="C49" s="100" t="s">
        <v>174</v>
      </c>
      <c r="D49" s="40">
        <f>$C$34</f>
        <v>41.964930000000003</v>
      </c>
      <c r="E49" s="99">
        <f>'1. Bull Needs &amp; Costs'!C38</f>
        <v>15</v>
      </c>
      <c r="F49" s="79">
        <f t="shared" si="1"/>
        <v>15</v>
      </c>
      <c r="G49" s="87">
        <f t="shared" si="4"/>
        <v>0.17448817202590206</v>
      </c>
      <c r="H49" s="101">
        <f t="shared" si="3"/>
        <v>629.47395000000006</v>
      </c>
      <c r="I49" s="5"/>
      <c r="J49" s="102"/>
      <c r="K49" s="21">
        <f>H49</f>
        <v>629.47395000000006</v>
      </c>
    </row>
    <row r="50" spans="2:12" ht="15.45" x14ac:dyDescent="0.4">
      <c r="B50" s="103" t="s">
        <v>175</v>
      </c>
      <c r="C50" s="104">
        <f>C34</f>
        <v>41.964930000000003</v>
      </c>
      <c r="D50" s="105"/>
      <c r="E50" s="106"/>
      <c r="F50" s="106">
        <f>SUM(F36:F49)</f>
        <v>85.965712322169963</v>
      </c>
      <c r="G50" s="7"/>
      <c r="H50" s="52">
        <f>SUM(H36:H49)</f>
        <v>3607.5451000000003</v>
      </c>
      <c r="I50" s="5"/>
      <c r="J50" s="5"/>
      <c r="K50" s="18"/>
      <c r="L50" s="5"/>
    </row>
    <row r="51" spans="2:12" ht="15.45" x14ac:dyDescent="0.4">
      <c r="B51" s="5"/>
      <c r="C51" s="5"/>
      <c r="D51" s="5"/>
      <c r="E51" s="2"/>
      <c r="F51" s="5"/>
      <c r="G51" s="5"/>
      <c r="H51" s="5"/>
      <c r="I51" s="5"/>
      <c r="J51" s="5"/>
      <c r="K51" s="18"/>
      <c r="L51" s="5"/>
    </row>
    <row r="52" spans="2:12" ht="15.45" x14ac:dyDescent="0.4">
      <c r="B52" s="7"/>
      <c r="C52" s="2" t="s">
        <v>9</v>
      </c>
      <c r="D52" s="2"/>
      <c r="E52" s="23"/>
      <c r="F52" s="5" t="s">
        <v>184</v>
      </c>
      <c r="H52" s="2"/>
    </row>
    <row r="53" spans="2:12" ht="15.45" x14ac:dyDescent="0.4">
      <c r="B53" s="103" t="s">
        <v>185</v>
      </c>
      <c r="C53" s="92">
        <f>E20</f>
        <v>16.785971999999997</v>
      </c>
      <c r="D53" s="30"/>
      <c r="E53" s="208"/>
      <c r="F53" s="106">
        <f>'4.Natural Service Breeding Cost'!G24</f>
        <v>66.371428571428567</v>
      </c>
      <c r="G53" s="87">
        <f t="shared" ref="G53" si="7">IF(H53=0," ",IF($H$50=0,0,H53/$H$56))</f>
        <v>0.23595734286844702</v>
      </c>
      <c r="H53" s="26">
        <f>C53*F53</f>
        <v>1114.1089415999998</v>
      </c>
    </row>
    <row r="54" spans="2:12" ht="15.45" x14ac:dyDescent="0.4">
      <c r="B54" s="103"/>
      <c r="C54" s="92"/>
      <c r="D54" s="92"/>
      <c r="E54" s="106"/>
      <c r="G54" s="81"/>
      <c r="H54" s="26"/>
    </row>
    <row r="55" spans="2:12" ht="15.45" x14ac:dyDescent="0.4">
      <c r="B55" s="7" t="s">
        <v>186</v>
      </c>
      <c r="C55" s="5"/>
      <c r="D55" s="7" t="s">
        <v>57</v>
      </c>
      <c r="E55" s="5"/>
      <c r="F55" s="2" t="s">
        <v>5</v>
      </c>
      <c r="H55" s="2"/>
      <c r="I55" s="18"/>
    </row>
    <row r="56" spans="2:12" ht="15.45" x14ac:dyDescent="0.4">
      <c r="B56" s="115" t="s">
        <v>187</v>
      </c>
      <c r="C56" s="193"/>
      <c r="D56" s="187">
        <f>D20</f>
        <v>41.964930000000003</v>
      </c>
      <c r="E56" s="194"/>
      <c r="F56" s="195">
        <f>H56/D56</f>
        <v>112.51428375074138</v>
      </c>
      <c r="G56" s="194"/>
      <c r="H56" s="193">
        <f>H50+H53</f>
        <v>4721.6540415999998</v>
      </c>
      <c r="I56" s="18"/>
    </row>
    <row r="57" spans="2:12" x14ac:dyDescent="0.35">
      <c r="B57" s="5"/>
      <c r="C57" s="18"/>
      <c r="D57" s="5"/>
      <c r="E57" s="5"/>
      <c r="G57" s="111"/>
      <c r="I57" s="18"/>
    </row>
    <row r="58" spans="2:12" ht="15.45" x14ac:dyDescent="0.4">
      <c r="B58" s="107" t="s">
        <v>188</v>
      </c>
      <c r="C58" s="112"/>
      <c r="D58" s="113">
        <f>F27</f>
        <v>37.768437000000006</v>
      </c>
      <c r="E58" s="107"/>
      <c r="F58" s="108"/>
      <c r="G58" s="114">
        <f>H56/D58</f>
        <v>125.01587083415708</v>
      </c>
      <c r="I58" s="12"/>
    </row>
    <row r="59" spans="2:12" ht="15.45" x14ac:dyDescent="0.4">
      <c r="B59" s="18" t="s">
        <v>189</v>
      </c>
      <c r="C59" s="12"/>
      <c r="D59" s="196"/>
      <c r="E59" s="7"/>
      <c r="G59" s="105"/>
      <c r="I59" s="12"/>
    </row>
    <row r="60" spans="2:12" ht="15.45" x14ac:dyDescent="0.4">
      <c r="B60" s="7"/>
      <c r="C60" s="12"/>
      <c r="D60" s="196"/>
      <c r="E60" s="7"/>
      <c r="G60" s="105"/>
      <c r="I60" s="12"/>
    </row>
    <row r="61" spans="2:12" x14ac:dyDescent="0.35">
      <c r="B61" s="277" t="s">
        <v>140</v>
      </c>
      <c r="C61" s="278"/>
      <c r="D61" s="278"/>
      <c r="E61" s="278"/>
      <c r="F61" s="278"/>
      <c r="G61" s="278"/>
      <c r="H61" s="279"/>
    </row>
  </sheetData>
  <sheetProtection sheet="1" objects="1" scenarios="1"/>
  <mergeCells count="10">
    <mergeCell ref="B1:H1"/>
    <mergeCell ref="C3:H3"/>
    <mergeCell ref="B61:H61"/>
    <mergeCell ref="B6:H6"/>
    <mergeCell ref="B7:H7"/>
    <mergeCell ref="B8:H8"/>
    <mergeCell ref="B9:H9"/>
    <mergeCell ref="B10:H10"/>
    <mergeCell ref="B11:H11"/>
    <mergeCell ref="B13:H13"/>
  </mergeCells>
  <pageMargins left="0.95" right="0.45" top="0.75" bottom="0.75" header="0.3" footer="0.3"/>
  <pageSetup scale="74"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47A6-4171-48A4-8B56-50BBAB9E3F91}">
  <sheetPr>
    <pageSetUpPr fitToPage="1"/>
  </sheetPr>
  <dimension ref="B1:K54"/>
  <sheetViews>
    <sheetView topLeftCell="B1" workbookViewId="0">
      <selection activeCell="H2" sqref="H2:I2"/>
    </sheetView>
  </sheetViews>
  <sheetFormatPr defaultRowHeight="15" x14ac:dyDescent="0.35"/>
  <cols>
    <col min="1" max="1" width="2.75" customWidth="1"/>
    <col min="2" max="2" width="35.9375" customWidth="1"/>
    <col min="3" max="3" width="12.8125" customWidth="1"/>
    <col min="4" max="4" width="11.8125" customWidth="1"/>
    <col min="5" max="5" width="9.25" bestFit="1" customWidth="1"/>
    <col min="7" max="7" width="3.8125" customWidth="1"/>
    <col min="9" max="9" width="11.9375" customWidth="1"/>
  </cols>
  <sheetData>
    <row r="1" spans="2:10" ht="17.600000000000001" x14ac:dyDescent="0.4">
      <c r="B1" s="272" t="s">
        <v>290</v>
      </c>
      <c r="C1" s="273"/>
      <c r="D1" s="273"/>
      <c r="E1" s="273"/>
      <c r="F1" s="273"/>
    </row>
    <row r="2" spans="2:10" x14ac:dyDescent="0.35">
      <c r="B2" s="132"/>
      <c r="H2" s="133"/>
      <c r="I2" s="5"/>
    </row>
    <row r="3" spans="2:10" ht="15.45" x14ac:dyDescent="0.4">
      <c r="B3" s="2" t="s">
        <v>72</v>
      </c>
      <c r="C3" s="134" t="s">
        <v>252</v>
      </c>
      <c r="D3" s="135"/>
      <c r="E3" s="135"/>
      <c r="F3" s="136"/>
    </row>
    <row r="4" spans="2:10" ht="15.45" x14ac:dyDescent="0.4">
      <c r="B4" s="132"/>
      <c r="H4" s="167" t="s">
        <v>119</v>
      </c>
    </row>
    <row r="5" spans="2:10" x14ac:dyDescent="0.35">
      <c r="B5" s="5" t="s">
        <v>73</v>
      </c>
      <c r="D5" s="137">
        <v>43466</v>
      </c>
      <c r="E5" s="5" t="s">
        <v>74</v>
      </c>
      <c r="H5" s="8">
        <f>'3.Conventional AI Breeding Cost'!F29</f>
        <v>32.480855820000009</v>
      </c>
      <c r="I5" t="s">
        <v>148</v>
      </c>
    </row>
    <row r="6" spans="2:10" x14ac:dyDescent="0.35">
      <c r="B6" s="5" t="s">
        <v>75</v>
      </c>
      <c r="C6" s="138"/>
      <c r="D6" s="137">
        <v>43830</v>
      </c>
      <c r="E6" s="5">
        <f>D6-D5+1</f>
        <v>365</v>
      </c>
      <c r="H6" s="145">
        <f>H5/D7</f>
        <v>0.77400000000000013</v>
      </c>
      <c r="I6" t="s">
        <v>256</v>
      </c>
    </row>
    <row r="7" spans="2:10" x14ac:dyDescent="0.35">
      <c r="B7" s="5" t="s">
        <v>76</v>
      </c>
      <c r="C7" s="139" t="s">
        <v>9</v>
      </c>
      <c r="D7" s="211">
        <f>'1. Bull Needs &amp; Costs'!D25</f>
        <v>41.964930000000003</v>
      </c>
      <c r="E7" s="5"/>
      <c r="H7" s="177">
        <f>C39</f>
        <v>12.589479000000003</v>
      </c>
      <c r="I7" t="s">
        <v>257</v>
      </c>
    </row>
    <row r="8" spans="2:10" x14ac:dyDescent="0.35">
      <c r="B8" s="5" t="s">
        <v>258</v>
      </c>
      <c r="C8" s="139" t="s">
        <v>5</v>
      </c>
      <c r="D8" s="175">
        <v>1500</v>
      </c>
      <c r="E8" s="23"/>
      <c r="H8" s="31">
        <f>'5. Bulls Total Unit Cost'!C55</f>
        <v>0.60499999999999998</v>
      </c>
      <c r="I8" t="s">
        <v>146</v>
      </c>
    </row>
    <row r="9" spans="2:10" ht="15.45" x14ac:dyDescent="0.4">
      <c r="B9" s="7" t="s">
        <v>77</v>
      </c>
      <c r="C9" s="139"/>
      <c r="D9" s="109">
        <f>(D8*D7)</f>
        <v>62947.395000000004</v>
      </c>
      <c r="E9" s="23"/>
      <c r="H9" s="270">
        <f>'5. Bulls Total Unit Cost'!C55</f>
        <v>0.60499999999999998</v>
      </c>
      <c r="I9" s="167" t="s">
        <v>259</v>
      </c>
    </row>
    <row r="10" spans="2:10" ht="15.45" x14ac:dyDescent="0.4">
      <c r="B10" s="7" t="s">
        <v>78</v>
      </c>
      <c r="C10" s="141">
        <v>6</v>
      </c>
      <c r="D10" s="109"/>
      <c r="E10" s="23"/>
      <c r="H10" s="145">
        <f>H9/D7</f>
        <v>1.4416799932705712E-2</v>
      </c>
      <c r="I10" t="s">
        <v>147</v>
      </c>
    </row>
    <row r="11" spans="2:10" ht="15.45" x14ac:dyDescent="0.4">
      <c r="B11" s="7" t="s">
        <v>79</v>
      </c>
      <c r="C11" s="140">
        <v>40</v>
      </c>
      <c r="D11" s="142">
        <f>D8*C11*0.01</f>
        <v>600</v>
      </c>
      <c r="E11" s="143" t="s">
        <v>24</v>
      </c>
      <c r="F11" s="144" t="s">
        <v>80</v>
      </c>
    </row>
    <row r="12" spans="2:10" ht="15.45" x14ac:dyDescent="0.4">
      <c r="B12" s="7" t="s">
        <v>81</v>
      </c>
      <c r="C12" s="139" t="s">
        <v>5</v>
      </c>
      <c r="D12" s="180">
        <f>D7</f>
        <v>41.964930000000003</v>
      </c>
      <c r="E12" s="110">
        <f>(D8-D11)/C10</f>
        <v>150</v>
      </c>
      <c r="F12" s="46">
        <f>E12*D7</f>
        <v>6294.7395000000006</v>
      </c>
      <c r="H12" s="5" t="s">
        <v>82</v>
      </c>
    </row>
    <row r="13" spans="2:10" x14ac:dyDescent="0.35">
      <c r="B13" s="93"/>
      <c r="C13" s="93"/>
      <c r="D13" s="93"/>
      <c r="E13" s="93"/>
      <c r="F13" s="93"/>
    </row>
    <row r="14" spans="2:10" ht="15.45" x14ac:dyDescent="0.4">
      <c r="B14" s="7" t="s">
        <v>83</v>
      </c>
      <c r="C14" s="138"/>
      <c r="D14" s="138"/>
      <c r="E14" s="5"/>
      <c r="F14" s="111"/>
    </row>
    <row r="15" spans="2:10" ht="15.45" x14ac:dyDescent="0.4">
      <c r="B15" s="138" t="s">
        <v>92</v>
      </c>
      <c r="C15" s="23" t="s">
        <v>50</v>
      </c>
      <c r="D15" s="144" t="s">
        <v>84</v>
      </c>
      <c r="E15" s="143" t="s">
        <v>24</v>
      </c>
      <c r="G15" s="145"/>
      <c r="H15" s="5"/>
      <c r="J15" s="146"/>
    </row>
    <row r="16" spans="2:10" ht="15.45" x14ac:dyDescent="0.4">
      <c r="B16" s="147" t="s">
        <v>157</v>
      </c>
      <c r="C16" s="148" t="s">
        <v>158</v>
      </c>
      <c r="D16" s="149">
        <v>20</v>
      </c>
      <c r="E16" s="150">
        <v>12</v>
      </c>
      <c r="F16" s="111">
        <f>IF(D16=0," ",D16*E16*$D$12)</f>
        <v>10071.583200000001</v>
      </c>
      <c r="G16" s="145"/>
      <c r="H16" s="151"/>
      <c r="I16" s="152"/>
      <c r="J16" s="57"/>
    </row>
    <row r="17" spans="2:11" x14ac:dyDescent="0.35">
      <c r="B17" s="72" t="s">
        <v>205</v>
      </c>
      <c r="C17" s="153" t="s">
        <v>86</v>
      </c>
      <c r="D17" s="149">
        <v>1</v>
      </c>
      <c r="E17" s="150">
        <v>125</v>
      </c>
      <c r="F17" s="111">
        <f t="shared" ref="F17:F22" si="0">IF(D17=0," ",D17*E17*$D$12)</f>
        <v>5245.61625</v>
      </c>
      <c r="G17" s="145"/>
      <c r="J17" s="146"/>
    </row>
    <row r="18" spans="2:11" x14ac:dyDescent="0.35">
      <c r="B18" s="72" t="s">
        <v>85</v>
      </c>
      <c r="C18" s="153" t="s">
        <v>86</v>
      </c>
      <c r="D18" s="149">
        <v>1</v>
      </c>
      <c r="E18" s="150">
        <v>35</v>
      </c>
      <c r="F18" s="111">
        <f t="shared" si="0"/>
        <v>1468.7725500000001</v>
      </c>
      <c r="G18" s="145"/>
      <c r="J18" s="57"/>
    </row>
    <row r="19" spans="2:11" ht="15.45" x14ac:dyDescent="0.4">
      <c r="B19" s="72" t="s">
        <v>159</v>
      </c>
      <c r="C19" s="153" t="s">
        <v>86</v>
      </c>
      <c r="D19" s="149">
        <v>1</v>
      </c>
      <c r="E19" s="154">
        <v>150</v>
      </c>
      <c r="F19" s="111">
        <f t="shared" si="0"/>
        <v>6294.7395000000006</v>
      </c>
      <c r="G19" s="145"/>
      <c r="J19" s="155"/>
    </row>
    <row r="20" spans="2:11" x14ac:dyDescent="0.35">
      <c r="B20" s="72" t="s">
        <v>87</v>
      </c>
      <c r="C20" s="153" t="s">
        <v>86</v>
      </c>
      <c r="D20" s="149">
        <v>1</v>
      </c>
      <c r="E20" s="154">
        <v>0</v>
      </c>
      <c r="F20" s="111">
        <f t="shared" si="0"/>
        <v>0</v>
      </c>
      <c r="G20" s="145"/>
    </row>
    <row r="21" spans="2:11" x14ac:dyDescent="0.35">
      <c r="B21" s="72" t="s">
        <v>87</v>
      </c>
      <c r="C21" s="157" t="s">
        <v>86</v>
      </c>
      <c r="D21" s="149">
        <v>1</v>
      </c>
      <c r="E21" s="154">
        <v>0</v>
      </c>
      <c r="F21" s="111">
        <f t="shared" si="0"/>
        <v>0</v>
      </c>
      <c r="G21" s="145"/>
      <c r="K21" s="5"/>
    </row>
    <row r="22" spans="2:11" x14ac:dyDescent="0.35">
      <c r="B22" s="170" t="s">
        <v>260</v>
      </c>
      <c r="C22" s="157" t="s">
        <v>86</v>
      </c>
      <c r="D22" s="182">
        <v>1</v>
      </c>
      <c r="E22" s="181">
        <f>'3.Conventional AI Breeding Cost'!G58</f>
        <v>125.01587083415708</v>
      </c>
      <c r="F22" s="111">
        <f t="shared" si="0"/>
        <v>5246.2822684444436</v>
      </c>
      <c r="G22" s="145"/>
    </row>
    <row r="23" spans="2:11" ht="15.45" x14ac:dyDescent="0.4">
      <c r="B23" s="156" t="s">
        <v>88</v>
      </c>
      <c r="C23" s="157" t="s">
        <v>89</v>
      </c>
      <c r="D23" s="158"/>
      <c r="E23" s="105">
        <f>F23/D7</f>
        <v>675.01587083415711</v>
      </c>
      <c r="F23" s="109">
        <f>SUM(F16:F22)</f>
        <v>28326.993768444445</v>
      </c>
      <c r="G23" s="145"/>
    </row>
    <row r="24" spans="2:11" ht="15.45" x14ac:dyDescent="0.4">
      <c r="B24" s="156"/>
      <c r="C24" s="153"/>
      <c r="D24" s="159"/>
      <c r="E24" s="160"/>
      <c r="F24" s="111" t="str">
        <f t="shared" ref="F24" si="1">IF(D24=0," ",D24*E24)</f>
        <v xml:space="preserve"> </v>
      </c>
      <c r="G24" s="145"/>
      <c r="I24" t="s">
        <v>131</v>
      </c>
    </row>
    <row r="25" spans="2:11" ht="15.45" x14ac:dyDescent="0.4">
      <c r="B25" s="7" t="s">
        <v>90</v>
      </c>
      <c r="C25" s="157" t="s">
        <v>91</v>
      </c>
      <c r="D25" s="89">
        <f>E6</f>
        <v>365</v>
      </c>
      <c r="E25" s="183">
        <v>1</v>
      </c>
      <c r="F25" s="111">
        <f t="shared" ref="F25" si="2">IF(D25=0," ",D25*E25*$D$12)</f>
        <v>15317.19945</v>
      </c>
      <c r="G25" s="145"/>
      <c r="I25" t="s">
        <v>5</v>
      </c>
      <c r="J25" t="s">
        <v>43</v>
      </c>
    </row>
    <row r="26" spans="2:11" ht="15.45" x14ac:dyDescent="0.4">
      <c r="B26" s="7"/>
      <c r="C26" s="157" t="s">
        <v>95</v>
      </c>
      <c r="D26" s="89"/>
      <c r="E26" s="150"/>
      <c r="F26" s="111"/>
      <c r="G26" s="145"/>
      <c r="I26" s="99">
        <f>((F23+F25)*0.5)</f>
        <v>21822.096609222222</v>
      </c>
      <c r="J26" s="46">
        <f>I26*C27*0.01</f>
        <v>1091.1048304611111</v>
      </c>
    </row>
    <row r="27" spans="2:11" ht="15.45" x14ac:dyDescent="0.4">
      <c r="B27" s="7" t="s">
        <v>32</v>
      </c>
      <c r="C27" s="149">
        <v>5</v>
      </c>
      <c r="D27" s="89"/>
      <c r="E27" s="150"/>
      <c r="F27" s="168">
        <f>J26</f>
        <v>1091.1048304611111</v>
      </c>
      <c r="G27" s="145"/>
      <c r="I27" t="s">
        <v>96</v>
      </c>
    </row>
    <row r="28" spans="2:11" ht="15.45" x14ac:dyDescent="0.4">
      <c r="B28" s="7"/>
      <c r="C28" s="149"/>
      <c r="D28" s="89"/>
      <c r="E28" s="209" t="s">
        <v>207</v>
      </c>
      <c r="F28" s="168"/>
      <c r="G28" s="145"/>
    </row>
    <row r="29" spans="2:11" ht="15.45" x14ac:dyDescent="0.4">
      <c r="B29" s="7" t="s">
        <v>204</v>
      </c>
      <c r="C29" s="207">
        <f>'1. Bull Needs &amp; Costs'!C32</f>
        <v>86</v>
      </c>
      <c r="D29" s="89" t="s">
        <v>17</v>
      </c>
      <c r="E29" s="210">
        <f>C37+C39</f>
        <v>34.243382880000006</v>
      </c>
      <c r="F29" s="163" t="s">
        <v>9</v>
      </c>
      <c r="G29" s="145"/>
      <c r="H29" s="201"/>
    </row>
    <row r="30" spans="2:11" ht="15.45" x14ac:dyDescent="0.4">
      <c r="B30" s="161"/>
      <c r="C30" s="157"/>
      <c r="D30" s="105" t="s">
        <v>115</v>
      </c>
      <c r="E30" s="105"/>
      <c r="F30" s="109"/>
      <c r="G30" s="87"/>
      <c r="J30" s="110"/>
    </row>
    <row r="31" spans="2:11" ht="15.45" x14ac:dyDescent="0.4">
      <c r="B31" s="161" t="s">
        <v>288</v>
      </c>
      <c r="C31" s="162" t="s">
        <v>89</v>
      </c>
      <c r="D31" s="176">
        <f>D7</f>
        <v>41.964930000000003</v>
      </c>
      <c r="E31" s="109">
        <f>F31/$D$7</f>
        <v>1216.0162676050111</v>
      </c>
      <c r="F31" s="109">
        <f>F27+F25+F23+F12</f>
        <v>51030.037548905559</v>
      </c>
      <c r="G31" s="87"/>
      <c r="J31" s="110"/>
    </row>
    <row r="32" spans="2:11" ht="15.45" x14ac:dyDescent="0.4">
      <c r="B32" s="161"/>
      <c r="C32" s="162"/>
      <c r="D32" s="138"/>
      <c r="E32" s="109"/>
      <c r="F32" s="109"/>
      <c r="G32" s="87"/>
      <c r="J32" s="110"/>
    </row>
    <row r="33" spans="2:10" ht="15.45" x14ac:dyDescent="0.4">
      <c r="B33" s="161" t="s">
        <v>261</v>
      </c>
      <c r="C33" s="162" t="s">
        <v>9</v>
      </c>
      <c r="D33" s="5" t="s">
        <v>209</v>
      </c>
      <c r="E33" s="109" t="s">
        <v>116</v>
      </c>
      <c r="F33" s="109"/>
      <c r="G33" s="87"/>
      <c r="J33" s="110"/>
    </row>
    <row r="34" spans="2:10" ht="15.45" x14ac:dyDescent="0.4">
      <c r="B34" s="165" t="s">
        <v>93</v>
      </c>
      <c r="C34" s="178">
        <f>'3.Conventional AI Breeding Cost'!E23*C29*0.01</f>
        <v>5.4134759700000004</v>
      </c>
      <c r="D34" s="158">
        <v>550</v>
      </c>
      <c r="E34" s="150">
        <v>180</v>
      </c>
      <c r="F34" s="111">
        <f>C34*D34*E34*0.01</f>
        <v>5359.3412103000001</v>
      </c>
      <c r="G34" s="87"/>
      <c r="J34" s="110"/>
    </row>
    <row r="35" spans="2:10" x14ac:dyDescent="0.35">
      <c r="B35" s="5" t="s">
        <v>94</v>
      </c>
      <c r="C35" s="178">
        <f>'3.Conventional AI Breeding Cost'!E24*C29*0.01</f>
        <v>5.4134759700000004</v>
      </c>
      <c r="D35" s="158">
        <v>530</v>
      </c>
      <c r="E35" s="150">
        <v>165</v>
      </c>
      <c r="F35" s="111">
        <f>C35*D35*E35*0.01</f>
        <v>4734.0847357650009</v>
      </c>
    </row>
    <row r="36" spans="2:10" x14ac:dyDescent="0.35">
      <c r="B36" s="5" t="s">
        <v>289</v>
      </c>
      <c r="C36" s="178">
        <f>'3.Conventional AI Breeding Cost'!D24*C29*0.01</f>
        <v>10.826951940000001</v>
      </c>
      <c r="D36" s="158">
        <v>530</v>
      </c>
      <c r="E36" s="150">
        <v>165</v>
      </c>
      <c r="F36" s="111">
        <f>C36*D36*E36*0.01</f>
        <v>9468.1694715300018</v>
      </c>
    </row>
    <row r="37" spans="2:10" ht="15.45" x14ac:dyDescent="0.4">
      <c r="B37" s="7" t="s">
        <v>143</v>
      </c>
      <c r="C37" s="166">
        <f>C34+C35+C36</f>
        <v>21.653903880000001</v>
      </c>
      <c r="D37" s="167"/>
      <c r="E37" s="167"/>
      <c r="F37" s="168">
        <f>F34+F35+F36</f>
        <v>19561.595417595003</v>
      </c>
    </row>
    <row r="38" spans="2:10" ht="15.45" x14ac:dyDescent="0.4">
      <c r="B38" s="7"/>
      <c r="C38" s="166"/>
      <c r="D38" s="167"/>
      <c r="E38" s="167" t="s">
        <v>141</v>
      </c>
      <c r="F38" s="168" t="s">
        <v>142</v>
      </c>
      <c r="I38" t="s">
        <v>117</v>
      </c>
    </row>
    <row r="39" spans="2:10" ht="15.45" x14ac:dyDescent="0.4">
      <c r="B39" s="7" t="s">
        <v>262</v>
      </c>
      <c r="C39" s="208">
        <f>'3.Conventional AI Breeding Cost'!D23</f>
        <v>12.589479000000003</v>
      </c>
      <c r="E39" s="109">
        <f>F39/$C$39</f>
        <v>2499.5825586833698</v>
      </c>
      <c r="F39" s="168">
        <f>F31-F37</f>
        <v>31468.442131310556</v>
      </c>
      <c r="I39" s="8">
        <f>C39+C37</f>
        <v>34.243382880000006</v>
      </c>
    </row>
    <row r="40" spans="2:10" ht="15.45" x14ac:dyDescent="0.4">
      <c r="B40" s="7" t="s">
        <v>145</v>
      </c>
      <c r="C40" s="166"/>
      <c r="E40" s="105"/>
      <c r="F40" s="168"/>
      <c r="I40" s="8"/>
    </row>
    <row r="41" spans="2:10" ht="15.45" x14ac:dyDescent="0.4">
      <c r="B41" s="35" t="s">
        <v>144</v>
      </c>
      <c r="C41" s="162"/>
      <c r="F41" s="168"/>
    </row>
    <row r="42" spans="2:10" x14ac:dyDescent="0.35">
      <c r="B42" s="5"/>
      <c r="C42" s="8"/>
    </row>
    <row r="43" spans="2:10" x14ac:dyDescent="0.35">
      <c r="B43" s="284" t="s">
        <v>140</v>
      </c>
      <c r="C43" s="285"/>
      <c r="D43" s="285"/>
      <c r="E43" s="285"/>
      <c r="F43" s="286"/>
    </row>
    <row r="44" spans="2:10" x14ac:dyDescent="0.35">
      <c r="B44" s="5"/>
      <c r="F44" s="163"/>
    </row>
    <row r="45" spans="2:10" x14ac:dyDescent="0.35">
      <c r="B45" s="5"/>
      <c r="F45" s="163"/>
    </row>
    <row r="46" spans="2:10" x14ac:dyDescent="0.35">
      <c r="B46" s="5"/>
      <c r="C46" s="5"/>
      <c r="F46" s="163"/>
    </row>
    <row r="49" spans="3:3" x14ac:dyDescent="0.35">
      <c r="C49" s="110"/>
    </row>
    <row r="50" spans="3:3" x14ac:dyDescent="0.35">
      <c r="C50" s="110"/>
    </row>
    <row r="54" spans="3:3" x14ac:dyDescent="0.35">
      <c r="C54" s="164"/>
    </row>
  </sheetData>
  <sheetProtection sheet="1" objects="1" scenarios="1"/>
  <mergeCells count="2">
    <mergeCell ref="B43:F43"/>
    <mergeCell ref="B1:F1"/>
  </mergeCells>
  <pageMargins left="0.95" right="0.45" top="0.75" bottom="0.75" header="0.3" footer="0.3"/>
  <pageSetup scale="96"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B9C8-481B-48C1-BC6F-8A8C233432FE}">
  <sheetPr>
    <pageSetUpPr fitToPage="1"/>
  </sheetPr>
  <dimension ref="A1:K35"/>
  <sheetViews>
    <sheetView workbookViewId="0">
      <selection activeCell="C25" sqref="C25"/>
    </sheetView>
  </sheetViews>
  <sheetFormatPr defaultRowHeight="15" x14ac:dyDescent="0.35"/>
  <cols>
    <col min="1" max="1" width="3.6875" customWidth="1"/>
    <col min="2" max="2" width="24.8125" customWidth="1"/>
    <col min="3" max="3" width="13.8125" bestFit="1" customWidth="1"/>
    <col min="5" max="5" width="11" customWidth="1"/>
    <col min="6" max="6" width="10.125" customWidth="1"/>
    <col min="7" max="7" width="11.0625" customWidth="1"/>
  </cols>
  <sheetData>
    <row r="1" spans="2:9" ht="17.600000000000001" x14ac:dyDescent="0.4">
      <c r="B1" s="272" t="s">
        <v>210</v>
      </c>
      <c r="C1" s="287"/>
      <c r="D1" s="287"/>
      <c r="E1" s="287"/>
      <c r="F1" s="287"/>
      <c r="G1" s="287"/>
    </row>
    <row r="3" spans="2:9" ht="15.45" x14ac:dyDescent="0.4">
      <c r="B3" s="7" t="s">
        <v>58</v>
      </c>
      <c r="C3" s="103" t="s">
        <v>153</v>
      </c>
      <c r="D3" s="10">
        <f>'3.Conventional AI Breeding Cost'!D15</f>
        <v>41.964930000000003</v>
      </c>
      <c r="E3" s="35" t="s">
        <v>120</v>
      </c>
      <c r="F3" s="179"/>
    </row>
    <row r="4" spans="2:9" ht="15.45" x14ac:dyDescent="0.4">
      <c r="B4" s="7"/>
      <c r="C4" s="103"/>
      <c r="D4" s="104">
        <f>'1. Bull Needs &amp; Costs'!C40</f>
        <v>35</v>
      </c>
      <c r="E4" s="35" t="s">
        <v>208</v>
      </c>
      <c r="F4" s="179"/>
    </row>
    <row r="5" spans="2:9" ht="15.45" x14ac:dyDescent="0.4">
      <c r="B5" s="7" t="s">
        <v>121</v>
      </c>
      <c r="C5" s="5"/>
      <c r="D5" s="10">
        <f>'3.Conventional AI Breeding Cost'!D16</f>
        <v>90</v>
      </c>
      <c r="E5" s="5" t="s">
        <v>17</v>
      </c>
      <c r="F5" t="s">
        <v>280</v>
      </c>
    </row>
    <row r="7" spans="2:9" ht="15.45" x14ac:dyDescent="0.4">
      <c r="B7" s="288" t="s">
        <v>130</v>
      </c>
      <c r="C7" s="288"/>
      <c r="D7" s="288"/>
      <c r="E7" s="288"/>
      <c r="F7" s="288"/>
      <c r="G7" s="288"/>
      <c r="H7" s="2"/>
      <c r="I7" s="2"/>
    </row>
    <row r="8" spans="2:9" x14ac:dyDescent="0.35">
      <c r="B8" s="116"/>
      <c r="C8" s="116"/>
      <c r="D8" s="116"/>
      <c r="E8" s="116"/>
      <c r="F8" s="116"/>
      <c r="G8" s="116"/>
      <c r="H8" s="116"/>
      <c r="I8" s="116"/>
    </row>
    <row r="9" spans="2:9" ht="61.75" x14ac:dyDescent="0.4">
      <c r="B9" s="7" t="s">
        <v>60</v>
      </c>
      <c r="C9" s="5"/>
      <c r="D9" s="5"/>
      <c r="E9" s="117" t="s">
        <v>61</v>
      </c>
      <c r="F9" s="117" t="s">
        <v>127</v>
      </c>
      <c r="G9" s="118" t="s">
        <v>126</v>
      </c>
      <c r="H9" s="5"/>
    </row>
    <row r="10" spans="2:9" x14ac:dyDescent="0.35">
      <c r="B10" s="5" t="s">
        <v>62</v>
      </c>
      <c r="C10" s="5"/>
      <c r="D10" s="5"/>
      <c r="E10" s="119">
        <v>800</v>
      </c>
      <c r="F10" s="120"/>
      <c r="G10" s="99">
        <f>E10/$F$24</f>
        <v>22.857142857142858</v>
      </c>
      <c r="H10" s="5"/>
    </row>
    <row r="11" spans="2:9" x14ac:dyDescent="0.35">
      <c r="B11" s="121" t="s">
        <v>63</v>
      </c>
      <c r="C11" s="5"/>
      <c r="D11" s="5"/>
      <c r="E11" s="119">
        <v>0</v>
      </c>
      <c r="F11" s="120"/>
      <c r="G11" s="99">
        <f>E11/$F$24</f>
        <v>0</v>
      </c>
      <c r="H11" s="5"/>
    </row>
    <row r="12" spans="2:9" s="249" customFormat="1" x14ac:dyDescent="0.35">
      <c r="B12" s="121" t="s">
        <v>251</v>
      </c>
      <c r="C12" s="5"/>
      <c r="D12" s="5"/>
      <c r="E12" s="119">
        <v>65</v>
      </c>
      <c r="F12" s="120"/>
      <c r="G12" s="99">
        <f>E12/$F$24</f>
        <v>1.8571428571428572</v>
      </c>
      <c r="H12" s="5"/>
    </row>
    <row r="13" spans="2:9" x14ac:dyDescent="0.35">
      <c r="B13" s="5" t="s">
        <v>279</v>
      </c>
      <c r="C13" s="5"/>
      <c r="D13" s="5"/>
      <c r="E13" s="119">
        <v>12</v>
      </c>
      <c r="F13" s="120"/>
      <c r="G13" s="99">
        <f>E13/$F$24</f>
        <v>0.34285714285714286</v>
      </c>
      <c r="H13" s="5"/>
      <c r="I13" t="s">
        <v>122</v>
      </c>
    </row>
    <row r="14" spans="2:9" ht="15.45" x14ac:dyDescent="0.4">
      <c r="B14" s="115" t="s">
        <v>64</v>
      </c>
      <c r="C14" s="122"/>
      <c r="D14" s="122"/>
      <c r="E14" s="123">
        <f>SUM(E10:E13)</f>
        <v>877</v>
      </c>
      <c r="F14" s="122"/>
      <c r="G14" s="124">
        <f>E14/$F$24</f>
        <v>25.057142857142857</v>
      </c>
      <c r="H14" s="5"/>
    </row>
    <row r="15" spans="2:9" ht="15.45" x14ac:dyDescent="0.4">
      <c r="B15" s="7"/>
      <c r="C15" s="5"/>
      <c r="D15" s="5"/>
      <c r="E15" s="52"/>
      <c r="F15" s="5"/>
      <c r="G15" s="106"/>
      <c r="H15" s="5"/>
    </row>
    <row r="16" spans="2:9" ht="15.45" x14ac:dyDescent="0.4">
      <c r="B16" s="7" t="s">
        <v>65</v>
      </c>
      <c r="C16" s="5"/>
      <c r="D16" s="5"/>
      <c r="E16" s="5"/>
      <c r="F16" s="5"/>
      <c r="G16" s="5"/>
      <c r="H16" s="5"/>
    </row>
    <row r="17" spans="1:11" x14ac:dyDescent="0.35">
      <c r="B17" s="5" t="s">
        <v>71</v>
      </c>
      <c r="C17" s="5"/>
      <c r="D17" s="21">
        <f>'1. Bull Needs &amp; Costs'!C39</f>
        <v>6000</v>
      </c>
      <c r="E17" s="5"/>
      <c r="G17" s="5"/>
      <c r="H17" s="5"/>
    </row>
    <row r="18" spans="1:11" x14ac:dyDescent="0.35">
      <c r="B18" s="5" t="s">
        <v>124</v>
      </c>
      <c r="C18" s="5"/>
      <c r="D18" s="5"/>
      <c r="E18" s="47">
        <f>(G26-G29)/G27</f>
        <v>1140</v>
      </c>
      <c r="F18" s="120"/>
      <c r="G18" s="99">
        <f>E18/$F$24</f>
        <v>32.571428571428569</v>
      </c>
      <c r="H18" s="5"/>
    </row>
    <row r="19" spans="1:11" x14ac:dyDescent="0.35">
      <c r="B19" s="5" t="s">
        <v>123</v>
      </c>
      <c r="C19" s="5">
        <f>'2. Exposed Female Cost'!C27</f>
        <v>5</v>
      </c>
      <c r="D19" s="5" t="s">
        <v>17</v>
      </c>
      <c r="F19" s="120"/>
      <c r="G19" s="99"/>
      <c r="H19" s="5"/>
    </row>
    <row r="20" spans="1:11" x14ac:dyDescent="0.35">
      <c r="B20" s="5" t="s">
        <v>152</v>
      </c>
      <c r="C20" s="5"/>
      <c r="D20" s="5"/>
      <c r="E20" s="47">
        <f>C19*G31*0.01</f>
        <v>186</v>
      </c>
      <c r="F20" s="99"/>
      <c r="G20" s="99">
        <f>E20/$F$24</f>
        <v>5.3142857142857141</v>
      </c>
      <c r="H20" s="5"/>
      <c r="I20" t="s">
        <v>206</v>
      </c>
    </row>
    <row r="21" spans="1:11" ht="15.45" x14ac:dyDescent="0.4">
      <c r="B21" s="5" t="s">
        <v>66</v>
      </c>
      <c r="C21" s="125">
        <v>2</v>
      </c>
      <c r="E21" s="47">
        <f>G26*C21*0.01</f>
        <v>120</v>
      </c>
      <c r="F21" s="120"/>
      <c r="G21" s="99">
        <f>E21/$F$24</f>
        <v>3.4285714285714284</v>
      </c>
      <c r="H21" s="5"/>
    </row>
    <row r="22" spans="1:11" ht="15.45" x14ac:dyDescent="0.4">
      <c r="B22" s="7" t="s">
        <v>67</v>
      </c>
      <c r="C22" s="5"/>
      <c r="D22" s="5"/>
      <c r="E22" s="52">
        <f>SUM(E18:E21)</f>
        <v>1446</v>
      </c>
      <c r="F22" s="120"/>
      <c r="G22" s="106">
        <f>E22/$F$24</f>
        <v>41.314285714285717</v>
      </c>
      <c r="H22" s="5"/>
    </row>
    <row r="23" spans="1:11" ht="15.45" x14ac:dyDescent="0.4">
      <c r="B23" s="7"/>
      <c r="C23" s="5"/>
      <c r="D23" s="5"/>
      <c r="E23" s="47"/>
      <c r="F23" s="120"/>
      <c r="G23" s="99"/>
      <c r="H23" s="5"/>
    </row>
    <row r="24" spans="1:11" ht="15.45" x14ac:dyDescent="0.4">
      <c r="A24" s="12"/>
      <c r="B24" s="115" t="s">
        <v>59</v>
      </c>
      <c r="C24" s="115"/>
      <c r="D24" s="115"/>
      <c r="E24" s="126">
        <f>E14+E22</f>
        <v>2323</v>
      </c>
      <c r="F24" s="127">
        <f>D4</f>
        <v>35</v>
      </c>
      <c r="G24" s="128">
        <f>E24/F24</f>
        <v>66.371428571428567</v>
      </c>
      <c r="H24" s="5"/>
      <c r="I24" s="18"/>
    </row>
    <row r="25" spans="1:11" x14ac:dyDescent="0.35">
      <c r="B25" s="5" t="s">
        <v>128</v>
      </c>
      <c r="C25" s="5"/>
      <c r="D25" s="5"/>
      <c r="E25" s="5"/>
      <c r="F25" s="5"/>
      <c r="G25" s="5"/>
      <c r="H25" s="5"/>
    </row>
    <row r="26" spans="1:11" ht="15.45" x14ac:dyDescent="0.4">
      <c r="B26" s="7" t="s">
        <v>129</v>
      </c>
      <c r="C26" s="5"/>
      <c r="D26" s="5"/>
      <c r="E26" s="5"/>
      <c r="F26" s="5"/>
      <c r="G26" s="16">
        <f>D17</f>
        <v>6000</v>
      </c>
      <c r="H26" s="5"/>
      <c r="J26" s="57"/>
    </row>
    <row r="27" spans="1:11" x14ac:dyDescent="0.35">
      <c r="B27" s="5" t="s">
        <v>125</v>
      </c>
      <c r="C27" s="5"/>
      <c r="D27" s="5"/>
      <c r="E27" s="5"/>
      <c r="F27" s="5"/>
      <c r="G27" s="129">
        <v>4</v>
      </c>
      <c r="H27" s="5"/>
      <c r="J27" s="57"/>
    </row>
    <row r="28" spans="1:11" x14ac:dyDescent="0.35">
      <c r="B28" s="5"/>
      <c r="C28" s="5"/>
      <c r="D28" s="5"/>
      <c r="E28" s="23" t="s">
        <v>68</v>
      </c>
      <c r="F28" s="23" t="s">
        <v>13</v>
      </c>
      <c r="G28" s="23" t="s">
        <v>69</v>
      </c>
      <c r="H28" s="5"/>
      <c r="I28" s="67"/>
      <c r="J28" s="46"/>
    </row>
    <row r="29" spans="1:11" x14ac:dyDescent="0.35">
      <c r="B29" s="5" t="s">
        <v>70</v>
      </c>
      <c r="C29" s="5"/>
      <c r="D29" s="5"/>
      <c r="E29" s="130">
        <v>1800</v>
      </c>
      <c r="F29" s="131">
        <v>80</v>
      </c>
      <c r="G29" s="21">
        <f>E29*F29*0.01</f>
        <v>1440</v>
      </c>
      <c r="H29" s="5"/>
      <c r="J29" s="62"/>
    </row>
    <row r="30" spans="1:11" x14ac:dyDescent="0.35">
      <c r="B30" s="5"/>
      <c r="C30" s="5"/>
      <c r="D30" s="5"/>
      <c r="E30" s="130"/>
      <c r="F30" s="131"/>
      <c r="G30" s="21"/>
      <c r="H30" s="5"/>
      <c r="J30" s="62"/>
    </row>
    <row r="31" spans="1:11" x14ac:dyDescent="0.35">
      <c r="B31" s="5" t="s">
        <v>151</v>
      </c>
      <c r="C31" s="5"/>
      <c r="D31" s="5"/>
      <c r="G31" s="21">
        <f>(G26+G29)/2</f>
        <v>3720</v>
      </c>
      <c r="H31" s="5"/>
      <c r="J31" s="57"/>
      <c r="K31" s="18"/>
    </row>
    <row r="32" spans="1:11" x14ac:dyDescent="0.35">
      <c r="B32" s="5" t="s">
        <v>128</v>
      </c>
      <c r="C32" s="5"/>
      <c r="D32" s="5"/>
      <c r="E32" s="5"/>
      <c r="F32" s="5"/>
      <c r="G32" s="5"/>
      <c r="H32" s="5"/>
    </row>
    <row r="33" spans="2:8" x14ac:dyDescent="0.35">
      <c r="B33" s="18" t="s">
        <v>149</v>
      </c>
      <c r="C33" s="5"/>
      <c r="D33" s="5"/>
      <c r="E33" s="5"/>
      <c r="F33" s="5"/>
      <c r="G33" s="5"/>
      <c r="H33" s="5"/>
    </row>
    <row r="34" spans="2:8" x14ac:dyDescent="0.35">
      <c r="B34" s="18" t="s">
        <v>150</v>
      </c>
      <c r="C34" s="5"/>
      <c r="D34" s="5"/>
      <c r="E34" s="5"/>
      <c r="F34" s="5"/>
      <c r="G34" s="5"/>
      <c r="H34" s="5"/>
    </row>
    <row r="35" spans="2:8" x14ac:dyDescent="0.35">
      <c r="B35" s="18" t="s">
        <v>203</v>
      </c>
    </row>
  </sheetData>
  <sheetProtection sheet="1" objects="1" scenarios="1"/>
  <mergeCells count="2">
    <mergeCell ref="B1:G1"/>
    <mergeCell ref="B7:G7"/>
  </mergeCells>
  <pageMargins left="0.95" right="0.45" top="0.75" bottom="0.75" header="0.3" footer="0.3"/>
  <pageSetup scale="95"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B709-ACA3-4509-A821-3E4536B1BA42}">
  <sheetPr>
    <pageSetUpPr fitToPage="1"/>
  </sheetPr>
  <dimension ref="A1:Q109"/>
  <sheetViews>
    <sheetView topLeftCell="A51" workbookViewId="0">
      <selection activeCell="D18" sqref="D18"/>
    </sheetView>
  </sheetViews>
  <sheetFormatPr defaultRowHeight="15" x14ac:dyDescent="0.35"/>
  <cols>
    <col min="1" max="1" width="2.9375" customWidth="1"/>
    <col min="2" max="2" width="38.75" customWidth="1"/>
    <col min="3" max="3" width="10.125" customWidth="1"/>
    <col min="4" max="4" width="10.4375" customWidth="1"/>
    <col min="5" max="5" width="11.0625" customWidth="1"/>
    <col min="6" max="6" width="11.125" customWidth="1"/>
    <col min="11" max="11" width="12.6875" customWidth="1"/>
  </cols>
  <sheetData>
    <row r="1" spans="2:11" ht="17.600000000000001" x14ac:dyDescent="0.4">
      <c r="B1" s="272" t="s">
        <v>176</v>
      </c>
      <c r="C1" s="292"/>
      <c r="D1" s="292"/>
      <c r="E1" s="292"/>
      <c r="F1" s="292"/>
      <c r="G1" s="292"/>
      <c r="H1" s="293"/>
    </row>
    <row r="2" spans="2:11" ht="15.45" x14ac:dyDescent="0.4">
      <c r="B2" s="2"/>
      <c r="C2" s="3"/>
      <c r="D2" s="3"/>
      <c r="E2" s="3"/>
      <c r="F2" s="3"/>
      <c r="G2" s="3"/>
      <c r="I2" s="4"/>
    </row>
    <row r="3" spans="2:11" x14ac:dyDescent="0.35">
      <c r="B3" s="5" t="s">
        <v>0</v>
      </c>
      <c r="C3" s="289" t="s">
        <v>193</v>
      </c>
      <c r="D3" s="290"/>
      <c r="E3" s="290"/>
      <c r="F3" s="290"/>
      <c r="G3" s="291"/>
      <c r="I3" s="4"/>
      <c r="J3" s="4"/>
    </row>
    <row r="4" spans="2:11" ht="15.45" x14ac:dyDescent="0.4">
      <c r="B4" t="s">
        <v>1</v>
      </c>
      <c r="C4" s="6">
        <v>43497</v>
      </c>
      <c r="D4" s="5"/>
      <c r="E4" s="7" t="s">
        <v>2</v>
      </c>
      <c r="F4" s="7" t="s">
        <v>3</v>
      </c>
      <c r="G4" s="7"/>
      <c r="I4" s="8"/>
      <c r="J4" s="8"/>
    </row>
    <row r="5" spans="2:11" ht="15.45" x14ac:dyDescent="0.4">
      <c r="B5" s="5" t="s">
        <v>263</v>
      </c>
      <c r="C5" s="9">
        <v>43739</v>
      </c>
      <c r="D5" s="10"/>
      <c r="E5" s="36">
        <f>'3.Conventional AI Breeding Cost'!D31</f>
        <v>10.826951940000001</v>
      </c>
      <c r="F5" s="12" t="s">
        <v>257</v>
      </c>
      <c r="G5" s="7"/>
      <c r="H5" s="13"/>
    </row>
    <row r="6" spans="2:11" ht="15.45" x14ac:dyDescent="0.4">
      <c r="B6" s="5"/>
      <c r="C6" s="14" t="s">
        <v>4</v>
      </c>
      <c r="D6" s="14"/>
      <c r="E6" s="14" t="s">
        <v>5</v>
      </c>
      <c r="F6" s="5"/>
      <c r="H6" s="7" t="s">
        <v>30</v>
      </c>
      <c r="I6" s="8">
        <f>((C5-C4)/(365/12))</f>
        <v>7.9561643835616431</v>
      </c>
      <c r="J6" t="s">
        <v>6</v>
      </c>
    </row>
    <row r="7" spans="2:11" ht="15.45" x14ac:dyDescent="0.4">
      <c r="B7" s="5" t="s">
        <v>132</v>
      </c>
      <c r="C7" s="11">
        <v>550</v>
      </c>
      <c r="D7" s="14"/>
      <c r="E7" s="199">
        <f>F7/E5</f>
        <v>2906.4913473062443</v>
      </c>
      <c r="F7" s="16">
        <f>'2. Exposed Female Cost'!F39</f>
        <v>31468.442131310556</v>
      </c>
      <c r="H7" s="173">
        <f>F7/F56</f>
        <v>0.75154925496475478</v>
      </c>
      <c r="I7" s="8"/>
      <c r="J7" s="18"/>
    </row>
    <row r="8" spans="2:11" ht="15.45" x14ac:dyDescent="0.4">
      <c r="C8" s="19"/>
      <c r="D8" s="20"/>
      <c r="E8" s="16"/>
      <c r="F8" s="21"/>
      <c r="G8" s="5"/>
      <c r="I8" s="8"/>
    </row>
    <row r="9" spans="2:11" ht="15.45" x14ac:dyDescent="0.4">
      <c r="B9" s="7" t="s">
        <v>250</v>
      </c>
      <c r="C9" s="19"/>
      <c r="D9" s="20"/>
      <c r="E9" s="16"/>
      <c r="F9" s="21"/>
      <c r="G9" s="5"/>
      <c r="I9" s="8">
        <f>((C11-C4)/(365/12))</f>
        <v>11.342465753424657</v>
      </c>
      <c r="J9" t="s">
        <v>11</v>
      </c>
    </row>
    <row r="10" spans="2:11" x14ac:dyDescent="0.35">
      <c r="B10" s="5" t="s">
        <v>7</v>
      </c>
      <c r="C10" s="5"/>
      <c r="D10" s="22" t="s">
        <v>8</v>
      </c>
      <c r="E10" s="23" t="s">
        <v>9</v>
      </c>
      <c r="F10" s="23"/>
      <c r="G10" s="23" t="s">
        <v>10</v>
      </c>
      <c r="I10" s="27">
        <f>(C21-C4)/(365/12)</f>
        <v>14.95890410958904</v>
      </c>
      <c r="J10" t="s">
        <v>102</v>
      </c>
    </row>
    <row r="11" spans="2:11" x14ac:dyDescent="0.35">
      <c r="B11" s="5" t="s">
        <v>12</v>
      </c>
      <c r="C11" s="24">
        <v>43842</v>
      </c>
      <c r="F11" s="23" t="s">
        <v>13</v>
      </c>
    </row>
    <row r="12" spans="2:11" ht="15.45" x14ac:dyDescent="0.4">
      <c r="B12" s="5" t="s">
        <v>14</v>
      </c>
      <c r="C12" s="25">
        <v>700</v>
      </c>
      <c r="D12" s="36">
        <f>'1. Bull Needs &amp; Costs'!C15</f>
        <v>1</v>
      </c>
      <c r="E12" s="235">
        <f>D12*$E$5*0.01</f>
        <v>0.10826951940000001</v>
      </c>
      <c r="F12" s="269">
        <v>130</v>
      </c>
      <c r="G12" s="26">
        <f>C12*E12*F12*0.01</f>
        <v>98.525262654000002</v>
      </c>
      <c r="I12" t="s">
        <v>18</v>
      </c>
    </row>
    <row r="13" spans="2:11" ht="15.45" x14ac:dyDescent="0.4">
      <c r="B13" s="5" t="s">
        <v>293</v>
      </c>
      <c r="C13" s="14"/>
      <c r="D13" s="14"/>
      <c r="E13" s="236"/>
      <c r="H13" s="27"/>
      <c r="I13" t="s">
        <v>108</v>
      </c>
      <c r="J13" t="s">
        <v>107</v>
      </c>
    </row>
    <row r="14" spans="2:11" x14ac:dyDescent="0.35">
      <c r="B14" s="5" t="s">
        <v>15</v>
      </c>
      <c r="C14" s="229"/>
      <c r="D14" s="36">
        <f>'1. Bull Needs &amp; Costs'!C16</f>
        <v>0.05</v>
      </c>
      <c r="E14" s="235">
        <f>D14*$E$5*0.01</f>
        <v>5.4134759700000005E-3</v>
      </c>
      <c r="F14" s="21"/>
      <c r="G14" s="5"/>
      <c r="I14" s="8">
        <f>C11-C5</f>
        <v>103</v>
      </c>
      <c r="J14" s="27">
        <f>I14*E5</f>
        <v>1115.1760498200001</v>
      </c>
      <c r="K14" s="18" t="s">
        <v>19</v>
      </c>
    </row>
    <row r="15" spans="2:11" ht="15.45" x14ac:dyDescent="0.4">
      <c r="B15" s="7" t="s">
        <v>16</v>
      </c>
      <c r="C15" s="28"/>
      <c r="E15" s="237"/>
      <c r="G15" s="5"/>
      <c r="H15" s="29"/>
      <c r="I15" s="8">
        <f>C16-C11</f>
        <v>80</v>
      </c>
      <c r="J15" s="27">
        <f>(E5-E12)*I15</f>
        <v>857.49459364800009</v>
      </c>
      <c r="K15" s="18" t="s">
        <v>105</v>
      </c>
    </row>
    <row r="16" spans="2:11" ht="15.45" x14ac:dyDescent="0.4">
      <c r="B16" s="5" t="s">
        <v>98</v>
      </c>
      <c r="C16" s="24">
        <v>43922</v>
      </c>
      <c r="E16" s="238"/>
      <c r="F16" s="23" t="s">
        <v>13</v>
      </c>
      <c r="G16" s="5"/>
      <c r="H16" s="31"/>
      <c r="I16" s="8">
        <f>C21-C16</f>
        <v>30</v>
      </c>
      <c r="J16" s="27">
        <f>I16*C19</f>
        <v>318.14998275689999</v>
      </c>
      <c r="K16" s="18" t="s">
        <v>103</v>
      </c>
    </row>
    <row r="17" spans="2:16" ht="15.45" x14ac:dyDescent="0.4">
      <c r="B17" s="5" t="s">
        <v>16</v>
      </c>
      <c r="C17" s="171">
        <v>1000</v>
      </c>
      <c r="D17" s="36">
        <f>'1. Bull Needs &amp; Costs'!C17</f>
        <v>1</v>
      </c>
      <c r="E17" s="235">
        <f>D17*$E$5*0.01</f>
        <v>0.10826951940000001</v>
      </c>
      <c r="F17" s="269">
        <v>100</v>
      </c>
      <c r="G17" s="26">
        <f>C17*E17*F17*0.01</f>
        <v>108.26951940000001</v>
      </c>
      <c r="H17" s="31"/>
      <c r="I17" s="166">
        <f>SUM(I14:I16)</f>
        <v>213</v>
      </c>
      <c r="J17" s="27"/>
    </row>
    <row r="18" spans="2:16" ht="15.45" x14ac:dyDescent="0.4">
      <c r="B18" s="5"/>
      <c r="C18" s="249"/>
      <c r="E18" s="239"/>
      <c r="F18" s="5"/>
      <c r="G18" s="5"/>
    </row>
    <row r="19" spans="2:16" ht="15.45" x14ac:dyDescent="0.4">
      <c r="B19" s="7" t="s">
        <v>97</v>
      </c>
      <c r="C19" s="32">
        <f>E5-E19</f>
        <v>10.60499942523</v>
      </c>
      <c r="D19" s="241">
        <f>SUM(D12:D17)</f>
        <v>2.0499999999999998</v>
      </c>
      <c r="E19" s="270">
        <f>SUM(E12:E17)</f>
        <v>0.22195251477000003</v>
      </c>
      <c r="F19" s="5"/>
      <c r="G19" s="5"/>
    </row>
    <row r="20" spans="2:16" ht="15.45" x14ac:dyDescent="0.4">
      <c r="B20" s="5"/>
      <c r="C20" s="249"/>
      <c r="D20" s="177"/>
      <c r="E20" s="235"/>
      <c r="F20" s="14"/>
      <c r="G20" s="174"/>
    </row>
    <row r="21" spans="2:16" ht="15.45" x14ac:dyDescent="0.4">
      <c r="B21" s="5" t="s">
        <v>104</v>
      </c>
      <c r="C21" s="24">
        <v>43952</v>
      </c>
      <c r="D21" s="167" t="s">
        <v>241</v>
      </c>
      <c r="E21" s="241"/>
      <c r="F21" s="5"/>
      <c r="G21" s="5"/>
      <c r="I21" s="29">
        <f>C23-C7</f>
        <v>650</v>
      </c>
      <c r="J21" t="s">
        <v>109</v>
      </c>
    </row>
    <row r="22" spans="2:16" ht="15.45" x14ac:dyDescent="0.4">
      <c r="B22" s="5"/>
      <c r="C22" s="34"/>
      <c r="D22" s="37"/>
      <c r="E22" s="50" t="s">
        <v>264</v>
      </c>
      <c r="G22" s="26">
        <f>SUM(G12:G20)</f>
        <v>206.794782054</v>
      </c>
      <c r="I22" s="172">
        <f>I21/I17</f>
        <v>3.051643192488263</v>
      </c>
      <c r="J22" s="167" t="s">
        <v>114</v>
      </c>
    </row>
    <row r="23" spans="2:16" x14ac:dyDescent="0.35">
      <c r="B23" s="5" t="s">
        <v>100</v>
      </c>
      <c r="C23" s="38">
        <v>1200</v>
      </c>
      <c r="D23" s="242">
        <f>C19</f>
        <v>10.60499942523</v>
      </c>
      <c r="E23" s="35" t="s">
        <v>99</v>
      </c>
      <c r="F23" s="5"/>
      <c r="G23" s="5"/>
    </row>
    <row r="24" spans="2:16" x14ac:dyDescent="0.35">
      <c r="B24" s="5" t="s">
        <v>20</v>
      </c>
      <c r="D24" s="10"/>
      <c r="E24" s="5"/>
      <c r="F24" s="5"/>
      <c r="G24" s="5"/>
      <c r="J24" s="29"/>
      <c r="K24" s="99">
        <f>E29/I22</f>
        <v>0.90115384615384608</v>
      </c>
      <c r="L24" t="s">
        <v>134</v>
      </c>
    </row>
    <row r="25" spans="2:16" ht="15.45" x14ac:dyDescent="0.4">
      <c r="B25" s="5" t="s">
        <v>106</v>
      </c>
      <c r="C25" s="5"/>
      <c r="D25" s="30">
        <f>I17</f>
        <v>213</v>
      </c>
      <c r="E25" s="18" t="s">
        <v>21</v>
      </c>
      <c r="F25" s="5"/>
      <c r="G25" s="39">
        <f>D25/(365/12)</f>
        <v>7.0027397260273974</v>
      </c>
      <c r="J25" s="27"/>
      <c r="K25" s="5"/>
    </row>
    <row r="26" spans="2:16" ht="15.45" x14ac:dyDescent="0.4">
      <c r="B26" s="5"/>
      <c r="D26" s="40"/>
      <c r="E26" s="41"/>
      <c r="F26" s="5"/>
      <c r="G26" s="10"/>
      <c r="J26" s="42"/>
      <c r="K26" s="5"/>
    </row>
    <row r="27" spans="2:16" ht="15.45" x14ac:dyDescent="0.4">
      <c r="B27" s="50"/>
      <c r="C27" s="241">
        <f>E5</f>
        <v>10.826951940000001</v>
      </c>
      <c r="D27" s="104" t="s">
        <v>195</v>
      </c>
      <c r="E27" s="41"/>
      <c r="F27" s="5"/>
      <c r="G27" s="10"/>
      <c r="J27" s="42"/>
      <c r="K27" s="5"/>
    </row>
    <row r="28" spans="2:16" ht="15.45" x14ac:dyDescent="0.4">
      <c r="B28" s="7" t="s">
        <v>101</v>
      </c>
      <c r="C28" s="43" t="s">
        <v>22</v>
      </c>
      <c r="D28" s="43" t="s">
        <v>23</v>
      </c>
      <c r="E28" s="43" t="s">
        <v>24</v>
      </c>
      <c r="F28" s="44" t="s">
        <v>25</v>
      </c>
      <c r="G28" s="44" t="s">
        <v>26</v>
      </c>
      <c r="H28" s="7" t="s">
        <v>30</v>
      </c>
      <c r="I28" s="45"/>
      <c r="J28" s="10"/>
      <c r="K28" s="35"/>
      <c r="N28" s="35"/>
      <c r="O28" s="35"/>
      <c r="P28" s="35"/>
    </row>
    <row r="29" spans="2:16" x14ac:dyDescent="0.35">
      <c r="B29" s="169" t="s">
        <v>133</v>
      </c>
      <c r="C29" s="214">
        <v>213</v>
      </c>
      <c r="D29" s="169" t="s">
        <v>18</v>
      </c>
      <c r="E29" s="216">
        <v>2.75</v>
      </c>
      <c r="F29" s="46">
        <f>C29*E29</f>
        <v>585.75</v>
      </c>
      <c r="G29" s="47">
        <f>C29*E29*$C$27</f>
        <v>6341.8870988550007</v>
      </c>
      <c r="H29" s="185">
        <f>IF($F29=0," ",G29/$F$56)</f>
        <v>0.15146096220228006</v>
      </c>
      <c r="I29" s="45"/>
      <c r="J29" s="35"/>
      <c r="K29" s="35"/>
      <c r="L29" s="48"/>
      <c r="M29" s="35"/>
      <c r="N29" s="35"/>
      <c r="O29" s="35"/>
      <c r="P29" s="35"/>
    </row>
    <row r="30" spans="2:16" x14ac:dyDescent="0.35">
      <c r="B30" s="169" t="s">
        <v>113</v>
      </c>
      <c r="C30" s="215">
        <v>0</v>
      </c>
      <c r="D30" s="169" t="s">
        <v>86</v>
      </c>
      <c r="E30" s="216">
        <v>0</v>
      </c>
      <c r="F30" s="46">
        <f t="shared" ref="F30:F32" si="0">C30*E30</f>
        <v>0</v>
      </c>
      <c r="G30" s="47">
        <f>F30*$C$27</f>
        <v>0</v>
      </c>
      <c r="H30" s="185" t="str">
        <f>IF($F30=0," ",G30/$F$56)</f>
        <v xml:space="preserve"> </v>
      </c>
      <c r="I30" s="35"/>
      <c r="J30" s="35"/>
      <c r="K30" s="35"/>
      <c r="L30" s="35"/>
      <c r="M30" s="49">
        <f>SUM(F35:F40)</f>
        <v>32497.002565610557</v>
      </c>
      <c r="N30" s="35" t="s">
        <v>118</v>
      </c>
      <c r="O30" s="35"/>
      <c r="P30" s="35"/>
    </row>
    <row r="31" spans="2:16" x14ac:dyDescent="0.35">
      <c r="B31" s="169" t="s">
        <v>113</v>
      </c>
      <c r="C31" s="215">
        <v>0</v>
      </c>
      <c r="D31" s="169" t="s">
        <v>86</v>
      </c>
      <c r="E31" s="216">
        <v>0</v>
      </c>
      <c r="F31" s="46">
        <f t="shared" si="0"/>
        <v>0</v>
      </c>
      <c r="G31" s="47">
        <f t="shared" ref="G31:G32" si="1">F31*$C$27</f>
        <v>0</v>
      </c>
      <c r="H31" s="185" t="str">
        <f>IF($F31=0," ",G31/$F$56)</f>
        <v xml:space="preserve"> </v>
      </c>
      <c r="I31" s="50"/>
      <c r="J31" s="50"/>
      <c r="K31" s="35"/>
      <c r="L31" s="35"/>
      <c r="M31" s="51">
        <f>(($F$7+(SUM($F$35:$F$36)*0.5))*(I17/365))</f>
        <v>18663.89002800575</v>
      </c>
      <c r="N31" s="35" t="s">
        <v>27</v>
      </c>
      <c r="O31" s="35"/>
      <c r="P31" s="35"/>
    </row>
    <row r="32" spans="2:16" x14ac:dyDescent="0.35">
      <c r="B32" s="169" t="s">
        <v>113</v>
      </c>
      <c r="C32" s="215">
        <v>0</v>
      </c>
      <c r="D32" s="169" t="s">
        <v>86</v>
      </c>
      <c r="E32" s="216">
        <v>0</v>
      </c>
      <c r="F32" s="46">
        <f t="shared" si="0"/>
        <v>0</v>
      </c>
      <c r="G32" s="47">
        <f t="shared" si="1"/>
        <v>0</v>
      </c>
      <c r="H32" s="185" t="str">
        <f>IF($F32=0," ",G32/$F$56)</f>
        <v xml:space="preserve"> </v>
      </c>
      <c r="I32" s="50"/>
      <c r="J32" s="35"/>
      <c r="K32" s="35"/>
      <c r="L32" s="35"/>
      <c r="M32" s="35" t="s">
        <v>265</v>
      </c>
      <c r="N32" s="35"/>
      <c r="O32" s="35"/>
      <c r="P32" s="35"/>
    </row>
    <row r="33" spans="2:17" ht="15.45" x14ac:dyDescent="0.4">
      <c r="B33" s="212" t="s">
        <v>28</v>
      </c>
      <c r="D33" s="40"/>
      <c r="E33" s="106">
        <f>F33/D25</f>
        <v>2.75</v>
      </c>
      <c r="F33" s="52">
        <f>SUM(F29:F32)</f>
        <v>585.75</v>
      </c>
      <c r="G33" s="52">
        <f>SUM(G29:G32)</f>
        <v>6341.8870988550007</v>
      </c>
      <c r="H33" s="173">
        <f>IF($F33=0," ",G33/$F$56)</f>
        <v>0.15146096220228006</v>
      </c>
      <c r="I33" s="35"/>
      <c r="J33" s="35"/>
      <c r="K33" s="35"/>
      <c r="L33" s="48"/>
      <c r="M33" s="49">
        <f>F48+F62</f>
        <v>933.19450140028755</v>
      </c>
      <c r="N33" s="53">
        <f>M33/M31</f>
        <v>0.05</v>
      </c>
      <c r="O33" s="35" t="s">
        <v>29</v>
      </c>
      <c r="P33" s="35"/>
    </row>
    <row r="34" spans="2:17" ht="15.45" x14ac:dyDescent="0.4">
      <c r="B34" s="7" t="s">
        <v>139</v>
      </c>
      <c r="C34" s="241">
        <f>C27</f>
        <v>10.826951940000001</v>
      </c>
      <c r="D34" s="7" t="s">
        <v>244</v>
      </c>
      <c r="E34" s="7"/>
      <c r="F34" s="7" t="s">
        <v>3</v>
      </c>
      <c r="I34" s="35"/>
      <c r="J34" s="35"/>
      <c r="K34" s="35"/>
      <c r="L34" s="48" t="s">
        <v>31</v>
      </c>
      <c r="M34" s="54">
        <f>C48*0.01</f>
        <v>0.05</v>
      </c>
      <c r="N34" s="55">
        <f>M31*M34</f>
        <v>933.19450140028755</v>
      </c>
      <c r="O34" s="35" t="s">
        <v>32</v>
      </c>
      <c r="P34" s="35"/>
      <c r="Q34" s="35"/>
    </row>
    <row r="35" spans="2:17" x14ac:dyDescent="0.35">
      <c r="B35" s="213" t="s">
        <v>292</v>
      </c>
      <c r="C35" s="5"/>
      <c r="D35" s="20">
        <v>30</v>
      </c>
      <c r="E35" s="5"/>
      <c r="F35" s="47">
        <f t="shared" ref="F35:F39" si="2">D35*$C$34</f>
        <v>324.80855819999999</v>
      </c>
      <c r="H35" s="185">
        <f t="shared" ref="H35:H42" si="3">IF($F35=0," ",F35/$F$56)</f>
        <v>7.7572835955073008E-3</v>
      </c>
      <c r="Q35" s="35"/>
    </row>
    <row r="36" spans="2:17" x14ac:dyDescent="0.35">
      <c r="B36" s="58" t="s">
        <v>196</v>
      </c>
      <c r="C36" s="10"/>
      <c r="D36" s="20">
        <v>65</v>
      </c>
      <c r="F36" s="47">
        <f t="shared" si="2"/>
        <v>703.7518761</v>
      </c>
      <c r="H36" s="185">
        <f t="shared" si="3"/>
        <v>1.6807447790265818E-2</v>
      </c>
      <c r="I36" s="57"/>
      <c r="Q36" s="48"/>
    </row>
    <row r="37" spans="2:17" x14ac:dyDescent="0.35">
      <c r="B37" s="58" t="s">
        <v>33</v>
      </c>
      <c r="C37" s="28"/>
      <c r="D37" s="20">
        <v>0</v>
      </c>
      <c r="F37" s="47">
        <f t="shared" ref="F37:F38" si="4">D37*$C$34</f>
        <v>0</v>
      </c>
      <c r="H37" s="185" t="str">
        <f t="shared" si="3"/>
        <v xml:space="preserve"> </v>
      </c>
      <c r="I37" s="57"/>
      <c r="Q37" s="48"/>
    </row>
    <row r="38" spans="2:17" x14ac:dyDescent="0.35">
      <c r="B38" s="58" t="s">
        <v>33</v>
      </c>
      <c r="C38" s="28"/>
      <c r="D38" s="20">
        <v>0</v>
      </c>
      <c r="F38" s="47">
        <f t="shared" si="4"/>
        <v>0</v>
      </c>
      <c r="H38" s="185" t="str">
        <f t="shared" si="3"/>
        <v xml:space="preserve"> </v>
      </c>
      <c r="I38" s="57"/>
      <c r="Q38" s="48"/>
    </row>
    <row r="39" spans="2:17" x14ac:dyDescent="0.35">
      <c r="B39" s="58" t="s">
        <v>33</v>
      </c>
      <c r="C39" s="28"/>
      <c r="D39" s="20">
        <v>0</v>
      </c>
      <c r="F39" s="47">
        <f t="shared" si="2"/>
        <v>0</v>
      </c>
      <c r="H39" s="185" t="str">
        <f t="shared" si="3"/>
        <v xml:space="preserve"> </v>
      </c>
      <c r="I39" s="57"/>
      <c r="Q39" s="48"/>
    </row>
    <row r="40" spans="2:17" ht="15.45" x14ac:dyDescent="0.4">
      <c r="B40" s="170" t="s">
        <v>301</v>
      </c>
      <c r="C40" s="28"/>
      <c r="D40" s="16">
        <f>F40/C27</f>
        <v>2906.4913473062443</v>
      </c>
      <c r="F40" s="52">
        <f>'2. Exposed Female Cost'!F39</f>
        <v>31468.442131310556</v>
      </c>
      <c r="H40" s="173">
        <f t="shared" si="3"/>
        <v>0.75154925496475478</v>
      </c>
    </row>
    <row r="41" spans="2:17" ht="15.45" x14ac:dyDescent="0.4">
      <c r="B41" s="170"/>
      <c r="C41" s="28"/>
      <c r="D41" s="21"/>
      <c r="F41" s="47"/>
      <c r="H41" s="173"/>
    </row>
    <row r="42" spans="2:17" ht="15.45" x14ac:dyDescent="0.4">
      <c r="B42" s="7" t="s">
        <v>101</v>
      </c>
      <c r="C42" s="10"/>
      <c r="D42" s="16">
        <f>IF(E5=0,0,SUM(D35:D40))</f>
        <v>3001.4913473062443</v>
      </c>
      <c r="E42" s="59"/>
      <c r="F42" s="52">
        <f>SUM(F35:F40)+G33</f>
        <v>38838.889664465562</v>
      </c>
      <c r="H42" s="173">
        <f t="shared" si="3"/>
        <v>0.92757494855280809</v>
      </c>
    </row>
    <row r="43" spans="2:17" ht="15.45" x14ac:dyDescent="0.4">
      <c r="B43" s="7"/>
      <c r="C43" s="30" t="s">
        <v>242</v>
      </c>
      <c r="D43" s="16"/>
      <c r="E43" s="18"/>
      <c r="F43" s="52"/>
      <c r="G43" s="60"/>
      <c r="H43" s="61"/>
      <c r="I43" s="50"/>
      <c r="J43" s="50"/>
      <c r="K43" s="35"/>
      <c r="L43" s="35"/>
      <c r="M43" s="35"/>
      <c r="N43" s="35"/>
      <c r="O43" s="35"/>
      <c r="P43" s="35"/>
      <c r="Q43" s="35"/>
    </row>
    <row r="44" spans="2:17" ht="15.45" x14ac:dyDescent="0.4">
      <c r="B44" s="7" t="s">
        <v>243</v>
      </c>
      <c r="C44" s="243">
        <v>1</v>
      </c>
      <c r="D44" s="244">
        <f>D25*C44</f>
        <v>213</v>
      </c>
      <c r="E44" s="62"/>
      <c r="F44" s="52">
        <f>D44*C34</f>
        <v>2306.1407632200003</v>
      </c>
      <c r="G44" s="60"/>
      <c r="H44" s="173">
        <f>IF($F44=0," ",F44/$F$56)</f>
        <v>5.5076713528101846E-2</v>
      </c>
      <c r="I44" s="50"/>
      <c r="J44" s="184">
        <f>D44/D25</f>
        <v>1</v>
      </c>
      <c r="K44" s="35" t="s">
        <v>154</v>
      </c>
      <c r="L44" s="35"/>
      <c r="M44" s="35"/>
      <c r="N44" s="35"/>
      <c r="O44" s="35"/>
      <c r="P44" s="35"/>
      <c r="Q44" s="35"/>
    </row>
    <row r="45" spans="2:17" ht="15.45" x14ac:dyDescent="0.4">
      <c r="B45" s="7"/>
      <c r="C45" s="30"/>
      <c r="D45" s="20"/>
      <c r="E45" s="62"/>
      <c r="F45" s="52"/>
      <c r="G45" s="60"/>
      <c r="H45" s="61"/>
      <c r="I45" s="50"/>
      <c r="J45" s="50"/>
      <c r="K45" s="35"/>
      <c r="L45" s="35"/>
      <c r="M45" s="35"/>
      <c r="N45" s="35"/>
      <c r="O45" s="35"/>
      <c r="P45" s="35"/>
      <c r="Q45" s="35"/>
    </row>
    <row r="46" spans="2:17" ht="15.45" x14ac:dyDescent="0.4">
      <c r="B46" s="7" t="s">
        <v>34</v>
      </c>
      <c r="C46" s="30"/>
      <c r="D46" s="63">
        <f>IF($C$34=0,0,F46/$C$34)</f>
        <v>3800.2413473062443</v>
      </c>
      <c r="E46" s="62"/>
      <c r="F46" s="52">
        <f>F44+F42</f>
        <v>41145.03042768556</v>
      </c>
      <c r="G46" s="60"/>
      <c r="H46" s="173"/>
      <c r="I46" s="50"/>
      <c r="J46" s="50"/>
      <c r="K46" s="35"/>
      <c r="L46" s="35"/>
      <c r="M46" s="35"/>
      <c r="N46" s="35"/>
      <c r="O46" s="35"/>
      <c r="P46" s="35"/>
      <c r="Q46" s="35"/>
    </row>
    <row r="47" spans="2:17" ht="15.45" x14ac:dyDescent="0.4">
      <c r="B47" s="7"/>
      <c r="C47" s="30" t="s">
        <v>110</v>
      </c>
      <c r="D47" s="16"/>
      <c r="E47" s="18"/>
      <c r="F47" s="52"/>
      <c r="G47" s="60"/>
      <c r="H47" s="61"/>
      <c r="I47" s="50"/>
      <c r="J47" s="50"/>
      <c r="K47" s="35"/>
      <c r="L47" s="35"/>
      <c r="M47" s="35"/>
      <c r="N47" s="35"/>
      <c r="O47" s="35"/>
      <c r="P47" s="35"/>
      <c r="Q47" s="35"/>
    </row>
    <row r="48" spans="2:17" ht="15.45" x14ac:dyDescent="0.4">
      <c r="B48" s="7" t="s">
        <v>111</v>
      </c>
      <c r="C48" s="33">
        <v>5</v>
      </c>
      <c r="D48" s="106">
        <f>IF(E5=0,0,60/C34)</f>
        <v>5.5417259014821116</v>
      </c>
      <c r="E48" s="64"/>
      <c r="F48" s="52">
        <f>IF(E5=0,0,N34)</f>
        <v>933.19450140028755</v>
      </c>
      <c r="G48" s="60"/>
      <c r="H48" s="173">
        <f>IF($F48=0," ",F48/$F$56)</f>
        <v>2.2287141808229809E-2</v>
      </c>
      <c r="I48" s="66"/>
      <c r="J48" s="12"/>
    </row>
    <row r="49" spans="2:13" ht="15.45" x14ac:dyDescent="0.4">
      <c r="B49" s="7" t="s">
        <v>201</v>
      </c>
      <c r="C49" s="19"/>
      <c r="D49" s="106"/>
      <c r="E49" s="64"/>
      <c r="F49" s="52">
        <f>F46+F48</f>
        <v>42078.224929085845</v>
      </c>
      <c r="G49" s="60"/>
      <c r="H49" s="173"/>
      <c r="I49" s="66"/>
      <c r="J49" s="12"/>
    </row>
    <row r="50" spans="2:13" ht="15.45" x14ac:dyDescent="0.4">
      <c r="B50" s="7"/>
      <c r="C50" s="19"/>
      <c r="D50" s="106"/>
      <c r="E50" s="64"/>
      <c r="F50" s="52"/>
      <c r="G50" s="60"/>
      <c r="H50" s="173"/>
      <c r="I50" s="66"/>
      <c r="J50" s="12"/>
    </row>
    <row r="51" spans="2:13" ht="15.45" x14ac:dyDescent="0.4">
      <c r="B51" s="7"/>
      <c r="C51" s="167" t="s">
        <v>137</v>
      </c>
      <c r="D51" s="106"/>
      <c r="E51" s="64"/>
      <c r="F51" s="52"/>
      <c r="G51" s="60"/>
      <c r="H51" s="173"/>
      <c r="I51" s="66"/>
      <c r="J51" s="12"/>
    </row>
    <row r="52" spans="2:13" ht="15.45" x14ac:dyDescent="0.4">
      <c r="B52" s="7"/>
      <c r="C52" s="167" t="s">
        <v>135</v>
      </c>
      <c r="D52" s="47"/>
      <c r="E52" s="64"/>
      <c r="F52" s="7" t="s">
        <v>138</v>
      </c>
      <c r="G52" s="60"/>
      <c r="H52" s="65"/>
      <c r="I52" s="66"/>
      <c r="J52" s="12"/>
    </row>
    <row r="53" spans="2:13" ht="15.45" x14ac:dyDescent="0.4">
      <c r="B53" s="7" t="s">
        <v>155</v>
      </c>
      <c r="C53" s="241">
        <f>E19</f>
        <v>0.22195251477000003</v>
      </c>
      <c r="D53" s="106"/>
      <c r="E53" s="64"/>
      <c r="F53" s="52">
        <f>G22</f>
        <v>206.794782054</v>
      </c>
      <c r="G53" s="60"/>
      <c r="H53" s="173"/>
      <c r="I53" s="66"/>
      <c r="J53" s="12"/>
    </row>
    <row r="54" spans="2:13" ht="15.45" x14ac:dyDescent="0.4">
      <c r="B54" s="7"/>
      <c r="C54" s="166"/>
      <c r="D54" s="52"/>
      <c r="E54" s="64"/>
      <c r="F54" s="52"/>
      <c r="G54" s="60"/>
      <c r="H54" s="173"/>
      <c r="I54" s="66"/>
      <c r="J54" s="12"/>
    </row>
    <row r="55" spans="2:13" ht="15.45" x14ac:dyDescent="0.4">
      <c r="B55" s="7" t="s">
        <v>270</v>
      </c>
      <c r="C55" s="260">
        <f>'1. Bull Needs &amp; Costs'!D20</f>
        <v>0.60499999999999998</v>
      </c>
      <c r="D55" s="52" t="s">
        <v>269</v>
      </c>
      <c r="E55" s="64"/>
      <c r="F55" s="7" t="s">
        <v>156</v>
      </c>
      <c r="G55" s="60"/>
      <c r="H55" s="65"/>
      <c r="I55" s="66"/>
      <c r="J55" s="12"/>
    </row>
    <row r="56" spans="2:13" ht="15.45" x14ac:dyDescent="0.4">
      <c r="B56" s="115" t="s">
        <v>291</v>
      </c>
      <c r="C56" s="261">
        <f>C19-C55</f>
        <v>9.9999994252299995</v>
      </c>
      <c r="D56" s="126">
        <f>IF(E5=0,0,F56/C56)</f>
        <v>4187.1432553676177</v>
      </c>
      <c r="E56" s="188"/>
      <c r="F56" s="126">
        <f>F46+F48-F53</f>
        <v>41871.430147031846</v>
      </c>
      <c r="G56" s="60"/>
      <c r="H56" s="173">
        <f>IF($F56=0," ",F56/$F$56)</f>
        <v>1</v>
      </c>
      <c r="I56" s="186"/>
      <c r="J56" s="12"/>
    </row>
    <row r="57" spans="2:13" ht="15.45" x14ac:dyDescent="0.4">
      <c r="B57" s="7"/>
      <c r="D57" s="21"/>
      <c r="F57" s="21"/>
      <c r="G57" s="15"/>
      <c r="H57" s="87"/>
      <c r="J57" s="5"/>
      <c r="K57" s="46"/>
      <c r="L57" s="177"/>
      <c r="M57" s="46"/>
    </row>
    <row r="58" spans="2:13" x14ac:dyDescent="0.35">
      <c r="B58" t="s">
        <v>112</v>
      </c>
      <c r="E58" s="177">
        <f>'1. Bull Needs &amp; Costs'!C20</f>
        <v>10.605</v>
      </c>
      <c r="F58" s="46" t="s">
        <v>216</v>
      </c>
      <c r="I58" s="12"/>
    </row>
    <row r="59" spans="2:13" x14ac:dyDescent="0.35">
      <c r="B59" s="35" t="s">
        <v>202</v>
      </c>
      <c r="I59" s="12"/>
    </row>
    <row r="60" spans="2:13" ht="15.45" x14ac:dyDescent="0.4">
      <c r="B60" s="18" t="s">
        <v>136</v>
      </c>
      <c r="C60" s="30"/>
      <c r="D60" s="16"/>
      <c r="E60" s="7"/>
      <c r="F60" s="16"/>
      <c r="H60" s="68"/>
      <c r="I60" s="12"/>
    </row>
    <row r="61" spans="2:13" ht="15.45" x14ac:dyDescent="0.4">
      <c r="B61" s="5"/>
      <c r="D61" s="5"/>
      <c r="E61" s="5"/>
      <c r="F61" s="5"/>
      <c r="H61" s="7"/>
      <c r="I61" s="7"/>
      <c r="K61" s="18"/>
    </row>
    <row r="62" spans="2:13" ht="15.45" x14ac:dyDescent="0.4">
      <c r="B62" s="7"/>
      <c r="C62" s="30"/>
      <c r="D62" s="16"/>
      <c r="E62" s="7"/>
      <c r="F62" s="16"/>
      <c r="H62" s="16"/>
      <c r="I62" s="30"/>
      <c r="J62" s="7"/>
    </row>
    <row r="64" spans="2:13" ht="15.45" x14ac:dyDescent="0.4">
      <c r="B64" s="7"/>
      <c r="F64" s="69"/>
    </row>
    <row r="66" spans="1:17" x14ac:dyDescent="0.35">
      <c r="D66" s="70"/>
    </row>
    <row r="67" spans="1:17" x14ac:dyDescent="0.35">
      <c r="A67" s="5"/>
      <c r="B67" s="5"/>
      <c r="C67" s="5"/>
      <c r="D67" s="71"/>
      <c r="E67" s="72"/>
      <c r="F67" s="39"/>
      <c r="G67" s="73"/>
      <c r="H67" s="5"/>
      <c r="I67" s="5"/>
      <c r="J67" s="5"/>
      <c r="K67" s="5"/>
      <c r="L67" s="5"/>
      <c r="M67" s="5"/>
      <c r="N67" s="5"/>
      <c r="O67" s="5"/>
      <c r="P67" s="5"/>
      <c r="Q67" s="5"/>
    </row>
    <row r="68" spans="1:17" ht="15.45" x14ac:dyDescent="0.4">
      <c r="A68" s="5"/>
      <c r="B68" s="5"/>
      <c r="C68" s="5"/>
      <c r="D68" s="71"/>
      <c r="E68" s="7"/>
      <c r="F68" s="7"/>
      <c r="G68" s="59"/>
      <c r="H68" s="5"/>
      <c r="I68" s="5"/>
      <c r="J68" s="5"/>
      <c r="K68" s="5"/>
      <c r="L68" s="5"/>
      <c r="M68" s="5"/>
      <c r="N68" s="5"/>
      <c r="O68" s="5"/>
      <c r="P68" s="5"/>
      <c r="Q68" s="5"/>
    </row>
    <row r="69" spans="1:17" x14ac:dyDescent="0.35">
      <c r="A69" s="5"/>
      <c r="B69" s="5"/>
      <c r="C69" s="5"/>
      <c r="D69" s="71"/>
      <c r="E69" s="72"/>
      <c r="F69" s="39"/>
      <c r="G69" s="73"/>
      <c r="H69" s="5"/>
      <c r="I69" s="5"/>
      <c r="J69" s="5"/>
      <c r="K69" s="5"/>
      <c r="L69" s="5"/>
      <c r="M69" s="5"/>
      <c r="N69" s="5"/>
      <c r="O69" s="5"/>
      <c r="P69" s="5"/>
      <c r="Q69" s="5"/>
    </row>
    <row r="70" spans="1:17" x14ac:dyDescent="0.35">
      <c r="A70" s="5"/>
      <c r="B70" s="5"/>
      <c r="C70" s="5"/>
      <c r="D70" s="71"/>
      <c r="E70" s="72"/>
      <c r="F70" s="39"/>
      <c r="G70" s="73"/>
      <c r="H70" s="5"/>
      <c r="I70" s="5"/>
      <c r="J70" s="5"/>
      <c r="K70" s="5"/>
      <c r="L70" s="5"/>
      <c r="M70" s="5"/>
      <c r="N70" s="5"/>
      <c r="O70" s="5"/>
      <c r="P70" s="5"/>
      <c r="Q70" s="5"/>
    </row>
    <row r="71" spans="1:17" x14ac:dyDescent="0.35">
      <c r="A71" s="5"/>
      <c r="B71" s="5"/>
      <c r="C71" s="5"/>
      <c r="D71" s="71"/>
      <c r="E71" s="72"/>
      <c r="F71" s="39"/>
      <c r="G71" s="73"/>
      <c r="H71" s="5"/>
      <c r="I71" s="5"/>
      <c r="J71" s="5"/>
      <c r="K71" s="5"/>
      <c r="L71" s="5"/>
      <c r="M71" s="5"/>
      <c r="N71" s="5"/>
      <c r="O71" s="5"/>
      <c r="P71" s="5"/>
      <c r="Q71" s="5"/>
    </row>
    <row r="72" spans="1:17" x14ac:dyDescent="0.35">
      <c r="A72" s="5"/>
      <c r="B72" s="5"/>
      <c r="C72" s="5"/>
      <c r="D72" s="71"/>
      <c r="E72" s="72"/>
      <c r="F72" s="39"/>
      <c r="G72" s="73"/>
      <c r="H72" s="5"/>
      <c r="I72" s="5"/>
      <c r="J72" s="5"/>
      <c r="K72" s="5"/>
      <c r="L72" s="5"/>
      <c r="M72" s="5"/>
      <c r="N72" s="5"/>
      <c r="O72" s="5"/>
      <c r="P72" s="5"/>
      <c r="Q72" s="5"/>
    </row>
    <row r="73" spans="1:17" x14ac:dyDescent="0.35">
      <c r="A73" s="5"/>
      <c r="B73" s="5"/>
      <c r="C73" s="5"/>
      <c r="D73" s="71"/>
      <c r="E73" s="72"/>
      <c r="F73" s="39"/>
      <c r="G73" s="73"/>
      <c r="H73" s="5"/>
      <c r="I73" s="5"/>
      <c r="J73" s="5"/>
      <c r="K73" s="5"/>
      <c r="L73" s="5"/>
      <c r="M73" s="5"/>
      <c r="N73" s="5"/>
      <c r="O73" s="5"/>
      <c r="P73" s="5"/>
      <c r="Q73" s="5"/>
    </row>
    <row r="74" spans="1:17" x14ac:dyDescent="0.35">
      <c r="A74" s="5"/>
      <c r="B74" s="5"/>
      <c r="C74" s="5"/>
      <c r="D74" s="71"/>
      <c r="E74" s="72"/>
      <c r="F74" s="39"/>
      <c r="G74" s="73"/>
      <c r="H74" s="5"/>
      <c r="I74" s="5"/>
      <c r="J74" s="5"/>
      <c r="K74" s="5"/>
      <c r="L74" s="5"/>
      <c r="M74" s="5"/>
      <c r="N74" s="5"/>
      <c r="O74" s="5"/>
      <c r="P74" s="5"/>
      <c r="Q74" s="5"/>
    </row>
    <row r="75" spans="1:17" ht="15.45" x14ac:dyDescent="0.4">
      <c r="A75" s="5"/>
      <c r="B75" s="5"/>
      <c r="C75" s="5"/>
      <c r="D75" s="7"/>
      <c r="E75" s="7"/>
      <c r="F75" s="7"/>
      <c r="G75" s="59"/>
      <c r="H75" s="5"/>
      <c r="I75" s="5"/>
      <c r="J75" s="5"/>
      <c r="K75" s="5"/>
      <c r="L75" s="5"/>
      <c r="M75" s="5"/>
      <c r="N75" s="5"/>
      <c r="O75" s="5"/>
      <c r="P75" s="5"/>
      <c r="Q75" s="5"/>
    </row>
    <row r="76" spans="1:17" ht="15.45" x14ac:dyDescent="0.4">
      <c r="A76" s="5"/>
      <c r="B76" s="5"/>
      <c r="C76" s="5"/>
      <c r="D76" s="7"/>
      <c r="E76" s="10"/>
      <c r="F76" s="74"/>
      <c r="G76" s="75"/>
      <c r="H76" s="5"/>
      <c r="I76" s="5"/>
      <c r="J76" s="5"/>
      <c r="K76" s="5"/>
      <c r="L76" s="5"/>
      <c r="M76" s="5"/>
      <c r="N76" s="5"/>
      <c r="O76" s="5"/>
      <c r="P76" s="5"/>
      <c r="Q76" s="5"/>
    </row>
    <row r="77" spans="1:17" ht="15.45" x14ac:dyDescent="0.4">
      <c r="A77" s="5"/>
      <c r="B77" s="7"/>
      <c r="C77" s="7"/>
      <c r="D77" s="76"/>
      <c r="E77" s="5"/>
      <c r="F77" s="77"/>
      <c r="G77" s="73"/>
      <c r="H77" s="5"/>
      <c r="I77" s="5"/>
      <c r="J77" s="5"/>
      <c r="K77" s="5"/>
      <c r="L77" s="5"/>
      <c r="M77" s="5"/>
      <c r="N77" s="5"/>
      <c r="O77" s="5"/>
      <c r="P77" s="5"/>
      <c r="Q77" s="5"/>
    </row>
    <row r="78" spans="1:17" x14ac:dyDescent="0.35">
      <c r="A78" s="5"/>
      <c r="B78" s="5"/>
      <c r="C78" s="5"/>
      <c r="D78" s="71"/>
      <c r="E78" s="5"/>
      <c r="F78" s="72"/>
      <c r="G78" s="73"/>
      <c r="H78" s="5"/>
      <c r="I78" s="5"/>
      <c r="J78" s="5"/>
      <c r="K78" s="5"/>
      <c r="L78" s="5"/>
      <c r="M78" s="5"/>
      <c r="N78" s="5"/>
      <c r="O78" s="5"/>
      <c r="P78" s="5"/>
      <c r="Q78" s="5"/>
    </row>
    <row r="79" spans="1:17" x14ac:dyDescent="0.35">
      <c r="A79" s="5"/>
      <c r="B79" s="5"/>
      <c r="C79" s="5"/>
      <c r="D79" s="71"/>
      <c r="E79" s="5"/>
      <c r="F79" s="72"/>
      <c r="G79" s="73"/>
      <c r="H79" s="5"/>
      <c r="I79" s="5"/>
      <c r="J79" s="5"/>
      <c r="K79" s="5"/>
      <c r="L79" s="5"/>
      <c r="M79" s="5"/>
      <c r="N79" s="5"/>
      <c r="O79" s="5"/>
      <c r="P79" s="5"/>
      <c r="Q79" s="5"/>
    </row>
    <row r="80" spans="1:17" x14ac:dyDescent="0.35">
      <c r="A80" s="5"/>
      <c r="B80" s="5"/>
      <c r="C80" s="5"/>
      <c r="D80" s="71"/>
      <c r="E80" s="5"/>
      <c r="F80" s="72"/>
      <c r="G80" s="73"/>
      <c r="H80" s="5"/>
      <c r="I80" s="5"/>
      <c r="J80" s="5"/>
      <c r="K80" s="5"/>
      <c r="L80" s="5"/>
      <c r="M80" s="5"/>
      <c r="N80" s="5"/>
      <c r="O80" s="5"/>
      <c r="P80" s="5"/>
      <c r="Q80" s="5"/>
    </row>
    <row r="81" spans="1:17" x14ac:dyDescent="0.35">
      <c r="A81" s="5"/>
      <c r="B81" s="5"/>
      <c r="C81" s="5"/>
      <c r="D81" s="71"/>
      <c r="E81" s="5"/>
      <c r="F81" s="72"/>
      <c r="G81" s="73"/>
      <c r="H81" s="5"/>
      <c r="I81" s="5"/>
      <c r="J81" s="5"/>
      <c r="K81" s="5"/>
      <c r="L81" s="5"/>
      <c r="M81" s="5"/>
      <c r="N81" s="5"/>
      <c r="O81" s="5"/>
      <c r="P81" s="5"/>
      <c r="Q81" s="5"/>
    </row>
    <row r="82" spans="1:17" x14ac:dyDescent="0.35">
      <c r="A82" s="5"/>
      <c r="B82" s="5"/>
      <c r="C82" s="5"/>
      <c r="D82" s="71"/>
      <c r="E82" s="5"/>
      <c r="F82" s="72"/>
      <c r="G82" s="73"/>
      <c r="H82" s="5"/>
      <c r="I82" s="5"/>
      <c r="J82" s="5"/>
      <c r="K82" s="5"/>
      <c r="L82" s="5"/>
      <c r="M82" s="5"/>
      <c r="N82" s="5"/>
      <c r="O82" s="5"/>
      <c r="P82" s="5"/>
      <c r="Q82" s="5"/>
    </row>
    <row r="83" spans="1:17" x14ac:dyDescent="0.35">
      <c r="A83" s="5"/>
      <c r="B83" s="5"/>
      <c r="C83" s="5"/>
      <c r="D83" s="76"/>
      <c r="E83" s="5"/>
      <c r="F83" s="72"/>
      <c r="G83" s="73"/>
      <c r="H83" s="5"/>
      <c r="I83" s="5"/>
      <c r="J83" s="5"/>
      <c r="K83" s="5"/>
      <c r="L83" s="5"/>
      <c r="M83" s="5"/>
      <c r="N83" s="5"/>
      <c r="O83" s="5"/>
      <c r="P83" s="5"/>
      <c r="Q83" s="5"/>
    </row>
    <row r="84" spans="1:17" x14ac:dyDescent="0.35">
      <c r="A84" s="5"/>
      <c r="B84" s="5"/>
      <c r="C84" s="5"/>
      <c r="D84" s="76"/>
      <c r="E84" s="5"/>
      <c r="F84" s="72"/>
      <c r="G84" s="73"/>
      <c r="H84" s="5"/>
      <c r="I84" s="5"/>
      <c r="J84" s="5"/>
      <c r="K84" s="5"/>
      <c r="L84" s="5"/>
      <c r="M84" s="5"/>
      <c r="N84" s="5"/>
      <c r="O84" s="5"/>
      <c r="P84" s="5"/>
      <c r="Q84" s="5"/>
    </row>
    <row r="85" spans="1:17" ht="15.45" x14ac:dyDescent="0.4">
      <c r="A85" s="5"/>
      <c r="B85" s="5"/>
      <c r="C85" s="5"/>
      <c r="D85" s="7"/>
      <c r="E85" s="5"/>
      <c r="F85" s="78"/>
      <c r="G85" s="75"/>
      <c r="H85" s="5"/>
      <c r="I85" s="5"/>
      <c r="J85" s="5"/>
      <c r="K85" s="5"/>
      <c r="L85" s="5"/>
      <c r="M85" s="5"/>
      <c r="N85" s="5"/>
      <c r="O85" s="5"/>
      <c r="P85" s="5"/>
      <c r="Q85" s="5"/>
    </row>
    <row r="86" spans="1:17" ht="15.45" x14ac:dyDescent="0.4">
      <c r="A86" s="5"/>
      <c r="B86" s="7"/>
      <c r="C86" s="5"/>
      <c r="D86" s="79"/>
      <c r="E86" s="5"/>
      <c r="F86" s="78"/>
      <c r="G86" s="73"/>
      <c r="H86" s="5"/>
      <c r="I86" s="5"/>
      <c r="J86" s="5"/>
      <c r="K86" s="5"/>
      <c r="L86" s="5"/>
      <c r="M86" s="5"/>
      <c r="N86" s="5"/>
      <c r="O86" s="5"/>
      <c r="P86" s="5"/>
      <c r="Q86" s="5"/>
    </row>
    <row r="87" spans="1:17" ht="15.45" x14ac:dyDescent="0.4">
      <c r="A87" s="5"/>
      <c r="B87" s="5"/>
      <c r="C87" s="7"/>
      <c r="D87" s="71"/>
      <c r="E87" s="5"/>
      <c r="F87" s="72"/>
      <c r="G87" s="73"/>
      <c r="H87" s="5"/>
      <c r="I87" s="5"/>
      <c r="J87" s="5"/>
      <c r="K87" s="5"/>
      <c r="L87" s="5"/>
      <c r="M87" s="5"/>
      <c r="N87" s="5"/>
      <c r="O87" s="5"/>
      <c r="P87" s="5"/>
      <c r="Q87" s="5"/>
    </row>
    <row r="88" spans="1:17" x14ac:dyDescent="0.35">
      <c r="A88" s="5"/>
      <c r="B88" s="5"/>
      <c r="C88" s="5"/>
      <c r="D88" s="71"/>
      <c r="E88" s="5"/>
      <c r="F88" s="72"/>
      <c r="G88" s="73"/>
      <c r="H88" s="5"/>
      <c r="I88" s="5"/>
      <c r="J88" s="5"/>
      <c r="K88" s="5"/>
      <c r="L88" s="5"/>
      <c r="M88" s="5"/>
      <c r="N88" s="5"/>
      <c r="O88" s="5"/>
      <c r="P88" s="5"/>
      <c r="Q88" s="5"/>
    </row>
    <row r="89" spans="1:17" x14ac:dyDescent="0.35">
      <c r="A89" s="5"/>
      <c r="B89" s="80"/>
      <c r="C89" s="80"/>
      <c r="D89" s="71"/>
      <c r="E89" s="5"/>
      <c r="F89" s="72"/>
      <c r="G89" s="73"/>
      <c r="H89" s="5"/>
      <c r="I89" s="5"/>
      <c r="J89" s="5"/>
      <c r="K89" s="5"/>
      <c r="L89" s="5"/>
      <c r="M89" s="5"/>
      <c r="N89" s="5"/>
      <c r="O89" s="5"/>
      <c r="P89" s="5"/>
      <c r="Q89" s="5"/>
    </row>
    <row r="90" spans="1:17" x14ac:dyDescent="0.35">
      <c r="A90" s="5"/>
      <c r="B90" s="80"/>
      <c r="C90" s="80"/>
      <c r="D90" s="71"/>
      <c r="E90" s="5"/>
      <c r="F90" s="72"/>
      <c r="G90" s="73"/>
      <c r="H90" s="5"/>
      <c r="I90" s="5"/>
      <c r="J90" s="5"/>
      <c r="K90" s="5"/>
      <c r="L90" s="5"/>
      <c r="M90" s="5"/>
      <c r="N90" s="5"/>
      <c r="O90" s="5"/>
      <c r="P90" s="5"/>
      <c r="Q90" s="5"/>
    </row>
    <row r="91" spans="1:17" x14ac:dyDescent="0.35">
      <c r="A91" s="5"/>
      <c r="B91" s="80"/>
      <c r="C91" s="80"/>
      <c r="D91" s="71"/>
      <c r="E91" s="5"/>
      <c r="F91" s="72"/>
      <c r="G91" s="73"/>
      <c r="H91" s="5"/>
      <c r="I91" s="5"/>
      <c r="J91" s="5"/>
      <c r="K91" s="5"/>
      <c r="L91" s="5"/>
      <c r="M91" s="5"/>
      <c r="N91" s="5"/>
      <c r="O91" s="5"/>
      <c r="P91" s="5"/>
      <c r="Q91" s="5"/>
    </row>
    <row r="92" spans="1:17" ht="15.45" x14ac:dyDescent="0.4">
      <c r="A92" s="5"/>
      <c r="B92" s="80"/>
      <c r="C92" s="80"/>
      <c r="D92" s="71"/>
      <c r="E92" s="7"/>
      <c r="F92" s="72"/>
      <c r="G92" s="73"/>
      <c r="H92" s="5"/>
      <c r="I92" s="5"/>
      <c r="J92" s="5"/>
      <c r="K92" s="5"/>
      <c r="L92" s="5"/>
      <c r="M92" s="5"/>
      <c r="N92" s="5"/>
      <c r="O92" s="5"/>
      <c r="P92" s="5"/>
      <c r="Q92" s="5"/>
    </row>
    <row r="93" spans="1:17" x14ac:dyDescent="0.35">
      <c r="A93" s="5"/>
      <c r="B93" s="80"/>
      <c r="C93" s="80"/>
      <c r="D93" s="71"/>
      <c r="E93" s="5"/>
      <c r="F93" s="72"/>
      <c r="G93" s="73"/>
      <c r="H93" s="5"/>
      <c r="I93" s="5"/>
      <c r="J93" s="5"/>
      <c r="K93" s="5"/>
      <c r="L93" s="5"/>
      <c r="M93" s="5"/>
      <c r="N93" s="5"/>
      <c r="O93" s="5"/>
      <c r="P93" s="5"/>
      <c r="Q93" s="5"/>
    </row>
    <row r="94" spans="1:17" ht="15.45" x14ac:dyDescent="0.4">
      <c r="A94" s="5"/>
      <c r="B94" s="5"/>
      <c r="C94" s="5"/>
      <c r="D94" s="76"/>
      <c r="E94" s="7"/>
      <c r="F94" s="5"/>
      <c r="G94" s="81"/>
      <c r="H94" s="5"/>
      <c r="I94" s="5"/>
      <c r="J94" s="5"/>
      <c r="K94" s="5"/>
      <c r="L94" s="5"/>
      <c r="M94" s="5"/>
      <c r="N94" s="5"/>
      <c r="O94" s="5"/>
      <c r="P94" s="5"/>
      <c r="Q94" s="5"/>
    </row>
    <row r="95" spans="1:17" x14ac:dyDescent="0.35">
      <c r="A95" s="5"/>
      <c r="B95" s="5"/>
      <c r="C95" s="5"/>
      <c r="D95" s="5"/>
      <c r="E95" s="5"/>
      <c r="F95" s="5"/>
      <c r="G95" s="5"/>
      <c r="H95" s="5"/>
      <c r="I95" s="5"/>
      <c r="J95" s="5"/>
      <c r="K95" s="5"/>
      <c r="L95" s="5"/>
      <c r="M95" s="5"/>
      <c r="N95" s="5"/>
      <c r="O95" s="5"/>
      <c r="P95" s="5"/>
      <c r="Q95" s="5"/>
    </row>
    <row r="96" spans="1:17" ht="15.45" x14ac:dyDescent="0.4">
      <c r="A96" s="5"/>
      <c r="B96" s="5"/>
      <c r="C96" s="5"/>
      <c r="D96" s="5"/>
      <c r="E96" s="5"/>
      <c r="F96" s="7"/>
      <c r="G96" s="7"/>
      <c r="H96" s="5"/>
      <c r="I96" s="5"/>
      <c r="J96" s="5"/>
      <c r="K96" s="5"/>
      <c r="L96" s="5"/>
      <c r="M96" s="5"/>
      <c r="N96" s="5"/>
      <c r="O96" s="5"/>
      <c r="P96" s="5"/>
      <c r="Q96" s="5"/>
    </row>
    <row r="97" spans="1:17" x14ac:dyDescent="0.35">
      <c r="A97" s="5"/>
      <c r="B97" s="5"/>
      <c r="C97" s="5"/>
      <c r="D97" s="5"/>
      <c r="E97" s="5"/>
      <c r="F97" s="5"/>
      <c r="G97" s="5"/>
      <c r="H97" s="5"/>
      <c r="I97" s="5"/>
      <c r="J97" s="5"/>
      <c r="K97" s="5"/>
      <c r="L97" s="5"/>
      <c r="M97" s="5"/>
      <c r="N97" s="5"/>
      <c r="O97" s="5"/>
      <c r="P97" s="5"/>
      <c r="Q97" s="5"/>
    </row>
    <row r="98" spans="1:17" x14ac:dyDescent="0.35">
      <c r="A98" s="5"/>
      <c r="B98" s="5"/>
      <c r="C98" s="5"/>
      <c r="D98" s="5"/>
      <c r="E98" s="5"/>
      <c r="F98" s="5"/>
      <c r="G98" s="5"/>
      <c r="H98" s="5"/>
      <c r="I98" s="5"/>
      <c r="J98" s="5"/>
      <c r="K98" s="5"/>
      <c r="L98" s="5"/>
      <c r="M98" s="5"/>
      <c r="N98" s="5"/>
      <c r="O98" s="5"/>
      <c r="P98" s="5"/>
      <c r="Q98" s="5"/>
    </row>
    <row r="99" spans="1:17" x14ac:dyDescent="0.35">
      <c r="A99" s="5"/>
      <c r="B99" s="5"/>
      <c r="C99" s="5"/>
      <c r="D99" s="5"/>
      <c r="E99" s="5"/>
      <c r="F99" s="5"/>
      <c r="G99" s="5"/>
      <c r="H99" s="5"/>
      <c r="I99" s="5"/>
      <c r="J99" s="5"/>
      <c r="K99" s="5"/>
      <c r="L99" s="5"/>
      <c r="M99" s="5"/>
      <c r="N99" s="5"/>
      <c r="O99" s="5"/>
      <c r="P99" s="5"/>
      <c r="Q99" s="5"/>
    </row>
    <row r="100" spans="1:17" x14ac:dyDescent="0.35">
      <c r="A100" s="5"/>
      <c r="B100" s="5"/>
      <c r="C100" s="5"/>
      <c r="D100" s="5"/>
      <c r="E100" s="5"/>
      <c r="F100" s="5"/>
      <c r="G100" s="5"/>
      <c r="H100" s="5"/>
      <c r="I100" s="5"/>
      <c r="J100" s="5"/>
      <c r="K100" s="5"/>
      <c r="L100" s="5"/>
      <c r="M100" s="5"/>
      <c r="N100" s="5"/>
      <c r="O100" s="5"/>
      <c r="P100" s="5"/>
      <c r="Q100" s="5"/>
    </row>
    <row r="101" spans="1:17" x14ac:dyDescent="0.35">
      <c r="A101" s="5"/>
      <c r="B101" s="5"/>
      <c r="C101" s="5"/>
      <c r="D101" s="5"/>
      <c r="E101" s="5"/>
      <c r="F101" s="5"/>
      <c r="G101" s="5"/>
      <c r="H101" s="5"/>
      <c r="I101" s="5"/>
      <c r="J101" s="5"/>
      <c r="K101" s="5"/>
      <c r="L101" s="5"/>
      <c r="M101" s="5"/>
      <c r="N101" s="5"/>
      <c r="O101" s="5"/>
      <c r="P101" s="5"/>
      <c r="Q101" s="5"/>
    </row>
    <row r="102" spans="1:17" x14ac:dyDescent="0.35">
      <c r="A102" s="5"/>
      <c r="B102" s="5"/>
      <c r="C102" s="5"/>
      <c r="D102" s="5"/>
      <c r="E102" s="5"/>
      <c r="F102" s="5"/>
      <c r="G102" s="5"/>
      <c r="H102" s="5"/>
      <c r="I102" s="5"/>
      <c r="J102" s="5"/>
      <c r="K102" s="5"/>
      <c r="L102" s="5"/>
      <c r="M102" s="5"/>
      <c r="N102" s="5"/>
      <c r="O102" s="5"/>
      <c r="P102" s="5"/>
      <c r="Q102" s="5"/>
    </row>
    <row r="103" spans="1:17" x14ac:dyDescent="0.35">
      <c r="A103" s="5"/>
      <c r="B103" s="5"/>
      <c r="C103" s="5"/>
      <c r="D103" s="5"/>
      <c r="E103" s="5"/>
      <c r="F103" s="5"/>
      <c r="G103" s="5"/>
      <c r="H103" s="5"/>
      <c r="I103" s="5"/>
      <c r="J103" s="5"/>
      <c r="K103" s="5"/>
      <c r="L103" s="5"/>
      <c r="M103" s="5"/>
      <c r="N103" s="5"/>
      <c r="O103" s="5"/>
      <c r="P103" s="5"/>
      <c r="Q103" s="5"/>
    </row>
    <row r="104" spans="1:17" x14ac:dyDescent="0.35">
      <c r="A104" s="5"/>
      <c r="B104" s="5"/>
      <c r="C104" s="5"/>
      <c r="D104" s="5"/>
      <c r="E104" s="5"/>
      <c r="F104" s="5"/>
      <c r="G104" s="5"/>
      <c r="H104" s="5"/>
      <c r="I104" s="5"/>
      <c r="J104" s="5"/>
      <c r="K104" s="5"/>
      <c r="L104" s="5"/>
      <c r="M104" s="5"/>
      <c r="N104" s="5"/>
      <c r="O104" s="5"/>
      <c r="P104" s="5"/>
      <c r="Q104" s="5"/>
    </row>
    <row r="105" spans="1:17" x14ac:dyDescent="0.35">
      <c r="A105" s="5"/>
      <c r="B105" s="5"/>
      <c r="C105" s="5"/>
      <c r="D105" s="5"/>
      <c r="E105" s="5"/>
      <c r="F105" s="5"/>
      <c r="G105" s="5"/>
      <c r="H105" s="5"/>
      <c r="I105" s="5"/>
      <c r="J105" s="5"/>
      <c r="K105" s="5"/>
      <c r="L105" s="5"/>
      <c r="M105" s="5"/>
      <c r="N105" s="5"/>
      <c r="O105" s="5"/>
      <c r="P105" s="5"/>
      <c r="Q105" s="5"/>
    </row>
    <row r="106" spans="1:17" x14ac:dyDescent="0.35">
      <c r="A106" s="5"/>
      <c r="B106" s="5"/>
      <c r="C106" s="5"/>
      <c r="D106" s="5"/>
      <c r="E106" s="5"/>
      <c r="F106" s="5"/>
      <c r="G106" s="5"/>
      <c r="H106" s="5"/>
      <c r="I106" s="5"/>
      <c r="J106" s="5"/>
      <c r="K106" s="5"/>
      <c r="L106" s="5"/>
      <c r="M106" s="5"/>
      <c r="N106" s="5"/>
      <c r="O106" s="5"/>
      <c r="P106" s="5"/>
      <c r="Q106" s="5"/>
    </row>
    <row r="107" spans="1:17" x14ac:dyDescent="0.35">
      <c r="A107" s="5"/>
      <c r="B107" s="5"/>
      <c r="C107" s="5"/>
      <c r="D107" s="5"/>
      <c r="E107" s="5"/>
      <c r="F107" s="5"/>
      <c r="G107" s="5"/>
      <c r="H107" s="5"/>
      <c r="I107" s="5"/>
      <c r="J107" s="5"/>
      <c r="K107" s="5"/>
      <c r="L107" s="5"/>
      <c r="M107" s="5"/>
      <c r="N107" s="5"/>
      <c r="O107" s="5"/>
      <c r="P107" s="5"/>
      <c r="Q107" s="5"/>
    </row>
    <row r="108" spans="1:17" x14ac:dyDescent="0.35">
      <c r="A108" s="5"/>
      <c r="B108" s="5"/>
      <c r="C108" s="5"/>
      <c r="D108" s="5"/>
      <c r="E108" s="5"/>
      <c r="F108" s="5"/>
      <c r="G108" s="5"/>
      <c r="H108" s="5"/>
      <c r="I108" s="5"/>
      <c r="J108" s="5"/>
      <c r="K108" s="5"/>
      <c r="L108" s="5"/>
      <c r="M108" s="5"/>
      <c r="N108" s="5"/>
      <c r="O108" s="5"/>
      <c r="P108" s="5"/>
      <c r="Q108" s="5"/>
    </row>
    <row r="109" spans="1:17" x14ac:dyDescent="0.35">
      <c r="A109" s="5"/>
      <c r="B109" s="5"/>
      <c r="C109" s="5"/>
      <c r="D109" s="5"/>
      <c r="E109" s="5"/>
      <c r="F109" s="5"/>
      <c r="G109" s="5"/>
      <c r="H109" s="5"/>
      <c r="I109" s="5"/>
      <c r="J109" s="5"/>
      <c r="K109" s="5"/>
      <c r="L109" s="5"/>
      <c r="M109" s="5"/>
      <c r="N109" s="5"/>
      <c r="O109" s="5"/>
      <c r="P109" s="5"/>
      <c r="Q109" s="5"/>
    </row>
  </sheetData>
  <sheetProtection sheet="1" objects="1" scenarios="1"/>
  <mergeCells count="2">
    <mergeCell ref="C3:G3"/>
    <mergeCell ref="B1:H1"/>
  </mergeCells>
  <pageMargins left="0.95" right="0.45" top="0.75" bottom="0.75" header="0.3" footer="0.3"/>
  <pageSetup scale="75" orientation="portrait" horizontalDpi="4294967295" verticalDpi="4294967295"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4A291-3B3B-4D7D-AC48-748BCCE6C939}">
  <sheetPr>
    <pageSetUpPr fitToPage="1"/>
  </sheetPr>
  <dimension ref="B2:B23"/>
  <sheetViews>
    <sheetView topLeftCell="A13" workbookViewId="0">
      <selection activeCell="B25" sqref="B25"/>
    </sheetView>
  </sheetViews>
  <sheetFormatPr defaultRowHeight="15" x14ac:dyDescent="0.35"/>
  <cols>
    <col min="1" max="1" width="3.8125" customWidth="1"/>
    <col min="2" max="2" width="91.375" customWidth="1"/>
  </cols>
  <sheetData>
    <row r="2" spans="2:2" ht="15.45" x14ac:dyDescent="0.4">
      <c r="B2" s="167" t="s">
        <v>255</v>
      </c>
    </row>
    <row r="4" spans="2:2" ht="60" customHeight="1" x14ac:dyDescent="0.35">
      <c r="B4" s="189" t="s">
        <v>266</v>
      </c>
    </row>
    <row r="6" spans="2:2" ht="45.45" x14ac:dyDescent="0.35">
      <c r="B6" s="189" t="s">
        <v>304</v>
      </c>
    </row>
    <row r="7" spans="2:2" x14ac:dyDescent="0.35">
      <c r="B7" t="s">
        <v>160</v>
      </c>
    </row>
    <row r="8" spans="2:2" ht="30.45" x14ac:dyDescent="0.35">
      <c r="B8" s="189" t="s">
        <v>161</v>
      </c>
    </row>
    <row r="9" spans="2:2" x14ac:dyDescent="0.35">
      <c r="B9" s="189"/>
    </row>
    <row r="10" spans="2:2" ht="75.45" x14ac:dyDescent="0.35">
      <c r="B10" s="189" t="s">
        <v>305</v>
      </c>
    </row>
    <row r="12" spans="2:2" ht="30.45" x14ac:dyDescent="0.35">
      <c r="B12" s="189" t="s">
        <v>306</v>
      </c>
    </row>
    <row r="13" spans="2:2" ht="50.05" customHeight="1" x14ac:dyDescent="0.35">
      <c r="B13" s="189" t="s">
        <v>302</v>
      </c>
    </row>
    <row r="15" spans="2:2" ht="15.45" x14ac:dyDescent="0.4">
      <c r="B15" s="189" t="s">
        <v>307</v>
      </c>
    </row>
    <row r="16" spans="2:2" ht="90" x14ac:dyDescent="0.35">
      <c r="B16" s="189" t="s">
        <v>303</v>
      </c>
    </row>
    <row r="17" spans="2:2" x14ac:dyDescent="0.35">
      <c r="B17" s="189"/>
    </row>
    <row r="18" spans="2:2" ht="75.45" x14ac:dyDescent="0.35">
      <c r="B18" s="189" t="s">
        <v>308</v>
      </c>
    </row>
    <row r="21" spans="2:2" ht="60.45" x14ac:dyDescent="0.35">
      <c r="B21" s="189" t="s">
        <v>309</v>
      </c>
    </row>
    <row r="22" spans="2:2" x14ac:dyDescent="0.35">
      <c r="B22" s="189"/>
    </row>
    <row r="23" spans="2:2" ht="75.45" x14ac:dyDescent="0.35">
      <c r="B23" s="189" t="s">
        <v>310</v>
      </c>
    </row>
  </sheetData>
  <sheetProtection sheet="1" objects="1" scenarios="1"/>
  <pageMargins left="0.7" right="0.7" top="0.75" bottom="0.75" header="0.3" footer="0.3"/>
  <pageSetup scale="83"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Bull Needs &amp; Costs</vt:lpstr>
      <vt:lpstr>3.Conventional AI Breeding Cost</vt:lpstr>
      <vt:lpstr>2. Exposed Female Cost</vt:lpstr>
      <vt:lpstr>4.Natural Service Breeding Cost</vt:lpstr>
      <vt:lpstr>5. Bulls Total Unit Cost</vt:lpstr>
      <vt:lpstr>Definitions</vt:lpstr>
      <vt:lpstr>'1. Bull Needs &amp; Costs'!Print_Area</vt:lpstr>
      <vt:lpstr>'2. Exposed Female Cost'!Print_Area</vt:lpstr>
      <vt:lpstr>'3.Conventional AI Breeding Cost'!Print_Area</vt:lpstr>
      <vt:lpstr>'4.Natural Service Breeding Cost'!Print_Area</vt:lpstr>
      <vt:lpstr>'5. Bulls Total Unit Cost'!Print_Area</vt:lpstr>
      <vt:lpstr>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2019-04-20T20:49:23Z</cp:lastPrinted>
  <dcterms:created xsi:type="dcterms:W3CDTF">2019-02-14T22:49:57Z</dcterms:created>
  <dcterms:modified xsi:type="dcterms:W3CDTF">2019-04-23T12:33:16Z</dcterms:modified>
</cp:coreProperties>
</file>