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19 Bull BSE\Additions or Revisions 2019\Changed Bull Investment\"/>
    </mc:Choice>
  </mc:AlternateContent>
  <xr:revisionPtr revIDLastSave="0" documentId="13_ncr:1_{4C5CEE09-1623-4E3F-A2B0-8B4CFB6C00E4}" xr6:coauthVersionLast="40" xr6:coauthVersionMax="40" xr10:uidLastSave="{00000000-0000-0000-0000-000000000000}"/>
  <bookViews>
    <workbookView xWindow="120" yWindow="60" windowWidth="15180" windowHeight="9351" xr2:uid="{00000000-000D-0000-FFFF-FFFF00000000}"/>
  </bookViews>
  <sheets>
    <sheet name="1. Owned Bull Cost" sheetId="6" r:id="rId1"/>
    <sheet name="2. Lease Bull Cost" sheetId="5" r:id="rId2"/>
    <sheet name="3. Advantage to Lease Bull" sheetId="4" r:id="rId3"/>
  </sheets>
  <definedNames>
    <definedName name="_xlnm.Print_Area" localSheetId="0">'1. Owned Bull Cost'!$B$1:$I$69</definedName>
    <definedName name="_xlnm.Print_Area" localSheetId="1">'2. Lease Bull Cost'!$B$1:$I$90</definedName>
    <definedName name="_xlnm.Print_Area" localSheetId="2">'3. Advantage to Lease Bull'!$B$2:$G$29</definedName>
  </definedNames>
  <calcPr calcId="181029"/>
</workbook>
</file>

<file path=xl/calcChain.xml><?xml version="1.0" encoding="utf-8"?>
<calcChain xmlns="http://schemas.openxmlformats.org/spreadsheetml/2006/main">
  <c r="H6" i="4" l="1"/>
  <c r="G4" i="4"/>
  <c r="G6" i="4"/>
  <c r="F7" i="4"/>
  <c r="E25" i="5"/>
  <c r="D3" i="6"/>
  <c r="D7" i="6"/>
  <c r="E22" i="4" l="1"/>
  <c r="E23" i="4" s="1"/>
  <c r="E24" i="4" s="1"/>
  <c r="C7" i="4"/>
  <c r="C6" i="4"/>
  <c r="E22" i="5"/>
  <c r="E6" i="6"/>
  <c r="G22" i="6"/>
  <c r="F24" i="6" s="1"/>
  <c r="E11" i="6" s="1"/>
  <c r="E12" i="6"/>
  <c r="E28" i="6"/>
  <c r="F10" i="5"/>
  <c r="L10" i="5" s="1"/>
  <c r="N10" i="5" s="1"/>
  <c r="H7" i="5"/>
  <c r="E14" i="5"/>
  <c r="C42" i="5"/>
  <c r="C62" i="5" s="1"/>
  <c r="F57" i="5"/>
  <c r="G57" i="5" s="1"/>
  <c r="C64" i="6"/>
  <c r="C65" i="6" s="1"/>
  <c r="C66" i="6" s="1"/>
  <c r="C67" i="6" s="1"/>
  <c r="F59" i="6"/>
  <c r="E59" i="6" s="1"/>
  <c r="D59" i="6" s="1"/>
  <c r="C45" i="6"/>
  <c r="C46" i="6" s="1"/>
  <c r="C47" i="6" s="1"/>
  <c r="C48" i="6" s="1"/>
  <c r="C40" i="6"/>
  <c r="G28" i="6"/>
  <c r="I29" i="6" s="1"/>
  <c r="H15" i="6"/>
  <c r="G5" i="6" s="1"/>
  <c r="G3" i="6"/>
  <c r="C37" i="5"/>
  <c r="G14" i="5"/>
  <c r="C41" i="5"/>
  <c r="G4" i="6" l="1"/>
  <c r="G12" i="6"/>
  <c r="F17" i="6"/>
  <c r="C44" i="6"/>
  <c r="C43" i="6" s="1"/>
  <c r="C42" i="6" s="1"/>
  <c r="C63" i="6"/>
  <c r="C62" i="6" s="1"/>
  <c r="C61" i="6" s="1"/>
  <c r="E10" i="6"/>
  <c r="G10" i="6" s="1"/>
  <c r="H10" i="6" s="1"/>
  <c r="G69" i="5"/>
  <c r="H57" i="5"/>
  <c r="H69" i="5" s="1"/>
  <c r="G59" i="6"/>
  <c r="H59" i="6" s="1"/>
  <c r="H5" i="6"/>
  <c r="H4" i="6"/>
  <c r="E57" i="5"/>
  <c r="F69" i="5"/>
  <c r="G6" i="6"/>
  <c r="H6" i="6" s="1"/>
  <c r="E41" i="5"/>
  <c r="F41" i="5" s="1"/>
  <c r="E26" i="5"/>
  <c r="E27" i="5" s="1"/>
  <c r="E9" i="4" s="1"/>
  <c r="G11" i="6"/>
  <c r="H11" i="6" s="1"/>
  <c r="E13" i="6"/>
  <c r="G13" i="6" s="1"/>
  <c r="H13" i="6" s="1"/>
  <c r="H3" i="6"/>
  <c r="H12" i="6"/>
  <c r="E7" i="6"/>
  <c r="C74" i="5"/>
  <c r="C63" i="5"/>
  <c r="H63" i="5" s="1"/>
  <c r="H75" i="5" s="1"/>
  <c r="H62" i="5"/>
  <c r="H74" i="5" s="1"/>
  <c r="C86" i="5"/>
  <c r="G62" i="5"/>
  <c r="G74" i="5" s="1"/>
  <c r="C61" i="5"/>
  <c r="H61" i="5" s="1"/>
  <c r="H73" i="5" s="1"/>
  <c r="C43" i="5"/>
  <c r="E42" i="5"/>
  <c r="I42" i="5" s="1"/>
  <c r="F62" i="5"/>
  <c r="E62" i="5"/>
  <c r="E74" i="5" s="1"/>
  <c r="C85" i="5"/>
  <c r="C40" i="5"/>
  <c r="F42" i="5"/>
  <c r="K42" i="5" s="1"/>
  <c r="E61" i="5"/>
  <c r="E73" i="5" s="1"/>
  <c r="E63" i="5"/>
  <c r="E75" i="5" s="1"/>
  <c r="G27" i="5" l="1"/>
  <c r="F9" i="4" s="1"/>
  <c r="F61" i="5"/>
  <c r="F73" i="5" s="1"/>
  <c r="E69" i="5"/>
  <c r="D57" i="5"/>
  <c r="I41" i="5"/>
  <c r="E46" i="6"/>
  <c r="G61" i="6"/>
  <c r="D63" i="6"/>
  <c r="E62" i="6"/>
  <c r="E64" i="6"/>
  <c r="F63" i="6"/>
  <c r="E44" i="6"/>
  <c r="H62" i="6"/>
  <c r="G65" i="6"/>
  <c r="H66" i="6"/>
  <c r="G67" i="6"/>
  <c r="E48" i="6"/>
  <c r="H63" i="6"/>
  <c r="D61" i="6"/>
  <c r="E63" i="6"/>
  <c r="F64" i="6"/>
  <c r="G7" i="6"/>
  <c r="H7" i="6" s="1"/>
  <c r="E65" i="6"/>
  <c r="E66" i="6"/>
  <c r="F62" i="6"/>
  <c r="F65" i="6"/>
  <c r="E16" i="6"/>
  <c r="E67" i="6"/>
  <c r="E47" i="6"/>
  <c r="H61" i="6"/>
  <c r="E43" i="6"/>
  <c r="E45" i="6"/>
  <c r="F45" i="6" s="1"/>
  <c r="D64" i="6"/>
  <c r="E42" i="6"/>
  <c r="D66" i="6"/>
  <c r="I7" i="6"/>
  <c r="F67" i="6"/>
  <c r="G66" i="6"/>
  <c r="F61" i="6"/>
  <c r="E61" i="6"/>
  <c r="D65" i="6"/>
  <c r="G63" i="6"/>
  <c r="H64" i="6"/>
  <c r="H65" i="6"/>
  <c r="G64" i="6"/>
  <c r="G62" i="6"/>
  <c r="D62" i="6"/>
  <c r="F66" i="6"/>
  <c r="D67" i="6"/>
  <c r="H67" i="6"/>
  <c r="C44" i="5"/>
  <c r="E43" i="5"/>
  <c r="C60" i="5"/>
  <c r="C73" i="5"/>
  <c r="G61" i="5"/>
  <c r="G73" i="5" s="1"/>
  <c r="C75" i="5"/>
  <c r="C64" i="5"/>
  <c r="C87" i="5"/>
  <c r="F63" i="5"/>
  <c r="G63" i="5"/>
  <c r="G75" i="5" s="1"/>
  <c r="G41" i="5"/>
  <c r="H41" i="5" s="1"/>
  <c r="F74" i="5"/>
  <c r="E86" i="5"/>
  <c r="C39" i="5"/>
  <c r="E39" i="5" s="1"/>
  <c r="E40" i="5"/>
  <c r="E85" i="5" l="1"/>
  <c r="H85" i="5" s="1"/>
  <c r="H27" i="5"/>
  <c r="G9" i="4" s="1"/>
  <c r="D69" i="5"/>
  <c r="D62" i="5"/>
  <c r="D74" i="5" s="1"/>
  <c r="D61" i="5"/>
  <c r="D73" i="5" s="1"/>
  <c r="D63" i="5"/>
  <c r="D75" i="5" s="1"/>
  <c r="F47" i="6"/>
  <c r="G47" i="6"/>
  <c r="H47" i="6" s="1"/>
  <c r="G48" i="6"/>
  <c r="H48" i="6" s="1"/>
  <c r="F48" i="6"/>
  <c r="F44" i="6"/>
  <c r="G44" i="6"/>
  <c r="H44" i="6" s="1"/>
  <c r="F43" i="6"/>
  <c r="G43" i="6"/>
  <c r="H43" i="6" s="1"/>
  <c r="E11" i="4"/>
  <c r="E13" i="4" s="1"/>
  <c r="I13" i="6"/>
  <c r="G16" i="6"/>
  <c r="E32" i="6"/>
  <c r="E17" i="6"/>
  <c r="F42" i="6"/>
  <c r="G42" i="6"/>
  <c r="H42" i="6" s="1"/>
  <c r="F46" i="6"/>
  <c r="G46" i="6"/>
  <c r="H46" i="6" s="1"/>
  <c r="G64" i="5"/>
  <c r="G76" i="5" s="1"/>
  <c r="C65" i="5"/>
  <c r="F64" i="5"/>
  <c r="H64" i="5"/>
  <c r="H76" i="5" s="1"/>
  <c r="E64" i="5"/>
  <c r="E76" i="5" s="1"/>
  <c r="C76" i="5"/>
  <c r="D64" i="5"/>
  <c r="D76" i="5" s="1"/>
  <c r="C88" i="5"/>
  <c r="H60" i="5"/>
  <c r="H72" i="5" s="1"/>
  <c r="G60" i="5"/>
  <c r="G72" i="5" s="1"/>
  <c r="D60" i="5"/>
  <c r="D72" i="5" s="1"/>
  <c r="E60" i="5"/>
  <c r="E72" i="5" s="1"/>
  <c r="C84" i="5"/>
  <c r="C59" i="5"/>
  <c r="C72" i="5"/>
  <c r="F60" i="5"/>
  <c r="F43" i="5"/>
  <c r="G43" i="5"/>
  <c r="H43" i="5" s="1"/>
  <c r="I43" i="5"/>
  <c r="E87" i="5"/>
  <c r="H87" i="5" s="1"/>
  <c r="F75" i="5"/>
  <c r="C45" i="5"/>
  <c r="E45" i="5" s="1"/>
  <c r="E44" i="5"/>
  <c r="G19" i="4"/>
  <c r="I40" i="5"/>
  <c r="F40" i="5"/>
  <c r="G40" i="5"/>
  <c r="H40" i="5" s="1"/>
  <c r="I39" i="5"/>
  <c r="F39" i="5"/>
  <c r="G39" i="5"/>
  <c r="H39" i="5" s="1"/>
  <c r="H86" i="5"/>
  <c r="G86" i="5"/>
  <c r="G85" i="5" l="1"/>
  <c r="H16" i="6"/>
  <c r="G32" i="6"/>
  <c r="F11" i="4"/>
  <c r="E29" i="5"/>
  <c r="E34" i="6"/>
  <c r="F44" i="5"/>
  <c r="G44" i="5"/>
  <c r="H44" i="5" s="1"/>
  <c r="I44" i="5"/>
  <c r="E88" i="5"/>
  <c r="H88" i="5" s="1"/>
  <c r="F76" i="5"/>
  <c r="F45" i="5"/>
  <c r="G45" i="5"/>
  <c r="H45" i="5" s="1"/>
  <c r="I45" i="5"/>
  <c r="G59" i="5"/>
  <c r="G71" i="5" s="1"/>
  <c r="H59" i="5"/>
  <c r="H71" i="5" s="1"/>
  <c r="F59" i="5"/>
  <c r="C71" i="5"/>
  <c r="E59" i="5"/>
  <c r="E71" i="5" s="1"/>
  <c r="C83" i="5"/>
  <c r="D59" i="5"/>
  <c r="D71" i="5" s="1"/>
  <c r="C77" i="5"/>
  <c r="D65" i="5"/>
  <c r="D77" i="5" s="1"/>
  <c r="C89" i="5"/>
  <c r="H65" i="5"/>
  <c r="H77" i="5" s="1"/>
  <c r="G65" i="5"/>
  <c r="G77" i="5" s="1"/>
  <c r="E65" i="5"/>
  <c r="E77" i="5" s="1"/>
  <c r="F65" i="5"/>
  <c r="E84" i="5"/>
  <c r="F72" i="5"/>
  <c r="G87" i="5"/>
  <c r="G22" i="4"/>
  <c r="G24" i="4"/>
  <c r="G21" i="4"/>
  <c r="G23" i="4"/>
  <c r="G88" i="5" l="1"/>
  <c r="F19" i="4"/>
  <c r="F13" i="4"/>
  <c r="H32" i="6"/>
  <c r="G11" i="4"/>
  <c r="G13" i="4" s="1"/>
  <c r="H84" i="5"/>
  <c r="G84" i="5"/>
  <c r="F71" i="5"/>
  <c r="E83" i="5"/>
  <c r="H83" i="5" s="1"/>
  <c r="F77" i="5"/>
  <c r="E89" i="5"/>
  <c r="H89" i="5" s="1"/>
  <c r="G83" i="5" l="1"/>
  <c r="H29" i="5"/>
  <c r="H34" i="6"/>
  <c r="G29" i="5"/>
  <c r="G34" i="6"/>
  <c r="F21" i="4"/>
  <c r="F23" i="4"/>
  <c r="F24" i="4"/>
  <c r="F22" i="4"/>
  <c r="G8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J. Kelly</author>
  </authors>
  <commentList>
    <comment ref="G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See the number of cows input per bull below </t>
        </r>
      </text>
    </comment>
    <comment ref="H2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See the production per exposed female below  that is used as the devisor. </t>
        </r>
      </text>
    </comment>
    <comment ref="E10" authorId="0" shapeId="0" xr:uid="{00000000-0006-0000-0000-000003000000}">
      <text>
        <r>
          <rPr>
            <sz val="8"/>
            <color indexed="81"/>
            <rFont val="Tahoma"/>
            <family val="2"/>
          </rPr>
          <t>Cost - Salvage value divided by useful life.</t>
        </r>
      </text>
    </comment>
    <comment ref="H3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See the production per exposed female above  that is used as the devisor. </t>
        </r>
      </text>
    </comment>
    <comment ref="E37" authorId="0" shapeId="0" xr:uid="{00000000-0006-0000-0000-000005000000}">
      <text>
        <r>
          <rPr>
            <sz val="8"/>
            <color indexed="81"/>
            <rFont val="Tahoma"/>
            <family val="2"/>
          </rPr>
          <t>See the number of cows input per bull above</t>
        </r>
      </text>
    </comment>
    <comment ref="F37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See the production per exposed female Above  that is used as the devisor. </t>
        </r>
      </text>
    </comment>
    <comment ref="G37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Chance in cost per cow with the change in bull purchase cost.
</t>
        </r>
      </text>
    </comment>
    <comment ref="H37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The required change the number of pounds of weaned calf sold to cover the added cost - price held constant.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J. Kelly</author>
  </authors>
  <commentList>
    <comment ref="H19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See the production per exposed female above  that is used as the devisor. </t>
        </r>
      </text>
    </comment>
  </commentList>
</comments>
</file>

<file path=xl/sharedStrings.xml><?xml version="1.0" encoding="utf-8"?>
<sst xmlns="http://schemas.openxmlformats.org/spreadsheetml/2006/main" count="202" uniqueCount="143">
  <si>
    <t>Annual
Cow
Service Cost</t>
  </si>
  <si>
    <t>Depreciation</t>
  </si>
  <si>
    <t>%</t>
  </si>
  <si>
    <t>Wt. Lb./Hd.</t>
  </si>
  <si>
    <t>$/Cwt.</t>
  </si>
  <si>
    <t xml:space="preserve">  $/Head</t>
  </si>
  <si>
    <t>Average Annual Interest Cost*</t>
  </si>
  <si>
    <t>Bull Purchase Cost</t>
  </si>
  <si>
    <t>Cows  per Year</t>
  </si>
  <si>
    <t>Price of Weaned Calf</t>
  </si>
  <si>
    <t>Purchase Price Increment</t>
  </si>
  <si>
    <t>Comments:</t>
  </si>
  <si>
    <t>Interest rate Used</t>
  </si>
  <si>
    <t>Base Purchase cost</t>
  </si>
  <si>
    <t xml:space="preserve">Annual
Bull Cost
</t>
  </si>
  <si>
    <t>*Change in pounds weaned per exposed female or percent weaned times average</t>
  </si>
  <si>
    <t>Weaned Calf Crop</t>
  </si>
  <si>
    <t>Lb.</t>
  </si>
  <si>
    <t>---------------------------------------</t>
  </si>
  <si>
    <t>Annual
Service Cost per Cwt Weaned</t>
  </si>
  <si>
    <t>Average investment is cost plus salvage value divided by 2 or</t>
  </si>
  <si>
    <t>Purchase Cost  of Bull</t>
  </si>
  <si>
    <t>$/Cow</t>
  </si>
  <si>
    <t>Per Cwt</t>
  </si>
  <si>
    <t>Number of Cows Serviced Annually and Cost per Cow</t>
  </si>
  <si>
    <t>Number of Cows Serviced Increment</t>
  </si>
  <si>
    <t>Head Serviced Annually</t>
  </si>
  <si>
    <t>Head Annually</t>
  </si>
  <si>
    <t>Annual Operating Cost</t>
  </si>
  <si>
    <t>Annual Ownership Cost</t>
  </si>
  <si>
    <t>Percent of Total Cost</t>
  </si>
  <si>
    <t>Bull Per Hd.</t>
  </si>
  <si>
    <t>Death Loss (% of  Purchase Cost)</t>
  </si>
  <si>
    <t>Per Calf Weaned</t>
  </si>
  <si>
    <t>Total Cost per Calf Weaned</t>
  </si>
  <si>
    <t>Head</t>
  </si>
  <si>
    <t xml:space="preserve"> weaning weight.</t>
  </si>
  <si>
    <t>Annual Interest on 1/2 of Operating Cost</t>
  </si>
  <si>
    <t>Ownership Cost</t>
  </si>
  <si>
    <t>Calves During Life of Bull</t>
  </si>
  <si>
    <t>Useful Life - Years</t>
  </si>
  <si>
    <t>Weaned Calf Price</t>
  </si>
  <si>
    <t>$/Head</t>
  </si>
  <si>
    <t xml:space="preserve">Bull Salvage Value </t>
  </si>
  <si>
    <t xml:space="preserve">Exposed/Yr. </t>
  </si>
  <si>
    <t>Per Bull</t>
  </si>
  <si>
    <t xml:space="preserve"> Weaned</t>
  </si>
  <si>
    <t>Per Cwt.</t>
  </si>
  <si>
    <t>Per Cow</t>
  </si>
  <si>
    <t>Annual Lease</t>
  </si>
  <si>
    <t>$/Bull</t>
  </si>
  <si>
    <t>Lease Rate Sensitivity Analysis to Bull Purchased Cost</t>
  </si>
  <si>
    <t xml:space="preserve">  Cows Exposed/Bull</t>
  </si>
  <si>
    <t>____________________________________________________________________________________</t>
  </si>
  <si>
    <t>Annual Bull Cost Lease Rates for Different Bull Purchase Cost</t>
  </si>
  <si>
    <t>Cost Sensitivity Analysis to Number of Cows Serviced</t>
  </si>
  <si>
    <t>Bull Lease</t>
  </si>
  <si>
    <t xml:space="preserve"> $/Head</t>
  </si>
  <si>
    <t>_____________________________________________________________________________________</t>
  </si>
  <si>
    <t>Title of Analysis:</t>
  </si>
  <si>
    <t>Advantage of Lease over Owned Bulls</t>
  </si>
  <si>
    <t>Owned Bull Cost</t>
  </si>
  <si>
    <t>Annual Bull Cost Per Cow</t>
  </si>
  <si>
    <t>Annul Bull Cost  per Cwt. Weaned</t>
  </si>
  <si>
    <t>Pounds Weaned per Cow</t>
  </si>
  <si>
    <t xml:space="preserve">Change in  Bull Cost </t>
  </si>
  <si>
    <t>Length of Breeding Season</t>
  </si>
  <si>
    <t xml:space="preserve">  Days</t>
  </si>
  <si>
    <t>Lease Rate Required - Based on Owner Bull Cost</t>
  </si>
  <si>
    <t>Costs to Cover</t>
  </si>
  <si>
    <t>Weaned Calf per Exposed Female</t>
  </si>
  <si>
    <t>Breeding Seasons Per Year</t>
  </si>
  <si>
    <t>Number of Cows Serviced Annually and Cost per Cwt. Weaned</t>
  </si>
  <si>
    <t>Bulls used  for spring  calving herd for 90 days</t>
  </si>
  <si>
    <t>Total Lease Cost</t>
  </si>
  <si>
    <t>Lease as Percent of Value of Bull</t>
  </si>
  <si>
    <t>Market Value of Bull</t>
  </si>
  <si>
    <t>Bull lease example</t>
  </si>
  <si>
    <t>Operating Cost Item</t>
  </si>
  <si>
    <t xml:space="preserve"> Breeding Saeasons Per Year</t>
  </si>
  <si>
    <t>Cows Exposed/Bull</t>
  </si>
  <si>
    <t>Total &amp; Cost per Cow Exposed - Cwt. Weaned</t>
  </si>
  <si>
    <t>Weaned Calf/Exposed Female</t>
  </si>
  <si>
    <t>Annual Bull Cost for Different Bull Purchase Cost</t>
  </si>
  <si>
    <t>Annual
Bull Service Cost per Cow</t>
  </si>
  <si>
    <t>Annual
Service Cost per Cwt Weaned*</t>
  </si>
  <si>
    <t>Change in
Cow
Service Cost</t>
  </si>
  <si>
    <t>Pounds of Weaned Calf per Cow*</t>
  </si>
  <si>
    <t>Sensitivity Analysis to Number of Cows Serviced</t>
  </si>
  <si>
    <t>Lease Insurance Cost</t>
  </si>
  <si>
    <t>Date Lease is Paid</t>
  </si>
  <si>
    <t>Days</t>
  </si>
  <si>
    <t>End of Year</t>
  </si>
  <si>
    <t>Interest Days</t>
  </si>
  <si>
    <t>Interest of Cost (days paid)</t>
  </si>
  <si>
    <t>Interest Rate Multiple</t>
  </si>
  <si>
    <t>One Half</t>
  </si>
  <si>
    <t>Bull Value</t>
  </si>
  <si>
    <t>Bull Value Versus</t>
  </si>
  <si>
    <t>Base Bull Value</t>
  </si>
  <si>
    <t>Advantage of Lease over Owned Bulls*</t>
  </si>
  <si>
    <t>Total Annual Lease Cost*</t>
  </si>
  <si>
    <t>Total</t>
  </si>
  <si>
    <t>Weaned</t>
  </si>
  <si>
    <t>Comparison of the Owned Versus Leased Bull Cost</t>
  </si>
  <si>
    <t>_______________________________________________________________________________</t>
  </si>
  <si>
    <t>Does not include the advantage of carrying more cows when leased bulls are used.</t>
  </si>
  <si>
    <t>Advantage of Lease Over Ownership</t>
  </si>
  <si>
    <t>Total Owned Bull Cost</t>
  </si>
  <si>
    <t>Calves per</t>
  </si>
  <si>
    <t>Bull Invested</t>
  </si>
  <si>
    <t xml:space="preserve">Annual </t>
  </si>
  <si>
    <t xml:space="preserve">           Head Annually</t>
  </si>
  <si>
    <t>*Change in pounds weaned per exposed female or percent weaned times average weaning weight.</t>
  </si>
  <si>
    <t>Bulls used  for spring calving herd</t>
  </si>
  <si>
    <t>Veterinary Medicine and BSE</t>
  </si>
  <si>
    <t>________________________________________________________________________________________________</t>
  </si>
  <si>
    <t>*Includes all other costs in addition to the bull lease cost.</t>
  </si>
  <si>
    <t>Owned</t>
  </si>
  <si>
    <t>Leased</t>
  </si>
  <si>
    <t>Bull Cost as % of Total Cost</t>
  </si>
  <si>
    <t>Total Cow Production Cost - $/Head**</t>
  </si>
  <si>
    <t xml:space="preserve">  management, breeding, fuel, machinery and vehicles, improvements  depreciation and others.  </t>
  </si>
  <si>
    <t>**Total cow production cost includes all costs including feed, grazing, health, labor,</t>
  </si>
  <si>
    <t>BSE</t>
  </si>
  <si>
    <t>Average Weaning Weight - Steers and Heifers</t>
  </si>
  <si>
    <t>Freight to and From Ranch if Paid</t>
  </si>
  <si>
    <t>Depends on lease terms. Many leased bulls are delivered.</t>
  </si>
  <si>
    <t>Owned Bull Investment - Annual Bull and Per Cow Cost Calculator</t>
  </si>
  <si>
    <t>Leased Bull Annual Lease Cost Calculator</t>
  </si>
  <si>
    <t>Lease as Percent of Value of Bull - A key Variable</t>
  </si>
  <si>
    <t>Per Day</t>
  </si>
  <si>
    <r>
      <t>Grazing and Supplemental Feed</t>
    </r>
    <r>
      <rPr>
        <sz val="10"/>
        <rFont val="Arial"/>
        <family val="2"/>
      </rPr>
      <t xml:space="preserve"> Per Day</t>
    </r>
  </si>
  <si>
    <t>Less winter feeding than owned bull so primarily a grazing cost.</t>
  </si>
  <si>
    <t>*Bull value divided by annual cost of lease and bull annual operating cost</t>
  </si>
  <si>
    <t>Annual Lease Cost*</t>
  </si>
  <si>
    <t>Females/Bull</t>
  </si>
  <si>
    <t>Weaning %</t>
  </si>
  <si>
    <t>Weaning Wt.</t>
  </si>
  <si>
    <t>Bull Cost as Percant of Cow Production Cost</t>
  </si>
  <si>
    <r>
      <t>Operating Cost for leasing</t>
    </r>
    <r>
      <rPr>
        <sz val="11"/>
        <rFont val="Arial"/>
        <family val="2"/>
      </rPr>
      <t xml:space="preserve"> (see owned cost)</t>
    </r>
  </si>
  <si>
    <t>Lbs. per Exposed Female</t>
  </si>
  <si>
    <t>Version 1-7-2019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</si>
</sst>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mm\ d\,\ yyyy"/>
    <numFmt numFmtId="167" formatCode="0.0_);[Red]\(0.0\)"/>
    <numFmt numFmtId="168" formatCode="0.0%"/>
    <numFmt numFmtId="169" formatCode="0.0"/>
    <numFmt numFmtId="170" formatCode="0_);[Red]\(0\)"/>
    <numFmt numFmtId="171" formatCode="[$-409]d\-mmm\-yy;@"/>
    <numFmt numFmtId="172" formatCode="[$$-409]#,##0.00"/>
    <numFmt numFmtId="173" formatCode="[$$-409]#,##0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48"/>
      <name val="Arial"/>
      <family val="2"/>
    </font>
    <font>
      <sz val="12"/>
      <color indexed="39"/>
      <name val="Arial"/>
      <family val="2"/>
    </font>
    <font>
      <b/>
      <sz val="12"/>
      <color indexed="4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9" fontId="2" fillId="0" borderId="0" xfId="0" applyNumberFormat="1" applyFont="1"/>
    <xf numFmtId="0" fontId="7" fillId="0" borderId="0" xfId="0" applyFont="1"/>
    <xf numFmtId="0" fontId="8" fillId="0" borderId="0" xfId="0" applyFont="1"/>
    <xf numFmtId="6" fontId="8" fillId="0" borderId="0" xfId="0" applyNumberFormat="1" applyFont="1"/>
    <xf numFmtId="164" fontId="7" fillId="0" borderId="0" xfId="0" applyNumberFormat="1" applyFont="1"/>
    <xf numFmtId="8" fontId="8" fillId="0" borderId="0" xfId="0" applyNumberFormat="1" applyFont="1"/>
    <xf numFmtId="170" fontId="9" fillId="0" borderId="0" xfId="2" applyNumberFormat="1" applyFont="1" applyBorder="1" applyAlignment="1" applyProtection="1">
      <alignment horizontal="right"/>
      <protection locked="0"/>
    </xf>
    <xf numFmtId="169" fontId="7" fillId="0" borderId="0" xfId="0" applyNumberFormat="1" applyFont="1"/>
    <xf numFmtId="8" fontId="7" fillId="0" borderId="0" xfId="0" applyNumberFormat="1" applyFont="1"/>
    <xf numFmtId="6" fontId="7" fillId="0" borderId="0" xfId="2" applyNumberFormat="1" applyFont="1" applyBorder="1" applyAlignment="1" applyProtection="1">
      <alignment horizontal="right"/>
    </xf>
    <xf numFmtId="167" fontId="0" fillId="0" borderId="0" xfId="0" applyNumberFormat="1"/>
    <xf numFmtId="9" fontId="0" fillId="0" borderId="0" xfId="2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wrapText="1"/>
    </xf>
    <xf numFmtId="165" fontId="14" fillId="0" borderId="1" xfId="0" applyNumberFormat="1" applyFont="1" applyBorder="1" applyProtection="1">
      <protection locked="0"/>
    </xf>
    <xf numFmtId="164" fontId="15" fillId="0" borderId="0" xfId="0" applyNumberFormat="1" applyFont="1"/>
    <xf numFmtId="164" fontId="12" fillId="0" borderId="0" xfId="0" applyNumberFormat="1" applyFont="1"/>
    <xf numFmtId="164" fontId="15" fillId="0" borderId="0" xfId="0" applyNumberFormat="1" applyFont="1" applyBorder="1"/>
    <xf numFmtId="164" fontId="12" fillId="0" borderId="0" xfId="0" applyNumberFormat="1" applyFont="1" applyBorder="1"/>
    <xf numFmtId="6" fontId="12" fillId="0" borderId="0" xfId="0" applyNumberFormat="1" applyFont="1"/>
    <xf numFmtId="165" fontId="13" fillId="0" borderId="0" xfId="0" applyNumberFormat="1" applyFont="1" applyBorder="1" applyProtection="1"/>
    <xf numFmtId="164" fontId="17" fillId="0" borderId="0" xfId="0" applyNumberFormat="1" applyFont="1" applyBorder="1"/>
    <xf numFmtId="164" fontId="13" fillId="0" borderId="0" xfId="0" applyNumberFormat="1" applyFont="1" applyBorder="1"/>
    <xf numFmtId="9" fontId="13" fillId="0" borderId="0" xfId="2" applyFont="1"/>
    <xf numFmtId="165" fontId="12" fillId="0" borderId="0" xfId="0" applyNumberFormat="1" applyFont="1" applyBorder="1" applyProtection="1"/>
    <xf numFmtId="165" fontId="12" fillId="0" borderId="0" xfId="0" applyNumberFormat="1" applyFont="1"/>
    <xf numFmtId="167" fontId="14" fillId="0" borderId="1" xfId="2" applyNumberFormat="1" applyFont="1" applyBorder="1" applyAlignment="1" applyProtection="1">
      <alignment horizontal="right"/>
      <protection locked="0"/>
    </xf>
    <xf numFmtId="165" fontId="13" fillId="0" borderId="0" xfId="0" applyNumberFormat="1" applyFont="1"/>
    <xf numFmtId="164" fontId="13" fillId="0" borderId="0" xfId="0" applyNumberFormat="1" applyFont="1"/>
    <xf numFmtId="3" fontId="14" fillId="0" borderId="2" xfId="0" applyNumberFormat="1" applyFont="1" applyBorder="1" applyProtection="1">
      <protection locked="0"/>
    </xf>
    <xf numFmtId="3" fontId="13" fillId="0" borderId="0" xfId="0" applyNumberFormat="1" applyFont="1" applyBorder="1" applyProtection="1"/>
    <xf numFmtId="164" fontId="13" fillId="0" borderId="3" xfId="0" applyNumberFormat="1" applyFont="1" applyBorder="1"/>
    <xf numFmtId="0" fontId="6" fillId="0" borderId="0" xfId="0" applyFont="1"/>
    <xf numFmtId="1" fontId="13" fillId="0" borderId="0" xfId="0" applyNumberFormat="1" applyFont="1" applyProtection="1"/>
    <xf numFmtId="165" fontId="12" fillId="0" borderId="4" xfId="0" applyNumberFormat="1" applyFont="1" applyBorder="1"/>
    <xf numFmtId="6" fontId="14" fillId="0" borderId="1" xfId="0" applyNumberFormat="1" applyFont="1" applyBorder="1" applyProtection="1">
      <protection locked="0"/>
    </xf>
    <xf numFmtId="6" fontId="14" fillId="0" borderId="0" xfId="0" applyNumberFormat="1" applyFont="1" applyProtection="1">
      <protection locked="0"/>
    </xf>
    <xf numFmtId="0" fontId="14" fillId="0" borderId="1" xfId="0" applyFont="1" applyBorder="1" applyProtection="1">
      <protection locked="0"/>
    </xf>
    <xf numFmtId="0" fontId="12" fillId="0" borderId="0" xfId="0" applyFont="1" applyAlignment="1">
      <alignment horizontal="center"/>
    </xf>
    <xf numFmtId="3" fontId="14" fillId="0" borderId="1" xfId="0" applyNumberFormat="1" applyFont="1" applyBorder="1" applyProtection="1">
      <protection locked="0"/>
    </xf>
    <xf numFmtId="0" fontId="12" fillId="0" borderId="0" xfId="0" quotePrefix="1" applyFont="1"/>
    <xf numFmtId="170" fontId="14" fillId="0" borderId="1" xfId="2" applyNumberFormat="1" applyFont="1" applyBorder="1" applyAlignment="1" applyProtection="1">
      <alignment horizontal="right"/>
      <protection locked="0"/>
    </xf>
    <xf numFmtId="8" fontId="14" fillId="0" borderId="1" xfId="0" applyNumberFormat="1" applyFont="1" applyBorder="1" applyProtection="1">
      <protection locked="0"/>
    </xf>
    <xf numFmtId="1" fontId="13" fillId="0" borderId="0" xfId="0" applyNumberFormat="1" applyFont="1"/>
    <xf numFmtId="8" fontId="12" fillId="0" borderId="0" xfId="0" applyNumberFormat="1" applyFont="1"/>
    <xf numFmtId="170" fontId="14" fillId="0" borderId="0" xfId="2" applyNumberFormat="1" applyFont="1" applyBorder="1" applyAlignment="1" applyProtection="1">
      <alignment horizontal="right"/>
      <protection locked="0"/>
    </xf>
    <xf numFmtId="169" fontId="13" fillId="0" borderId="0" xfId="0" applyNumberFormat="1" applyFont="1"/>
    <xf numFmtId="0" fontId="13" fillId="0" borderId="0" xfId="0" applyFont="1" applyAlignment="1">
      <alignment horizontal="center"/>
    </xf>
    <xf numFmtId="166" fontId="12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6" fontId="14" fillId="0" borderId="0" xfId="0" applyNumberFormat="1" applyFont="1"/>
    <xf numFmtId="8" fontId="12" fillId="0" borderId="0" xfId="0" applyNumberFormat="1" applyFont="1" applyAlignment="1">
      <alignment horizontal="center" wrapText="1"/>
    </xf>
    <xf numFmtId="169" fontId="12" fillId="0" borderId="0" xfId="0" applyNumberFormat="1" applyFont="1"/>
    <xf numFmtId="6" fontId="13" fillId="0" borderId="0" xfId="0" applyNumberFormat="1" applyFont="1"/>
    <xf numFmtId="8" fontId="13" fillId="0" borderId="0" xfId="0" applyNumberFormat="1" applyFont="1" applyAlignment="1">
      <alignment horizontal="center" wrapText="1"/>
    </xf>
    <xf numFmtId="0" fontId="16" fillId="0" borderId="2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6" xfId="0" applyFont="1" applyBorder="1" applyProtection="1">
      <protection locked="0"/>
    </xf>
    <xf numFmtId="6" fontId="14" fillId="0" borderId="0" xfId="0" applyNumberFormat="1" applyFont="1" applyAlignment="1" applyProtection="1">
      <alignment horizontal="center"/>
      <protection locked="0"/>
    </xf>
    <xf numFmtId="1" fontId="14" fillId="0" borderId="1" xfId="1" applyNumberFormat="1" applyFont="1" applyBorder="1" applyAlignment="1" applyProtection="1">
      <alignment horizontal="center"/>
      <protection locked="0"/>
    </xf>
    <xf numFmtId="1" fontId="14" fillId="0" borderId="0" xfId="1" applyNumberFormat="1" applyFont="1" applyProtection="1">
      <protection locked="0"/>
    </xf>
    <xf numFmtId="8" fontId="14" fillId="0" borderId="0" xfId="0" applyNumberFormat="1" applyFont="1" applyProtection="1">
      <protection locked="0"/>
    </xf>
    <xf numFmtId="38" fontId="12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left"/>
    </xf>
    <xf numFmtId="2" fontId="13" fillId="0" borderId="0" xfId="0" applyNumberFormat="1" applyFont="1"/>
    <xf numFmtId="2" fontId="0" fillId="0" borderId="0" xfId="0" applyNumberFormat="1"/>
    <xf numFmtId="170" fontId="5" fillId="0" borderId="0" xfId="2" applyNumberFormat="1" applyFont="1" applyBorder="1" applyAlignment="1" applyProtection="1">
      <alignment horizontal="center"/>
    </xf>
    <xf numFmtId="0" fontId="20" fillId="0" borderId="0" xfId="0" applyFont="1"/>
    <xf numFmtId="0" fontId="5" fillId="0" borderId="0" xfId="0" applyFont="1" applyAlignment="1">
      <alignment horizontal="center" wrapText="1"/>
    </xf>
    <xf numFmtId="173" fontId="5" fillId="0" borderId="0" xfId="2" applyNumberFormat="1" applyFont="1" applyBorder="1" applyAlignment="1" applyProtection="1">
      <alignment horizontal="right"/>
    </xf>
    <xf numFmtId="172" fontId="5" fillId="0" borderId="0" xfId="0" applyNumberFormat="1" applyFont="1"/>
    <xf numFmtId="8" fontId="5" fillId="0" borderId="0" xfId="0" applyNumberFormat="1" applyFont="1"/>
    <xf numFmtId="0" fontId="20" fillId="0" borderId="0" xfId="0" applyFont="1" applyAlignment="1">
      <alignment horizontal="center"/>
    </xf>
    <xf numFmtId="3" fontId="21" fillId="0" borderId="1" xfId="0" applyNumberFormat="1" applyFont="1" applyBorder="1" applyProtection="1">
      <protection locked="0"/>
    </xf>
    <xf numFmtId="165" fontId="20" fillId="0" borderId="0" xfId="0" applyNumberFormat="1" applyFont="1"/>
    <xf numFmtId="164" fontId="5" fillId="0" borderId="0" xfId="0" applyNumberFormat="1" applyFont="1"/>
    <xf numFmtId="164" fontId="20" fillId="0" borderId="0" xfId="0" applyNumberFormat="1" applyFont="1"/>
    <xf numFmtId="9" fontId="5" fillId="0" borderId="0" xfId="2" applyFont="1"/>
    <xf numFmtId="3" fontId="5" fillId="0" borderId="0" xfId="0" applyNumberFormat="1" applyFont="1" applyBorder="1" applyProtection="1"/>
    <xf numFmtId="167" fontId="21" fillId="0" borderId="1" xfId="2" applyNumberFormat="1" applyFont="1" applyBorder="1" applyAlignment="1" applyProtection="1">
      <alignment horizontal="right"/>
      <protection locked="0"/>
    </xf>
    <xf numFmtId="167" fontId="21" fillId="0" borderId="0" xfId="2" applyNumberFormat="1" applyFont="1" applyBorder="1" applyAlignment="1" applyProtection="1">
      <alignment horizontal="right"/>
      <protection locked="0"/>
    </xf>
    <xf numFmtId="171" fontId="21" fillId="0" borderId="1" xfId="2" applyNumberFormat="1" applyFont="1" applyBorder="1" applyAlignment="1" applyProtection="1">
      <alignment horizontal="right"/>
      <protection locked="0"/>
    </xf>
    <xf numFmtId="0" fontId="20" fillId="0" borderId="0" xfId="0" quotePrefix="1" applyFont="1"/>
    <xf numFmtId="6" fontId="20" fillId="0" borderId="0" xfId="0" applyNumberFormat="1" applyFont="1"/>
    <xf numFmtId="170" fontId="21" fillId="0" borderId="1" xfId="2" applyNumberFormat="1" applyFont="1" applyBorder="1" applyAlignment="1" applyProtection="1">
      <alignment horizontal="right"/>
      <protection locked="0"/>
    </xf>
    <xf numFmtId="8" fontId="21" fillId="0" borderId="1" xfId="0" applyNumberFormat="1" applyFont="1" applyBorder="1" applyProtection="1">
      <protection locked="0"/>
    </xf>
    <xf numFmtId="1" fontId="5" fillId="0" borderId="0" xfId="0" applyNumberFormat="1" applyFont="1"/>
    <xf numFmtId="8" fontId="20" fillId="0" borderId="0" xfId="0" applyNumberFormat="1" applyFont="1"/>
    <xf numFmtId="170" fontId="21" fillId="0" borderId="0" xfId="2" applyNumberFormat="1" applyFont="1" applyBorder="1" applyAlignment="1" applyProtection="1">
      <alignment horizontal="right"/>
      <protection locked="0"/>
    </xf>
    <xf numFmtId="169" fontId="5" fillId="0" borderId="0" xfId="0" applyNumberFormat="1" applyFont="1"/>
    <xf numFmtId="6" fontId="21" fillId="0" borderId="1" xfId="0" applyNumberFormat="1" applyFont="1" applyBorder="1" applyProtection="1">
      <protection locked="0"/>
    </xf>
    <xf numFmtId="6" fontId="5" fillId="0" borderId="0" xfId="0" applyNumberFormat="1" applyFont="1"/>
    <xf numFmtId="6" fontId="20" fillId="0" borderId="7" xfId="0" applyNumberFormat="1" applyFont="1" applyBorder="1" applyProtection="1"/>
    <xf numFmtId="6" fontId="5" fillId="0" borderId="0" xfId="2" applyNumberFormat="1" applyFont="1" applyBorder="1" applyAlignment="1" applyProtection="1">
      <alignment horizontal="right"/>
    </xf>
    <xf numFmtId="0" fontId="5" fillId="0" borderId="0" xfId="0" applyFont="1" applyAlignment="1">
      <alignment wrapText="1"/>
    </xf>
    <xf numFmtId="166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center"/>
    </xf>
    <xf numFmtId="6" fontId="21" fillId="0" borderId="0" xfId="0" applyNumberFormat="1" applyFont="1"/>
    <xf numFmtId="8" fontId="5" fillId="0" borderId="0" xfId="0" applyNumberFormat="1" applyFont="1" applyAlignment="1">
      <alignment horizontal="center" wrapText="1"/>
    </xf>
    <xf numFmtId="169" fontId="20" fillId="0" borderId="0" xfId="0" applyNumberFormat="1" applyFont="1"/>
    <xf numFmtId="0" fontId="10" fillId="0" borderId="2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6" fontId="21" fillId="0" borderId="0" xfId="0" applyNumberFormat="1" applyFont="1" applyAlignment="1" applyProtection="1">
      <alignment horizontal="center"/>
      <protection locked="0"/>
    </xf>
    <xf numFmtId="1" fontId="21" fillId="0" borderId="1" xfId="1" applyNumberFormat="1" applyFont="1" applyBorder="1" applyAlignment="1" applyProtection="1">
      <alignment horizontal="center"/>
      <protection locked="0"/>
    </xf>
    <xf numFmtId="1" fontId="21" fillId="0" borderId="0" xfId="1" applyNumberFormat="1" applyFont="1" applyProtection="1">
      <protection locked="0"/>
    </xf>
    <xf numFmtId="8" fontId="21" fillId="0" borderId="0" xfId="0" applyNumberFormat="1" applyFont="1" applyProtection="1">
      <protection locked="0"/>
    </xf>
    <xf numFmtId="38" fontId="20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8" fontId="20" fillId="0" borderId="0" xfId="0" applyNumberFormat="1" applyFont="1" applyAlignment="1">
      <alignment horizontal="center" wrapText="1"/>
    </xf>
    <xf numFmtId="8" fontId="5" fillId="0" borderId="0" xfId="0" applyNumberFormat="1" applyFont="1" applyProtection="1">
      <protection locked="0"/>
    </xf>
    <xf numFmtId="38" fontId="5" fillId="0" borderId="0" xfId="0" applyNumberFormat="1" applyFont="1" applyAlignment="1">
      <alignment horizontal="center"/>
    </xf>
    <xf numFmtId="4" fontId="20" fillId="0" borderId="0" xfId="0" applyNumberFormat="1" applyFont="1"/>
    <xf numFmtId="168" fontId="20" fillId="0" borderId="0" xfId="2" applyNumberFormat="1" applyFont="1"/>
    <xf numFmtId="165" fontId="5" fillId="0" borderId="0" xfId="0" applyNumberFormat="1" applyFont="1"/>
    <xf numFmtId="4" fontId="5" fillId="0" borderId="0" xfId="0" applyNumberFormat="1" applyFont="1"/>
    <xf numFmtId="6" fontId="5" fillId="0" borderId="0" xfId="2" applyNumberFormat="1" applyFont="1" applyBorder="1" applyAlignment="1" applyProtection="1">
      <alignment horizontal="center"/>
    </xf>
    <xf numFmtId="8" fontId="5" fillId="0" borderId="0" xfId="2" applyNumberFormat="1" applyFont="1" applyBorder="1" applyAlignment="1" applyProtection="1">
      <alignment horizontal="right"/>
    </xf>
    <xf numFmtId="168" fontId="5" fillId="0" borderId="0" xfId="2" applyNumberFormat="1" applyFont="1" applyBorder="1" applyAlignment="1" applyProtection="1">
      <alignment horizontal="right"/>
    </xf>
    <xf numFmtId="0" fontId="10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6" fontId="12" fillId="0" borderId="5" xfId="0" applyNumberFormat="1" applyFont="1" applyBorder="1" applyProtection="1"/>
    <xf numFmtId="168" fontId="5" fillId="0" borderId="0" xfId="2" applyNumberFormat="1" applyFont="1"/>
    <xf numFmtId="6" fontId="24" fillId="0" borderId="1" xfId="2" applyNumberFormat="1" applyFont="1" applyBorder="1" applyAlignment="1" applyProtection="1">
      <alignment horizontal="right"/>
      <protection locked="0"/>
    </xf>
    <xf numFmtId="3" fontId="5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6" fontId="20" fillId="0" borderId="8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  <xf numFmtId="8" fontId="5" fillId="0" borderId="0" xfId="2" applyNumberFormat="1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13</xdr:col>
      <xdr:colOff>54429</xdr:colOff>
      <xdr:row>5</xdr:row>
      <xdr:rowOff>168729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59955924-C298-4D35-87E5-39505002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3486" y="1621971"/>
          <a:ext cx="2013857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9"/>
  <sheetViews>
    <sheetView tabSelected="1" topLeftCell="A35" workbookViewId="0">
      <selection activeCell="A2" sqref="A2"/>
    </sheetView>
  </sheetViews>
  <sheetFormatPr defaultRowHeight="12.45" x14ac:dyDescent="0.3"/>
  <cols>
    <col min="1" max="1" width="5.15234375" customWidth="1"/>
    <col min="2" max="2" width="26.84375" customWidth="1"/>
    <col min="3" max="3" width="12.15234375" customWidth="1"/>
    <col min="4" max="4" width="14.15234375" customWidth="1"/>
    <col min="5" max="5" width="11" customWidth="1"/>
    <col min="6" max="6" width="12.53515625" customWidth="1"/>
    <col min="7" max="7" width="13.84375" customWidth="1"/>
    <col min="8" max="8" width="13" customWidth="1"/>
    <col min="9" max="9" width="12" customWidth="1"/>
    <col min="10" max="10" width="13.23046875" customWidth="1"/>
  </cols>
  <sheetData>
    <row r="1" spans="2:13" ht="17.600000000000001" x14ac:dyDescent="0.4">
      <c r="B1" s="142" t="s">
        <v>128</v>
      </c>
      <c r="C1" s="143"/>
      <c r="D1" s="143"/>
      <c r="E1" s="143"/>
      <c r="F1" s="143"/>
      <c r="G1" s="143"/>
      <c r="H1" s="143"/>
      <c r="I1" s="143"/>
      <c r="J1" s="2"/>
      <c r="K1" s="5"/>
      <c r="L1" s="5"/>
    </row>
    <row r="2" spans="2:13" ht="80.150000000000006" customHeight="1" x14ac:dyDescent="0.4">
      <c r="B2" s="23" t="s">
        <v>78</v>
      </c>
      <c r="C2" s="22"/>
      <c r="D2" s="22"/>
      <c r="E2" s="24" t="s">
        <v>14</v>
      </c>
      <c r="F2" s="24" t="s">
        <v>8</v>
      </c>
      <c r="G2" s="24" t="s">
        <v>0</v>
      </c>
      <c r="H2" s="24" t="s">
        <v>19</v>
      </c>
      <c r="I2" s="24" t="s">
        <v>30</v>
      </c>
      <c r="J2" s="22"/>
      <c r="K2" s="22"/>
      <c r="L2" s="22"/>
      <c r="M2" s="22"/>
    </row>
    <row r="3" spans="2:13" ht="15" x14ac:dyDescent="0.35">
      <c r="B3" s="22" t="s">
        <v>132</v>
      </c>
      <c r="C3" s="22"/>
      <c r="D3" s="27">
        <f>E3/365</f>
        <v>2.1917808219178081</v>
      </c>
      <c r="E3" s="25">
        <v>800</v>
      </c>
      <c r="F3" s="26"/>
      <c r="G3" s="27">
        <f>E3/$H$15</f>
        <v>32</v>
      </c>
      <c r="H3" s="27">
        <f>G3/$E$28*100</f>
        <v>7.1032186459489459</v>
      </c>
      <c r="I3" s="22"/>
      <c r="J3" s="22"/>
      <c r="K3" s="22"/>
      <c r="L3" s="22"/>
      <c r="M3" s="22"/>
    </row>
    <row r="4" spans="2:13" ht="15" x14ac:dyDescent="0.35">
      <c r="B4" s="22" t="s">
        <v>115</v>
      </c>
      <c r="C4" s="22"/>
      <c r="D4" s="22"/>
      <c r="E4" s="25">
        <v>30</v>
      </c>
      <c r="F4" s="28"/>
      <c r="G4" s="29">
        <f>E4/$H$15</f>
        <v>1.2</v>
      </c>
      <c r="H4" s="29">
        <f>G4/$E$28*100</f>
        <v>0.26637069922308543</v>
      </c>
      <c r="I4" s="22"/>
      <c r="J4" s="22"/>
      <c r="K4" s="22"/>
      <c r="L4" s="22"/>
      <c r="M4" s="22"/>
    </row>
    <row r="5" spans="2:13" ht="15" x14ac:dyDescent="0.35">
      <c r="B5" s="132" t="s">
        <v>124</v>
      </c>
      <c r="C5" s="22"/>
      <c r="D5" s="22"/>
      <c r="E5" s="25">
        <v>70</v>
      </c>
      <c r="F5" s="28"/>
      <c r="G5" s="29">
        <f>E5/$H$15</f>
        <v>2.8</v>
      </c>
      <c r="H5" s="29">
        <f>G5/$E$28*100</f>
        <v>0.6215316315205327</v>
      </c>
      <c r="I5" s="22"/>
      <c r="J5" s="22"/>
      <c r="K5" s="22"/>
      <c r="L5" s="22"/>
      <c r="M5" s="22"/>
    </row>
    <row r="6" spans="2:13" ht="15" x14ac:dyDescent="0.35">
      <c r="B6" s="22" t="s">
        <v>37</v>
      </c>
      <c r="C6" s="22"/>
      <c r="D6" s="22"/>
      <c r="E6" s="30">
        <f>(SUM(E3:E5)*0.5*E23*0.01)</f>
        <v>27</v>
      </c>
      <c r="F6" s="27"/>
      <c r="G6" s="27">
        <f>E6/$H$15</f>
        <v>1.08</v>
      </c>
      <c r="H6" s="27">
        <f>G6/$E$28*100</f>
        <v>0.23973362930077693</v>
      </c>
      <c r="I6" s="22"/>
      <c r="J6" s="22"/>
      <c r="K6" s="22"/>
      <c r="L6" s="22"/>
      <c r="M6" s="22"/>
    </row>
    <row r="7" spans="2:13" ht="15.45" x14ac:dyDescent="0.4">
      <c r="B7" s="23" t="s">
        <v>28</v>
      </c>
      <c r="C7" s="19" t="s">
        <v>131</v>
      </c>
      <c r="D7" s="27">
        <f>E7/365</f>
        <v>2.5397260273972604</v>
      </c>
      <c r="E7" s="31">
        <f>SUM(E3:E6)</f>
        <v>927</v>
      </c>
      <c r="F7" s="32"/>
      <c r="G7" s="33">
        <f>E7/$H$15</f>
        <v>37.08</v>
      </c>
      <c r="H7" s="33">
        <f>G7/$E$28*100</f>
        <v>8.2308546059933398</v>
      </c>
      <c r="I7" s="34">
        <f>E7/E16</f>
        <v>0.46354635463546356</v>
      </c>
      <c r="J7" s="22"/>
      <c r="K7" s="22" t="s">
        <v>142</v>
      </c>
      <c r="L7" s="22"/>
      <c r="M7" s="22"/>
    </row>
    <row r="8" spans="2:13" ht="15.45" x14ac:dyDescent="0.4">
      <c r="B8" s="23"/>
      <c r="C8" s="22"/>
      <c r="D8" s="22"/>
      <c r="E8" s="35"/>
      <c r="F8" s="28"/>
      <c r="G8" s="29"/>
      <c r="H8" s="29"/>
      <c r="I8" s="22"/>
      <c r="J8" s="22"/>
      <c r="K8" s="22"/>
      <c r="L8" s="22"/>
      <c r="M8" s="22"/>
    </row>
    <row r="9" spans="2:13" ht="15.45" x14ac:dyDescent="0.4">
      <c r="B9" s="23" t="s">
        <v>38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2:13" ht="15" x14ac:dyDescent="0.35">
      <c r="B10" s="22" t="s">
        <v>1</v>
      </c>
      <c r="C10" s="22"/>
      <c r="D10" s="22"/>
      <c r="E10" s="36">
        <f>(G19-G22)/G20</f>
        <v>810</v>
      </c>
      <c r="F10" s="26"/>
      <c r="G10" s="27">
        <f>E10/$H$15</f>
        <v>32.4</v>
      </c>
      <c r="H10" s="27">
        <f>G10/$E$28*100</f>
        <v>7.192008879023307</v>
      </c>
      <c r="I10" s="22"/>
      <c r="J10" s="22"/>
      <c r="K10" s="22"/>
      <c r="L10" s="22"/>
      <c r="M10" s="22"/>
    </row>
    <row r="11" spans="2:13" ht="15" x14ac:dyDescent="0.35">
      <c r="B11" s="22" t="s">
        <v>6</v>
      </c>
      <c r="C11" s="22"/>
      <c r="D11" s="22"/>
      <c r="E11" s="30">
        <f>F24*E23*0.01</f>
        <v>172.8</v>
      </c>
      <c r="F11" s="27"/>
      <c r="G11" s="27">
        <f>E11/$H$15</f>
        <v>6.9120000000000008</v>
      </c>
      <c r="H11" s="27">
        <f>G11/$E$28*100</f>
        <v>1.5342952275249724</v>
      </c>
      <c r="I11" s="22"/>
      <c r="J11" s="22"/>
      <c r="K11" s="22"/>
      <c r="L11" s="22"/>
      <c r="M11" s="22"/>
    </row>
    <row r="12" spans="2:13" ht="15" x14ac:dyDescent="0.35">
      <c r="B12" s="22" t="s">
        <v>32</v>
      </c>
      <c r="C12" s="22"/>
      <c r="D12" s="37">
        <v>2</v>
      </c>
      <c r="E12" s="36">
        <f>G19*D12*0.01</f>
        <v>90</v>
      </c>
      <c r="F12" s="26"/>
      <c r="G12" s="27">
        <f>E12/$H$15</f>
        <v>3.6</v>
      </c>
      <c r="H12" s="27">
        <f>G12/$E$28*100</f>
        <v>0.7991120976692565</v>
      </c>
      <c r="I12" s="22"/>
      <c r="J12" s="22"/>
      <c r="K12" s="22"/>
      <c r="L12" s="22"/>
      <c r="M12" s="22"/>
    </row>
    <row r="13" spans="2:13" ht="15.45" x14ac:dyDescent="0.4">
      <c r="B13" s="23" t="s">
        <v>29</v>
      </c>
      <c r="C13" s="23"/>
      <c r="D13" s="23"/>
      <c r="E13" s="38">
        <f>SUM(E10:E12)</f>
        <v>1072.8</v>
      </c>
      <c r="F13" s="23"/>
      <c r="G13" s="39">
        <f>E13/$H$15</f>
        <v>42.911999999999999</v>
      </c>
      <c r="H13" s="39">
        <f>G13/$E$28*100</f>
        <v>9.525416204217537</v>
      </c>
      <c r="I13" s="34">
        <f>E13/E16</f>
        <v>0.53645364536453644</v>
      </c>
      <c r="J13" s="22"/>
      <c r="K13" s="22"/>
      <c r="L13" s="22"/>
      <c r="M13" s="22"/>
    </row>
    <row r="14" spans="2:13" ht="15.45" x14ac:dyDescent="0.4">
      <c r="B14" s="23"/>
      <c r="C14" s="23"/>
      <c r="D14" s="23"/>
      <c r="E14" s="38"/>
      <c r="F14" s="23"/>
      <c r="G14" s="39"/>
      <c r="H14" s="39" t="s">
        <v>44</v>
      </c>
      <c r="I14" s="34"/>
      <c r="J14" s="22"/>
      <c r="K14" s="22"/>
      <c r="L14" s="22"/>
      <c r="M14" s="22"/>
    </row>
    <row r="15" spans="2:13" ht="15.9" thickBot="1" x14ac:dyDescent="0.45">
      <c r="B15" s="22" t="s">
        <v>79</v>
      </c>
      <c r="C15" s="22"/>
      <c r="D15" s="40">
        <v>1</v>
      </c>
      <c r="E15" s="22" t="s">
        <v>80</v>
      </c>
      <c r="F15" s="22"/>
      <c r="G15" s="40">
        <v>25</v>
      </c>
      <c r="H15" s="41">
        <f>D15*G15</f>
        <v>25</v>
      </c>
      <c r="I15" s="22"/>
      <c r="J15" s="22"/>
      <c r="K15" s="22"/>
      <c r="L15" s="22"/>
      <c r="M15" s="22"/>
    </row>
    <row r="16" spans="2:13" ht="16.3" thickTop="1" thickBot="1" x14ac:dyDescent="0.45">
      <c r="B16" s="23" t="s">
        <v>81</v>
      </c>
      <c r="C16" s="22"/>
      <c r="D16" s="22"/>
      <c r="E16" s="38">
        <f>E7+E13</f>
        <v>1999.8</v>
      </c>
      <c r="F16" s="22"/>
      <c r="G16" s="42">
        <f>E16/(G15*D15)</f>
        <v>79.992000000000004</v>
      </c>
      <c r="H16" s="39">
        <f>G16/$E$28*100</f>
        <v>17.756270810210879</v>
      </c>
      <c r="I16" s="22"/>
      <c r="J16" s="22"/>
      <c r="K16" s="22"/>
      <c r="L16" s="22"/>
      <c r="M16" s="22"/>
    </row>
    <row r="17" spans="2:13" ht="15.9" thickTop="1" x14ac:dyDescent="0.4">
      <c r="B17" s="23" t="s">
        <v>34</v>
      </c>
      <c r="C17" s="22"/>
      <c r="D17" s="22"/>
      <c r="E17" s="39">
        <f>E16/(H15*E26*0.01)</f>
        <v>94.108235294117648</v>
      </c>
      <c r="F17" s="44">
        <f>H15*G20*E26*0.01</f>
        <v>85</v>
      </c>
      <c r="G17" s="23" t="s">
        <v>39</v>
      </c>
      <c r="H17" s="22"/>
      <c r="I17" s="22"/>
      <c r="J17" s="22"/>
      <c r="K17" s="27"/>
      <c r="L17" s="22"/>
      <c r="M17" s="22"/>
    </row>
    <row r="18" spans="2:13" ht="15" x14ac:dyDescent="0.35">
      <c r="B18" s="22"/>
      <c r="C18" s="22"/>
      <c r="D18" s="22"/>
      <c r="E18" s="22"/>
      <c r="F18" s="22"/>
      <c r="G18" s="45"/>
      <c r="H18" s="22"/>
      <c r="I18" s="22"/>
      <c r="J18" s="22"/>
      <c r="K18" s="22"/>
      <c r="L18" s="22"/>
      <c r="M18" s="22"/>
    </row>
    <row r="19" spans="2:13" ht="15" x14ac:dyDescent="0.35">
      <c r="B19" s="22" t="s">
        <v>21</v>
      </c>
      <c r="C19" s="22"/>
      <c r="D19" s="22"/>
      <c r="E19" s="22"/>
      <c r="F19" s="22"/>
      <c r="G19" s="46">
        <v>4500</v>
      </c>
      <c r="H19" s="47"/>
      <c r="I19" s="22"/>
      <c r="J19" s="22"/>
      <c r="K19" s="22"/>
      <c r="L19" s="22"/>
      <c r="M19" s="22"/>
    </row>
    <row r="20" spans="2:13" ht="15" x14ac:dyDescent="0.35">
      <c r="B20" s="22" t="s">
        <v>40</v>
      </c>
      <c r="C20" s="22"/>
      <c r="D20" s="22"/>
      <c r="E20" s="22"/>
      <c r="F20" s="22"/>
      <c r="G20" s="48">
        <v>4</v>
      </c>
      <c r="H20" s="22"/>
      <c r="I20" s="22"/>
      <c r="J20" s="22"/>
      <c r="K20" s="22"/>
      <c r="L20" s="22"/>
      <c r="M20" s="22"/>
    </row>
    <row r="21" spans="2:13" ht="15" x14ac:dyDescent="0.35">
      <c r="B21" s="22"/>
      <c r="C21" s="22"/>
      <c r="D21" s="22"/>
      <c r="E21" s="49" t="s">
        <v>3</v>
      </c>
      <c r="F21" s="85" t="s">
        <v>4</v>
      </c>
      <c r="G21" s="49" t="s">
        <v>5</v>
      </c>
      <c r="H21" s="49"/>
      <c r="I21" s="22"/>
      <c r="J21" s="22"/>
      <c r="K21" s="22"/>
      <c r="L21" s="22"/>
      <c r="M21" s="22"/>
    </row>
    <row r="22" spans="2:13" ht="15" x14ac:dyDescent="0.35">
      <c r="B22" s="22" t="s">
        <v>43</v>
      </c>
      <c r="C22" s="22"/>
      <c r="D22" s="22"/>
      <c r="E22" s="50">
        <v>1800</v>
      </c>
      <c r="F22" s="53">
        <v>70</v>
      </c>
      <c r="G22" s="30">
        <f>E22*F22*0.01</f>
        <v>1260</v>
      </c>
      <c r="H22" s="30"/>
      <c r="I22" s="22"/>
      <c r="J22" s="22"/>
      <c r="K22" s="22"/>
      <c r="L22" s="22"/>
      <c r="M22" s="22"/>
    </row>
    <row r="23" spans="2:13" ht="15" x14ac:dyDescent="0.35">
      <c r="B23" s="22" t="s">
        <v>12</v>
      </c>
      <c r="C23" s="22"/>
      <c r="D23" s="22"/>
      <c r="E23" s="52">
        <v>6</v>
      </c>
      <c r="F23" s="22" t="s">
        <v>2</v>
      </c>
      <c r="G23" s="22"/>
      <c r="H23" s="22"/>
      <c r="I23" s="22"/>
      <c r="J23" s="22"/>
      <c r="K23" s="22"/>
      <c r="L23" s="22"/>
      <c r="M23" s="22"/>
    </row>
    <row r="24" spans="2:13" ht="15" x14ac:dyDescent="0.35">
      <c r="B24" s="22" t="s">
        <v>20</v>
      </c>
      <c r="C24" s="22"/>
      <c r="D24" s="22"/>
      <c r="E24" s="22"/>
      <c r="F24" s="30">
        <f>(G19+G22)/2</f>
        <v>2880</v>
      </c>
      <c r="G24" s="22"/>
      <c r="H24" s="22"/>
      <c r="I24" s="22"/>
      <c r="J24" s="22"/>
      <c r="K24" s="22"/>
      <c r="L24" s="22"/>
      <c r="M24" s="22"/>
    </row>
    <row r="25" spans="2:13" ht="15" x14ac:dyDescent="0.35">
      <c r="B25" s="51" t="s">
        <v>18</v>
      </c>
      <c r="C25" s="22"/>
      <c r="D25" s="22"/>
      <c r="E25" s="22"/>
      <c r="F25" s="30"/>
      <c r="G25" s="22"/>
      <c r="H25" s="22"/>
      <c r="I25" s="22"/>
      <c r="J25" s="22"/>
      <c r="K25" s="22"/>
      <c r="L25" s="22"/>
      <c r="M25" s="22"/>
    </row>
    <row r="26" spans="2:13" ht="15.45" x14ac:dyDescent="0.4">
      <c r="B26" s="22" t="s">
        <v>16</v>
      </c>
      <c r="C26" s="22"/>
      <c r="D26" s="22"/>
      <c r="E26" s="52">
        <v>85</v>
      </c>
      <c r="F26" s="22" t="s">
        <v>2</v>
      </c>
      <c r="G26" s="23" t="s">
        <v>41</v>
      </c>
      <c r="H26" s="23"/>
      <c r="I26" s="22" t="s">
        <v>109</v>
      </c>
      <c r="J26" s="22"/>
      <c r="K26" s="22"/>
      <c r="L26" s="22"/>
      <c r="M26" s="22"/>
    </row>
    <row r="27" spans="2:13" ht="15" x14ac:dyDescent="0.35">
      <c r="B27" s="22" t="s">
        <v>125</v>
      </c>
      <c r="C27" s="22"/>
      <c r="D27" s="22"/>
      <c r="E27" s="52">
        <v>530</v>
      </c>
      <c r="F27" s="22" t="s">
        <v>17</v>
      </c>
      <c r="G27" s="53">
        <v>165</v>
      </c>
      <c r="H27" s="49" t="s">
        <v>4</v>
      </c>
      <c r="I27" s="22" t="s">
        <v>110</v>
      </c>
      <c r="J27" s="22"/>
      <c r="K27" s="22"/>
      <c r="L27" s="22"/>
      <c r="M27" s="22"/>
    </row>
    <row r="28" spans="2:13" ht="15.45" x14ac:dyDescent="0.4">
      <c r="B28" s="23" t="s">
        <v>82</v>
      </c>
      <c r="C28" s="22"/>
      <c r="D28" s="22"/>
      <c r="E28" s="54">
        <f>E26*E27*0.01</f>
        <v>450.5</v>
      </c>
      <c r="F28" s="23" t="s">
        <v>17</v>
      </c>
      <c r="G28" s="55">
        <f>E27*G27*0.01</f>
        <v>874.5</v>
      </c>
      <c r="H28" s="49" t="s">
        <v>42</v>
      </c>
      <c r="I28" s="49" t="s">
        <v>35</v>
      </c>
      <c r="J28" s="22"/>
      <c r="K28" s="22"/>
      <c r="L28" s="22"/>
      <c r="M28" s="22"/>
    </row>
    <row r="29" spans="2:13" ht="15.45" x14ac:dyDescent="0.4">
      <c r="B29" s="22"/>
      <c r="C29" s="22"/>
      <c r="D29" s="22"/>
      <c r="E29" s="56"/>
      <c r="F29" s="22"/>
      <c r="G29" s="23"/>
      <c r="H29" s="22"/>
      <c r="I29" s="77">
        <f>G19/G28</f>
        <v>5.1457975986277873</v>
      </c>
      <c r="J29" s="22"/>
      <c r="K29" s="22"/>
      <c r="L29" s="22"/>
      <c r="M29" s="22"/>
    </row>
    <row r="30" spans="2:13" ht="15.45" x14ac:dyDescent="0.4">
      <c r="B30" s="22"/>
      <c r="C30" s="22"/>
      <c r="D30" s="22"/>
      <c r="E30" s="12"/>
      <c r="F30" s="8"/>
      <c r="G30" s="7"/>
      <c r="H30" s="5" t="s">
        <v>47</v>
      </c>
      <c r="I30" s="77"/>
      <c r="J30" s="22"/>
      <c r="K30" s="22"/>
      <c r="L30" s="22"/>
      <c r="M30" s="22"/>
    </row>
    <row r="31" spans="2:13" ht="15.45" x14ac:dyDescent="0.4">
      <c r="C31" s="22"/>
      <c r="D31" s="22"/>
      <c r="E31" s="79" t="s">
        <v>45</v>
      </c>
      <c r="F31" s="80"/>
      <c r="G31" s="79" t="s">
        <v>48</v>
      </c>
      <c r="H31" s="81" t="s">
        <v>46</v>
      </c>
      <c r="I31" s="77"/>
      <c r="J31" s="22"/>
      <c r="K31" s="22"/>
      <c r="L31" s="22"/>
      <c r="M31" s="22"/>
    </row>
    <row r="32" spans="2:13" ht="15.45" x14ac:dyDescent="0.4">
      <c r="B32" s="19" t="s">
        <v>108</v>
      </c>
      <c r="C32" s="22"/>
      <c r="D32" s="22"/>
      <c r="E32" s="82">
        <f>E16</f>
        <v>1999.8</v>
      </c>
      <c r="F32" s="83"/>
      <c r="G32" s="83">
        <f>G16</f>
        <v>79.992000000000004</v>
      </c>
      <c r="H32" s="83">
        <f>H16</f>
        <v>17.756270810210879</v>
      </c>
      <c r="I32" s="77"/>
      <c r="J32" s="22"/>
      <c r="K32" s="22"/>
      <c r="L32" s="22"/>
      <c r="M32" s="22"/>
    </row>
    <row r="33" spans="2:13" ht="15.45" x14ac:dyDescent="0.4">
      <c r="B33" s="19"/>
      <c r="C33" s="22"/>
      <c r="D33" s="22"/>
      <c r="E33" s="82"/>
      <c r="F33" s="83"/>
      <c r="G33" s="83"/>
      <c r="H33" s="83"/>
      <c r="I33" s="77"/>
      <c r="J33" s="22"/>
      <c r="K33" s="22"/>
      <c r="L33" s="22"/>
      <c r="M33" s="22"/>
    </row>
    <row r="34" spans="2:13" ht="15.45" x14ac:dyDescent="0.4">
      <c r="B34" s="7" t="s">
        <v>60</v>
      </c>
      <c r="C34" s="22"/>
      <c r="D34" s="22"/>
      <c r="E34" s="84">
        <f>'3. Advantage to Lease Bull'!E13</f>
        <v>391.10136986301359</v>
      </c>
      <c r="F34" s="19"/>
      <c r="G34" s="84">
        <f>'3. Advantage to Lease Bull'!F13</f>
        <v>15.644054794520557</v>
      </c>
      <c r="H34" s="84">
        <f>'3. Advantage to Lease Bull'!G13</f>
        <v>3.4725981785839188</v>
      </c>
      <c r="I34" s="22"/>
      <c r="J34" s="22"/>
      <c r="K34" s="22"/>
      <c r="L34" s="22"/>
      <c r="M34" s="22"/>
    </row>
    <row r="35" spans="2:13" ht="15" x14ac:dyDescent="0.35">
      <c r="B35" s="22" t="s">
        <v>116</v>
      </c>
      <c r="C35" s="22"/>
      <c r="D35" s="22"/>
      <c r="E35" s="22"/>
      <c r="F35" s="22"/>
      <c r="G35" s="30"/>
      <c r="H35" s="30"/>
      <c r="I35" s="55"/>
      <c r="J35" s="22"/>
      <c r="K35" s="22"/>
      <c r="L35" s="22"/>
      <c r="M35" s="22"/>
    </row>
    <row r="36" spans="2:13" ht="15.45" x14ac:dyDescent="0.4">
      <c r="B36" s="144" t="s">
        <v>83</v>
      </c>
      <c r="C36" s="144"/>
      <c r="D36" s="144"/>
      <c r="E36" s="144"/>
      <c r="F36" s="144"/>
      <c r="G36" s="144"/>
      <c r="H36" s="145"/>
      <c r="I36" s="145"/>
      <c r="J36" s="22"/>
      <c r="K36" s="22"/>
      <c r="L36" s="22"/>
      <c r="M36" s="22"/>
    </row>
    <row r="37" spans="2:13" ht="80.150000000000006" customHeight="1" x14ac:dyDescent="0.4">
      <c r="B37" s="22"/>
      <c r="C37" s="22"/>
      <c r="D37" s="22"/>
      <c r="E37" s="24" t="s">
        <v>84</v>
      </c>
      <c r="F37" s="24" t="s">
        <v>85</v>
      </c>
      <c r="G37" s="24" t="s">
        <v>86</v>
      </c>
      <c r="H37" s="24" t="s">
        <v>87</v>
      </c>
      <c r="I37" s="22"/>
      <c r="J37" s="22"/>
      <c r="K37" s="22"/>
      <c r="L37" s="22"/>
      <c r="M37" s="22"/>
    </row>
    <row r="38" spans="2:13" ht="15" x14ac:dyDescent="0.35">
      <c r="B38" s="22"/>
      <c r="C38" s="22"/>
      <c r="D38" s="22"/>
      <c r="E38" s="49" t="s">
        <v>22</v>
      </c>
      <c r="F38" s="49" t="s">
        <v>4</v>
      </c>
      <c r="G38" s="49" t="s">
        <v>22</v>
      </c>
      <c r="H38" s="49" t="s">
        <v>17</v>
      </c>
      <c r="I38" s="22"/>
      <c r="J38" s="22"/>
      <c r="K38" s="22"/>
      <c r="L38" s="22"/>
      <c r="M38" s="22"/>
    </row>
    <row r="39" spans="2:13" ht="15" x14ac:dyDescent="0.35">
      <c r="B39" s="59" t="s">
        <v>10</v>
      </c>
      <c r="C39" s="46">
        <v>100</v>
      </c>
      <c r="D39" s="60" t="s">
        <v>31</v>
      </c>
      <c r="E39" s="61"/>
      <c r="F39" s="22"/>
      <c r="G39" s="61"/>
      <c r="H39" s="61"/>
      <c r="I39" s="22"/>
      <c r="J39" s="61"/>
      <c r="K39" s="61"/>
      <c r="L39" s="61"/>
      <c r="M39" s="22"/>
    </row>
    <row r="40" spans="2:13" ht="15.45" x14ac:dyDescent="0.4">
      <c r="B40" s="59" t="s">
        <v>9</v>
      </c>
      <c r="C40" s="55">
        <f>G27</f>
        <v>165</v>
      </c>
      <c r="D40" s="60" t="s">
        <v>23</v>
      </c>
      <c r="E40" s="61"/>
      <c r="F40" s="22"/>
      <c r="G40" s="39"/>
      <c r="H40" s="61"/>
      <c r="I40" s="22"/>
      <c r="J40" s="57"/>
      <c r="K40" s="61"/>
      <c r="L40" s="61"/>
      <c r="M40" s="22"/>
    </row>
    <row r="41" spans="2:13" ht="15" x14ac:dyDescent="0.35">
      <c r="B41" s="22"/>
      <c r="C41" s="22"/>
      <c r="D41" s="62"/>
      <c r="E41" s="22"/>
      <c r="F41" s="22"/>
      <c r="G41" s="22"/>
      <c r="H41" s="22"/>
      <c r="I41" s="22"/>
      <c r="J41" s="22"/>
      <c r="K41" s="22"/>
      <c r="L41" s="22"/>
      <c r="M41" s="22"/>
    </row>
    <row r="42" spans="2:13" ht="15" x14ac:dyDescent="0.35">
      <c r="B42" s="22" t="s">
        <v>7</v>
      </c>
      <c r="C42" s="30">
        <f>$C43-$C$39</f>
        <v>4200</v>
      </c>
      <c r="D42" s="22"/>
      <c r="E42" s="63">
        <f t="shared" ref="E42:E48" si="0">((($C42+$G$22)/2)*$E$23*0.01+$D$12*0.01*$C42+$E$7+($C42-$G$22)/$G$20)/$H$15</f>
        <v>76.391999999999996</v>
      </c>
      <c r="F42" s="27">
        <f t="shared" ref="F42:F48" si="1">E42/$E$28*100</f>
        <v>16.95715871254162</v>
      </c>
      <c r="G42" s="27">
        <f>E42-E45</f>
        <v>-3.6000000000000085</v>
      </c>
      <c r="H42" s="64">
        <f>G42/($G$27*0.01)</f>
        <v>-2.181818181818187</v>
      </c>
      <c r="I42" s="22"/>
      <c r="J42" s="22"/>
      <c r="K42" s="22"/>
      <c r="L42" s="22"/>
      <c r="M42" s="22"/>
    </row>
    <row r="43" spans="2:13" ht="15" x14ac:dyDescent="0.35">
      <c r="B43" s="22"/>
      <c r="C43" s="30">
        <f>$C44-$C$39</f>
        <v>4300</v>
      </c>
      <c r="D43" s="22"/>
      <c r="E43" s="63">
        <f t="shared" si="0"/>
        <v>77.591999999999999</v>
      </c>
      <c r="F43" s="27">
        <f t="shared" si="1"/>
        <v>17.223529411764709</v>
      </c>
      <c r="G43" s="27">
        <f>E43-E45</f>
        <v>-2.4000000000000057</v>
      </c>
      <c r="H43" s="64">
        <f>G43/($G$27*0.01)</f>
        <v>-1.4545454545454579</v>
      </c>
      <c r="I43" s="22"/>
      <c r="J43" s="22"/>
      <c r="K43" s="22"/>
      <c r="L43" s="22"/>
      <c r="M43" s="22"/>
    </row>
    <row r="44" spans="2:13" ht="15" x14ac:dyDescent="0.35">
      <c r="B44" s="22"/>
      <c r="C44" s="30">
        <f>$C45-$C$39</f>
        <v>4400</v>
      </c>
      <c r="D44" s="22"/>
      <c r="E44" s="63">
        <f t="shared" si="0"/>
        <v>78.792000000000002</v>
      </c>
      <c r="F44" s="27">
        <f t="shared" si="1"/>
        <v>17.48990011098779</v>
      </c>
      <c r="G44" s="27">
        <f>E44-E45</f>
        <v>-1.2000000000000028</v>
      </c>
      <c r="H44" s="64">
        <f>G44/($G$27*0.01)</f>
        <v>-0.72727272727272896</v>
      </c>
      <c r="I44" s="22"/>
      <c r="J44" s="22"/>
      <c r="K44" s="22"/>
      <c r="L44" s="22"/>
      <c r="M44" s="22"/>
    </row>
    <row r="45" spans="2:13" ht="15.45" x14ac:dyDescent="0.4">
      <c r="B45" s="22" t="s">
        <v>13</v>
      </c>
      <c r="C45" s="65">
        <f>G19</f>
        <v>4500</v>
      </c>
      <c r="D45" s="22"/>
      <c r="E45" s="66">
        <f t="shared" si="0"/>
        <v>79.992000000000004</v>
      </c>
      <c r="F45" s="39">
        <f t="shared" si="1"/>
        <v>17.756270810210879</v>
      </c>
      <c r="G45" s="39"/>
      <c r="H45" s="57"/>
      <c r="I45" s="22"/>
      <c r="J45" s="22"/>
      <c r="K45" s="27"/>
      <c r="L45" s="22"/>
      <c r="M45" s="22"/>
    </row>
    <row r="46" spans="2:13" ht="15" x14ac:dyDescent="0.35">
      <c r="B46" s="22"/>
      <c r="C46" s="30">
        <f>$C45+$C$39</f>
        <v>4600</v>
      </c>
      <c r="D46" s="22"/>
      <c r="E46" s="63">
        <f t="shared" si="0"/>
        <v>81.191999999999993</v>
      </c>
      <c r="F46" s="27">
        <f t="shared" si="1"/>
        <v>18.022641509433964</v>
      </c>
      <c r="G46" s="27">
        <f>E46-E45</f>
        <v>1.1999999999999886</v>
      </c>
      <c r="H46" s="64">
        <f>G46/($G$27*0.01)</f>
        <v>0.7272727272727203</v>
      </c>
      <c r="I46" s="22"/>
      <c r="J46" s="22"/>
      <c r="K46" s="22"/>
      <c r="L46" s="22"/>
      <c r="M46" s="22"/>
    </row>
    <row r="47" spans="2:13" ht="15" x14ac:dyDescent="0.35">
      <c r="B47" s="22"/>
      <c r="C47" s="30">
        <f>$C46+$C$39</f>
        <v>4700</v>
      </c>
      <c r="D47" s="22"/>
      <c r="E47" s="63">
        <f t="shared" si="0"/>
        <v>82.39200000000001</v>
      </c>
      <c r="F47" s="27">
        <f t="shared" si="1"/>
        <v>18.289012208657049</v>
      </c>
      <c r="G47" s="27">
        <f>E47-E45</f>
        <v>2.4000000000000057</v>
      </c>
      <c r="H47" s="64">
        <f>G47/($G$27*0.01)</f>
        <v>1.4545454545454579</v>
      </c>
      <c r="I47" s="22"/>
      <c r="J47" s="22"/>
      <c r="K47" s="22"/>
      <c r="L47" s="22"/>
      <c r="M47" s="22"/>
    </row>
    <row r="48" spans="2:13" ht="15" x14ac:dyDescent="0.35">
      <c r="B48" s="22"/>
      <c r="C48" s="30">
        <f>$C47+$C$39</f>
        <v>4800</v>
      </c>
      <c r="D48" s="22"/>
      <c r="E48" s="63">
        <f t="shared" si="0"/>
        <v>83.592000000000013</v>
      </c>
      <c r="F48" s="27">
        <f t="shared" si="1"/>
        <v>18.555382907880137</v>
      </c>
      <c r="G48" s="27">
        <f>E48-E45</f>
        <v>3.6000000000000085</v>
      </c>
      <c r="H48" s="64">
        <f>G48/($G$27*0.01)</f>
        <v>2.181818181818187</v>
      </c>
      <c r="I48" s="22"/>
      <c r="J48" s="22"/>
      <c r="K48" s="22"/>
      <c r="L48" s="22"/>
      <c r="M48" s="22"/>
    </row>
    <row r="49" spans="2:13" ht="15.45" x14ac:dyDescent="0.4">
      <c r="B49" s="22"/>
      <c r="C49" s="30"/>
      <c r="D49" s="22"/>
      <c r="E49" s="66"/>
      <c r="F49" s="22"/>
      <c r="G49" s="39"/>
      <c r="H49" s="22"/>
      <c r="I49" s="22"/>
      <c r="J49" s="57"/>
      <c r="K49" s="22"/>
      <c r="L49" s="22"/>
      <c r="M49" s="22"/>
    </row>
    <row r="50" spans="2:13" ht="15.45" x14ac:dyDescent="0.4">
      <c r="B50" s="18" t="s">
        <v>113</v>
      </c>
      <c r="C50" s="30"/>
      <c r="D50" s="22"/>
      <c r="E50" s="66"/>
      <c r="F50" s="39"/>
      <c r="G50" s="22"/>
      <c r="H50" s="22"/>
      <c r="I50" s="22"/>
      <c r="J50" s="57"/>
      <c r="K50" s="22"/>
      <c r="L50" s="22"/>
      <c r="M50" s="22"/>
    </row>
    <row r="51" spans="2:13" ht="15.45" x14ac:dyDescent="0.4">
      <c r="B51" s="22"/>
      <c r="C51" s="30"/>
      <c r="D51" s="22"/>
      <c r="E51" s="66"/>
      <c r="F51" s="39"/>
      <c r="G51" s="57"/>
      <c r="H51" s="22"/>
      <c r="I51" s="22"/>
      <c r="J51" s="22"/>
      <c r="K51" s="22"/>
      <c r="L51" s="22"/>
      <c r="M51" s="22"/>
    </row>
    <row r="52" spans="2:13" ht="15" x14ac:dyDescent="0.35">
      <c r="B52" s="22" t="s">
        <v>11</v>
      </c>
      <c r="C52" s="67" t="s">
        <v>114</v>
      </c>
      <c r="D52" s="68"/>
      <c r="E52" s="68"/>
      <c r="F52" s="68"/>
      <c r="G52" s="69"/>
      <c r="H52" s="22"/>
      <c r="I52" s="22"/>
      <c r="J52" s="22"/>
      <c r="K52" s="22"/>
      <c r="L52" s="22"/>
      <c r="M52" s="22"/>
    </row>
    <row r="53" spans="2:13" ht="15" x14ac:dyDescent="0.35">
      <c r="B53" s="22" t="s">
        <v>116</v>
      </c>
      <c r="C53" s="22"/>
      <c r="D53" s="22"/>
      <c r="E53" s="22"/>
      <c r="F53" s="22"/>
      <c r="G53" s="30"/>
      <c r="H53" s="55"/>
      <c r="I53" s="22"/>
      <c r="J53" s="22"/>
      <c r="K53" s="22"/>
      <c r="L53" s="22"/>
      <c r="M53" s="22"/>
    </row>
    <row r="54" spans="2:13" ht="15.45" x14ac:dyDescent="0.4">
      <c r="B54" s="22"/>
      <c r="C54" s="144" t="s">
        <v>88</v>
      </c>
      <c r="D54" s="145"/>
      <c r="E54" s="145"/>
      <c r="F54" s="145"/>
      <c r="G54" s="145"/>
      <c r="H54" s="145"/>
      <c r="I54" s="22"/>
      <c r="J54" s="22"/>
      <c r="K54" s="22"/>
      <c r="L54" s="22"/>
      <c r="M54" s="22"/>
    </row>
    <row r="55" spans="2:13" ht="15" x14ac:dyDescent="0.35">
      <c r="B55" s="59"/>
      <c r="C55" s="22"/>
      <c r="D55" s="70"/>
      <c r="E55" s="60"/>
      <c r="F55" s="22"/>
      <c r="G55" s="30"/>
      <c r="H55" s="30"/>
      <c r="I55" s="55"/>
      <c r="J55" s="22"/>
      <c r="K55" s="22"/>
      <c r="L55" s="22"/>
      <c r="M55" s="22"/>
    </row>
    <row r="56" spans="2:13" ht="15" x14ac:dyDescent="0.35">
      <c r="B56" s="59" t="s">
        <v>25</v>
      </c>
      <c r="C56" s="22"/>
      <c r="D56" s="71">
        <v>5</v>
      </c>
      <c r="E56" s="60" t="s">
        <v>112</v>
      </c>
      <c r="F56" s="22"/>
      <c r="G56" s="30"/>
      <c r="H56" s="30"/>
      <c r="I56" s="55"/>
      <c r="J56" s="22"/>
      <c r="K56" s="22"/>
      <c r="L56" s="22"/>
      <c r="M56" s="22"/>
    </row>
    <row r="57" spans="2:13" ht="15" x14ac:dyDescent="0.35">
      <c r="B57" s="59"/>
      <c r="C57" s="72"/>
      <c r="D57" s="60"/>
      <c r="E57" s="61"/>
      <c r="F57" s="22"/>
      <c r="G57" s="30"/>
      <c r="H57" s="30"/>
      <c r="I57" s="55"/>
      <c r="J57" s="22"/>
      <c r="K57" s="22"/>
      <c r="L57" s="22"/>
      <c r="M57" s="22"/>
    </row>
    <row r="58" spans="2:13" ht="15.45" x14ac:dyDescent="0.4">
      <c r="B58" s="59"/>
      <c r="C58" s="146" t="s">
        <v>24</v>
      </c>
      <c r="D58" s="144"/>
      <c r="E58" s="144"/>
      <c r="F58" s="144"/>
      <c r="G58" s="144"/>
      <c r="H58" s="144"/>
      <c r="I58" s="55"/>
      <c r="J58" s="22"/>
      <c r="K58" s="22"/>
      <c r="L58" s="22"/>
      <c r="M58" s="22"/>
    </row>
    <row r="59" spans="2:13" ht="15.45" x14ac:dyDescent="0.4">
      <c r="B59" s="59" t="s">
        <v>26</v>
      </c>
      <c r="C59" s="73"/>
      <c r="D59" s="74">
        <f>E59-D56</f>
        <v>15</v>
      </c>
      <c r="E59" s="74">
        <f>(F59-D56)</f>
        <v>20</v>
      </c>
      <c r="F59" s="75">
        <f>D15*G15</f>
        <v>25</v>
      </c>
      <c r="G59" s="74">
        <f>(F59+D56)</f>
        <v>30</v>
      </c>
      <c r="H59" s="74">
        <f>G59+D56</f>
        <v>35</v>
      </c>
      <c r="I59" s="55"/>
      <c r="J59" s="22"/>
      <c r="K59" s="22"/>
      <c r="L59" s="22"/>
      <c r="M59" s="22"/>
    </row>
    <row r="60" spans="2:13" ht="15.45" x14ac:dyDescent="0.4">
      <c r="B60" s="22"/>
      <c r="C60" s="23" t="s">
        <v>5</v>
      </c>
      <c r="D60" s="62"/>
      <c r="E60" s="22"/>
      <c r="F60" s="58" t="s">
        <v>22</v>
      </c>
      <c r="G60" s="30"/>
      <c r="H60" s="30"/>
      <c r="I60" s="55"/>
      <c r="J60" s="22"/>
      <c r="K60" s="22"/>
      <c r="L60" s="22"/>
      <c r="M60" s="22"/>
    </row>
    <row r="61" spans="2:13" ht="15" x14ac:dyDescent="0.35">
      <c r="B61" s="22"/>
      <c r="C61" s="30">
        <f>$C62-$C$39</f>
        <v>4200</v>
      </c>
      <c r="D61" s="63">
        <f t="shared" ref="D61:H67" si="2">((($C61+$G$22)/2)*$E$23*0.01+$D$12*0.01*$C61+$E$7+($C61-$G$22)/$G$20)/D$59</f>
        <v>127.32</v>
      </c>
      <c r="E61" s="63">
        <f t="shared" si="2"/>
        <v>95.49</v>
      </c>
      <c r="F61" s="63">
        <f t="shared" si="2"/>
        <v>76.391999999999996</v>
      </c>
      <c r="G61" s="63">
        <f t="shared" si="2"/>
        <v>63.66</v>
      </c>
      <c r="H61" s="63">
        <f t="shared" si="2"/>
        <v>54.565714285714286</v>
      </c>
      <c r="I61" s="22"/>
      <c r="J61" s="22"/>
      <c r="K61" s="22"/>
      <c r="L61" s="22"/>
      <c r="M61" s="22"/>
    </row>
    <row r="62" spans="2:13" ht="15" x14ac:dyDescent="0.35">
      <c r="B62" s="22"/>
      <c r="C62" s="30">
        <f>$C63-$C$39</f>
        <v>4300</v>
      </c>
      <c r="D62" s="63">
        <f t="shared" si="2"/>
        <v>129.32</v>
      </c>
      <c r="E62" s="63">
        <f t="shared" si="2"/>
        <v>96.99</v>
      </c>
      <c r="F62" s="63">
        <f t="shared" si="2"/>
        <v>77.591999999999999</v>
      </c>
      <c r="G62" s="63">
        <f t="shared" si="2"/>
        <v>64.66</v>
      </c>
      <c r="H62" s="63">
        <f t="shared" si="2"/>
        <v>55.42285714285714</v>
      </c>
      <c r="I62" s="22"/>
      <c r="J62" s="22"/>
      <c r="K62" s="22"/>
      <c r="L62" s="22"/>
      <c r="M62" s="22"/>
    </row>
    <row r="63" spans="2:13" ht="15" x14ac:dyDescent="0.35">
      <c r="B63" s="22"/>
      <c r="C63" s="30">
        <f>$C64-$C$39</f>
        <v>4400</v>
      </c>
      <c r="D63" s="63">
        <f t="shared" si="2"/>
        <v>131.32</v>
      </c>
      <c r="E63" s="63">
        <f t="shared" si="2"/>
        <v>98.49</v>
      </c>
      <c r="F63" s="63">
        <f t="shared" si="2"/>
        <v>78.792000000000002</v>
      </c>
      <c r="G63" s="63">
        <f t="shared" si="2"/>
        <v>65.66</v>
      </c>
      <c r="H63" s="63">
        <f t="shared" si="2"/>
        <v>56.28</v>
      </c>
      <c r="I63" s="22"/>
      <c r="J63" s="22"/>
      <c r="K63" s="22"/>
      <c r="L63" s="22"/>
      <c r="M63" s="22"/>
    </row>
    <row r="64" spans="2:13" ht="15.45" x14ac:dyDescent="0.4">
      <c r="B64" s="22" t="s">
        <v>13</v>
      </c>
      <c r="C64" s="65">
        <f>G19</f>
        <v>4500</v>
      </c>
      <c r="D64" s="63">
        <f t="shared" si="2"/>
        <v>133.32</v>
      </c>
      <c r="E64" s="63">
        <f t="shared" si="2"/>
        <v>99.99</v>
      </c>
      <c r="F64" s="66">
        <f t="shared" si="2"/>
        <v>79.992000000000004</v>
      </c>
      <c r="G64" s="63">
        <f t="shared" si="2"/>
        <v>66.66</v>
      </c>
      <c r="H64" s="63">
        <f t="shared" si="2"/>
        <v>57.137142857142855</v>
      </c>
      <c r="I64" s="22"/>
      <c r="J64" s="55"/>
      <c r="K64" s="22"/>
      <c r="L64" s="22"/>
      <c r="M64" s="22"/>
    </row>
    <row r="65" spans="2:13" ht="15" x14ac:dyDescent="0.35">
      <c r="B65" s="22"/>
      <c r="C65" s="30">
        <f>$C64+$C$39</f>
        <v>4600</v>
      </c>
      <c r="D65" s="63">
        <f t="shared" si="2"/>
        <v>135.32</v>
      </c>
      <c r="E65" s="63">
        <f t="shared" si="2"/>
        <v>101.49</v>
      </c>
      <c r="F65" s="63">
        <f t="shared" si="2"/>
        <v>81.191999999999993</v>
      </c>
      <c r="G65" s="63">
        <f t="shared" si="2"/>
        <v>67.66</v>
      </c>
      <c r="H65" s="63">
        <f t="shared" si="2"/>
        <v>57.994285714285716</v>
      </c>
      <c r="I65" s="22"/>
      <c r="J65" s="22"/>
      <c r="K65" s="22"/>
      <c r="L65" s="22"/>
      <c r="M65" s="22"/>
    </row>
    <row r="66" spans="2:13" ht="15" x14ac:dyDescent="0.35">
      <c r="B66" s="22"/>
      <c r="C66" s="30">
        <f>$C65+$C$39</f>
        <v>4700</v>
      </c>
      <c r="D66" s="63">
        <f t="shared" si="2"/>
        <v>137.32000000000002</v>
      </c>
      <c r="E66" s="63">
        <f t="shared" si="2"/>
        <v>102.99000000000001</v>
      </c>
      <c r="F66" s="63">
        <f t="shared" si="2"/>
        <v>82.39200000000001</v>
      </c>
      <c r="G66" s="63">
        <f t="shared" si="2"/>
        <v>68.660000000000011</v>
      </c>
      <c r="H66" s="63">
        <f t="shared" si="2"/>
        <v>58.851428571428578</v>
      </c>
      <c r="I66" s="22"/>
      <c r="J66" s="22"/>
      <c r="K66" s="22"/>
      <c r="L66" s="22"/>
      <c r="M66" s="22"/>
    </row>
    <row r="67" spans="2:13" ht="15" x14ac:dyDescent="0.35">
      <c r="B67" s="22"/>
      <c r="C67" s="30">
        <f>$C66+$C$39</f>
        <v>4800</v>
      </c>
      <c r="D67" s="63">
        <f t="shared" si="2"/>
        <v>139.32000000000002</v>
      </c>
      <c r="E67" s="63">
        <f t="shared" si="2"/>
        <v>104.49000000000001</v>
      </c>
      <c r="F67" s="63">
        <f t="shared" si="2"/>
        <v>83.592000000000013</v>
      </c>
      <c r="G67" s="63">
        <f t="shared" si="2"/>
        <v>69.660000000000011</v>
      </c>
      <c r="H67" s="63">
        <f t="shared" si="2"/>
        <v>59.708571428571432</v>
      </c>
      <c r="I67" s="22"/>
      <c r="J67" s="22"/>
      <c r="K67" s="22"/>
      <c r="L67" s="22"/>
      <c r="M67" s="22"/>
    </row>
    <row r="68" spans="2:13" ht="15" x14ac:dyDescent="0.35">
      <c r="B68" s="22" t="s">
        <v>116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2:13" ht="15" x14ac:dyDescent="0.35">
      <c r="B69" s="76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</sheetData>
  <sheetProtection sheet="1" objects="1" scenarios="1"/>
  <mergeCells count="4">
    <mergeCell ref="B1:I1"/>
    <mergeCell ref="B36:I36"/>
    <mergeCell ref="C54:H54"/>
    <mergeCell ref="C58:H58"/>
  </mergeCells>
  <phoneticPr fontId="11" type="noConversion"/>
  <pageMargins left="0.95" right="0.45" top="0.75" bottom="0.75" header="0.3" footer="0.3"/>
  <pageSetup scale="58" orientation="portrait" r:id="rId1"/>
  <headerFooter>
    <oddFooter>&amp;L&amp;F&amp;R&amp;A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93"/>
  <sheetViews>
    <sheetView workbookViewId="0">
      <selection activeCell="H22" sqref="H22"/>
    </sheetView>
  </sheetViews>
  <sheetFormatPr defaultRowHeight="12.45" x14ac:dyDescent="0.3"/>
  <cols>
    <col min="1" max="1" width="5" customWidth="1"/>
    <col min="2" max="2" width="30.4609375" customWidth="1"/>
    <col min="3" max="3" width="11.23046875" customWidth="1"/>
    <col min="4" max="4" width="11.69140625" customWidth="1"/>
    <col min="5" max="5" width="12.921875" customWidth="1"/>
    <col min="6" max="6" width="10.53515625" customWidth="1"/>
    <col min="7" max="7" width="12.69140625" customWidth="1"/>
    <col min="8" max="8" width="11.921875" customWidth="1"/>
  </cols>
  <sheetData>
    <row r="1" spans="2:14" ht="17.600000000000001" x14ac:dyDescent="0.4">
      <c r="B1" s="142" t="s">
        <v>129</v>
      </c>
      <c r="C1" s="143"/>
      <c r="D1" s="143"/>
      <c r="E1" s="143"/>
      <c r="F1" s="143"/>
      <c r="G1" s="143"/>
      <c r="H1" s="143"/>
      <c r="I1" s="143"/>
      <c r="J1" s="2"/>
      <c r="K1" s="5"/>
      <c r="L1" s="5"/>
    </row>
    <row r="2" spans="2:14" ht="17.600000000000001" x14ac:dyDescent="0.4">
      <c r="B2" s="20"/>
      <c r="C2" s="2"/>
      <c r="D2" s="2"/>
      <c r="E2" s="2"/>
      <c r="F2" s="2"/>
      <c r="G2" s="2"/>
      <c r="H2" s="2"/>
      <c r="I2" s="2"/>
      <c r="J2" s="2"/>
      <c r="K2" s="5"/>
      <c r="L2" s="5"/>
    </row>
    <row r="3" spans="2:14" ht="15.45" x14ac:dyDescent="0.4">
      <c r="B3" s="21" t="s">
        <v>59</v>
      </c>
      <c r="C3" s="147" t="s">
        <v>77</v>
      </c>
      <c r="D3" s="148"/>
      <c r="E3" s="148"/>
      <c r="F3" s="149"/>
      <c r="G3" s="80"/>
      <c r="H3" s="80"/>
      <c r="I3" s="80"/>
    </row>
    <row r="4" spans="2:14" ht="15" x14ac:dyDescent="0.35">
      <c r="B4" s="80"/>
      <c r="C4" s="80"/>
      <c r="D4" s="80"/>
      <c r="E4" s="80"/>
      <c r="F4" s="80"/>
      <c r="G4" s="80"/>
      <c r="H4" s="80"/>
      <c r="I4" s="80"/>
    </row>
    <row r="5" spans="2:14" ht="15" x14ac:dyDescent="0.35">
      <c r="B5" s="80"/>
      <c r="C5" s="80"/>
      <c r="D5" s="80"/>
      <c r="E5" s="85"/>
      <c r="F5" s="80"/>
      <c r="G5" s="85"/>
      <c r="H5" s="85"/>
      <c r="I5" s="80"/>
    </row>
    <row r="6" spans="2:14" ht="15.45" x14ac:dyDescent="0.4">
      <c r="B6" s="80" t="s">
        <v>66</v>
      </c>
      <c r="C6" s="19"/>
      <c r="D6" s="86">
        <v>90</v>
      </c>
      <c r="E6" s="87" t="s">
        <v>67</v>
      </c>
      <c r="F6" s="19"/>
      <c r="G6" s="88"/>
      <c r="H6" s="89" t="s">
        <v>44</v>
      </c>
      <c r="I6" s="90"/>
    </row>
    <row r="7" spans="2:14" ht="15.45" x14ac:dyDescent="0.4">
      <c r="B7" s="80" t="s">
        <v>71</v>
      </c>
      <c r="C7" s="80"/>
      <c r="D7" s="86">
        <v>1</v>
      </c>
      <c r="E7" s="80" t="s">
        <v>52</v>
      </c>
      <c r="F7" s="80"/>
      <c r="G7" s="86">
        <v>25</v>
      </c>
      <c r="H7" s="91">
        <f>D7*G7</f>
        <v>25</v>
      </c>
      <c r="I7" s="80"/>
    </row>
    <row r="8" spans="2:14" ht="15" x14ac:dyDescent="0.35">
      <c r="B8" s="80" t="s">
        <v>12</v>
      </c>
      <c r="C8" s="92">
        <v>5</v>
      </c>
      <c r="D8" s="80" t="s">
        <v>2</v>
      </c>
      <c r="E8" s="80"/>
      <c r="F8" s="80"/>
      <c r="G8" s="80"/>
      <c r="H8" s="80"/>
      <c r="I8" s="80"/>
      <c r="L8" t="s">
        <v>91</v>
      </c>
    </row>
    <row r="9" spans="2:14" ht="15" x14ac:dyDescent="0.35">
      <c r="B9" s="80"/>
      <c r="C9" s="93"/>
      <c r="D9" s="80"/>
      <c r="E9" s="80" t="s">
        <v>92</v>
      </c>
      <c r="F9" s="80" t="s">
        <v>93</v>
      </c>
      <c r="G9" s="80"/>
      <c r="H9" s="80"/>
      <c r="I9" s="80"/>
      <c r="L9" t="s">
        <v>95</v>
      </c>
      <c r="N9" t="s">
        <v>96</v>
      </c>
    </row>
    <row r="10" spans="2:14" ht="15" x14ac:dyDescent="0.35">
      <c r="B10" s="80" t="s">
        <v>90</v>
      </c>
      <c r="C10" s="80"/>
      <c r="D10" s="94">
        <v>43556</v>
      </c>
      <c r="E10" s="94">
        <v>43647</v>
      </c>
      <c r="F10" s="80">
        <f>E10-D10</f>
        <v>91</v>
      </c>
      <c r="G10" s="80"/>
      <c r="H10" s="80"/>
      <c r="I10" s="80"/>
      <c r="L10" s="78">
        <f>(C8*F10/365)*0.01</f>
        <v>1.2465753424657536E-2</v>
      </c>
      <c r="M10" t="s">
        <v>2</v>
      </c>
      <c r="N10">
        <f>L10*0.5</f>
        <v>6.2328767123287681E-3</v>
      </c>
    </row>
    <row r="11" spans="2:14" ht="15" x14ac:dyDescent="0.35">
      <c r="B11" s="95" t="s">
        <v>18</v>
      </c>
      <c r="C11" s="80"/>
      <c r="D11" s="80"/>
      <c r="E11" s="80"/>
      <c r="F11" s="96"/>
      <c r="G11" s="80"/>
      <c r="H11" s="80"/>
      <c r="I11" s="80"/>
    </row>
    <row r="12" spans="2:14" ht="15.45" x14ac:dyDescent="0.4">
      <c r="B12" s="80" t="s">
        <v>16</v>
      </c>
      <c r="C12" s="80"/>
      <c r="D12" s="80"/>
      <c r="E12" s="97">
        <v>85</v>
      </c>
      <c r="F12" s="80" t="s">
        <v>2</v>
      </c>
      <c r="G12" s="19" t="s">
        <v>41</v>
      </c>
      <c r="H12" s="19"/>
      <c r="I12" s="80"/>
    </row>
    <row r="13" spans="2:14" ht="15" x14ac:dyDescent="0.35">
      <c r="B13" s="22" t="s">
        <v>125</v>
      </c>
      <c r="C13" s="80"/>
      <c r="D13" s="80"/>
      <c r="E13" s="97">
        <v>530</v>
      </c>
      <c r="F13" s="80" t="s">
        <v>17</v>
      </c>
      <c r="G13" s="98">
        <v>165</v>
      </c>
      <c r="H13" s="85" t="s">
        <v>4</v>
      </c>
      <c r="I13" s="80"/>
    </row>
    <row r="14" spans="2:14" ht="15.45" x14ac:dyDescent="0.4">
      <c r="B14" s="19" t="s">
        <v>70</v>
      </c>
      <c r="C14" s="80"/>
      <c r="D14" s="80"/>
      <c r="E14" s="99">
        <f>E12*E13*0.01</f>
        <v>450.5</v>
      </c>
      <c r="F14" s="19" t="s">
        <v>17</v>
      </c>
      <c r="G14" s="100">
        <f>E13*G13*0.01</f>
        <v>874.5</v>
      </c>
      <c r="H14" s="85" t="s">
        <v>42</v>
      </c>
      <c r="I14" s="85"/>
    </row>
    <row r="15" spans="2:14" ht="15.45" x14ac:dyDescent="0.4">
      <c r="B15" s="80" t="s">
        <v>58</v>
      </c>
      <c r="C15" s="80"/>
      <c r="D15" s="80"/>
      <c r="E15" s="101"/>
      <c r="F15" s="80"/>
      <c r="G15" s="19"/>
      <c r="H15" s="80"/>
      <c r="I15" s="102"/>
    </row>
    <row r="16" spans="2:14" ht="15.45" x14ac:dyDescent="0.4">
      <c r="B16" s="80"/>
      <c r="C16" s="80"/>
      <c r="D16" s="80"/>
      <c r="E16" s="101"/>
      <c r="F16" s="80"/>
      <c r="G16" s="19"/>
      <c r="H16" s="80"/>
      <c r="I16" s="102"/>
    </row>
    <row r="17" spans="2:12" ht="15.45" x14ac:dyDescent="0.4">
      <c r="B17" s="19" t="s">
        <v>68</v>
      </c>
      <c r="C17" s="80"/>
      <c r="D17" s="80"/>
      <c r="E17" s="101"/>
      <c r="F17" s="80"/>
      <c r="G17" s="19"/>
      <c r="H17" s="80"/>
      <c r="I17" s="102"/>
    </row>
    <row r="18" spans="2:12" ht="15.45" x14ac:dyDescent="0.4">
      <c r="B18" s="80"/>
      <c r="C18" s="80"/>
      <c r="D18" s="80"/>
      <c r="E18" s="101"/>
      <c r="F18" s="80"/>
      <c r="G18" s="19"/>
      <c r="H18" s="5" t="s">
        <v>47</v>
      </c>
      <c r="I18" s="102"/>
    </row>
    <row r="19" spans="2:12" ht="15.45" x14ac:dyDescent="0.4">
      <c r="B19" s="19" t="s">
        <v>69</v>
      </c>
      <c r="C19" s="80"/>
      <c r="D19" s="80"/>
      <c r="E19" s="79" t="s">
        <v>45</v>
      </c>
      <c r="F19" s="80"/>
      <c r="G19" s="79" t="s">
        <v>48</v>
      </c>
      <c r="H19" s="81" t="s">
        <v>46</v>
      </c>
      <c r="I19" s="102"/>
    </row>
    <row r="20" spans="2:12" ht="15.45" x14ac:dyDescent="0.4">
      <c r="B20" s="80" t="s">
        <v>76</v>
      </c>
      <c r="C20" s="80"/>
      <c r="D20" s="80"/>
      <c r="E20" s="103">
        <v>4500</v>
      </c>
      <c r="F20" s="80"/>
      <c r="G20" s="79"/>
      <c r="H20" s="81"/>
      <c r="I20" s="102"/>
    </row>
    <row r="21" spans="2:12" ht="15.45" x14ac:dyDescent="0.4">
      <c r="B21" s="19" t="s">
        <v>130</v>
      </c>
      <c r="C21" s="80"/>
      <c r="D21" s="22"/>
      <c r="E21" s="97">
        <v>30</v>
      </c>
      <c r="F21" s="80" t="s">
        <v>2</v>
      </c>
      <c r="G21" s="79"/>
      <c r="H21" s="81"/>
      <c r="I21" s="102"/>
    </row>
    <row r="22" spans="2:12" ht="15.45" x14ac:dyDescent="0.4">
      <c r="B22" s="80"/>
      <c r="C22" s="80"/>
      <c r="D22" s="80"/>
      <c r="E22" s="104">
        <f>E20*E21*0.01</f>
        <v>1350</v>
      </c>
      <c r="F22" s="80"/>
      <c r="G22" s="79"/>
      <c r="H22" s="81"/>
      <c r="I22" s="102"/>
    </row>
    <row r="23" spans="2:12" ht="15.45" x14ac:dyDescent="0.4">
      <c r="B23" s="80" t="s">
        <v>89</v>
      </c>
      <c r="C23" s="80"/>
      <c r="D23" s="80"/>
      <c r="E23" s="103">
        <v>60</v>
      </c>
      <c r="F23" s="80"/>
      <c r="G23" s="79"/>
      <c r="H23" s="81"/>
      <c r="I23" s="102"/>
    </row>
    <row r="24" spans="2:12" ht="15.45" x14ac:dyDescent="0.4">
      <c r="B24" s="22" t="s">
        <v>126</v>
      </c>
      <c r="C24" s="80"/>
      <c r="D24" s="80"/>
      <c r="E24" s="103">
        <v>0</v>
      </c>
      <c r="F24" s="80"/>
      <c r="G24" s="79"/>
      <c r="H24" s="81"/>
      <c r="I24" s="102"/>
      <c r="J24" s="137" t="s">
        <v>127</v>
      </c>
    </row>
    <row r="25" spans="2:12" ht="15.45" x14ac:dyDescent="0.4">
      <c r="B25" s="22" t="s">
        <v>140</v>
      </c>
      <c r="C25" s="80"/>
      <c r="D25" s="98">
        <v>2</v>
      </c>
      <c r="E25" s="138">
        <f>D25*D6</f>
        <v>180</v>
      </c>
      <c r="F25" s="80"/>
      <c r="G25" s="79"/>
      <c r="H25" s="81"/>
      <c r="I25" s="102"/>
      <c r="J25" s="137" t="s">
        <v>133</v>
      </c>
    </row>
    <row r="26" spans="2:12" ht="15.45" x14ac:dyDescent="0.4">
      <c r="B26" s="80" t="s">
        <v>94</v>
      </c>
      <c r="C26" s="80"/>
      <c r="D26" s="80"/>
      <c r="E26" s="105">
        <f>((E22+E23)*L10)+(E25*N10)</f>
        <v>18.698630136986303</v>
      </c>
      <c r="F26" s="80"/>
      <c r="G26" s="79"/>
      <c r="H26" s="81"/>
      <c r="I26" s="102"/>
      <c r="L26" s="136"/>
    </row>
    <row r="27" spans="2:12" ht="15.45" x14ac:dyDescent="0.4">
      <c r="B27" s="19" t="s">
        <v>74</v>
      </c>
      <c r="C27" s="80"/>
      <c r="D27" s="80"/>
      <c r="E27" s="104">
        <f>SUM(E22:E26)</f>
        <v>1608.6986301369864</v>
      </c>
      <c r="F27" s="80"/>
      <c r="G27" s="84">
        <f>E27/H7</f>
        <v>64.347945205479448</v>
      </c>
      <c r="H27" s="88">
        <f>G27/$E$14*100</f>
        <v>14.28367263162696</v>
      </c>
      <c r="I27" s="102"/>
    </row>
    <row r="28" spans="2:12" ht="15.45" x14ac:dyDescent="0.4">
      <c r="B28" s="19"/>
      <c r="C28" s="80"/>
      <c r="D28" s="80"/>
      <c r="E28" s="104"/>
      <c r="F28" s="80"/>
      <c r="G28" s="84"/>
      <c r="H28" s="88"/>
      <c r="I28" s="102"/>
    </row>
    <row r="29" spans="2:12" ht="15.45" x14ac:dyDescent="0.4">
      <c r="B29" s="19" t="s">
        <v>107</v>
      </c>
      <c r="C29" s="80"/>
      <c r="D29" s="80"/>
      <c r="E29" s="84">
        <f>'3. Advantage to Lease Bull'!E13</f>
        <v>391.10136986301359</v>
      </c>
      <c r="F29" s="80"/>
      <c r="G29" s="84">
        <f>'3. Advantage to Lease Bull'!F13</f>
        <v>15.644054794520557</v>
      </c>
      <c r="H29" s="84">
        <f>'3. Advantage to Lease Bull'!G13</f>
        <v>3.4725981785839188</v>
      </c>
      <c r="I29" s="102"/>
    </row>
    <row r="30" spans="2:12" ht="15.45" x14ac:dyDescent="0.4">
      <c r="B30" s="19" t="s">
        <v>53</v>
      </c>
      <c r="C30" s="80"/>
      <c r="D30" s="80"/>
      <c r="E30" s="106"/>
      <c r="F30" s="80"/>
      <c r="G30" s="84"/>
      <c r="H30" s="88"/>
      <c r="I30" s="102"/>
    </row>
    <row r="31" spans="2:12" ht="15.45" x14ac:dyDescent="0.4">
      <c r="B31" s="19"/>
      <c r="C31" s="80"/>
      <c r="D31" s="80"/>
      <c r="E31" s="80"/>
      <c r="F31" s="80"/>
      <c r="G31" s="80"/>
      <c r="H31" s="80"/>
      <c r="I31" s="80"/>
    </row>
    <row r="32" spans="2:12" ht="15.45" x14ac:dyDescent="0.4">
      <c r="B32" s="150" t="s">
        <v>54</v>
      </c>
      <c r="C32" s="150"/>
      <c r="D32" s="150"/>
      <c r="E32" s="150"/>
      <c r="F32" s="150"/>
      <c r="G32" s="150"/>
      <c r="H32" s="151"/>
      <c r="I32" s="151"/>
    </row>
    <row r="33" spans="2:12" ht="60" customHeight="1" x14ac:dyDescent="0.4">
      <c r="B33" s="80"/>
      <c r="C33" s="80"/>
      <c r="D33" s="80"/>
      <c r="E33" s="81" t="s">
        <v>62</v>
      </c>
      <c r="F33" s="81" t="s">
        <v>63</v>
      </c>
      <c r="G33" s="81" t="s">
        <v>65</v>
      </c>
      <c r="H33" s="81" t="s">
        <v>64</v>
      </c>
      <c r="I33" s="107" t="s">
        <v>49</v>
      </c>
    </row>
    <row r="34" spans="2:12" ht="15.45" x14ac:dyDescent="0.4">
      <c r="B34" s="80"/>
      <c r="C34" s="80"/>
      <c r="D34" s="80"/>
      <c r="E34" s="81"/>
      <c r="F34" s="81"/>
      <c r="G34" s="81"/>
      <c r="H34" s="81"/>
      <c r="I34" s="107"/>
    </row>
    <row r="35" spans="2:12" ht="15.45" x14ac:dyDescent="0.4">
      <c r="B35" s="80"/>
      <c r="C35" s="80"/>
      <c r="D35" s="80"/>
      <c r="E35" s="5" t="s">
        <v>22</v>
      </c>
      <c r="F35" s="5" t="s">
        <v>4</v>
      </c>
      <c r="G35" s="5" t="s">
        <v>22</v>
      </c>
      <c r="H35" s="5" t="s">
        <v>17</v>
      </c>
      <c r="I35" s="5" t="s">
        <v>50</v>
      </c>
    </row>
    <row r="36" spans="2:12" ht="15" x14ac:dyDescent="0.35">
      <c r="B36" s="108" t="s">
        <v>10</v>
      </c>
      <c r="C36" s="103">
        <v>500</v>
      </c>
      <c r="D36" s="109" t="s">
        <v>31</v>
      </c>
      <c r="E36" s="4"/>
      <c r="F36" s="80"/>
      <c r="G36" s="4"/>
      <c r="H36" s="4"/>
      <c r="I36" s="80"/>
      <c r="J36" s="4"/>
      <c r="K36" s="4"/>
      <c r="L36" s="4"/>
    </row>
    <row r="37" spans="2:12" ht="15.45" x14ac:dyDescent="0.4">
      <c r="B37" s="108" t="s">
        <v>9</v>
      </c>
      <c r="C37" s="96">
        <f>G13</f>
        <v>165</v>
      </c>
      <c r="D37" s="109" t="s">
        <v>23</v>
      </c>
      <c r="E37" s="4"/>
      <c r="F37" s="80"/>
      <c r="G37" s="88"/>
      <c r="H37" s="4"/>
      <c r="I37" s="80"/>
      <c r="J37" s="6"/>
      <c r="K37" s="4"/>
      <c r="L37" s="4"/>
    </row>
    <row r="38" spans="2:12" ht="15" x14ac:dyDescent="0.35">
      <c r="B38" s="80"/>
      <c r="C38" s="80"/>
      <c r="D38" s="110"/>
      <c r="E38" s="80"/>
      <c r="F38" s="80"/>
      <c r="G38" s="80"/>
      <c r="H38" s="80"/>
      <c r="I38" s="80"/>
    </row>
    <row r="39" spans="2:12" ht="15.45" x14ac:dyDescent="0.4">
      <c r="B39" s="80" t="s">
        <v>7</v>
      </c>
      <c r="C39" s="96">
        <f>$C40-$C$36</f>
        <v>3000</v>
      </c>
      <c r="D39" s="80"/>
      <c r="E39" s="111">
        <f t="shared" ref="E39:E45" si="0">(($C39*$E$21*0.01)+$E$23+$E$25+(($C39*$E$21*0.01+$E$23)*$L$10)+($E$25*$N$10))/($H$7)</f>
        <v>46.123561643835622</v>
      </c>
      <c r="F39" s="88">
        <f t="shared" ref="F39:F45" si="1">E39/$E$14*100</f>
        <v>10.238304471439649</v>
      </c>
      <c r="G39" s="89">
        <f>E39-E42</f>
        <v>-18.224383561643826</v>
      </c>
      <c r="H39" s="112">
        <f>G39/($G$13*0.01)</f>
        <v>-11.045080946450803</v>
      </c>
      <c r="I39" s="96">
        <f t="shared" ref="I39:I45" si="2">E39*$G$7</f>
        <v>1153.0890410958905</v>
      </c>
    </row>
    <row r="40" spans="2:12" ht="15.45" x14ac:dyDescent="0.4">
      <c r="B40" s="80"/>
      <c r="C40" s="96">
        <f>$C41-$C$36</f>
        <v>3500</v>
      </c>
      <c r="D40" s="80"/>
      <c r="E40" s="111">
        <f t="shared" si="0"/>
        <v>52.198356164383569</v>
      </c>
      <c r="F40" s="88">
        <f t="shared" si="1"/>
        <v>11.58676052483542</v>
      </c>
      <c r="G40" s="89">
        <f>E40-E42</f>
        <v>-12.149589041095879</v>
      </c>
      <c r="H40" s="112">
        <f>G40/($G$13*0.01)</f>
        <v>-7.3633872976338655</v>
      </c>
      <c r="I40" s="96">
        <f t="shared" si="2"/>
        <v>1304.9589041095892</v>
      </c>
    </row>
    <row r="41" spans="2:12" ht="15.45" x14ac:dyDescent="0.4">
      <c r="B41" s="80"/>
      <c r="C41" s="96">
        <f>$C42-$C$36</f>
        <v>4000</v>
      </c>
      <c r="D41" s="80"/>
      <c r="E41" s="111">
        <f t="shared" si="0"/>
        <v>58.273150684931508</v>
      </c>
      <c r="F41" s="88">
        <f t="shared" si="1"/>
        <v>12.93521657823119</v>
      </c>
      <c r="G41" s="89">
        <f>E41-E42</f>
        <v>-6.0747945205479397</v>
      </c>
      <c r="H41" s="112">
        <f>G41/($G$13*0.01)</f>
        <v>-3.6816936488169327</v>
      </c>
      <c r="I41" s="96">
        <f t="shared" si="2"/>
        <v>1456.8287671232877</v>
      </c>
    </row>
    <row r="42" spans="2:12" ht="15.45" x14ac:dyDescent="0.4">
      <c r="B42" s="80" t="s">
        <v>13</v>
      </c>
      <c r="C42" s="104">
        <f>E20</f>
        <v>4500</v>
      </c>
      <c r="D42" s="100"/>
      <c r="E42" s="111">
        <f t="shared" si="0"/>
        <v>64.347945205479448</v>
      </c>
      <c r="F42" s="88">
        <f t="shared" si="1"/>
        <v>14.28367263162696</v>
      </c>
      <c r="G42" s="88"/>
      <c r="H42" s="102"/>
      <c r="I42" s="96">
        <f t="shared" si="2"/>
        <v>1608.6986301369861</v>
      </c>
      <c r="K42" s="3">
        <f>F42*E13*0.01</f>
        <v>75.703464947622891</v>
      </c>
      <c r="L42" t="s">
        <v>33</v>
      </c>
    </row>
    <row r="43" spans="2:12" ht="15.45" x14ac:dyDescent="0.4">
      <c r="B43" s="80"/>
      <c r="C43" s="96">
        <f>$C42+$C$36</f>
        <v>5000</v>
      </c>
      <c r="D43" s="80"/>
      <c r="E43" s="111">
        <f t="shared" si="0"/>
        <v>70.422739726027402</v>
      </c>
      <c r="F43" s="88">
        <f t="shared" si="1"/>
        <v>15.632128685022732</v>
      </c>
      <c r="G43" s="89">
        <f>E43-E42</f>
        <v>6.0747945205479539</v>
      </c>
      <c r="H43" s="112">
        <f>G43/($G$13*0.01)</f>
        <v>3.6816936488169416</v>
      </c>
      <c r="I43" s="96">
        <f t="shared" si="2"/>
        <v>1760.5684931506851</v>
      </c>
    </row>
    <row r="44" spans="2:12" ht="15.45" x14ac:dyDescent="0.4">
      <c r="B44" s="80"/>
      <c r="C44" s="96">
        <f>$C43+$C$36</f>
        <v>5500</v>
      </c>
      <c r="D44" s="80"/>
      <c r="E44" s="111">
        <f t="shared" si="0"/>
        <v>76.497534246575341</v>
      </c>
      <c r="F44" s="88">
        <f t="shared" si="1"/>
        <v>16.9805847384185</v>
      </c>
      <c r="G44" s="89">
        <f>E44-E42</f>
        <v>12.149589041095894</v>
      </c>
      <c r="H44" s="112">
        <f>G44/($G$13*0.01)</f>
        <v>7.3633872976338743</v>
      </c>
      <c r="I44" s="96">
        <f t="shared" si="2"/>
        <v>1912.4383561643835</v>
      </c>
    </row>
    <row r="45" spans="2:12" ht="15.45" x14ac:dyDescent="0.4">
      <c r="B45" s="80"/>
      <c r="C45" s="96">
        <f>$C44+$C$36</f>
        <v>6000</v>
      </c>
      <c r="D45" s="80"/>
      <c r="E45" s="111">
        <f t="shared" si="0"/>
        <v>82.572328767123295</v>
      </c>
      <c r="F45" s="88">
        <f t="shared" si="1"/>
        <v>18.329040791814272</v>
      </c>
      <c r="G45" s="89">
        <f>E45-E42</f>
        <v>18.224383561643847</v>
      </c>
      <c r="H45" s="112">
        <f>G45/($G$13*0.01)</f>
        <v>11.045080946450815</v>
      </c>
      <c r="I45" s="96">
        <f t="shared" si="2"/>
        <v>2064.3082191780823</v>
      </c>
    </row>
    <row r="46" spans="2:12" ht="15.45" x14ac:dyDescent="0.4">
      <c r="B46" s="80"/>
      <c r="C46" s="96"/>
      <c r="D46" s="80"/>
      <c r="E46" s="111"/>
      <c r="F46" s="80"/>
      <c r="G46" s="88"/>
      <c r="H46" s="80"/>
      <c r="I46" s="80"/>
      <c r="J46" s="6"/>
    </row>
    <row r="47" spans="2:12" ht="15.45" x14ac:dyDescent="0.4">
      <c r="B47" s="80" t="s">
        <v>15</v>
      </c>
      <c r="C47" s="96"/>
      <c r="D47" s="80"/>
      <c r="E47" s="111"/>
      <c r="F47" s="88"/>
      <c r="G47" s="80"/>
      <c r="H47" s="80"/>
      <c r="I47" s="80"/>
      <c r="J47" s="6"/>
    </row>
    <row r="48" spans="2:12" ht="15.45" x14ac:dyDescent="0.4">
      <c r="B48" s="80" t="s">
        <v>36</v>
      </c>
      <c r="C48" s="96"/>
      <c r="D48" s="80"/>
      <c r="E48" s="111"/>
      <c r="F48" s="88"/>
      <c r="G48" s="102"/>
      <c r="H48" s="80"/>
      <c r="I48" s="80"/>
    </row>
    <row r="49" spans="2:10" ht="15.45" x14ac:dyDescent="0.4">
      <c r="B49" s="80"/>
      <c r="C49" s="96"/>
      <c r="D49" s="80"/>
      <c r="E49" s="111"/>
      <c r="F49" s="88"/>
      <c r="G49" s="102"/>
      <c r="H49" s="80"/>
      <c r="I49" s="80"/>
    </row>
    <row r="50" spans="2:10" ht="15" x14ac:dyDescent="0.35">
      <c r="B50" s="80" t="s">
        <v>11</v>
      </c>
      <c r="C50" s="113" t="s">
        <v>73</v>
      </c>
      <c r="D50" s="114"/>
      <c r="E50" s="114"/>
      <c r="F50" s="114"/>
      <c r="G50" s="115"/>
      <c r="H50" s="80"/>
      <c r="I50" s="80"/>
    </row>
    <row r="51" spans="2:10" ht="15" x14ac:dyDescent="0.35">
      <c r="B51" s="80" t="s">
        <v>58</v>
      </c>
      <c r="C51" s="80"/>
      <c r="D51" s="80"/>
      <c r="E51" s="80"/>
      <c r="F51" s="80"/>
      <c r="G51" s="96"/>
      <c r="H51" s="100"/>
      <c r="I51" s="80"/>
    </row>
    <row r="52" spans="2:10" ht="15.45" x14ac:dyDescent="0.4">
      <c r="B52" s="80"/>
      <c r="C52" s="150" t="s">
        <v>55</v>
      </c>
      <c r="D52" s="151"/>
      <c r="E52" s="151"/>
      <c r="F52" s="151"/>
      <c r="G52" s="151"/>
      <c r="H52" s="151"/>
      <c r="I52" s="80"/>
    </row>
    <row r="53" spans="2:10" ht="15" x14ac:dyDescent="0.35">
      <c r="B53" s="108"/>
      <c r="C53" s="80"/>
      <c r="D53" s="116"/>
      <c r="E53" s="109"/>
      <c r="F53" s="80"/>
      <c r="G53" s="96"/>
      <c r="H53" s="96"/>
      <c r="I53" s="100"/>
    </row>
    <row r="54" spans="2:10" ht="15" x14ac:dyDescent="0.35">
      <c r="B54" s="108" t="s">
        <v>25</v>
      </c>
      <c r="C54" s="80"/>
      <c r="D54" s="80"/>
      <c r="E54" s="117">
        <v>5</v>
      </c>
      <c r="F54" s="152" t="s">
        <v>27</v>
      </c>
      <c r="G54" s="153"/>
      <c r="H54" s="96"/>
      <c r="I54" s="100"/>
    </row>
    <row r="55" spans="2:10" ht="15" x14ac:dyDescent="0.35">
      <c r="B55" s="108"/>
      <c r="C55" s="118"/>
      <c r="D55" s="109"/>
      <c r="E55" s="4"/>
      <c r="F55" s="80"/>
      <c r="G55" s="96"/>
      <c r="H55" s="96"/>
      <c r="I55" s="100"/>
    </row>
    <row r="56" spans="2:10" ht="15.45" x14ac:dyDescent="0.4">
      <c r="B56" s="108"/>
      <c r="C56" s="154" t="s">
        <v>24</v>
      </c>
      <c r="D56" s="150"/>
      <c r="E56" s="150"/>
      <c r="F56" s="150"/>
      <c r="G56" s="150"/>
      <c r="H56" s="150"/>
      <c r="I56" s="100"/>
    </row>
    <row r="57" spans="2:10" ht="15.45" x14ac:dyDescent="0.4">
      <c r="B57" s="108" t="s">
        <v>26</v>
      </c>
      <c r="C57" s="119"/>
      <c r="D57" s="120">
        <f>E57-E54</f>
        <v>15</v>
      </c>
      <c r="E57" s="120">
        <f>(F57-E54)</f>
        <v>20</v>
      </c>
      <c r="F57" s="121">
        <f>D7*G7</f>
        <v>25</v>
      </c>
      <c r="G57" s="120">
        <f>(F57+E54)</f>
        <v>30</v>
      </c>
      <c r="H57" s="120">
        <f>G57+E54</f>
        <v>35</v>
      </c>
      <c r="I57" s="100"/>
    </row>
    <row r="58" spans="2:10" ht="15.45" x14ac:dyDescent="0.4">
      <c r="B58" s="80"/>
      <c r="C58" s="19" t="s">
        <v>5</v>
      </c>
      <c r="D58" s="110"/>
      <c r="E58" s="80"/>
      <c r="F58" s="5" t="s">
        <v>22</v>
      </c>
      <c r="G58" s="96"/>
      <c r="H58" s="96"/>
      <c r="I58" s="100"/>
    </row>
    <row r="59" spans="2:10" ht="15" x14ac:dyDescent="0.35">
      <c r="B59" s="80"/>
      <c r="C59" s="96">
        <f>$C60-$C$36</f>
        <v>3000</v>
      </c>
      <c r="D59" s="122">
        <f t="shared" ref="D59:H65" si="3">(($C59*$E$21*0.01)+$E$23+$E$25+(($C59*$E$21*0.01+$E$23)*$L$10)+($E$25*$N$10))/(D$57)</f>
        <v>76.872602739726034</v>
      </c>
      <c r="E59" s="122">
        <f t="shared" si="3"/>
        <v>57.654452054794525</v>
      </c>
      <c r="F59" s="122">
        <f t="shared" si="3"/>
        <v>46.123561643835622</v>
      </c>
      <c r="G59" s="122">
        <f t="shared" si="3"/>
        <v>38.436301369863017</v>
      </c>
      <c r="H59" s="122">
        <f t="shared" si="3"/>
        <v>32.945401174168296</v>
      </c>
      <c r="I59" s="80"/>
    </row>
    <row r="60" spans="2:10" ht="15" x14ac:dyDescent="0.35">
      <c r="B60" s="80"/>
      <c r="C60" s="96">
        <f>$C61-$C$36</f>
        <v>3500</v>
      </c>
      <c r="D60" s="122">
        <f t="shared" si="3"/>
        <v>86.997260273972614</v>
      </c>
      <c r="E60" s="122">
        <f t="shared" si="3"/>
        <v>65.247945205479454</v>
      </c>
      <c r="F60" s="122">
        <f t="shared" si="3"/>
        <v>52.198356164383569</v>
      </c>
      <c r="G60" s="122">
        <f t="shared" si="3"/>
        <v>43.498630136986307</v>
      </c>
      <c r="H60" s="122">
        <f t="shared" si="3"/>
        <v>37.284540117416832</v>
      </c>
      <c r="I60" s="80"/>
    </row>
    <row r="61" spans="2:10" ht="15" x14ac:dyDescent="0.35">
      <c r="B61" s="80"/>
      <c r="C61" s="96">
        <f>$C62-$C$36</f>
        <v>4000</v>
      </c>
      <c r="D61" s="122">
        <f t="shared" si="3"/>
        <v>97.12191780821918</v>
      </c>
      <c r="E61" s="122">
        <f t="shared" si="3"/>
        <v>72.841438356164389</v>
      </c>
      <c r="F61" s="122">
        <f t="shared" si="3"/>
        <v>58.273150684931508</v>
      </c>
      <c r="G61" s="122">
        <f t="shared" si="3"/>
        <v>48.56095890410959</v>
      </c>
      <c r="H61" s="122">
        <f t="shared" si="3"/>
        <v>41.62367906066536</v>
      </c>
      <c r="I61" s="80"/>
    </row>
    <row r="62" spans="2:10" ht="15.45" x14ac:dyDescent="0.4">
      <c r="B62" s="80" t="s">
        <v>99</v>
      </c>
      <c r="C62" s="104">
        <f>C42</f>
        <v>4500</v>
      </c>
      <c r="D62" s="111">
        <f t="shared" si="3"/>
        <v>107.24657534246576</v>
      </c>
      <c r="E62" s="111">
        <f t="shared" si="3"/>
        <v>80.434931506849324</v>
      </c>
      <c r="F62" s="111">
        <f t="shared" si="3"/>
        <v>64.347945205479448</v>
      </c>
      <c r="G62" s="111">
        <f t="shared" si="3"/>
        <v>53.62328767123288</v>
      </c>
      <c r="H62" s="111">
        <f t="shared" si="3"/>
        <v>45.962818003913895</v>
      </c>
      <c r="I62" s="80"/>
      <c r="J62" s="1"/>
    </row>
    <row r="63" spans="2:10" ht="15" x14ac:dyDescent="0.35">
      <c r="B63" s="80"/>
      <c r="C63" s="96">
        <f>$C62+$C$36</f>
        <v>5000</v>
      </c>
      <c r="D63" s="122">
        <f t="shared" si="3"/>
        <v>117.37123287671234</v>
      </c>
      <c r="E63" s="122">
        <f t="shared" si="3"/>
        <v>88.028424657534259</v>
      </c>
      <c r="F63" s="122">
        <f t="shared" si="3"/>
        <v>70.422739726027402</v>
      </c>
      <c r="G63" s="122">
        <f t="shared" si="3"/>
        <v>58.68561643835617</v>
      </c>
      <c r="H63" s="122">
        <f t="shared" si="3"/>
        <v>50.301956947162431</v>
      </c>
      <c r="I63" s="80"/>
    </row>
    <row r="64" spans="2:10" ht="15" x14ac:dyDescent="0.35">
      <c r="B64" s="80"/>
      <c r="C64" s="96">
        <f>$C63+$C$36</f>
        <v>5500</v>
      </c>
      <c r="D64" s="122">
        <f t="shared" si="3"/>
        <v>127.49589041095891</v>
      </c>
      <c r="E64" s="122">
        <f t="shared" si="3"/>
        <v>95.62191780821918</v>
      </c>
      <c r="F64" s="122">
        <f t="shared" si="3"/>
        <v>76.497534246575341</v>
      </c>
      <c r="G64" s="122">
        <f t="shared" si="3"/>
        <v>63.747945205479454</v>
      </c>
      <c r="H64" s="122">
        <f t="shared" si="3"/>
        <v>54.641095890410959</v>
      </c>
      <c r="I64" s="80"/>
    </row>
    <row r="65" spans="2:9" ht="15" x14ac:dyDescent="0.35">
      <c r="B65" s="80"/>
      <c r="C65" s="96">
        <f>$C64+$C$36</f>
        <v>6000</v>
      </c>
      <c r="D65" s="122">
        <f t="shared" si="3"/>
        <v>137.62054794520549</v>
      </c>
      <c r="E65" s="122">
        <f t="shared" si="3"/>
        <v>103.21541095890412</v>
      </c>
      <c r="F65" s="122">
        <f t="shared" si="3"/>
        <v>82.572328767123295</v>
      </c>
      <c r="G65" s="122">
        <f t="shared" si="3"/>
        <v>68.810273972602744</v>
      </c>
      <c r="H65" s="122">
        <f t="shared" si="3"/>
        <v>58.980234833659495</v>
      </c>
      <c r="I65" s="80"/>
    </row>
    <row r="66" spans="2:9" ht="15" x14ac:dyDescent="0.35">
      <c r="B66" s="80" t="s">
        <v>58</v>
      </c>
      <c r="C66" s="80"/>
      <c r="D66" s="80"/>
      <c r="E66" s="80"/>
      <c r="F66" s="80"/>
      <c r="G66" s="80"/>
      <c r="H66" s="80"/>
      <c r="I66" s="80"/>
    </row>
    <row r="67" spans="2:9" ht="15" x14ac:dyDescent="0.35">
      <c r="B67" s="95"/>
      <c r="C67" s="80"/>
      <c r="D67" s="80"/>
      <c r="E67" s="80"/>
      <c r="F67" s="80"/>
      <c r="G67" s="80"/>
      <c r="H67" s="80"/>
      <c r="I67" s="80"/>
    </row>
    <row r="68" spans="2:9" ht="15.45" x14ac:dyDescent="0.4">
      <c r="B68" s="108"/>
      <c r="C68" s="154" t="s">
        <v>72</v>
      </c>
      <c r="D68" s="150"/>
      <c r="E68" s="150"/>
      <c r="F68" s="150"/>
      <c r="G68" s="150"/>
      <c r="H68" s="150"/>
      <c r="I68" s="100"/>
    </row>
    <row r="69" spans="2:9" ht="15" x14ac:dyDescent="0.35">
      <c r="B69" s="108" t="s">
        <v>26</v>
      </c>
      <c r="C69" s="119"/>
      <c r="D69" s="120">
        <f>D57</f>
        <v>15</v>
      </c>
      <c r="E69" s="120">
        <f>E57</f>
        <v>20</v>
      </c>
      <c r="F69" s="120">
        <f>F57</f>
        <v>25</v>
      </c>
      <c r="G69" s="120">
        <f>G57</f>
        <v>30</v>
      </c>
      <c r="H69" s="120">
        <f>H57</f>
        <v>35</v>
      </c>
      <c r="I69" s="100"/>
    </row>
    <row r="70" spans="2:9" ht="15.45" x14ac:dyDescent="0.4">
      <c r="B70" s="80"/>
      <c r="C70" s="19" t="s">
        <v>5</v>
      </c>
      <c r="D70" s="80"/>
      <c r="E70" s="80"/>
      <c r="F70" s="80"/>
      <c r="G70" s="80"/>
      <c r="H70" s="80"/>
      <c r="I70" s="80"/>
    </row>
    <row r="71" spans="2:9" ht="15" x14ac:dyDescent="0.35">
      <c r="B71" s="80"/>
      <c r="C71" s="96">
        <f>C59</f>
        <v>3000</v>
      </c>
      <c r="D71" s="100">
        <f t="shared" ref="D71:H77" si="4">D59/$E$14*100</f>
        <v>17.063840785732747</v>
      </c>
      <c r="E71" s="100">
        <f t="shared" si="4"/>
        <v>12.797880589299563</v>
      </c>
      <c r="F71" s="100">
        <f t="shared" si="4"/>
        <v>10.238304471439649</v>
      </c>
      <c r="G71" s="100">
        <f t="shared" si="4"/>
        <v>8.5319203928663736</v>
      </c>
      <c r="H71" s="100">
        <f t="shared" si="4"/>
        <v>7.3130746224568917</v>
      </c>
      <c r="I71" s="80"/>
    </row>
    <row r="72" spans="2:9" ht="15" x14ac:dyDescent="0.35">
      <c r="B72" s="80"/>
      <c r="C72" s="96">
        <f t="shared" ref="C72:C77" si="5">C60</f>
        <v>3500</v>
      </c>
      <c r="D72" s="100">
        <f t="shared" si="4"/>
        <v>19.311267541392368</v>
      </c>
      <c r="E72" s="100">
        <f t="shared" si="4"/>
        <v>14.483450656044274</v>
      </c>
      <c r="F72" s="100">
        <f t="shared" si="4"/>
        <v>11.58676052483542</v>
      </c>
      <c r="G72" s="100">
        <f t="shared" si="4"/>
        <v>9.6556337706961841</v>
      </c>
      <c r="H72" s="100">
        <f t="shared" si="4"/>
        <v>8.2762575177395856</v>
      </c>
      <c r="I72" s="80"/>
    </row>
    <row r="73" spans="2:9" ht="15" x14ac:dyDescent="0.35">
      <c r="B73" s="80"/>
      <c r="C73" s="96">
        <f t="shared" si="5"/>
        <v>4000</v>
      </c>
      <c r="D73" s="100">
        <f t="shared" si="4"/>
        <v>21.558694297051982</v>
      </c>
      <c r="E73" s="100">
        <f t="shared" si="4"/>
        <v>16.169020722788989</v>
      </c>
      <c r="F73" s="100">
        <f t="shared" si="4"/>
        <v>12.93521657823119</v>
      </c>
      <c r="G73" s="100">
        <f t="shared" si="4"/>
        <v>10.779347148525991</v>
      </c>
      <c r="H73" s="100">
        <f t="shared" si="4"/>
        <v>9.2394404130222778</v>
      </c>
      <c r="I73" s="80"/>
    </row>
    <row r="74" spans="2:9" ht="15.45" x14ac:dyDescent="0.4">
      <c r="B74" s="80" t="s">
        <v>99</v>
      </c>
      <c r="C74" s="104">
        <f t="shared" si="5"/>
        <v>4500</v>
      </c>
      <c r="D74" s="100">
        <f t="shared" si="4"/>
        <v>23.8061210527116</v>
      </c>
      <c r="E74" s="100">
        <f t="shared" si="4"/>
        <v>17.854590789533699</v>
      </c>
      <c r="F74" s="84">
        <f t="shared" si="4"/>
        <v>14.28367263162696</v>
      </c>
      <c r="G74" s="100">
        <f t="shared" si="4"/>
        <v>11.9030605263558</v>
      </c>
      <c r="H74" s="100">
        <f t="shared" si="4"/>
        <v>10.202623308304972</v>
      </c>
      <c r="I74" s="80"/>
    </row>
    <row r="75" spans="2:9" ht="15" x14ac:dyDescent="0.35">
      <c r="B75" s="95"/>
      <c r="C75" s="96">
        <f t="shared" si="5"/>
        <v>5000</v>
      </c>
      <c r="D75" s="100">
        <f t="shared" si="4"/>
        <v>26.053547808371221</v>
      </c>
      <c r="E75" s="100">
        <f t="shared" si="4"/>
        <v>19.540160856278415</v>
      </c>
      <c r="F75" s="100">
        <f t="shared" si="4"/>
        <v>15.632128685022732</v>
      </c>
      <c r="G75" s="100">
        <f t="shared" si="4"/>
        <v>13.02677390418561</v>
      </c>
      <c r="H75" s="100">
        <f t="shared" si="4"/>
        <v>11.165806203587666</v>
      </c>
      <c r="I75" s="80"/>
    </row>
    <row r="76" spans="2:9" ht="15" x14ac:dyDescent="0.35">
      <c r="B76" s="95"/>
      <c r="C76" s="96">
        <f t="shared" si="5"/>
        <v>5500</v>
      </c>
      <c r="D76" s="100">
        <f t="shared" si="4"/>
        <v>28.300974564030835</v>
      </c>
      <c r="E76" s="100">
        <f t="shared" si="4"/>
        <v>21.225730923023125</v>
      </c>
      <c r="F76" s="100">
        <f t="shared" si="4"/>
        <v>16.9805847384185</v>
      </c>
      <c r="G76" s="100">
        <f t="shared" si="4"/>
        <v>14.150487282015417</v>
      </c>
      <c r="H76" s="100">
        <f t="shared" si="4"/>
        <v>12.128989098870358</v>
      </c>
      <c r="I76" s="80"/>
    </row>
    <row r="77" spans="2:9" ht="15" x14ac:dyDescent="0.35">
      <c r="B77" s="95"/>
      <c r="C77" s="96">
        <f t="shared" si="5"/>
        <v>6000</v>
      </c>
      <c r="D77" s="100">
        <f t="shared" si="4"/>
        <v>30.548401319690456</v>
      </c>
      <c r="E77" s="100">
        <f t="shared" si="4"/>
        <v>22.911300989767838</v>
      </c>
      <c r="F77" s="100">
        <f t="shared" si="4"/>
        <v>18.329040791814272</v>
      </c>
      <c r="G77" s="100">
        <f t="shared" si="4"/>
        <v>15.274200659845228</v>
      </c>
      <c r="H77" s="100">
        <f t="shared" si="4"/>
        <v>13.092171994153052</v>
      </c>
      <c r="I77" s="80"/>
    </row>
    <row r="78" spans="2:9" ht="15" x14ac:dyDescent="0.35">
      <c r="B78" s="95"/>
      <c r="C78" s="80"/>
      <c r="D78" s="80"/>
      <c r="E78" s="80"/>
      <c r="F78" s="80"/>
      <c r="G78" s="80"/>
      <c r="H78" s="80"/>
      <c r="I78" s="80"/>
    </row>
    <row r="79" spans="2:9" ht="15.45" x14ac:dyDescent="0.4">
      <c r="B79" s="80"/>
      <c r="C79" s="150" t="s">
        <v>51</v>
      </c>
      <c r="D79" s="151"/>
      <c r="E79" s="151"/>
      <c r="F79" s="151"/>
      <c r="G79" s="151"/>
      <c r="H79" s="151"/>
      <c r="I79" s="80"/>
    </row>
    <row r="80" spans="2:9" ht="15.45" x14ac:dyDescent="0.4">
      <c r="B80" s="108" t="s">
        <v>26</v>
      </c>
      <c r="C80" s="119"/>
      <c r="D80" s="120"/>
      <c r="E80" s="120"/>
      <c r="F80" s="120"/>
      <c r="G80" s="19"/>
      <c r="H80" s="120"/>
      <c r="I80" s="100"/>
    </row>
    <row r="81" spans="2:9" ht="15.45" x14ac:dyDescent="0.4">
      <c r="B81" s="108"/>
      <c r="C81" s="123" t="s">
        <v>97</v>
      </c>
      <c r="D81" s="120"/>
      <c r="E81" s="124" t="s">
        <v>56</v>
      </c>
      <c r="F81" s="120"/>
      <c r="G81" s="19" t="s">
        <v>98</v>
      </c>
      <c r="H81" s="120"/>
      <c r="I81" s="100"/>
    </row>
    <row r="82" spans="2:9" ht="15.45" x14ac:dyDescent="0.4">
      <c r="B82" s="80"/>
      <c r="C82" s="19" t="s">
        <v>5</v>
      </c>
      <c r="D82" s="80"/>
      <c r="E82" s="5" t="s">
        <v>57</v>
      </c>
      <c r="F82" s="80"/>
      <c r="G82" s="19" t="s">
        <v>135</v>
      </c>
      <c r="H82" s="80"/>
      <c r="I82" s="80"/>
    </row>
    <row r="83" spans="2:9" ht="15" x14ac:dyDescent="0.35">
      <c r="B83" s="80"/>
      <c r="C83" s="96">
        <f>C59</f>
        <v>3000</v>
      </c>
      <c r="D83" s="87"/>
      <c r="E83" s="87">
        <f t="shared" ref="E83:E89" si="6">(F59*F$57)</f>
        <v>1153.0890410958905</v>
      </c>
      <c r="F83" s="80"/>
      <c r="G83" s="125">
        <f>C83/E83</f>
        <v>2.6017071475666911</v>
      </c>
      <c r="H83" s="126">
        <f>E83/C83</f>
        <v>0.38436301369863018</v>
      </c>
      <c r="I83" s="80"/>
    </row>
    <row r="84" spans="2:9" ht="15" x14ac:dyDescent="0.35">
      <c r="B84" s="80"/>
      <c r="C84" s="96">
        <f t="shared" ref="C84:C89" si="7">C60</f>
        <v>3500</v>
      </c>
      <c r="D84" s="80"/>
      <c r="E84" s="87">
        <f t="shared" si="6"/>
        <v>1304.9589041095892</v>
      </c>
      <c r="F84" s="80"/>
      <c r="G84" s="125">
        <f t="shared" ref="G84:G89" si="8">C84/E84</f>
        <v>2.6820767987235201</v>
      </c>
      <c r="H84" s="126">
        <f t="shared" ref="H84:H89" si="9">E84/C84</f>
        <v>0.37284540117416831</v>
      </c>
      <c r="I84" s="80"/>
    </row>
    <row r="85" spans="2:9" ht="15" x14ac:dyDescent="0.35">
      <c r="B85" s="80"/>
      <c r="C85" s="96">
        <f t="shared" si="7"/>
        <v>4000</v>
      </c>
      <c r="D85" s="80"/>
      <c r="E85" s="87">
        <f t="shared" si="6"/>
        <v>1456.8287671232877</v>
      </c>
      <c r="F85" s="80"/>
      <c r="G85" s="125">
        <f t="shared" si="8"/>
        <v>2.7456898780894887</v>
      </c>
      <c r="H85" s="126">
        <f t="shared" si="9"/>
        <v>0.36420719178082189</v>
      </c>
      <c r="I85" s="80"/>
    </row>
    <row r="86" spans="2:9" ht="15.45" x14ac:dyDescent="0.4">
      <c r="B86" s="80" t="s">
        <v>99</v>
      </c>
      <c r="C86" s="104">
        <f t="shared" si="7"/>
        <v>4500</v>
      </c>
      <c r="D86" s="80"/>
      <c r="E86" s="127">
        <f t="shared" si="6"/>
        <v>1608.6986301369861</v>
      </c>
      <c r="F86" s="80"/>
      <c r="G86" s="128">
        <f t="shared" si="8"/>
        <v>2.7972921190445783</v>
      </c>
      <c r="H86" s="139">
        <f t="shared" si="9"/>
        <v>0.3574885844748858</v>
      </c>
      <c r="I86" s="80"/>
    </row>
    <row r="87" spans="2:9" ht="15" x14ac:dyDescent="0.35">
      <c r="B87" s="80"/>
      <c r="C87" s="96">
        <f t="shared" si="7"/>
        <v>5000</v>
      </c>
      <c r="D87" s="80"/>
      <c r="E87" s="87">
        <f t="shared" si="6"/>
        <v>1760.5684931506851</v>
      </c>
      <c r="F87" s="80"/>
      <c r="G87" s="125">
        <f t="shared" si="8"/>
        <v>2.8399917523527192</v>
      </c>
      <c r="H87" s="126">
        <f t="shared" si="9"/>
        <v>0.35211369863013703</v>
      </c>
      <c r="I87" s="80"/>
    </row>
    <row r="88" spans="2:9" ht="15" x14ac:dyDescent="0.35">
      <c r="B88" s="80"/>
      <c r="C88" s="96">
        <f t="shared" si="7"/>
        <v>5500</v>
      </c>
      <c r="D88" s="80"/>
      <c r="E88" s="87">
        <f t="shared" si="6"/>
        <v>1912.4383561643835</v>
      </c>
      <c r="F88" s="80"/>
      <c r="G88" s="125">
        <f t="shared" si="8"/>
        <v>2.8759096899891126</v>
      </c>
      <c r="H88" s="126">
        <f t="shared" si="9"/>
        <v>0.34771606475716066</v>
      </c>
      <c r="I88" s="80"/>
    </row>
    <row r="89" spans="2:9" ht="15" x14ac:dyDescent="0.35">
      <c r="B89" s="80"/>
      <c r="C89" s="96">
        <f t="shared" si="7"/>
        <v>6000</v>
      </c>
      <c r="D89" s="80"/>
      <c r="E89" s="87">
        <f t="shared" si="6"/>
        <v>2064.3082191780823</v>
      </c>
      <c r="F89" s="80"/>
      <c r="G89" s="125">
        <f t="shared" si="8"/>
        <v>2.9065427072653613</v>
      </c>
      <c r="H89" s="126">
        <f t="shared" si="9"/>
        <v>0.34405136986301371</v>
      </c>
      <c r="I89" s="80"/>
    </row>
    <row r="90" spans="2:9" ht="15" x14ac:dyDescent="0.35">
      <c r="B90" s="80" t="s">
        <v>58</v>
      </c>
      <c r="C90" s="96"/>
      <c r="D90" s="80"/>
      <c r="E90" s="80"/>
      <c r="F90" s="80"/>
      <c r="G90" s="80"/>
      <c r="H90" s="80"/>
      <c r="I90" s="80"/>
    </row>
    <row r="91" spans="2:9" ht="15" x14ac:dyDescent="0.35">
      <c r="B91" s="8" t="s">
        <v>134</v>
      </c>
      <c r="C91" s="80"/>
      <c r="D91" s="80"/>
      <c r="E91" s="80"/>
      <c r="F91" s="80"/>
      <c r="G91" s="80"/>
      <c r="H91" s="80"/>
      <c r="I91" s="80"/>
    </row>
    <row r="93" spans="2:9" x14ac:dyDescent="0.3">
      <c r="E93" s="16"/>
      <c r="G93" s="17"/>
    </row>
  </sheetData>
  <sheetProtection sheet="1"/>
  <mergeCells count="8">
    <mergeCell ref="B1:I1"/>
    <mergeCell ref="C3:F3"/>
    <mergeCell ref="C79:H79"/>
    <mergeCell ref="B32:I32"/>
    <mergeCell ref="C52:H52"/>
    <mergeCell ref="F54:G54"/>
    <mergeCell ref="C56:H56"/>
    <mergeCell ref="C68:H68"/>
  </mergeCells>
  <phoneticPr fontId="11" type="noConversion"/>
  <pageMargins left="0.95" right="0.45" top="0.75" bottom="0.75" header="0.3" footer="0.3"/>
  <pageSetup scale="48" orientation="portrait" r:id="rId1"/>
  <headerFooter>
    <oddFooter>&amp;L&amp;F&amp;R&amp;A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29"/>
  <sheetViews>
    <sheetView zoomScaleNormal="100" workbookViewId="0">
      <selection activeCell="I10" sqref="I10"/>
    </sheetView>
  </sheetViews>
  <sheetFormatPr defaultRowHeight="12.45" x14ac:dyDescent="0.3"/>
  <cols>
    <col min="1" max="1" width="5.53515625" customWidth="1"/>
    <col min="2" max="2" width="37.84375" customWidth="1"/>
    <col min="3" max="3" width="10" customWidth="1"/>
    <col min="4" max="4" width="4.53515625" customWidth="1"/>
    <col min="5" max="5" width="10.53515625" customWidth="1"/>
    <col min="6" max="6" width="15.3046875" customWidth="1"/>
    <col min="7" max="7" width="13.84375" customWidth="1"/>
    <col min="8" max="8" width="12.53515625" customWidth="1"/>
    <col min="9" max="9" width="13.15234375" customWidth="1"/>
  </cols>
  <sheetData>
    <row r="2" spans="2:9" ht="17.600000000000001" x14ac:dyDescent="0.4">
      <c r="B2" s="142" t="s">
        <v>104</v>
      </c>
      <c r="C2" s="143"/>
      <c r="D2" s="143"/>
      <c r="E2" s="143"/>
      <c r="F2" s="143"/>
      <c r="G2" s="143"/>
    </row>
    <row r="3" spans="2:9" ht="17.600000000000001" x14ac:dyDescent="0.4">
      <c r="B3" s="133"/>
      <c r="C3" s="134"/>
      <c r="D3" s="134"/>
      <c r="E3" s="134"/>
      <c r="F3" s="134"/>
      <c r="G3" s="135" t="s">
        <v>138</v>
      </c>
    </row>
    <row r="4" spans="2:9" ht="17.600000000000001" x14ac:dyDescent="0.4">
      <c r="B4" s="133"/>
      <c r="C4" s="134"/>
      <c r="D4" s="134"/>
      <c r="E4" s="134"/>
      <c r="F4" s="134"/>
      <c r="G4" s="21">
        <f>'2. Lease Bull Cost'!E13</f>
        <v>530</v>
      </c>
    </row>
    <row r="5" spans="2:9" ht="17.600000000000001" x14ac:dyDescent="0.4">
      <c r="B5" s="43"/>
      <c r="G5" s="19" t="s">
        <v>137</v>
      </c>
    </row>
    <row r="6" spans="2:9" ht="15.45" x14ac:dyDescent="0.4">
      <c r="B6" s="19" t="s">
        <v>97</v>
      </c>
      <c r="C6" s="104">
        <f>'2. Lease Bull Cost'!E20</f>
        <v>4500</v>
      </c>
      <c r="D6" s="80"/>
      <c r="E6" s="80"/>
      <c r="F6" s="19" t="s">
        <v>136</v>
      </c>
      <c r="G6" s="19">
        <f>'2. Lease Bull Cost'!E12</f>
        <v>85</v>
      </c>
      <c r="H6" s="22">
        <f>G4*G6*0.01</f>
        <v>450.5</v>
      </c>
      <c r="I6" s="22" t="s">
        <v>141</v>
      </c>
    </row>
    <row r="7" spans="2:9" ht="15.45" x14ac:dyDescent="0.4">
      <c r="B7" s="19" t="s">
        <v>75</v>
      </c>
      <c r="C7" s="19">
        <f>'2. Lease Bull Cost'!E21</f>
        <v>30</v>
      </c>
      <c r="D7" s="19" t="s">
        <v>2</v>
      </c>
      <c r="E7" s="5" t="s">
        <v>111</v>
      </c>
      <c r="F7" s="141">
        <f>'2. Lease Bull Cost'!G7</f>
        <v>25</v>
      </c>
      <c r="G7" s="5" t="s">
        <v>47</v>
      </c>
    </row>
    <row r="8" spans="2:9" ht="15.45" x14ac:dyDescent="0.4">
      <c r="B8" s="80"/>
      <c r="C8" s="80"/>
      <c r="D8" s="80"/>
      <c r="E8" s="129" t="s">
        <v>102</v>
      </c>
      <c r="F8" s="5" t="s">
        <v>48</v>
      </c>
      <c r="G8" s="5" t="s">
        <v>103</v>
      </c>
      <c r="H8" s="8"/>
      <c r="I8" s="13"/>
    </row>
    <row r="9" spans="2:9" ht="15.45" x14ac:dyDescent="0.4">
      <c r="B9" s="19" t="s">
        <v>101</v>
      </c>
      <c r="C9" s="80"/>
      <c r="D9" s="80"/>
      <c r="E9" s="106">
        <f>'2. Lease Bull Cost'!E27</f>
        <v>1608.6986301369864</v>
      </c>
      <c r="F9" s="130">
        <f>'2. Lease Bull Cost'!G27</f>
        <v>64.347945205479448</v>
      </c>
      <c r="G9" s="88">
        <f>'2. Lease Bull Cost'!H27</f>
        <v>14.28367263162696</v>
      </c>
      <c r="I9" s="13"/>
    </row>
    <row r="10" spans="2:9" ht="15.45" x14ac:dyDescent="0.4">
      <c r="B10" s="19"/>
      <c r="C10" s="80"/>
      <c r="D10" s="80"/>
      <c r="E10" s="106"/>
      <c r="F10" s="130"/>
      <c r="G10" s="88"/>
      <c r="I10" s="13"/>
    </row>
    <row r="11" spans="2:9" ht="15.45" x14ac:dyDescent="0.4">
      <c r="B11" s="19" t="s">
        <v>61</v>
      </c>
      <c r="C11" s="80"/>
      <c r="D11" s="80"/>
      <c r="E11" s="106">
        <f>'1. Owned Bull Cost'!E16</f>
        <v>1999.8</v>
      </c>
      <c r="F11" s="130">
        <f>'1. Owned Bull Cost'!G16</f>
        <v>79.992000000000004</v>
      </c>
      <c r="G11" s="88">
        <f>'1. Owned Bull Cost'!H16</f>
        <v>17.756270810210879</v>
      </c>
      <c r="I11" s="13"/>
    </row>
    <row r="12" spans="2:9" ht="15.45" x14ac:dyDescent="0.4">
      <c r="B12" s="19"/>
      <c r="C12" s="80"/>
      <c r="D12" s="80"/>
      <c r="E12" s="106"/>
      <c r="F12" s="130"/>
      <c r="G12" s="88"/>
      <c r="I12" s="13"/>
    </row>
    <row r="13" spans="2:9" ht="15.45" x14ac:dyDescent="0.4">
      <c r="B13" s="19" t="s">
        <v>100</v>
      </c>
      <c r="C13" s="80"/>
      <c r="D13" s="80"/>
      <c r="E13" s="106">
        <f>E11-E9</f>
        <v>391.10136986301359</v>
      </c>
      <c r="F13" s="130">
        <f>F11-F9</f>
        <v>15.644054794520557</v>
      </c>
      <c r="G13" s="130">
        <f>G11-G9</f>
        <v>3.4725981785839188</v>
      </c>
      <c r="I13" s="13"/>
    </row>
    <row r="14" spans="2:9" ht="15.45" x14ac:dyDescent="0.4">
      <c r="B14" s="19"/>
      <c r="C14" s="80"/>
      <c r="D14" s="80"/>
      <c r="E14" s="106"/>
      <c r="F14" s="130"/>
      <c r="G14" s="130"/>
      <c r="I14" s="13"/>
    </row>
    <row r="15" spans="2:9" ht="15.45" x14ac:dyDescent="0.4">
      <c r="B15" s="19"/>
      <c r="C15" s="80"/>
      <c r="D15" s="80"/>
      <c r="I15" s="13"/>
    </row>
    <row r="16" spans="2:9" ht="15.45" x14ac:dyDescent="0.4">
      <c r="B16" s="19"/>
      <c r="C16" s="80"/>
      <c r="D16" s="80"/>
      <c r="E16" s="106"/>
      <c r="I16" s="13"/>
    </row>
    <row r="17" spans="2:9" ht="15.45" x14ac:dyDescent="0.4">
      <c r="B17" s="19" t="s">
        <v>139</v>
      </c>
      <c r="C17" s="80"/>
      <c r="D17" s="80"/>
      <c r="E17" s="155" t="s">
        <v>120</v>
      </c>
      <c r="F17" s="143"/>
      <c r="G17" s="143"/>
      <c r="I17" s="13"/>
    </row>
    <row r="18" spans="2:9" ht="15.45" x14ac:dyDescent="0.4">
      <c r="B18" s="19"/>
      <c r="C18" s="80"/>
      <c r="D18" s="80"/>
      <c r="F18" s="130" t="s">
        <v>118</v>
      </c>
      <c r="G18" s="130" t="s">
        <v>119</v>
      </c>
      <c r="I18" s="13"/>
    </row>
    <row r="19" spans="2:9" ht="15.45" x14ac:dyDescent="0.4">
      <c r="B19" s="19"/>
      <c r="C19" s="80"/>
      <c r="D19" s="80"/>
      <c r="F19" s="130">
        <f>F11</f>
        <v>79.992000000000004</v>
      </c>
      <c r="G19" s="130">
        <f>F9</f>
        <v>64.347945205479448</v>
      </c>
      <c r="I19" s="13"/>
    </row>
    <row r="20" spans="2:9" ht="15.45" x14ac:dyDescent="0.4">
      <c r="B20" s="19"/>
      <c r="C20" s="80"/>
      <c r="D20" s="80"/>
      <c r="E20" s="106" t="s">
        <v>22</v>
      </c>
      <c r="F20" s="130"/>
      <c r="G20" s="130"/>
      <c r="I20" s="13"/>
    </row>
    <row r="21" spans="2:9" ht="15.45" x14ac:dyDescent="0.4">
      <c r="B21" s="19" t="s">
        <v>121</v>
      </c>
      <c r="C21" s="80"/>
      <c r="D21" s="80"/>
      <c r="E21" s="140">
        <v>750</v>
      </c>
      <c r="F21" s="131">
        <f>$F$19/E21</f>
        <v>0.106656</v>
      </c>
      <c r="G21" s="131">
        <f>$G$19/E21</f>
        <v>8.5797260273972595E-2</v>
      </c>
      <c r="I21" s="13"/>
    </row>
    <row r="22" spans="2:9" ht="15.45" x14ac:dyDescent="0.4">
      <c r="B22" s="19"/>
      <c r="C22" s="80"/>
      <c r="D22" s="80"/>
      <c r="E22" s="106">
        <f>E21+100</f>
        <v>850</v>
      </c>
      <c r="F22" s="131">
        <f>$F$19/E22</f>
        <v>9.4108235294117659E-2</v>
      </c>
      <c r="G22" s="131">
        <f>$G$19/E22</f>
        <v>7.5703464947622881E-2</v>
      </c>
      <c r="I22" s="13"/>
    </row>
    <row r="23" spans="2:9" ht="15.45" x14ac:dyDescent="0.4">
      <c r="B23" s="19"/>
      <c r="C23" s="80"/>
      <c r="D23" s="80"/>
      <c r="E23" s="106">
        <f>E22+100</f>
        <v>950</v>
      </c>
      <c r="F23" s="131">
        <f>$F$19/E23</f>
        <v>8.4202105263157898E-2</v>
      </c>
      <c r="G23" s="131">
        <f>$G$19/E23</f>
        <v>6.7734679163662576E-2</v>
      </c>
      <c r="I23" s="13"/>
    </row>
    <row r="24" spans="2:9" ht="15.45" x14ac:dyDescent="0.4">
      <c r="B24" s="19"/>
      <c r="C24" s="80"/>
      <c r="D24" s="80"/>
      <c r="E24" s="106">
        <f>E23+100</f>
        <v>1050</v>
      </c>
      <c r="F24" s="131">
        <f>$F$19/E24</f>
        <v>7.6182857142857149E-2</v>
      </c>
      <c r="G24" s="131">
        <f>$G$19/E24</f>
        <v>6.1283757338551854E-2</v>
      </c>
      <c r="I24" s="13"/>
    </row>
    <row r="25" spans="2:9" ht="14.15" x14ac:dyDescent="0.35">
      <c r="B25" s="7" t="s">
        <v>105</v>
      </c>
      <c r="C25" s="8"/>
      <c r="D25" s="8"/>
      <c r="E25" s="15"/>
      <c r="F25" s="8"/>
      <c r="G25" s="14"/>
      <c r="H25" s="10"/>
      <c r="I25" s="13"/>
    </row>
    <row r="26" spans="2:9" ht="14.15" x14ac:dyDescent="0.35">
      <c r="B26" s="8" t="s">
        <v>117</v>
      </c>
      <c r="C26" s="8"/>
      <c r="D26" s="8"/>
      <c r="E26" s="15"/>
      <c r="F26" s="8"/>
      <c r="G26" s="14"/>
      <c r="H26" s="10"/>
      <c r="I26" s="13"/>
    </row>
    <row r="27" spans="2:9" ht="14.15" x14ac:dyDescent="0.35">
      <c r="B27" s="8" t="s">
        <v>106</v>
      </c>
      <c r="C27" s="8"/>
      <c r="D27" s="8"/>
      <c r="E27" s="8"/>
      <c r="F27" s="8"/>
      <c r="G27" s="8"/>
      <c r="H27" s="8"/>
      <c r="I27" s="8"/>
    </row>
    <row r="28" spans="2:9" ht="14.15" x14ac:dyDescent="0.35">
      <c r="B28" s="8" t="s">
        <v>123</v>
      </c>
      <c r="C28" s="8"/>
      <c r="D28" s="8"/>
      <c r="E28" s="8"/>
      <c r="F28" s="8"/>
      <c r="G28" s="9"/>
      <c r="H28" s="9"/>
      <c r="I28" s="11"/>
    </row>
    <row r="29" spans="2:9" ht="14.15" x14ac:dyDescent="0.35">
      <c r="B29" s="8" t="s">
        <v>122</v>
      </c>
    </row>
  </sheetData>
  <mergeCells count="2">
    <mergeCell ref="B2:G2"/>
    <mergeCell ref="E17:G17"/>
  </mergeCells>
  <phoneticPr fontId="11" type="noConversion"/>
  <pageMargins left="1" right="0.5" top="1" bottom="1" header="0.5" footer="0.5"/>
  <pageSetup scale="98" orientation="portrait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Owned Bull Cost</vt:lpstr>
      <vt:lpstr>2. Lease Bull Cost</vt:lpstr>
      <vt:lpstr>3. Advantage to Lease Bull</vt:lpstr>
      <vt:lpstr>'1. Owned Bull Cost'!Print_Area</vt:lpstr>
      <vt:lpstr>'2. Lease Bull Cost'!Print_Area</vt:lpstr>
      <vt:lpstr>'3. Advantage to Lease Bull'!Print_Area</vt:lpstr>
    </vt:vector>
  </TitlesOfParts>
  <Company>Kelly 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Kelly</dc:creator>
  <cp:lastModifiedBy>Jim McGrann</cp:lastModifiedBy>
  <cp:lastPrinted>2019-01-07T22:04:39Z</cp:lastPrinted>
  <dcterms:created xsi:type="dcterms:W3CDTF">2003-11-07T15:31:04Z</dcterms:created>
  <dcterms:modified xsi:type="dcterms:W3CDTF">2019-01-07T22:09:22Z</dcterms:modified>
</cp:coreProperties>
</file>