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mcgra\Documents\2019 Bull BSE\Additions or Revisions 2019\Changed Bull Investment\"/>
    </mc:Choice>
  </mc:AlternateContent>
  <xr:revisionPtr revIDLastSave="0" documentId="13_ncr:1_{EFF2D7E7-B3D4-4560-B17C-E9BAE9388A04}" xr6:coauthVersionLast="40" xr6:coauthVersionMax="40" xr10:uidLastSave="{00000000-0000-0000-0000-000000000000}"/>
  <bookViews>
    <workbookView xWindow="0" yWindow="0" windowWidth="19200" windowHeight="7354" activeTab="2" xr2:uid="{00000000-000D-0000-FFFF-FFFF00000000}"/>
  </bookViews>
  <sheets>
    <sheet name="1. Benefit-Cost of BSE" sheetId="1" r:id="rId1"/>
    <sheet name="2.Delayed Pregancy Revenue-Cost" sheetId="3" r:id="rId2"/>
    <sheet name="3. Bull Ownership Cost" sheetId="2" r:id="rId3"/>
  </sheets>
  <definedNames>
    <definedName name="_xlnm.Print_Area" localSheetId="0">'1. Benefit-Cost of BSE'!$B$1:$J$50</definedName>
    <definedName name="_xlnm.Print_Area" localSheetId="1">'2.Delayed Pregancy Revenue-Cost'!$B$2:$J$97</definedName>
    <definedName name="_xlnm.Print_Area" localSheetId="2">'3. Bull Ownership Cost'!$B$1:$I$60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7" i="1"/>
  <c r="J15" i="3"/>
  <c r="E9" i="3"/>
  <c r="E10" i="3"/>
  <c r="E11" i="3"/>
  <c r="E12" i="3"/>
  <c r="E13" i="3"/>
  <c r="G13" i="3"/>
  <c r="E88" i="3"/>
  <c r="G9" i="3"/>
  <c r="E62" i="3"/>
  <c r="E82" i="3"/>
  <c r="E89" i="3"/>
  <c r="E91" i="3"/>
  <c r="E93" i="3" s="1"/>
  <c r="E63" i="3"/>
  <c r="E83" i="3"/>
  <c r="E84" i="3"/>
  <c r="G12" i="3"/>
  <c r="E68" i="3"/>
  <c r="E69" i="3"/>
  <c r="E71" i="3"/>
  <c r="E73" i="3" s="1"/>
  <c r="E64" i="3"/>
  <c r="E67" i="3"/>
  <c r="E87" i="3"/>
  <c r="E20" i="3"/>
  <c r="E80" i="3"/>
  <c r="E60" i="3"/>
  <c r="G11" i="3"/>
  <c r="E48" i="3"/>
  <c r="E22" i="3"/>
  <c r="E42" i="3"/>
  <c r="E49" i="3"/>
  <c r="E51" i="3"/>
  <c r="E23" i="3"/>
  <c r="E43" i="3"/>
  <c r="E53" i="3"/>
  <c r="E54" i="3"/>
  <c r="E44" i="3"/>
  <c r="E55" i="3"/>
  <c r="J11" i="3"/>
  <c r="I11" i="3"/>
  <c r="H11" i="3"/>
  <c r="E47" i="3"/>
  <c r="E40" i="3"/>
  <c r="G10" i="3"/>
  <c r="E28" i="3"/>
  <c r="E27" i="3"/>
  <c r="E29" i="3"/>
  <c r="E31" i="3"/>
  <c r="E33" i="3"/>
  <c r="E34" i="3" s="1"/>
  <c r="E24" i="3"/>
  <c r="I9" i="3"/>
  <c r="C16" i="3"/>
  <c r="I21" i="1"/>
  <c r="G15" i="2"/>
  <c r="F51" i="2" s="1"/>
  <c r="C56" i="2"/>
  <c r="C40" i="2"/>
  <c r="C41" i="2" s="1"/>
  <c r="C35" i="2"/>
  <c r="G28" i="2"/>
  <c r="I29" i="2" s="1"/>
  <c r="E28" i="2"/>
  <c r="G22" i="2"/>
  <c r="E10" i="2" s="1"/>
  <c r="E12" i="2"/>
  <c r="E6" i="2"/>
  <c r="E7" i="2" s="1"/>
  <c r="H15" i="2"/>
  <c r="G12" i="2"/>
  <c r="H12" i="2"/>
  <c r="C39" i="2"/>
  <c r="E39" i="2" s="1"/>
  <c r="C57" i="2"/>
  <c r="G6" i="2"/>
  <c r="H6" i="2" s="1"/>
  <c r="G3" i="2"/>
  <c r="H3" i="2" s="1"/>
  <c r="F17" i="2"/>
  <c r="G4" i="2"/>
  <c r="H4" i="2" s="1"/>
  <c r="G5" i="2"/>
  <c r="H5" i="2" s="1"/>
  <c r="C38" i="2"/>
  <c r="E38" i="2" s="1"/>
  <c r="I24" i="1"/>
  <c r="D39" i="1"/>
  <c r="D41" i="1"/>
  <c r="E37" i="1"/>
  <c r="I28" i="1"/>
  <c r="D43" i="1"/>
  <c r="G30" i="1"/>
  <c r="I9" i="1"/>
  <c r="I11" i="1"/>
  <c r="E30" i="1"/>
  <c r="I31" i="1"/>
  <c r="E39" i="1"/>
  <c r="H43" i="1"/>
  <c r="D42" i="1"/>
  <c r="D45" i="1"/>
  <c r="E43" i="1"/>
  <c r="F43" i="1"/>
  <c r="G43" i="1"/>
  <c r="F39" i="1"/>
  <c r="E41" i="1"/>
  <c r="E42" i="1"/>
  <c r="E45" i="1"/>
  <c r="G39" i="1"/>
  <c r="F41" i="1"/>
  <c r="F42" i="1"/>
  <c r="F45" i="1"/>
  <c r="H39" i="1"/>
  <c r="H41" i="1"/>
  <c r="H42" i="1"/>
  <c r="H45" i="1"/>
  <c r="G41" i="1"/>
  <c r="G42" i="1"/>
  <c r="G45" i="1"/>
  <c r="H12" i="3" l="1"/>
  <c r="E74" i="3"/>
  <c r="E94" i="3"/>
  <c r="H13" i="3"/>
  <c r="I10" i="3"/>
  <c r="E35" i="3"/>
  <c r="J10" i="3" s="1"/>
  <c r="H10" i="3"/>
  <c r="G10" i="2"/>
  <c r="H10" i="2" s="1"/>
  <c r="C42" i="2"/>
  <c r="E41" i="2"/>
  <c r="F38" i="2"/>
  <c r="I38" i="2"/>
  <c r="F39" i="2"/>
  <c r="I39" i="2"/>
  <c r="G7" i="2"/>
  <c r="H7" i="2" s="1"/>
  <c r="F56" i="2"/>
  <c r="G51" i="2"/>
  <c r="H51" i="2" s="1"/>
  <c r="H57" i="2" s="1"/>
  <c r="E51" i="2"/>
  <c r="D51" i="2" s="1"/>
  <c r="D56" i="2" s="1"/>
  <c r="E40" i="2"/>
  <c r="G39" i="2" s="1"/>
  <c r="H39" i="2" s="1"/>
  <c r="C37" i="2"/>
  <c r="E37" i="2" s="1"/>
  <c r="C58" i="2"/>
  <c r="D57" i="2"/>
  <c r="G56" i="2"/>
  <c r="F24" i="2"/>
  <c r="E11" i="2" s="1"/>
  <c r="G11" i="2" s="1"/>
  <c r="H11" i="2" s="1"/>
  <c r="F57" i="2"/>
  <c r="C55" i="2"/>
  <c r="E75" i="3" l="1"/>
  <c r="J12" i="3" s="1"/>
  <c r="I12" i="3"/>
  <c r="E95" i="3"/>
  <c r="J13" i="3" s="1"/>
  <c r="I13" i="3"/>
  <c r="I41" i="2"/>
  <c r="F41" i="2"/>
  <c r="G41" i="2"/>
  <c r="H41" i="2" s="1"/>
  <c r="G58" i="2"/>
  <c r="F58" i="2"/>
  <c r="H58" i="2"/>
  <c r="C59" i="2"/>
  <c r="D58" i="2"/>
  <c r="E58" i="2"/>
  <c r="G57" i="2"/>
  <c r="G38" i="2"/>
  <c r="H38" i="2" s="1"/>
  <c r="C43" i="2"/>
  <c r="E43" i="2" s="1"/>
  <c r="E42" i="2"/>
  <c r="I37" i="2"/>
  <c r="G37" i="2"/>
  <c r="H37" i="2" s="1"/>
  <c r="F37" i="2"/>
  <c r="H56" i="2"/>
  <c r="G55" i="2"/>
  <c r="D55" i="2"/>
  <c r="F55" i="2"/>
  <c r="H55" i="2"/>
  <c r="E55" i="2"/>
  <c r="C54" i="2"/>
  <c r="E56" i="2"/>
  <c r="F40" i="2"/>
  <c r="I40" i="2"/>
  <c r="E57" i="2"/>
  <c r="E13" i="2"/>
  <c r="E54" i="2" l="1"/>
  <c r="D54" i="2"/>
  <c r="F54" i="2"/>
  <c r="C53" i="2"/>
  <c r="G54" i="2"/>
  <c r="H54" i="2"/>
  <c r="D59" i="2"/>
  <c r="H59" i="2"/>
  <c r="G59" i="2"/>
  <c r="F59" i="2"/>
  <c r="E59" i="2"/>
  <c r="G13" i="2"/>
  <c r="H13" i="2" s="1"/>
  <c r="E16" i="2"/>
  <c r="F43" i="2"/>
  <c r="I43" i="2"/>
  <c r="G43" i="2"/>
  <c r="H43" i="2" s="1"/>
  <c r="F42" i="2"/>
  <c r="I42" i="2"/>
  <c r="G42" i="2"/>
  <c r="H42" i="2" s="1"/>
  <c r="E49" i="1" l="1"/>
  <c r="G16" i="2"/>
  <c r="E17" i="2"/>
  <c r="I7" i="2"/>
  <c r="H53" i="2"/>
  <c r="F53" i="2"/>
  <c r="E53" i="2"/>
  <c r="D53" i="2"/>
  <c r="G53" i="2"/>
  <c r="I13" i="2"/>
  <c r="H16" i="2" l="1"/>
  <c r="I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J. Kelly</author>
  </authors>
  <commentList>
    <comment ref="G2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See the number of cows input per bull below </t>
        </r>
      </text>
    </comment>
    <comment ref="H2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See the production per exposed female below  that is used as the devisor. </t>
        </r>
      </text>
    </comment>
    <comment ref="E10" authorId="0" shapeId="0" xr:uid="{00000000-0006-0000-0100-000003000000}">
      <text>
        <r>
          <rPr>
            <sz val="8"/>
            <color indexed="81"/>
            <rFont val="Tahoma"/>
            <family val="2"/>
          </rPr>
          <t>Cost - Salvage value divided by useful life.</t>
        </r>
      </text>
    </comment>
    <comment ref="E32" authorId="0" shapeId="0" xr:uid="{00000000-0006-0000-0100-000004000000}">
      <text>
        <r>
          <rPr>
            <sz val="8"/>
            <color indexed="81"/>
            <rFont val="Tahoma"/>
            <family val="2"/>
          </rPr>
          <t>See the number of cows input per bull above</t>
        </r>
      </text>
    </comment>
    <comment ref="F32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See the production per exposed female Above  that is used as the devisor. </t>
        </r>
      </text>
    </comment>
    <comment ref="G32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Chance in cost per cow with the change in bull purchase cost.
</t>
        </r>
      </text>
    </comment>
    <comment ref="H32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The required change the number of pounds of weaned calf sold to cover the added cost - price held constant. 
</t>
        </r>
      </text>
    </comment>
  </commentList>
</comments>
</file>

<file path=xl/sharedStrings.xml><?xml version="1.0" encoding="utf-8"?>
<sst xmlns="http://schemas.openxmlformats.org/spreadsheetml/2006/main" count="302" uniqueCount="168">
  <si>
    <t>Base Herd Production Information</t>
  </si>
  <si>
    <t xml:space="preserve"> Head</t>
  </si>
  <si>
    <t>Weaned Calf Crop</t>
  </si>
  <si>
    <t xml:space="preserve">    %</t>
  </si>
  <si>
    <t>Average Weaning Weight</t>
  </si>
  <si>
    <t>Lb./Head</t>
  </si>
  <si>
    <t>Lbs. Weaned per Exposed Cow</t>
  </si>
  <si>
    <t>Lb./Cow</t>
  </si>
  <si>
    <t>$/Cwt.</t>
  </si>
  <si>
    <t>Average Weaned Calf Income per Exposed Cow</t>
  </si>
  <si>
    <t>$/Head</t>
  </si>
  <si>
    <t xml:space="preserve">   Value</t>
  </si>
  <si>
    <t>Input Data</t>
  </si>
  <si>
    <t>Total Cost Associated with BSE Procedure</t>
  </si>
  <si>
    <t>Results</t>
  </si>
  <si>
    <t xml:space="preserve">Cost of BSE per Exposed Cow </t>
  </si>
  <si>
    <t>Change in Gross Income from Performing BSE</t>
  </si>
  <si>
    <t>Change in BSE Cost ($/Head)</t>
  </si>
  <si>
    <t>Cost of BSE per Bull ($)</t>
  </si>
  <si>
    <t>Change in Income</t>
  </si>
  <si>
    <t>Added cost</t>
  </si>
  <si>
    <t>%</t>
  </si>
  <si>
    <t>Total Cost Per Bull</t>
  </si>
  <si>
    <t>Return Per $</t>
  </si>
  <si>
    <t>Change in Specified Weaned Calf Crop</t>
  </si>
  <si>
    <t>_______________________________________________________________________________________</t>
  </si>
  <si>
    <t>Cost of Exam - $/Hd.</t>
  </si>
  <si>
    <t>Bull Investment - Annual Bull and Per Cow Cost Calculator</t>
  </si>
  <si>
    <t>Operating Cost Item</t>
  </si>
  <si>
    <t xml:space="preserve">Annual
Bull Cost
</t>
  </si>
  <si>
    <t>Cows  per Year</t>
  </si>
  <si>
    <t>Annual
Cow
Service Cost</t>
  </si>
  <si>
    <t>Annual
Service Cost per Cwt Weaned</t>
  </si>
  <si>
    <t>Percent of Total Cost</t>
  </si>
  <si>
    <t>Grazing and Supplemental Feed</t>
  </si>
  <si>
    <t>Annual Interest on 1/2 of Operating Cost</t>
  </si>
  <si>
    <t>Annual Operating Cost</t>
  </si>
  <si>
    <t>Ownership Cost</t>
  </si>
  <si>
    <t>Depreciation</t>
  </si>
  <si>
    <t>Average Annual Interest Cost*</t>
  </si>
  <si>
    <t>Death Loss (% of  Purchase Cost)</t>
  </si>
  <si>
    <t>Annual Ownership Cost</t>
  </si>
  <si>
    <t xml:space="preserve">Exposed/Yr. </t>
  </si>
  <si>
    <t xml:space="preserve"> Breeding Seasons Per Year</t>
  </si>
  <si>
    <t>Cows Exposed/Bull</t>
  </si>
  <si>
    <t>% of Calf Val.</t>
  </si>
  <si>
    <t>Total &amp; Cost per Cow Exposed - Cwt. Weaned</t>
  </si>
  <si>
    <t>Total Cost per Calf Weaned</t>
  </si>
  <si>
    <t>Calves During Life of Bull</t>
  </si>
  <si>
    <t>Purchase Cost  of Bull</t>
  </si>
  <si>
    <t>Useful Life - Years</t>
  </si>
  <si>
    <t>Wt. Lb./Hd.</t>
  </si>
  <si>
    <t xml:space="preserve">  $/Head</t>
  </si>
  <si>
    <t xml:space="preserve">Bull Salvage Value </t>
  </si>
  <si>
    <t>Interest rate Used</t>
  </si>
  <si>
    <t>Average investment is cost plus salvage value divided by 2 or</t>
  </si>
  <si>
    <t>---------------------------------------</t>
  </si>
  <si>
    <t>Weaned Calf Crop - Based of Exposed Females</t>
  </si>
  <si>
    <t>Weaned Calf Price</t>
  </si>
  <si>
    <t>Lb.</t>
  </si>
  <si>
    <t>Head of</t>
  </si>
  <si>
    <t>Weaned Calf/Exposed Female</t>
  </si>
  <si>
    <t>Calves/Bull</t>
  </si>
  <si>
    <t xml:space="preserve">       Calves per Bull Investment</t>
  </si>
  <si>
    <t>-------------------------------------------------------------------------------------------------------------------------------------------------------------------------</t>
  </si>
  <si>
    <t>Annual Bull Cost for Different Bull Purchase Cost</t>
  </si>
  <si>
    <t>Annual
Bull Service Cost per Cow</t>
  </si>
  <si>
    <t>Annual
Service Cost per Cwt Weaned*</t>
  </si>
  <si>
    <t>Change in
Cow
Service Cost</t>
  </si>
  <si>
    <t>Pounds of Weaned Calf per Cow*</t>
  </si>
  <si>
    <t>Breeding Cow Annual Total Production Cost</t>
  </si>
  <si>
    <t>$/Cow</t>
  </si>
  <si>
    <t>Table Price Increment</t>
  </si>
  <si>
    <t>Bull Per Hd.</t>
  </si>
  <si>
    <t>Price of Weaned Calf</t>
  </si>
  <si>
    <t>Per Cwt</t>
  </si>
  <si>
    <t xml:space="preserve">Bull as % </t>
  </si>
  <si>
    <t>of Total Cost</t>
  </si>
  <si>
    <t>Bull Purchase Cost</t>
  </si>
  <si>
    <t>Base Purchase cost</t>
  </si>
  <si>
    <t>*Change in pounds weaned per exposed female or percent weaned times average weaning weight.</t>
  </si>
  <si>
    <t>Comments:</t>
  </si>
  <si>
    <t>Bulls used  for spring calving herd</t>
  </si>
  <si>
    <t>Sensitivity Analysis to Number of Cows Serviced</t>
  </si>
  <si>
    <t>Table - Number of Cows Serviced Increment</t>
  </si>
  <si>
    <t>Head Annually</t>
  </si>
  <si>
    <t>Number of Cows Serviced Annually and Cost per Exposed Cow</t>
  </si>
  <si>
    <t>Head Serviced Annually</t>
  </si>
  <si>
    <t>Bull Annual Cost</t>
  </si>
  <si>
    <t>Benefit-Cost Ratio***</t>
  </si>
  <si>
    <t>Exposed Females</t>
  </si>
  <si>
    <t xml:space="preserve">Exposed Female to Bull Ratio </t>
  </si>
  <si>
    <t>BSE Exam</t>
  </si>
  <si>
    <t>Average Weaning Weight - Steers &amp; Heifers</t>
  </si>
  <si>
    <t>Reduce the number of bulls by one and save the annual bull cost.</t>
  </si>
  <si>
    <t xml:space="preserve">Benefit-Cost Ratio Analysis of Performing a Herd Bull </t>
  </si>
  <si>
    <t xml:space="preserve"> Breeding Soundness Examination (BSE)</t>
  </si>
  <si>
    <t xml:space="preserve">or Benefit-Cost Ratio </t>
  </si>
  <si>
    <t>Change in Income and Added Cost</t>
  </si>
  <si>
    <t>Benefit-Cost Ratio Sensitivity Analysis of Veterinary Fees</t>
  </si>
  <si>
    <t>Calf Crop</t>
  </si>
  <si>
    <t>Change Expected in Weaned Calf Crop With BSE*</t>
  </si>
  <si>
    <t xml:space="preserve">*Due to identifying &amp; placing only fertile bulls for breeding. </t>
  </si>
  <si>
    <t xml:space="preserve"> Versus</t>
  </si>
  <si>
    <t>**Dollar return for every dollar spent for vet fee.</t>
  </si>
  <si>
    <t>Benefit-Cost Ratio**</t>
  </si>
  <si>
    <t>Average Net Price of Weaned Calf</t>
  </si>
  <si>
    <t>**Returned for every $1 spent for BSE.</t>
  </si>
  <si>
    <t xml:space="preserve">  First</t>
  </si>
  <si>
    <t xml:space="preserve">  Second</t>
  </si>
  <si>
    <t xml:space="preserve">  Third</t>
  </si>
  <si>
    <t xml:space="preserve">  Forth </t>
  </si>
  <si>
    <t xml:space="preserve">  Fifth</t>
  </si>
  <si>
    <t>Weaning</t>
  </si>
  <si>
    <t>ADG</t>
  </si>
  <si>
    <t>Breeding Cycle Bred</t>
  </si>
  <si>
    <t>Birth Wt.</t>
  </si>
  <si>
    <t>Weight</t>
  </si>
  <si>
    <t xml:space="preserve">   Days</t>
  </si>
  <si>
    <t>Age Days</t>
  </si>
  <si>
    <t xml:space="preserve">Cattle Age at Weaning </t>
  </si>
  <si>
    <t>Base Weight Projection</t>
  </si>
  <si>
    <t>Base Weight</t>
  </si>
  <si>
    <t>Lb./Hd.</t>
  </si>
  <si>
    <t>Gross Income</t>
  </si>
  <si>
    <t>____________________________________</t>
  </si>
  <si>
    <t>Delivery Values Underweight</t>
  </si>
  <si>
    <t>Weigh Adjusted for Age</t>
  </si>
  <si>
    <t>Net Under Weight</t>
  </si>
  <si>
    <t>Price Slide</t>
  </si>
  <si>
    <t>$/Lb.</t>
  </si>
  <si>
    <t>Calculated Side</t>
  </si>
  <si>
    <t>Calculated Price</t>
  </si>
  <si>
    <t>Change in Gross Income</t>
  </si>
  <si>
    <t>__________________________________________</t>
  </si>
  <si>
    <t>*This is where there is no limit on slide weight or free weight to buyer.</t>
  </si>
  <si>
    <t>Days</t>
  </si>
  <si>
    <t xml:space="preserve">Age </t>
  </si>
  <si>
    <t>Price</t>
  </si>
  <si>
    <t>Gross</t>
  </si>
  <si>
    <t>Income</t>
  </si>
  <si>
    <t>Difference</t>
  </si>
  <si>
    <t xml:space="preserve">Base Price </t>
  </si>
  <si>
    <t>Months of Age</t>
  </si>
  <si>
    <t>Weaning- Age in Days</t>
  </si>
  <si>
    <t>_________________________________________________________________</t>
  </si>
  <si>
    <t>Third Cycle</t>
  </si>
  <si>
    <t>Second Cycle</t>
  </si>
  <si>
    <t>First Cycle</t>
  </si>
  <si>
    <t>Fourth Cycle</t>
  </si>
  <si>
    <t>Fifth Cycle</t>
  </si>
  <si>
    <t>BSE cost per exposed female</t>
  </si>
  <si>
    <t>See sheet 1.</t>
  </si>
  <si>
    <t>Under Weight Price Slide By Age and Weight</t>
  </si>
  <si>
    <t>Delayed Pregnancy Impact on Weaning Weight and Gross Calf Revenue With Weight  Price Slide</t>
  </si>
  <si>
    <t>Adjusted for percent weaned.</t>
  </si>
  <si>
    <t>Not adjusted for weaning percent.</t>
  </si>
  <si>
    <t>See sheet 3.</t>
  </si>
  <si>
    <t>Freight Cost if Bulls are Taken to the Vet Clinic</t>
  </si>
  <si>
    <t>(Added labor and freight cost remains the same)</t>
  </si>
  <si>
    <t>Total Cost Per Female Exposed</t>
  </si>
  <si>
    <t xml:space="preserve">Change in Income </t>
  </si>
  <si>
    <t xml:space="preserve">    $/Cwt.</t>
  </si>
  <si>
    <t>Weaning %</t>
  </si>
  <si>
    <r>
      <t>Cost of BSE - Fees</t>
    </r>
    <r>
      <rPr>
        <b/>
        <sz val="11"/>
        <color theme="1"/>
        <rFont val="Arial"/>
        <family val="2"/>
      </rPr>
      <t xml:space="preserve"> (Veterinarian, Equip., Supplies &amp; Lab Fees)</t>
    </r>
  </si>
  <si>
    <t>Added Producer Labor Cost to Gather Bulls for BSE</t>
  </si>
  <si>
    <t>Health Related</t>
  </si>
  <si>
    <t>Version1/7/2019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</si>
</sst>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  <numFmt numFmtId="165" formatCode="0.00_);[Red]\(0.00\)"/>
    <numFmt numFmtId="166" formatCode="&quot;$&quot;#,##0"/>
    <numFmt numFmtId="167" formatCode="&quot;$&quot;#,##0.00"/>
    <numFmt numFmtId="168" formatCode="0.0_);[Red]\(0.0\)"/>
    <numFmt numFmtId="169" formatCode="0.0"/>
    <numFmt numFmtId="170" formatCode="mmmm\ d\,\ yyyy"/>
    <numFmt numFmtId="171" formatCode="0.0%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color theme="1"/>
      <name val="Arial Black"/>
      <family val="2"/>
    </font>
    <font>
      <sz val="11"/>
      <color indexed="12"/>
      <name val="Arial"/>
      <family val="2"/>
    </font>
    <font>
      <sz val="11"/>
      <color indexed="48"/>
      <name val="Arial"/>
      <family val="2"/>
    </font>
    <font>
      <sz val="11"/>
      <color indexed="39"/>
      <name val="Arial"/>
      <family val="2"/>
    </font>
    <font>
      <b/>
      <sz val="11"/>
      <color indexed="48"/>
      <name val="Arial"/>
      <family val="2"/>
    </font>
    <font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2"/>
      <color rgb="FF3333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1"/>
      <color theme="1"/>
      <name val="Arial"/>
      <family val="2"/>
    </font>
    <font>
      <sz val="11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7">
    <xf numFmtId="0" fontId="0" fillId="0" borderId="0" xfId="0"/>
    <xf numFmtId="0" fontId="15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16" fillId="0" borderId="0" xfId="0" applyFont="1" applyFill="1" applyProtection="1">
      <protection hidden="1"/>
    </xf>
    <xf numFmtId="0" fontId="0" fillId="0" borderId="0" xfId="0" quotePrefix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7" fillId="0" borderId="0" xfId="0" applyFont="1" applyFill="1" applyProtection="1">
      <protection hidden="1"/>
    </xf>
    <xf numFmtId="8" fontId="17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165" fontId="17" fillId="0" borderId="0" xfId="0" applyNumberFormat="1" applyFont="1" applyFill="1" applyProtection="1">
      <protection hidden="1"/>
    </xf>
    <xf numFmtId="8" fontId="15" fillId="0" borderId="0" xfId="0" applyNumberFormat="1" applyFont="1" applyFill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8" fontId="18" fillId="0" borderId="0" xfId="0" applyNumberFormat="1" applyFont="1" applyFill="1" applyBorder="1" applyProtection="1">
      <protection hidden="1"/>
    </xf>
    <xf numFmtId="40" fontId="17" fillId="0" borderId="0" xfId="0" applyNumberFormat="1" applyFont="1" applyFill="1" applyBorder="1" applyProtection="1"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3" fillId="0" borderId="0" xfId="0" applyFont="1"/>
    <xf numFmtId="0" fontId="1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0" fontId="20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center"/>
      <protection hidden="1"/>
    </xf>
    <xf numFmtId="164" fontId="21" fillId="0" borderId="1" xfId="0" applyNumberFormat="1" applyFont="1" applyFill="1" applyBorder="1" applyProtection="1">
      <protection locked="0"/>
    </xf>
    <xf numFmtId="0" fontId="22" fillId="0" borderId="0" xfId="0" applyFont="1" applyFill="1" applyProtection="1">
      <protection hidden="1"/>
    </xf>
    <xf numFmtId="165" fontId="21" fillId="0" borderId="1" xfId="0" applyNumberFormat="1" applyFont="1" applyFill="1" applyBorder="1" applyProtection="1">
      <protection locked="0"/>
    </xf>
    <xf numFmtId="8" fontId="21" fillId="0" borderId="1" xfId="0" applyNumberFormat="1" applyFont="1" applyFill="1" applyBorder="1" applyAlignment="1" applyProtection="1">
      <protection locked="0"/>
    </xf>
    <xf numFmtId="8" fontId="12" fillId="0" borderId="0" xfId="0" applyNumberFormat="1" applyFont="1" applyFill="1" applyProtection="1">
      <protection hidden="1"/>
    </xf>
    <xf numFmtId="0" fontId="19" fillId="0" borderId="0" xfId="0" applyFont="1" applyFill="1" applyProtection="1">
      <protection hidden="1"/>
    </xf>
    <xf numFmtId="0" fontId="22" fillId="0" borderId="0" xfId="0" applyFont="1" applyFill="1" applyAlignment="1" applyProtection="1">
      <alignment horizontal="center"/>
      <protection hidden="1"/>
    </xf>
    <xf numFmtId="8" fontId="16" fillId="0" borderId="0" xfId="0" applyNumberFormat="1" applyFont="1" applyFill="1" applyProtection="1">
      <protection hidden="1"/>
    </xf>
    <xf numFmtId="8" fontId="22" fillId="0" borderId="0" xfId="0" applyNumberFormat="1" applyFont="1" applyFill="1" applyAlignment="1" applyProtection="1">
      <alignment horizontal="right"/>
      <protection hidden="1"/>
    </xf>
    <xf numFmtId="8" fontId="12" fillId="0" borderId="0" xfId="0" applyNumberFormat="1" applyFont="1" applyFill="1" applyAlignment="1" applyProtection="1">
      <alignment horizontal="right"/>
      <protection hidden="1"/>
    </xf>
    <xf numFmtId="2" fontId="16" fillId="0" borderId="0" xfId="0" applyNumberFormat="1" applyFont="1" applyFill="1" applyAlignment="1" applyProtection="1">
      <alignment horizontal="right"/>
      <protection hidden="1"/>
    </xf>
    <xf numFmtId="0" fontId="12" fillId="0" borderId="0" xfId="0" applyFont="1"/>
    <xf numFmtId="8" fontId="12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Protection="1">
      <protection hidden="1"/>
    </xf>
    <xf numFmtId="8" fontId="22" fillId="0" borderId="2" xfId="0" applyNumberFormat="1" applyFont="1" applyFill="1" applyBorder="1" applyAlignment="1" applyProtection="1">
      <alignment horizontal="center"/>
      <protection hidden="1"/>
    </xf>
    <xf numFmtId="8" fontId="22" fillId="0" borderId="0" xfId="0" applyNumberFormat="1" applyFont="1" applyFill="1" applyBorder="1" applyAlignment="1" applyProtection="1">
      <alignment horizontal="center"/>
      <protection hidden="1"/>
    </xf>
    <xf numFmtId="8" fontId="22" fillId="0" borderId="4" xfId="0" applyNumberFormat="1" applyFont="1" applyFill="1" applyBorder="1" applyProtection="1">
      <protection hidden="1"/>
    </xf>
    <xf numFmtId="8" fontId="22" fillId="0" borderId="0" xfId="0" applyNumberFormat="1" applyFont="1" applyFill="1" applyBorder="1" applyProtection="1">
      <protection hidden="1"/>
    </xf>
    <xf numFmtId="0" fontId="19" fillId="0" borderId="0" xfId="0" applyFont="1"/>
    <xf numFmtId="40" fontId="16" fillId="0" borderId="0" xfId="0" applyNumberFormat="1" applyFont="1" applyFill="1" applyBorder="1" applyProtection="1">
      <protection hidden="1"/>
    </xf>
    <xf numFmtId="8" fontId="16" fillId="0" borderId="0" xfId="0" applyNumberFormat="1" applyFont="1" applyFill="1" applyBorder="1" applyAlignment="1" applyProtection="1">
      <alignment horizontal="center"/>
      <protection hidden="1"/>
    </xf>
    <xf numFmtId="6" fontId="22" fillId="0" borderId="3" xfId="0" applyNumberFormat="1" applyFont="1" applyFill="1" applyBorder="1" applyProtection="1">
      <protection hidden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7" fontId="0" fillId="0" borderId="0" xfId="0" applyNumberFormat="1"/>
    <xf numFmtId="169" fontId="17" fillId="0" borderId="0" xfId="0" applyNumberFormat="1" applyFont="1"/>
    <xf numFmtId="170" fontId="24" fillId="0" borderId="0" xfId="0" applyNumberFormat="1" applyFont="1" applyAlignment="1">
      <alignment horizontal="center"/>
    </xf>
    <xf numFmtId="0" fontId="25" fillId="0" borderId="0" xfId="0" applyFont="1"/>
    <xf numFmtId="166" fontId="27" fillId="0" borderId="0" xfId="0" applyNumberFormat="1" applyFont="1"/>
    <xf numFmtId="166" fontId="28" fillId="0" borderId="0" xfId="0" applyNumberFormat="1" applyFont="1" applyFill="1" applyProtection="1">
      <protection hidden="1"/>
    </xf>
    <xf numFmtId="0" fontId="27" fillId="0" borderId="0" xfId="0" applyFont="1"/>
    <xf numFmtId="0" fontId="0" fillId="0" borderId="0" xfId="0" applyFont="1"/>
    <xf numFmtId="0" fontId="27" fillId="0" borderId="0" xfId="0" applyFont="1" applyAlignment="1">
      <alignment horizontal="center" wrapText="1"/>
    </xf>
    <xf numFmtId="166" fontId="29" fillId="0" borderId="1" xfId="0" applyNumberFormat="1" applyFont="1" applyBorder="1" applyProtection="1">
      <protection locked="0"/>
    </xf>
    <xf numFmtId="167" fontId="30" fillId="0" borderId="0" xfId="0" applyNumberFormat="1" applyFont="1"/>
    <xf numFmtId="167" fontId="25" fillId="0" borderId="0" xfId="0" applyNumberFormat="1" applyFont="1"/>
    <xf numFmtId="167" fontId="0" fillId="0" borderId="0" xfId="0" applyNumberFormat="1" applyFont="1"/>
    <xf numFmtId="167" fontId="30" fillId="0" borderId="0" xfId="0" applyNumberFormat="1" applyFont="1" applyBorder="1"/>
    <xf numFmtId="167" fontId="25" fillId="0" borderId="0" xfId="0" applyNumberFormat="1" applyFont="1" applyBorder="1"/>
    <xf numFmtId="167" fontId="0" fillId="0" borderId="0" xfId="0" applyNumberFormat="1" applyFont="1" applyBorder="1"/>
    <xf numFmtId="6" fontId="0" fillId="0" borderId="0" xfId="0" applyNumberFormat="1" applyFont="1"/>
    <xf numFmtId="166" fontId="27" fillId="0" borderId="0" xfId="0" applyNumberFormat="1" applyFont="1" applyBorder="1" applyProtection="1"/>
    <xf numFmtId="167" fontId="32" fillId="0" borderId="0" xfId="0" applyNumberFormat="1" applyFont="1" applyBorder="1"/>
    <xf numFmtId="167" fontId="27" fillId="0" borderId="0" xfId="0" applyNumberFormat="1" applyFont="1" applyBorder="1"/>
    <xf numFmtId="9" fontId="27" fillId="0" borderId="0" xfId="2" applyFont="1"/>
    <xf numFmtId="166" fontId="25" fillId="0" borderId="0" xfId="0" applyNumberFormat="1" applyFont="1" applyBorder="1" applyProtection="1"/>
    <xf numFmtId="166" fontId="25" fillId="0" borderId="0" xfId="0" applyNumberFormat="1" applyFont="1"/>
    <xf numFmtId="168" fontId="29" fillId="0" borderId="1" xfId="2" applyNumberFormat="1" applyFont="1" applyBorder="1" applyAlignment="1" applyProtection="1">
      <alignment horizontal="right"/>
      <protection locked="0"/>
    </xf>
    <xf numFmtId="167" fontId="27" fillId="0" borderId="0" xfId="0" applyNumberFormat="1" applyFont="1"/>
    <xf numFmtId="3" fontId="27" fillId="0" borderId="0" xfId="0" applyNumberFormat="1" applyFont="1" applyBorder="1" applyProtection="1"/>
    <xf numFmtId="10" fontId="27" fillId="0" borderId="0" xfId="0" applyNumberFormat="1" applyFont="1"/>
    <xf numFmtId="1" fontId="27" fillId="0" borderId="0" xfId="0" applyNumberFormat="1" applyFont="1" applyProtection="1"/>
    <xf numFmtId="166" fontId="0" fillId="0" borderId="8" xfId="0" applyNumberFormat="1" applyFont="1" applyBorder="1"/>
    <xf numFmtId="6" fontId="29" fillId="0" borderId="1" xfId="0" applyNumberFormat="1" applyFont="1" applyBorder="1" applyProtection="1">
      <protection locked="0"/>
    </xf>
    <xf numFmtId="6" fontId="29" fillId="0" borderId="0" xfId="0" applyNumberFormat="1" applyFont="1" applyProtection="1">
      <protection locked="0"/>
    </xf>
    <xf numFmtId="169" fontId="29" fillId="0" borderId="1" xfId="0" applyNumberFormat="1" applyFont="1" applyBorder="1" applyProtection="1">
      <protection locked="0"/>
    </xf>
    <xf numFmtId="0" fontId="0" fillId="0" borderId="0" xfId="0" applyFont="1" applyAlignment="1">
      <alignment horizontal="center"/>
    </xf>
    <xf numFmtId="3" fontId="33" fillId="0" borderId="1" xfId="0" applyNumberFormat="1" applyFont="1" applyBorder="1" applyProtection="1">
      <protection locked="0"/>
    </xf>
    <xf numFmtId="8" fontId="33" fillId="0" borderId="1" xfId="0" applyNumberFormat="1" applyFont="1" applyBorder="1" applyProtection="1">
      <protection locked="0"/>
    </xf>
    <xf numFmtId="0" fontId="0" fillId="0" borderId="0" xfId="0" quotePrefix="1" applyFont="1"/>
    <xf numFmtId="164" fontId="29" fillId="0" borderId="1" xfId="2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1" fontId="27" fillId="0" borderId="0" xfId="0" applyNumberFormat="1" applyFont="1"/>
    <xf numFmtId="6" fontId="25" fillId="0" borderId="0" xfId="0" applyNumberFormat="1" applyFont="1"/>
    <xf numFmtId="164" fontId="29" fillId="0" borderId="0" xfId="2" applyNumberFormat="1" applyFont="1" applyBorder="1" applyAlignment="1" applyProtection="1">
      <alignment horizontal="right"/>
      <protection locked="0"/>
    </xf>
    <xf numFmtId="169" fontId="27" fillId="0" borderId="0" xfId="0" applyNumberFormat="1" applyFont="1"/>
    <xf numFmtId="0" fontId="25" fillId="0" borderId="0" xfId="0" quotePrefix="1" applyFont="1"/>
    <xf numFmtId="8" fontId="0" fillId="0" borderId="0" xfId="0" applyNumberFormat="1" applyFont="1"/>
    <xf numFmtId="170" fontId="25" fillId="0" borderId="0" xfId="0" applyNumberFormat="1" applyFont="1" applyAlignment="1">
      <alignment horizontal="left"/>
    </xf>
    <xf numFmtId="170" fontId="25" fillId="0" borderId="0" xfId="0" applyNumberFormat="1" applyFont="1" applyAlignment="1">
      <alignment horizontal="center"/>
    </xf>
    <xf numFmtId="170" fontId="34" fillId="0" borderId="0" xfId="0" applyNumberFormat="1" applyFont="1" applyAlignment="1">
      <alignment horizontal="center"/>
    </xf>
    <xf numFmtId="6" fontId="29" fillId="0" borderId="0" xfId="0" applyNumberFormat="1" applyFont="1"/>
    <xf numFmtId="8" fontId="25" fillId="0" borderId="0" xfId="0" applyNumberFormat="1" applyFont="1" applyAlignment="1">
      <alignment horizontal="center" wrapText="1"/>
    </xf>
    <xf numFmtId="169" fontId="25" fillId="0" borderId="0" xfId="0" applyNumberFormat="1" applyFont="1"/>
    <xf numFmtId="6" fontId="27" fillId="0" borderId="0" xfId="0" applyNumberFormat="1" applyFont="1"/>
    <xf numFmtId="8" fontId="27" fillId="0" borderId="1" xfId="0" applyNumberFormat="1" applyFont="1" applyBorder="1" applyAlignment="1">
      <alignment horizontal="center" wrapText="1"/>
    </xf>
    <xf numFmtId="171" fontId="27" fillId="0" borderId="0" xfId="2" applyNumberFormat="1" applyFont="1"/>
    <xf numFmtId="8" fontId="27" fillId="0" borderId="0" xfId="0" applyNumberFormat="1" applyFont="1" applyAlignment="1">
      <alignment horizontal="center" wrapText="1"/>
    </xf>
    <xf numFmtId="0" fontId="31" fillId="0" borderId="5" xfId="0" applyFont="1" applyBorder="1" applyProtection="1">
      <protection locked="0"/>
    </xf>
    <xf numFmtId="0" fontId="31" fillId="0" borderId="6" xfId="0" applyFont="1" applyBorder="1" applyProtection="1">
      <protection locked="0"/>
    </xf>
    <xf numFmtId="0" fontId="31" fillId="0" borderId="7" xfId="0" applyFont="1" applyBorder="1" applyProtection="1">
      <protection locked="0"/>
    </xf>
    <xf numFmtId="1" fontId="29" fillId="0" borderId="1" xfId="1" applyNumberFormat="1" applyFont="1" applyBorder="1" applyAlignment="1" applyProtection="1">
      <alignment horizontal="center"/>
      <protection locked="0"/>
    </xf>
    <xf numFmtId="8" fontId="29" fillId="0" borderId="0" xfId="0" applyNumberFormat="1" applyFont="1" applyProtection="1">
      <protection locked="0"/>
    </xf>
    <xf numFmtId="38" fontId="25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8" fontId="20" fillId="0" borderId="0" xfId="0" applyNumberFormat="1" applyFont="1"/>
    <xf numFmtId="0" fontId="20" fillId="0" borderId="0" xfId="0" applyFont="1"/>
    <xf numFmtId="6" fontId="20" fillId="0" borderId="0" xfId="0" applyNumberFormat="1" applyFont="1"/>
    <xf numFmtId="38" fontId="20" fillId="0" borderId="0" xfId="0" applyNumberFormat="1" applyFont="1" applyAlignment="1">
      <alignment horizontal="center"/>
    </xf>
    <xf numFmtId="171" fontId="20" fillId="0" borderId="0" xfId="2" applyNumberFormat="1" applyFont="1"/>
    <xf numFmtId="167" fontId="20" fillId="0" borderId="0" xfId="0" applyNumberFormat="1" applyFont="1"/>
    <xf numFmtId="167" fontId="20" fillId="0" borderId="0" xfId="0" applyNumberFormat="1" applyFont="1" applyBorder="1"/>
    <xf numFmtId="0" fontId="20" fillId="0" borderId="0" xfId="0" applyFont="1" applyAlignment="1">
      <alignment horizontal="center"/>
    </xf>
    <xf numFmtId="168" fontId="21" fillId="0" borderId="1" xfId="0" applyNumberFormat="1" applyFont="1" applyFill="1" applyBorder="1" applyProtection="1">
      <protection locked="0"/>
    </xf>
    <xf numFmtId="0" fontId="27" fillId="0" borderId="0" xfId="0" applyFont="1" applyFill="1" applyProtection="1">
      <protection hidden="1"/>
    </xf>
    <xf numFmtId="0" fontId="0" fillId="0" borderId="0" xfId="0" applyAlignment="1"/>
    <xf numFmtId="3" fontId="29" fillId="0" borderId="1" xfId="0" applyNumberFormat="1" applyFont="1" applyBorder="1" applyProtection="1">
      <protection locked="0"/>
    </xf>
    <xf numFmtId="167" fontId="27" fillId="0" borderId="1" xfId="0" applyNumberFormat="1" applyFont="1" applyBorder="1"/>
    <xf numFmtId="6" fontId="22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9" fillId="0" borderId="0" xfId="0" applyFont="1" applyBorder="1" applyAlignment="1">
      <alignment horizontal="center"/>
    </xf>
    <xf numFmtId="0" fontId="11" fillId="0" borderId="0" xfId="0" applyFont="1" applyFill="1" applyProtection="1">
      <protection hidden="1"/>
    </xf>
    <xf numFmtId="164" fontId="22" fillId="0" borderId="0" xfId="0" applyNumberFormat="1" applyFont="1" applyFill="1" applyBorder="1" applyProtection="1"/>
    <xf numFmtId="0" fontId="35" fillId="0" borderId="0" xfId="0" applyFont="1" applyAlignment="1">
      <alignment horizontal="justify" vertical="center"/>
    </xf>
    <xf numFmtId="8" fontId="12" fillId="0" borderId="0" xfId="0" quotePrefix="1" applyNumberFormat="1" applyFont="1" applyFill="1" applyAlignment="1" applyProtection="1">
      <alignment horizontal="right"/>
      <protection hidden="1"/>
    </xf>
    <xf numFmtId="40" fontId="16" fillId="0" borderId="10" xfId="0" applyNumberFormat="1" applyFont="1" applyFill="1" applyBorder="1" applyProtection="1">
      <protection hidden="1"/>
    </xf>
    <xf numFmtId="0" fontId="12" fillId="0" borderId="0" xfId="0" applyFont="1" applyFill="1" applyAlignment="1"/>
    <xf numFmtId="0" fontId="38" fillId="0" borderId="0" xfId="0" applyFont="1" applyFill="1" applyProtection="1">
      <protection hidden="1"/>
    </xf>
    <xf numFmtId="165" fontId="19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8" fontId="16" fillId="0" borderId="3" xfId="0" applyNumberFormat="1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8" fillId="0" borderId="0" xfId="0" applyFont="1"/>
    <xf numFmtId="0" fontId="7" fillId="0" borderId="0" xfId="0" applyFont="1"/>
    <xf numFmtId="2" fontId="8" fillId="0" borderId="0" xfId="0" applyNumberFormat="1" applyFont="1"/>
    <xf numFmtId="0" fontId="22" fillId="0" borderId="0" xfId="0" applyFont="1"/>
    <xf numFmtId="0" fontId="16" fillId="0" borderId="0" xfId="0" applyFont="1"/>
    <xf numFmtId="167" fontId="16" fillId="0" borderId="0" xfId="0" applyNumberFormat="1" applyFont="1"/>
    <xf numFmtId="0" fontId="18" fillId="0" borderId="0" xfId="0" applyFont="1"/>
    <xf numFmtId="167" fontId="41" fillId="0" borderId="0" xfId="0" applyNumberFormat="1" applyFont="1" applyProtection="1">
      <protection locked="0"/>
    </xf>
    <xf numFmtId="0" fontId="22" fillId="0" borderId="0" xfId="0" applyFont="1" applyProtection="1"/>
    <xf numFmtId="8" fontId="22" fillId="0" borderId="0" xfId="0" applyNumberFormat="1" applyFont="1" applyProtection="1"/>
    <xf numFmtId="167" fontId="16" fillId="0" borderId="0" xfId="0" applyNumberFormat="1" applyFont="1" applyProtection="1"/>
    <xf numFmtId="8" fontId="16" fillId="0" borderId="0" xfId="0" applyNumberFormat="1" applyFont="1"/>
    <xf numFmtId="0" fontId="6" fillId="0" borderId="0" xfId="0" applyFont="1"/>
    <xf numFmtId="1" fontId="16" fillId="0" borderId="0" xfId="0" applyNumberFormat="1" applyFont="1" applyProtection="1"/>
    <xf numFmtId="1" fontId="22" fillId="0" borderId="0" xfId="0" applyNumberFormat="1" applyFont="1" applyProtection="1"/>
    <xf numFmtId="167" fontId="6" fillId="0" borderId="0" xfId="0" applyNumberFormat="1" applyFont="1"/>
    <xf numFmtId="167" fontId="8" fillId="0" borderId="0" xfId="0" applyNumberFormat="1" applyFont="1"/>
    <xf numFmtId="8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9" fontId="39" fillId="0" borderId="1" xfId="0" applyNumberFormat="1" applyFont="1" applyBorder="1" applyProtection="1">
      <protection locked="0"/>
    </xf>
    <xf numFmtId="1" fontId="39" fillId="0" borderId="1" xfId="0" applyNumberFormat="1" applyFont="1" applyBorder="1"/>
    <xf numFmtId="167" fontId="40" fillId="0" borderId="1" xfId="0" applyNumberFormat="1" applyFont="1" applyBorder="1" applyProtection="1">
      <protection locked="0"/>
    </xf>
    <xf numFmtId="0" fontId="39" fillId="0" borderId="1" xfId="0" applyFont="1" applyBorder="1" applyProtection="1">
      <protection locked="0"/>
    </xf>
    <xf numFmtId="8" fontId="19" fillId="0" borderId="0" xfId="0" applyNumberFormat="1" applyFont="1"/>
    <xf numFmtId="0" fontId="16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20" fillId="0" borderId="0" xfId="0" applyFont="1" applyAlignment="1">
      <alignment horizontal="center"/>
    </xf>
    <xf numFmtId="8" fontId="22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/>
    <xf numFmtId="0" fontId="3" fillId="0" borderId="0" xfId="0" applyFont="1" applyAlignment="1">
      <alignment horizontal="center"/>
    </xf>
    <xf numFmtId="3" fontId="22" fillId="0" borderId="0" xfId="0" applyNumberFormat="1" applyFont="1" applyBorder="1" applyProtection="1"/>
    <xf numFmtId="0" fontId="2" fillId="0" borderId="0" xfId="0" applyFont="1"/>
    <xf numFmtId="0" fontId="1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6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Alignment="1"/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0" fillId="0" borderId="0" xfId="0" applyFont="1" applyFill="1" applyAlignment="1" applyProtection="1">
      <alignment horizontal="left"/>
      <protection hidden="1"/>
    </xf>
    <xf numFmtId="0" fontId="0" fillId="0" borderId="0" xfId="0" applyAlignment="1"/>
    <xf numFmtId="0" fontId="16" fillId="0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20" fillId="0" borderId="0" xfId="0" applyFont="1" applyFill="1" applyAlignment="1" applyProtection="1">
      <alignment horizontal="left"/>
      <protection hidden="1"/>
    </xf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8" fontId="22" fillId="0" borderId="0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16" fillId="0" borderId="0" xfId="0" applyFont="1" applyAlignment="1"/>
    <xf numFmtId="0" fontId="19" fillId="0" borderId="0" xfId="0" applyFont="1" applyAlignment="1">
      <alignment horizontal="center"/>
    </xf>
    <xf numFmtId="0" fontId="37" fillId="0" borderId="0" xfId="3" applyFont="1" applyAlignment="1">
      <alignment horizontal="justify" vertical="center"/>
    </xf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0" fontId="25" fillId="0" borderId="9" xfId="0" applyNumberFormat="1" applyFont="1" applyBorder="1" applyAlignment="1">
      <alignment horizontal="left"/>
    </xf>
    <xf numFmtId="0" fontId="43" fillId="0" borderId="0" xfId="0" applyFont="1" applyProtection="1"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473075</xdr:colOff>
      <xdr:row>42</xdr:row>
      <xdr:rowOff>165100</xdr:rowOff>
    </xdr:from>
    <xdr:ext cx="18531" cy="170560"/>
    <xdr:sp macro="" textlink="">
      <xdr:nvSpPr>
        <xdr:cNvPr id="3" name="Text Box 8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7425" y="9855200"/>
          <a:ext cx="18531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12</xdr:col>
      <xdr:colOff>0</xdr:colOff>
      <xdr:row>4</xdr:row>
      <xdr:rowOff>19050</xdr:rowOff>
    </xdr:from>
    <xdr:to>
      <xdr:col>17</xdr:col>
      <xdr:colOff>177799</xdr:colOff>
      <xdr:row>5</xdr:row>
      <xdr:rowOff>38100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21300" y="692150"/>
          <a:ext cx="32258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38100</xdr:colOff>
      <xdr:row>4</xdr:row>
      <xdr:rowOff>57150</xdr:rowOff>
    </xdr:from>
    <xdr:to>
      <xdr:col>10</xdr:col>
      <xdr:colOff>133350</xdr:colOff>
      <xdr:row>5</xdr:row>
      <xdr:rowOff>82550</xdr:rowOff>
    </xdr:to>
    <xdr:sp macro="" textlink="">
      <xdr:nvSpPr>
        <xdr:cNvPr id="5" name="AutoShape 9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648200" y="730250"/>
          <a:ext cx="95250" cy="20955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355600</xdr:colOff>
      <xdr:row>3</xdr:row>
      <xdr:rowOff>209550</xdr:rowOff>
    </xdr:from>
    <xdr:to>
      <xdr:col>11</xdr:col>
      <xdr:colOff>444500</xdr:colOff>
      <xdr:row>5</xdr:row>
      <xdr:rowOff>12700</xdr:rowOff>
    </xdr:to>
    <xdr:sp macro="" textlink="">
      <xdr:nvSpPr>
        <xdr:cNvPr id="6" name="AutoShape 9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750300" y="768350"/>
          <a:ext cx="88900" cy="24765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25400</xdr:colOff>
      <xdr:row>7</xdr:row>
      <xdr:rowOff>0</xdr:rowOff>
    </xdr:from>
    <xdr:ext cx="20503" cy="368922"/>
    <xdr:sp macro="" textlink="">
      <xdr:nvSpPr>
        <xdr:cNvPr id="7" name="AutoShape 9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346700" y="1377950"/>
          <a:ext cx="20503" cy="368922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14</xdr:col>
      <xdr:colOff>768350</xdr:colOff>
      <xdr:row>10</xdr:row>
      <xdr:rowOff>95250</xdr:rowOff>
    </xdr:from>
    <xdr:to>
      <xdr:col>15</xdr:col>
      <xdr:colOff>82550</xdr:colOff>
      <xdr:row>11</xdr:row>
      <xdr:rowOff>101600</xdr:rowOff>
    </xdr:to>
    <xdr:sp macro="" textlink="">
      <xdr:nvSpPr>
        <xdr:cNvPr id="8" name="AutoShape 9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308850" y="2178050"/>
          <a:ext cx="82550" cy="2032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549729</xdr:colOff>
      <xdr:row>7</xdr:row>
      <xdr:rowOff>128815</xdr:rowOff>
    </xdr:to>
    <xdr:pic>
      <xdr:nvPicPr>
        <xdr:cNvPr id="9" name="Picture 8" descr="TAMAgEXT">
          <a:extLst>
            <a:ext uri="{FF2B5EF4-FFF2-40B4-BE49-F238E27FC236}">
              <a16:creationId xmlns:a16="http://schemas.microsoft.com/office/drawing/2014/main" id="{D3122A02-8877-4366-9792-0E32B59B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71" y="990600"/>
          <a:ext cx="1202872" cy="575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1"/>
  <sheetViews>
    <sheetView topLeftCell="A43" workbookViewId="0">
      <selection activeCell="K9" sqref="K9"/>
    </sheetView>
  </sheetViews>
  <sheetFormatPr defaultRowHeight="14.6" x14ac:dyDescent="0.4"/>
  <cols>
    <col min="1" max="1" width="4.84375" customWidth="1"/>
    <col min="2" max="2" width="22.23046875" customWidth="1"/>
    <col min="3" max="3" width="8.84375" bestFit="1" customWidth="1"/>
    <col min="4" max="4" width="9.61328125" customWidth="1"/>
    <col min="5" max="5" width="10.4609375" customWidth="1"/>
    <col min="6" max="6" width="10.15234375" customWidth="1"/>
    <col min="7" max="7" width="14.3828125" customWidth="1"/>
    <col min="8" max="8" width="9.921875" customWidth="1"/>
    <col min="9" max="9" width="13.15234375" customWidth="1"/>
    <col min="10" max="10" width="9.61328125" customWidth="1"/>
    <col min="11" max="11" width="9.84375" customWidth="1"/>
  </cols>
  <sheetData>
    <row r="1" spans="2:20" ht="17.600000000000001" x14ac:dyDescent="0.4">
      <c r="B1" s="176" t="s">
        <v>95</v>
      </c>
      <c r="C1" s="177"/>
      <c r="D1" s="177"/>
      <c r="E1" s="177"/>
      <c r="F1" s="177"/>
      <c r="G1" s="177"/>
      <c r="H1" s="177"/>
      <c r="I1" s="177"/>
      <c r="J1" s="1"/>
      <c r="K1" s="1"/>
      <c r="L1" s="1"/>
      <c r="M1" s="1"/>
      <c r="N1" s="1"/>
      <c r="O1" s="2"/>
      <c r="P1" s="3"/>
      <c r="Q1" s="3"/>
      <c r="R1" s="3"/>
      <c r="S1" s="3"/>
      <c r="T1" s="3"/>
    </row>
    <row r="2" spans="2:20" ht="17.600000000000001" x14ac:dyDescent="0.4">
      <c r="B2" s="176" t="s">
        <v>96</v>
      </c>
      <c r="C2" s="177"/>
      <c r="D2" s="177"/>
      <c r="E2" s="177"/>
      <c r="F2" s="177"/>
      <c r="G2" s="177"/>
      <c r="H2" s="177"/>
      <c r="I2" s="177"/>
      <c r="J2" s="1"/>
      <c r="K2" s="1"/>
      <c r="L2" s="5"/>
      <c r="M2" s="2"/>
      <c r="N2" s="2"/>
      <c r="O2" s="2"/>
      <c r="P2" s="3"/>
      <c r="Q2" s="3"/>
      <c r="R2" s="3"/>
      <c r="S2" s="3"/>
      <c r="T2" s="3"/>
    </row>
    <row r="3" spans="2:20" ht="8.0500000000000007" customHeight="1" x14ac:dyDescent="0.4">
      <c r="B3" s="12"/>
      <c r="C3" s="13"/>
      <c r="D3" s="13"/>
      <c r="E3" s="13"/>
      <c r="F3" s="13"/>
      <c r="G3" s="13"/>
      <c r="H3" s="13"/>
      <c r="I3" s="13"/>
      <c r="J3" s="1"/>
      <c r="K3" s="1"/>
      <c r="L3" s="5"/>
      <c r="M3" s="2"/>
      <c r="N3" s="2"/>
      <c r="O3" s="2"/>
      <c r="P3" s="3"/>
      <c r="Q3" s="3"/>
      <c r="R3" s="3"/>
      <c r="S3" s="3"/>
      <c r="T3" s="3"/>
    </row>
    <row r="4" spans="2:20" ht="17.600000000000001" x14ac:dyDescent="0.4">
      <c r="B4" s="4" t="s">
        <v>0</v>
      </c>
      <c r="C4" s="4"/>
      <c r="D4" s="4"/>
      <c r="E4" s="4"/>
      <c r="F4" s="4"/>
      <c r="G4" s="4"/>
      <c r="H4" s="4"/>
      <c r="I4" s="2"/>
      <c r="J4" s="1"/>
      <c r="K4" s="1"/>
      <c r="L4" s="118" t="s">
        <v>167</v>
      </c>
      <c r="M4" s="4"/>
      <c r="N4" s="4"/>
      <c r="O4" s="2"/>
      <c r="P4" s="3"/>
      <c r="Q4" s="3"/>
      <c r="R4" s="3"/>
      <c r="S4" s="3"/>
      <c r="T4" s="3"/>
    </row>
    <row r="5" spans="2:20" ht="17.600000000000001" x14ac:dyDescent="0.4">
      <c r="B5" s="125" t="s">
        <v>90</v>
      </c>
      <c r="C5" s="21"/>
      <c r="D5" s="21"/>
      <c r="E5" s="21"/>
      <c r="F5" s="21"/>
      <c r="G5" s="22" t="s">
        <v>1</v>
      </c>
      <c r="H5" s="22"/>
      <c r="I5" s="23">
        <v>100</v>
      </c>
      <c r="J5" s="24"/>
      <c r="K5" s="1"/>
      <c r="L5" s="2"/>
      <c r="M5" s="2"/>
      <c r="N5" s="2"/>
      <c r="O5" s="2"/>
      <c r="P5" s="3"/>
      <c r="Q5" s="3"/>
      <c r="R5" s="3"/>
      <c r="S5" s="3"/>
      <c r="T5" s="3"/>
    </row>
    <row r="6" spans="2:20" ht="17.600000000000001" x14ac:dyDescent="0.4">
      <c r="B6" s="125" t="s">
        <v>91</v>
      </c>
      <c r="C6" s="21"/>
      <c r="D6" s="21"/>
      <c r="E6" s="21"/>
      <c r="F6" s="21"/>
      <c r="G6" s="22" t="s">
        <v>1</v>
      </c>
      <c r="H6" s="22"/>
      <c r="I6" s="23">
        <v>25</v>
      </c>
      <c r="J6" s="24"/>
      <c r="K6" s="1"/>
      <c r="L6" s="2"/>
      <c r="M6" s="2"/>
      <c r="N6" s="2"/>
      <c r="O6" s="2"/>
      <c r="P6" s="3"/>
      <c r="Q6" s="3"/>
      <c r="R6" s="3"/>
      <c r="S6" s="3"/>
      <c r="T6" s="3"/>
    </row>
    <row r="7" spans="2:20" ht="17.600000000000001" x14ac:dyDescent="0.4">
      <c r="B7" s="21" t="s">
        <v>2</v>
      </c>
      <c r="C7" s="21"/>
      <c r="D7" s="21"/>
      <c r="E7" s="21"/>
      <c r="F7" s="21"/>
      <c r="G7" s="22" t="s">
        <v>3</v>
      </c>
      <c r="H7" s="22"/>
      <c r="I7" s="117">
        <v>85</v>
      </c>
      <c r="J7" s="24"/>
      <c r="K7" s="1"/>
      <c r="L7" s="2"/>
      <c r="M7" s="2"/>
      <c r="N7" s="2"/>
      <c r="O7" s="2"/>
      <c r="P7" s="3"/>
      <c r="Q7" s="3"/>
      <c r="R7" s="3"/>
      <c r="S7" s="3"/>
      <c r="T7" s="3"/>
    </row>
    <row r="8" spans="2:20" ht="17.600000000000001" x14ac:dyDescent="0.4">
      <c r="B8" s="21" t="s">
        <v>4</v>
      </c>
      <c r="C8" s="21"/>
      <c r="D8" s="21"/>
      <c r="E8" s="21"/>
      <c r="F8" s="21"/>
      <c r="G8" s="22" t="s">
        <v>5</v>
      </c>
      <c r="H8" s="22"/>
      <c r="I8" s="23">
        <v>560</v>
      </c>
      <c r="J8" s="24"/>
      <c r="K8" s="1"/>
      <c r="L8" s="2"/>
      <c r="M8" s="2"/>
      <c r="N8" s="2"/>
      <c r="O8" s="2"/>
      <c r="P8" s="3"/>
      <c r="Q8" s="3"/>
      <c r="R8" s="3"/>
      <c r="S8" s="3"/>
      <c r="T8" s="3"/>
    </row>
    <row r="9" spans="2:20" ht="17.600000000000001" x14ac:dyDescent="0.4">
      <c r="B9" s="21" t="s">
        <v>6</v>
      </c>
      <c r="C9" s="21"/>
      <c r="D9" s="21"/>
      <c r="E9" s="21"/>
      <c r="F9" s="21"/>
      <c r="G9" s="22" t="s">
        <v>7</v>
      </c>
      <c r="H9" s="22"/>
      <c r="I9" s="21">
        <f>I7*I8*0.01</f>
        <v>476</v>
      </c>
      <c r="J9" s="24"/>
      <c r="K9" s="1"/>
      <c r="L9" s="2"/>
      <c r="M9" s="2"/>
      <c r="N9" s="2"/>
      <c r="O9" s="2"/>
      <c r="P9" s="3"/>
      <c r="Q9" s="3"/>
      <c r="R9" s="3"/>
      <c r="S9" s="3"/>
      <c r="T9" s="3"/>
    </row>
    <row r="10" spans="2:20" ht="17.600000000000001" x14ac:dyDescent="0.4">
      <c r="B10" s="135" t="s">
        <v>106</v>
      </c>
      <c r="C10" s="21"/>
      <c r="D10" s="21"/>
      <c r="E10" s="21"/>
      <c r="F10" s="21"/>
      <c r="G10" s="22" t="s">
        <v>8</v>
      </c>
      <c r="H10" s="22"/>
      <c r="I10" s="26">
        <v>170</v>
      </c>
      <c r="J10" s="24"/>
      <c r="K10" s="11"/>
      <c r="L10" s="2"/>
      <c r="M10" s="2"/>
      <c r="N10" s="2"/>
      <c r="O10" s="2"/>
      <c r="P10" s="3"/>
      <c r="Q10" s="3"/>
      <c r="R10" s="3"/>
      <c r="S10" s="3"/>
      <c r="T10" s="3"/>
    </row>
    <row r="11" spans="2:20" ht="15.45" x14ac:dyDescent="0.4">
      <c r="B11" s="21" t="s">
        <v>9</v>
      </c>
      <c r="C11" s="21"/>
      <c r="D11" s="21"/>
      <c r="E11" s="21"/>
      <c r="F11" s="21"/>
      <c r="G11" s="22" t="s">
        <v>10</v>
      </c>
      <c r="H11" s="22"/>
      <c r="I11" s="27">
        <f>I9*I10*0.01</f>
        <v>809.2</v>
      </c>
      <c r="J11" s="27"/>
      <c r="K11" s="20" t="s">
        <v>155</v>
      </c>
      <c r="M11" s="2"/>
      <c r="N11" s="2"/>
      <c r="O11" s="2"/>
      <c r="P11" s="3"/>
      <c r="Q11" s="3"/>
      <c r="R11" s="3"/>
      <c r="S11" s="3"/>
      <c r="T11" s="3"/>
    </row>
    <row r="12" spans="2:20" ht="15.45" x14ac:dyDescent="0.4">
      <c r="B12" s="21" t="s">
        <v>25</v>
      </c>
      <c r="C12" s="21"/>
      <c r="D12" s="21"/>
      <c r="E12" s="21"/>
      <c r="F12" s="21"/>
      <c r="G12" s="21"/>
      <c r="H12" s="21"/>
      <c r="I12" s="21"/>
      <c r="J12" s="21"/>
      <c r="K12" s="2"/>
      <c r="L12" s="2"/>
      <c r="M12" s="2"/>
      <c r="N12" s="2"/>
      <c r="O12" s="2"/>
      <c r="P12" s="3"/>
      <c r="Q12" s="3"/>
      <c r="R12" s="3"/>
      <c r="S12" s="3"/>
      <c r="T12" s="3"/>
    </row>
    <row r="13" spans="2:20" ht="8.0500000000000007" customHeight="1" x14ac:dyDescent="0.4">
      <c r="B13" s="21"/>
      <c r="C13" s="21"/>
      <c r="D13" s="21"/>
      <c r="E13" s="21"/>
      <c r="F13" s="21"/>
      <c r="G13" s="21"/>
      <c r="H13" s="21"/>
      <c r="J13" s="21"/>
      <c r="K13" s="2"/>
      <c r="L13" s="2"/>
      <c r="M13" s="2"/>
      <c r="N13" s="2"/>
      <c r="O13" s="2"/>
      <c r="P13" s="3"/>
      <c r="Q13" s="3"/>
      <c r="R13" s="3"/>
      <c r="S13" s="3"/>
      <c r="T13" s="3"/>
    </row>
    <row r="14" spans="2:20" ht="15.45" x14ac:dyDescent="0.4">
      <c r="B14" s="4" t="s">
        <v>12</v>
      </c>
      <c r="C14" s="4"/>
      <c r="D14" s="4"/>
      <c r="E14" s="4"/>
      <c r="F14" s="4"/>
      <c r="G14" s="4"/>
      <c r="H14" s="4"/>
      <c r="I14" s="21" t="s">
        <v>11</v>
      </c>
      <c r="J14" s="21"/>
      <c r="K14" s="2"/>
      <c r="L14" s="7"/>
      <c r="M14" s="7"/>
      <c r="N14" s="7"/>
      <c r="O14" s="2"/>
      <c r="P14" s="3"/>
      <c r="Q14" s="3"/>
      <c r="R14" s="3"/>
      <c r="S14" s="3"/>
      <c r="T14" s="3"/>
    </row>
    <row r="15" spans="2:20" ht="15.45" x14ac:dyDescent="0.4">
      <c r="B15" s="28" t="s">
        <v>164</v>
      </c>
      <c r="C15" s="21"/>
      <c r="D15" s="21"/>
      <c r="E15" s="21"/>
      <c r="F15" s="21"/>
      <c r="G15" s="22" t="s">
        <v>10</v>
      </c>
      <c r="H15" s="22"/>
      <c r="I15" s="26">
        <v>50</v>
      </c>
      <c r="J15" s="4"/>
      <c r="K15" s="7"/>
      <c r="L15" s="3"/>
      <c r="M15" s="2"/>
      <c r="N15" s="2"/>
      <c r="O15" s="2"/>
      <c r="P15" s="3"/>
      <c r="Q15" s="3"/>
      <c r="R15" s="3"/>
      <c r="S15" s="3"/>
      <c r="T15" s="3"/>
    </row>
    <row r="16" spans="2:20" ht="15.45" x14ac:dyDescent="0.4">
      <c r="B16" s="171" t="s">
        <v>165</v>
      </c>
      <c r="C16" s="21"/>
      <c r="D16" s="21"/>
      <c r="E16" s="21"/>
      <c r="F16" s="21"/>
      <c r="G16" s="22" t="s">
        <v>10</v>
      </c>
      <c r="H16" s="22"/>
      <c r="I16" s="26">
        <v>5</v>
      </c>
      <c r="J16" s="4"/>
      <c r="K16" s="7"/>
      <c r="L16" s="2"/>
      <c r="M16" s="2"/>
      <c r="N16" s="2"/>
      <c r="O16" s="2"/>
      <c r="P16" s="3"/>
      <c r="Q16" s="3"/>
      <c r="R16" s="3"/>
      <c r="S16" s="3"/>
      <c r="T16" s="3"/>
    </row>
    <row r="17" spans="2:20" ht="15.45" x14ac:dyDescent="0.4">
      <c r="B17" s="164" t="s">
        <v>158</v>
      </c>
      <c r="C17" s="21"/>
      <c r="D17" s="21"/>
      <c r="E17" s="21"/>
      <c r="F17" s="21"/>
      <c r="G17" s="22" t="s">
        <v>10</v>
      </c>
      <c r="H17" s="22"/>
      <c r="I17" s="26">
        <v>10</v>
      </c>
      <c r="J17" s="4"/>
      <c r="K17" s="7"/>
      <c r="L17" s="2"/>
      <c r="M17" s="2"/>
      <c r="N17" s="2"/>
      <c r="O17" s="2"/>
      <c r="P17" s="3"/>
      <c r="Q17" s="3"/>
      <c r="R17" s="3"/>
      <c r="S17" s="3"/>
      <c r="T17" s="3"/>
    </row>
    <row r="18" spans="2:20" ht="15.45" x14ac:dyDescent="0.4">
      <c r="B18" s="21"/>
      <c r="C18" s="21"/>
      <c r="D18" s="21"/>
      <c r="E18" s="21"/>
      <c r="F18" s="21"/>
      <c r="G18" s="22"/>
      <c r="H18" s="22"/>
      <c r="I18" s="27"/>
      <c r="J18" s="4"/>
      <c r="K18" s="7"/>
      <c r="L18" s="2"/>
      <c r="M18" s="2"/>
      <c r="N18" s="2"/>
      <c r="O18" s="2"/>
      <c r="P18" s="3"/>
      <c r="Q18" s="3"/>
      <c r="R18" s="3"/>
      <c r="S18" s="3"/>
      <c r="T18" s="3"/>
    </row>
    <row r="19" spans="2:20" ht="15.45" x14ac:dyDescent="0.4">
      <c r="B19" s="4" t="s">
        <v>13</v>
      </c>
      <c r="C19" s="4"/>
      <c r="D19" s="4"/>
      <c r="E19" s="4"/>
      <c r="F19" s="4"/>
      <c r="G19" s="162" t="s">
        <v>10</v>
      </c>
      <c r="H19" s="29"/>
      <c r="I19" s="30">
        <f>I15+I16+I17</f>
        <v>65</v>
      </c>
      <c r="J19" s="4"/>
      <c r="K19" s="7"/>
      <c r="L19" s="7"/>
      <c r="M19" s="7"/>
      <c r="N19" s="7"/>
      <c r="O19" s="2"/>
      <c r="P19" s="3"/>
      <c r="Q19" s="3"/>
      <c r="R19" s="3"/>
      <c r="S19" s="3"/>
      <c r="T19" s="3"/>
    </row>
    <row r="20" spans="2:20" ht="15.45" x14ac:dyDescent="0.4">
      <c r="B20" s="21"/>
      <c r="C20" s="21"/>
      <c r="D20" s="21"/>
      <c r="E20" s="21"/>
      <c r="F20" s="21"/>
      <c r="G20" s="22"/>
      <c r="H20" s="22"/>
      <c r="I20" s="21"/>
      <c r="J20" s="4"/>
      <c r="K20" s="7"/>
      <c r="L20" s="2"/>
      <c r="M20" s="2"/>
      <c r="N20" s="2"/>
      <c r="O20" s="2"/>
      <c r="P20" s="3"/>
      <c r="Q20" s="3"/>
      <c r="R20" s="3"/>
      <c r="S20" s="3"/>
      <c r="T20" s="3"/>
    </row>
    <row r="21" spans="2:20" ht="15.45" x14ac:dyDescent="0.4">
      <c r="B21" s="125" t="s">
        <v>91</v>
      </c>
      <c r="C21" s="21"/>
      <c r="D21" s="21"/>
      <c r="E21" s="21"/>
      <c r="F21" s="21"/>
      <c r="G21" s="22" t="s">
        <v>1</v>
      </c>
      <c r="H21" s="22"/>
      <c r="I21" s="126">
        <f>I6</f>
        <v>25</v>
      </c>
      <c r="J21" s="4"/>
      <c r="K21" s="7"/>
      <c r="L21" s="2"/>
      <c r="M21" s="2"/>
      <c r="N21" s="2"/>
      <c r="O21" s="2"/>
      <c r="P21" s="3"/>
      <c r="Q21" s="3"/>
      <c r="R21" s="3"/>
      <c r="S21" s="3"/>
      <c r="T21" s="3"/>
    </row>
    <row r="22" spans="2:20" ht="15.45" x14ac:dyDescent="0.4">
      <c r="B22" s="21"/>
      <c r="C22" s="21"/>
      <c r="D22" s="21"/>
      <c r="E22" s="21"/>
      <c r="F22" s="21"/>
      <c r="G22" s="22"/>
      <c r="H22" s="22"/>
      <c r="I22" s="22"/>
      <c r="J22" s="4"/>
      <c r="K22" s="7"/>
      <c r="L22" s="2"/>
      <c r="M22" s="2"/>
      <c r="N22" s="2"/>
      <c r="O22" s="2"/>
      <c r="P22" s="3"/>
      <c r="Q22" s="3"/>
      <c r="R22" s="3"/>
      <c r="S22" s="3"/>
      <c r="T22" s="3"/>
    </row>
    <row r="23" spans="2:20" ht="15.45" x14ac:dyDescent="0.4">
      <c r="B23" s="28" t="s">
        <v>101</v>
      </c>
      <c r="C23" s="21"/>
      <c r="D23" s="21"/>
      <c r="E23" s="21"/>
      <c r="F23" s="21"/>
      <c r="G23" s="22" t="s">
        <v>3</v>
      </c>
      <c r="H23" s="22"/>
      <c r="I23" s="25">
        <v>2</v>
      </c>
      <c r="J23" s="21" t="s">
        <v>21</v>
      </c>
      <c r="K23" s="7"/>
      <c r="L23" s="2"/>
      <c r="M23" s="2"/>
      <c r="N23" s="2"/>
      <c r="O23" s="2"/>
      <c r="P23" s="3"/>
      <c r="Q23" s="3"/>
      <c r="R23" s="3"/>
      <c r="S23" s="3"/>
      <c r="T23" s="3"/>
    </row>
    <row r="24" spans="2:20" ht="15.45" x14ac:dyDescent="0.4">
      <c r="B24" s="131" t="s">
        <v>102</v>
      </c>
      <c r="C24" s="21"/>
      <c r="D24" s="21"/>
      <c r="E24" s="21"/>
      <c r="F24" s="28" t="s">
        <v>100</v>
      </c>
      <c r="G24" s="22" t="s">
        <v>3</v>
      </c>
      <c r="H24" s="21"/>
      <c r="I24" s="132">
        <f>I23+I7</f>
        <v>87</v>
      </c>
      <c r="J24" s="21" t="s">
        <v>21</v>
      </c>
      <c r="K24" s="2"/>
      <c r="L24" s="2"/>
      <c r="M24" s="2"/>
      <c r="N24" s="2"/>
      <c r="O24" s="2"/>
      <c r="P24" s="3"/>
      <c r="Q24" s="3"/>
      <c r="R24" s="3"/>
      <c r="S24" s="3"/>
      <c r="T24" s="3"/>
    </row>
    <row r="25" spans="2:20" ht="15.45" x14ac:dyDescent="0.4">
      <c r="B25" s="21"/>
      <c r="C25" s="21"/>
      <c r="D25" s="21"/>
      <c r="E25" s="21"/>
      <c r="F25" s="21"/>
      <c r="G25" s="21"/>
      <c r="H25" s="21"/>
      <c r="I25" s="21"/>
      <c r="J25" s="21"/>
      <c r="K25" s="2"/>
      <c r="L25" s="2"/>
      <c r="M25" s="2"/>
      <c r="N25" s="2"/>
      <c r="O25" s="2"/>
      <c r="P25" s="3"/>
      <c r="Q25" s="3"/>
      <c r="R25" s="3"/>
      <c r="S25" s="3"/>
      <c r="T25" s="3"/>
    </row>
    <row r="26" spans="2:20" ht="15.45" x14ac:dyDescent="0.4">
      <c r="B26" s="4" t="s">
        <v>14</v>
      </c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2"/>
      <c r="P26" s="3"/>
      <c r="Q26" s="3"/>
      <c r="R26" s="3"/>
      <c r="S26" s="3"/>
      <c r="T26" s="3"/>
    </row>
    <row r="27" spans="2:20" ht="15.45" x14ac:dyDescent="0.4">
      <c r="B27" s="4" t="s">
        <v>15</v>
      </c>
      <c r="C27" s="4"/>
      <c r="D27" s="4"/>
      <c r="E27" s="4"/>
      <c r="F27" s="4"/>
      <c r="G27" s="162" t="s">
        <v>10</v>
      </c>
      <c r="H27" s="162"/>
      <c r="I27" s="30">
        <f>I19/I21</f>
        <v>2.6</v>
      </c>
      <c r="J27" s="30"/>
      <c r="K27" s="8"/>
      <c r="L27" s="2"/>
      <c r="M27" s="2"/>
      <c r="N27" s="2"/>
      <c r="O27" s="2"/>
      <c r="P27" s="3"/>
      <c r="Q27" s="3"/>
      <c r="R27" s="3"/>
      <c r="S27" s="3"/>
      <c r="T27" s="3"/>
    </row>
    <row r="28" spans="2:20" ht="15.45" x14ac:dyDescent="0.4">
      <c r="B28" s="24" t="s">
        <v>16</v>
      </c>
      <c r="C28" s="24"/>
      <c r="D28" s="24"/>
      <c r="E28" s="24"/>
      <c r="F28" s="24"/>
      <c r="G28" s="29" t="s">
        <v>10</v>
      </c>
      <c r="H28" s="29"/>
      <c r="I28" s="31">
        <f>((I8*I10*0.01)*I23*0.01)</f>
        <v>19.04</v>
      </c>
      <c r="J28" s="30"/>
      <c r="K28" s="8"/>
      <c r="L28" s="7"/>
      <c r="M28" s="7"/>
      <c r="N28" s="7"/>
      <c r="O28" s="2"/>
      <c r="P28" s="3"/>
      <c r="Q28" s="3"/>
      <c r="R28" s="3"/>
      <c r="S28" s="3"/>
      <c r="T28" s="3"/>
    </row>
    <row r="29" spans="2:20" ht="15.45" x14ac:dyDescent="0.4">
      <c r="B29" s="24"/>
      <c r="C29" s="24"/>
      <c r="D29" s="24"/>
      <c r="E29" s="24" t="s">
        <v>19</v>
      </c>
      <c r="F29" s="24"/>
      <c r="G29" s="29" t="s">
        <v>20</v>
      </c>
      <c r="H29" s="29"/>
      <c r="I29" s="31"/>
      <c r="J29" s="30"/>
      <c r="P29" s="3"/>
      <c r="Q29" s="3"/>
      <c r="R29" s="3"/>
      <c r="S29" s="3"/>
      <c r="T29" s="3"/>
    </row>
    <row r="30" spans="2:20" ht="15.45" x14ac:dyDescent="0.4">
      <c r="B30" s="174" t="s">
        <v>98</v>
      </c>
      <c r="C30" s="175"/>
      <c r="D30" s="175"/>
      <c r="E30" s="32">
        <f>I28</f>
        <v>19.04</v>
      </c>
      <c r="F30" s="133" t="s">
        <v>103</v>
      </c>
      <c r="G30" s="32">
        <f>I27</f>
        <v>2.6</v>
      </c>
      <c r="H30" s="128"/>
      <c r="I30" s="31" t="s">
        <v>23</v>
      </c>
      <c r="J30" s="21"/>
      <c r="K30" s="172" t="s">
        <v>104</v>
      </c>
      <c r="L30" s="173"/>
      <c r="M30" s="173"/>
      <c r="N30" s="173"/>
      <c r="O30" s="173"/>
      <c r="P30" s="3"/>
      <c r="Q30" s="3"/>
      <c r="R30" s="3"/>
      <c r="S30" s="3"/>
      <c r="T30" s="3"/>
    </row>
    <row r="31" spans="2:20" ht="15.45" x14ac:dyDescent="0.4">
      <c r="C31" s="130"/>
      <c r="D31" s="130"/>
      <c r="E31" s="32"/>
      <c r="F31" s="174" t="s">
        <v>105</v>
      </c>
      <c r="G31" s="184"/>
      <c r="H31" s="184"/>
      <c r="I31" s="33">
        <f>E30/G30</f>
        <v>7.3230769230769228</v>
      </c>
      <c r="J31" s="21"/>
      <c r="K31" s="18" t="s">
        <v>97</v>
      </c>
      <c r="L31" s="19"/>
      <c r="M31" s="19"/>
      <c r="N31" s="2"/>
      <c r="O31" s="2"/>
      <c r="P31" s="3"/>
      <c r="Q31" s="3"/>
      <c r="R31" s="3"/>
      <c r="S31" s="3"/>
      <c r="T31" s="3"/>
    </row>
    <row r="32" spans="2:20" ht="15.45" x14ac:dyDescent="0.4">
      <c r="B32" s="20" t="s">
        <v>107</v>
      </c>
      <c r="C32" s="34"/>
      <c r="D32" s="21"/>
      <c r="E32" s="21"/>
      <c r="F32" s="21"/>
      <c r="G32" s="21"/>
      <c r="H32" s="128"/>
      <c r="I32" s="35"/>
      <c r="J32" s="21"/>
      <c r="K32" s="2"/>
      <c r="M32" s="2"/>
      <c r="N32" s="2"/>
      <c r="O32" s="2"/>
      <c r="P32" s="3"/>
      <c r="Q32" s="3"/>
      <c r="R32" s="3"/>
      <c r="S32" s="3"/>
      <c r="T32" s="3"/>
    </row>
    <row r="33" spans="2:20" ht="8.0500000000000007" customHeight="1" x14ac:dyDescent="0.4">
      <c r="B33" s="21" t="s">
        <v>25</v>
      </c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2"/>
      <c r="P33" s="3"/>
      <c r="Q33" s="3"/>
      <c r="R33" s="3"/>
      <c r="S33" s="3"/>
      <c r="T33" s="3"/>
    </row>
    <row r="34" spans="2:20" ht="15.45" x14ac:dyDescent="0.4">
      <c r="B34" s="4" t="s">
        <v>99</v>
      </c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2"/>
      <c r="P34" s="3"/>
      <c r="Q34" s="3"/>
      <c r="R34" s="3"/>
      <c r="S34" s="3"/>
      <c r="T34" s="3"/>
    </row>
    <row r="35" spans="2:20" ht="15.45" x14ac:dyDescent="0.4">
      <c r="B35" s="21"/>
      <c r="C35" s="21"/>
      <c r="D35" s="21"/>
      <c r="E35" s="21"/>
      <c r="F35" s="21"/>
      <c r="G35" s="21"/>
      <c r="H35" s="21"/>
      <c r="I35" s="21"/>
      <c r="J35" s="21"/>
      <c r="K35" s="2"/>
      <c r="L35" s="2"/>
      <c r="M35" s="2"/>
      <c r="N35" s="2"/>
      <c r="O35" s="2"/>
      <c r="P35" s="3"/>
      <c r="Q35" s="3"/>
      <c r="R35" s="3"/>
      <c r="S35" s="3"/>
      <c r="T35" s="3"/>
    </row>
    <row r="36" spans="2:20" ht="15.45" x14ac:dyDescent="0.4">
      <c r="B36" s="21" t="s">
        <v>17</v>
      </c>
      <c r="C36" s="21"/>
      <c r="D36" s="26">
        <v>5</v>
      </c>
      <c r="E36" s="164" t="s">
        <v>159</v>
      </c>
      <c r="F36" s="34"/>
      <c r="G36" s="34"/>
      <c r="H36" s="21"/>
      <c r="I36" s="21"/>
      <c r="J36" s="21"/>
      <c r="K36" s="2"/>
      <c r="L36" s="2"/>
      <c r="M36" s="2"/>
      <c r="N36" s="2"/>
      <c r="O36" s="2"/>
      <c r="P36" s="3"/>
      <c r="Q36" s="3"/>
      <c r="R36" s="3"/>
      <c r="S36" s="3"/>
      <c r="T36" s="3"/>
    </row>
    <row r="37" spans="2:20" ht="15.45" x14ac:dyDescent="0.4">
      <c r="B37" s="21" t="s">
        <v>24</v>
      </c>
      <c r="C37" s="29"/>
      <c r="D37" s="21"/>
      <c r="E37" s="36">
        <f>I23</f>
        <v>2</v>
      </c>
      <c r="F37" s="21" t="s">
        <v>21</v>
      </c>
      <c r="G37" s="21"/>
      <c r="H37" s="21"/>
      <c r="I37" s="21"/>
      <c r="J37" s="21"/>
      <c r="K37" s="2"/>
      <c r="L37" s="2"/>
      <c r="M37" s="2"/>
      <c r="N37" s="2"/>
      <c r="O37" s="2"/>
      <c r="P37" s="3"/>
      <c r="Q37" s="3"/>
      <c r="R37" s="3"/>
      <c r="S37" s="3"/>
      <c r="T37" s="3"/>
    </row>
    <row r="38" spans="2:20" ht="15.9" thickBot="1" x14ac:dyDescent="0.45">
      <c r="B38" s="37"/>
      <c r="D38" s="180" t="s">
        <v>18</v>
      </c>
      <c r="E38" s="181"/>
      <c r="F38" s="181"/>
      <c r="G38" s="181"/>
      <c r="H38" s="181"/>
      <c r="I38" s="124"/>
      <c r="J38" s="124"/>
      <c r="K38" s="16"/>
      <c r="L38" s="16"/>
      <c r="M38" s="16"/>
      <c r="N38" s="16"/>
      <c r="O38" s="2"/>
      <c r="P38" s="3"/>
      <c r="Q38" s="3"/>
      <c r="R38" s="3"/>
      <c r="S38" s="3"/>
      <c r="T38" s="3"/>
    </row>
    <row r="39" spans="2:20" ht="15.9" thickBot="1" x14ac:dyDescent="0.45">
      <c r="B39" s="43" t="s">
        <v>26</v>
      </c>
      <c r="D39" s="134">
        <f>I15</f>
        <v>50</v>
      </c>
      <c r="E39" s="44">
        <f>D39+$D$36</f>
        <v>55</v>
      </c>
      <c r="F39" s="44">
        <f>E39+$D$36</f>
        <v>60</v>
      </c>
      <c r="G39" s="44">
        <f>F39+$D$36</f>
        <v>65</v>
      </c>
      <c r="H39" s="44">
        <f>G39+$D$36</f>
        <v>70</v>
      </c>
      <c r="I39" s="122"/>
      <c r="J39" s="122"/>
      <c r="K39" s="14"/>
      <c r="L39" s="14"/>
      <c r="M39" s="14"/>
      <c r="N39" s="14"/>
      <c r="O39" s="2"/>
      <c r="P39" s="3"/>
      <c r="Q39" s="3"/>
      <c r="R39" s="3"/>
      <c r="S39" s="3"/>
      <c r="T39" s="3"/>
    </row>
    <row r="40" spans="2:20" ht="8.0500000000000007" customHeight="1" x14ac:dyDescent="0.4">
      <c r="B40" s="38"/>
      <c r="D40" s="39"/>
      <c r="E40" s="39"/>
      <c r="F40" s="39"/>
      <c r="G40" s="39"/>
      <c r="H40" s="39"/>
      <c r="I40" s="40"/>
      <c r="J40" s="40"/>
      <c r="K40" s="14"/>
      <c r="L40" s="14"/>
      <c r="M40" s="14"/>
      <c r="N40" s="14"/>
      <c r="O40" s="2"/>
      <c r="P40" s="3"/>
      <c r="Q40" s="3"/>
      <c r="R40" s="3"/>
      <c r="S40" s="3"/>
      <c r="T40" s="3"/>
    </row>
    <row r="41" spans="2:20" ht="15.45" x14ac:dyDescent="0.4">
      <c r="B41" s="166" t="s">
        <v>22</v>
      </c>
      <c r="D41" s="39">
        <f>(D39+$I$17)</f>
        <v>60</v>
      </c>
      <c r="E41" s="39">
        <f>(E39+$I$17)</f>
        <v>65</v>
      </c>
      <c r="F41" s="39">
        <f>(F39+$I$17)</f>
        <v>70</v>
      </c>
      <c r="G41" s="39">
        <f>(G39+$I$17)</f>
        <v>75</v>
      </c>
      <c r="H41" s="39">
        <f>(H39+$I$17)</f>
        <v>80</v>
      </c>
      <c r="I41" s="40"/>
      <c r="J41" s="40"/>
      <c r="K41" s="14"/>
      <c r="L41" s="14"/>
      <c r="M41" s="14"/>
      <c r="N41" s="14"/>
      <c r="O41" s="2"/>
      <c r="P41" s="3"/>
      <c r="Q41" s="3"/>
      <c r="R41" s="3"/>
      <c r="S41" s="3"/>
      <c r="T41" s="3"/>
    </row>
    <row r="42" spans="2:20" ht="15.45" x14ac:dyDescent="0.4">
      <c r="B42" s="185" t="s">
        <v>160</v>
      </c>
      <c r="C42" s="186"/>
      <c r="D42" s="39">
        <f>D41/$I$21</f>
        <v>2.4</v>
      </c>
      <c r="E42" s="39">
        <f>E41/$I$21</f>
        <v>2.6</v>
      </c>
      <c r="F42" s="39">
        <f>F41/$I$21</f>
        <v>2.8</v>
      </c>
      <c r="G42" s="39">
        <f>G41/$I$21</f>
        <v>3</v>
      </c>
      <c r="H42" s="39">
        <f>H41/$I$21</f>
        <v>3.2</v>
      </c>
      <c r="I42" s="40"/>
      <c r="J42" s="40"/>
      <c r="K42" s="14"/>
      <c r="L42" s="14"/>
      <c r="M42" s="14"/>
      <c r="N42" s="14"/>
      <c r="O42" s="2"/>
      <c r="P42" s="3"/>
      <c r="Q42" s="3"/>
      <c r="R42" s="3"/>
      <c r="S42" s="3"/>
      <c r="T42" s="3"/>
    </row>
    <row r="43" spans="2:20" ht="15.45" x14ac:dyDescent="0.4">
      <c r="B43" s="166" t="s">
        <v>161</v>
      </c>
      <c r="D43" s="39">
        <f>I28</f>
        <v>19.04</v>
      </c>
      <c r="E43" s="39">
        <f>$D$43</f>
        <v>19.04</v>
      </c>
      <c r="F43" s="39">
        <f>$D$43</f>
        <v>19.04</v>
      </c>
      <c r="G43" s="39">
        <f>$D$43</f>
        <v>19.04</v>
      </c>
      <c r="H43" s="39">
        <f>$D$43</f>
        <v>19.04</v>
      </c>
      <c r="I43" s="40"/>
      <c r="J43" s="40"/>
      <c r="K43" s="14"/>
      <c r="L43" s="14"/>
      <c r="M43" s="14"/>
      <c r="N43" s="14"/>
      <c r="O43" s="2"/>
      <c r="P43" s="3"/>
      <c r="Q43" s="3"/>
      <c r="R43" s="3"/>
      <c r="S43" s="3"/>
      <c r="T43" s="3"/>
    </row>
    <row r="44" spans="2:20" ht="8.0500000000000007" customHeight="1" x14ac:dyDescent="0.4">
      <c r="B44" s="38"/>
      <c r="D44" s="39"/>
      <c r="E44" s="39"/>
      <c r="F44" s="39"/>
      <c r="G44" s="39"/>
      <c r="H44" s="39"/>
      <c r="I44" s="40"/>
      <c r="J44" s="40"/>
      <c r="K44" s="14"/>
      <c r="L44" s="14"/>
      <c r="M44" s="14"/>
      <c r="N44" s="14"/>
      <c r="O44" s="2"/>
      <c r="P44" s="3"/>
      <c r="Q44" s="3"/>
      <c r="R44" s="3"/>
      <c r="S44" s="3"/>
      <c r="T44" s="3"/>
    </row>
    <row r="45" spans="2:20" ht="15.9" thickBot="1" x14ac:dyDescent="0.45">
      <c r="B45" s="41" t="s">
        <v>89</v>
      </c>
      <c r="D45" s="129">
        <f>D43/D42</f>
        <v>7.9333333333333336</v>
      </c>
      <c r="E45" s="129">
        <f>E43/E42</f>
        <v>7.3230769230769228</v>
      </c>
      <c r="F45" s="129">
        <f>F43/F42</f>
        <v>6.8</v>
      </c>
      <c r="G45" s="129">
        <f>G43/G42</f>
        <v>6.3466666666666667</v>
      </c>
      <c r="H45" s="129">
        <f>H43/H42</f>
        <v>5.9499999999999993</v>
      </c>
      <c r="I45" s="42"/>
      <c r="J45" s="42"/>
      <c r="K45" s="123"/>
      <c r="L45" s="3"/>
      <c r="M45" s="3"/>
      <c r="N45" s="15"/>
      <c r="R45" s="3"/>
      <c r="S45" s="3"/>
      <c r="T45" s="3"/>
    </row>
    <row r="46" spans="2:20" ht="15.45" x14ac:dyDescent="0.4">
      <c r="B46" s="41"/>
      <c r="D46" s="42"/>
      <c r="E46" s="42"/>
      <c r="F46" s="42"/>
      <c r="G46" s="42"/>
      <c r="H46" s="42"/>
      <c r="I46" s="42"/>
      <c r="J46" s="42"/>
      <c r="K46" s="123"/>
      <c r="L46" s="3"/>
      <c r="M46" s="3"/>
      <c r="N46" s="15"/>
      <c r="R46" s="3"/>
      <c r="S46" s="3"/>
      <c r="T46" s="3"/>
    </row>
    <row r="47" spans="2:20" x14ac:dyDescent="0.4">
      <c r="B47" s="182" t="s">
        <v>107</v>
      </c>
      <c r="C47" s="183"/>
      <c r="D47" s="183"/>
      <c r="E47" s="183"/>
      <c r="F47" s="183"/>
      <c r="G47" s="183"/>
      <c r="H47" s="2"/>
      <c r="I47" s="2"/>
      <c r="J47" s="2"/>
      <c r="K47" s="2"/>
      <c r="L47" s="2"/>
      <c r="M47" s="2"/>
      <c r="N47" s="2"/>
      <c r="O47" s="10"/>
      <c r="P47" s="3"/>
      <c r="Q47" s="3"/>
      <c r="R47" s="3"/>
      <c r="S47" s="3"/>
      <c r="T47" s="3"/>
    </row>
    <row r="48" spans="2:20" x14ac:dyDescent="0.4">
      <c r="B48" s="9"/>
      <c r="C48" s="119"/>
      <c r="D48" s="119"/>
      <c r="E48" s="119"/>
      <c r="F48" s="119"/>
      <c r="G48" s="2"/>
      <c r="H48" s="2"/>
      <c r="I48" s="2"/>
      <c r="J48" s="2"/>
      <c r="K48" s="2"/>
      <c r="L48" s="2"/>
      <c r="M48" s="2"/>
      <c r="N48" s="2"/>
      <c r="O48" s="10"/>
      <c r="P48" s="3"/>
      <c r="Q48" s="3"/>
      <c r="R48" s="3"/>
      <c r="S48" s="3"/>
      <c r="T48" s="3"/>
    </row>
    <row r="49" spans="2:20" ht="17.600000000000001" x14ac:dyDescent="0.6">
      <c r="B49" s="28" t="s">
        <v>88</v>
      </c>
      <c r="C49" s="2"/>
      <c r="D49" s="2"/>
      <c r="E49" s="52">
        <f>'3. Bull Ownership Cost'!E16</f>
        <v>1999.8</v>
      </c>
      <c r="F49" s="163" t="s">
        <v>157</v>
      </c>
      <c r="G49" s="2"/>
      <c r="H49" s="2"/>
      <c r="J49" s="2"/>
      <c r="K49" s="2"/>
      <c r="L49" s="2"/>
      <c r="M49" s="2"/>
      <c r="N49" s="2"/>
      <c r="O49" s="10"/>
      <c r="P49" s="3"/>
      <c r="Q49" s="3"/>
      <c r="R49" s="3"/>
      <c r="S49" s="3"/>
      <c r="T49" s="3"/>
    </row>
    <row r="50" spans="2:20" ht="15.45" x14ac:dyDescent="0.4">
      <c r="B50" s="178" t="s">
        <v>94</v>
      </c>
      <c r="C50" s="173"/>
      <c r="D50" s="173"/>
      <c r="E50" s="173"/>
      <c r="F50" s="179"/>
      <c r="G50" s="179"/>
      <c r="H50" s="6"/>
      <c r="I50" s="2"/>
      <c r="J50" s="2"/>
      <c r="K50" s="2"/>
      <c r="L50" s="2"/>
      <c r="M50" s="2"/>
      <c r="N50" s="2"/>
      <c r="O50" s="2"/>
      <c r="P50" s="3"/>
      <c r="Q50" s="3"/>
      <c r="R50" s="3"/>
      <c r="S50" s="3"/>
      <c r="T50" s="3"/>
    </row>
    <row r="51" spans="2:20" x14ac:dyDescent="0.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3"/>
      <c r="T51" s="3"/>
    </row>
    <row r="52" spans="2:20" x14ac:dyDescent="0.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3"/>
      <c r="S52" s="3"/>
      <c r="T52" s="3"/>
    </row>
    <row r="53" spans="2:20" x14ac:dyDescent="0.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</row>
    <row r="54" spans="2:20" x14ac:dyDescent="0.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3"/>
      <c r="T54" s="3"/>
    </row>
    <row r="55" spans="2:20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61" spans="2:20" x14ac:dyDescent="0.4">
      <c r="I61" s="17"/>
    </row>
  </sheetData>
  <sheetProtection sheet="1" objects="1" scenarios="1"/>
  <mergeCells count="9">
    <mergeCell ref="K30:O30"/>
    <mergeCell ref="B30:D30"/>
    <mergeCell ref="B1:I1"/>
    <mergeCell ref="B2:I2"/>
    <mergeCell ref="B50:G50"/>
    <mergeCell ref="D38:H38"/>
    <mergeCell ref="B47:G47"/>
    <mergeCell ref="F31:H31"/>
    <mergeCell ref="B42:C42"/>
  </mergeCells>
  <pageMargins left="0.95" right="0.45" top="0.75" bottom="0.75" header="0.3" footer="0.3"/>
  <pageSetup scale="83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7AE7C-F1E7-4925-B437-C84AB6708AA4}">
  <dimension ref="A1:L97"/>
  <sheetViews>
    <sheetView zoomScaleNormal="100" workbookViewId="0">
      <selection activeCell="E16" sqref="E16"/>
    </sheetView>
  </sheetViews>
  <sheetFormatPr defaultRowHeight="14.6" x14ac:dyDescent="0.4"/>
  <cols>
    <col min="1" max="1" width="4.3046875" customWidth="1"/>
    <col min="2" max="2" width="25.765625" customWidth="1"/>
    <col min="5" max="5" width="12" customWidth="1"/>
    <col min="8" max="8" width="10.84375" customWidth="1"/>
    <col min="9" max="9" width="10.921875" customWidth="1"/>
    <col min="10" max="10" width="12.69140625" customWidth="1"/>
  </cols>
  <sheetData>
    <row r="1" spans="1:12" ht="15.45" x14ac:dyDescent="0.4">
      <c r="A1" s="136"/>
      <c r="B1" s="136"/>
      <c r="C1" s="136"/>
      <c r="D1" s="136"/>
      <c r="E1" s="136"/>
      <c r="F1" s="136"/>
      <c r="G1" s="136"/>
      <c r="H1" s="136"/>
      <c r="I1" s="136"/>
    </row>
    <row r="2" spans="1:12" ht="15.45" x14ac:dyDescent="0.4">
      <c r="A2" s="136"/>
      <c r="B2" s="188" t="s">
        <v>154</v>
      </c>
      <c r="C2" s="177"/>
      <c r="D2" s="177"/>
      <c r="E2" s="177"/>
      <c r="F2" s="177"/>
      <c r="G2" s="177"/>
      <c r="H2" s="177"/>
      <c r="I2" s="177"/>
      <c r="J2" s="177"/>
    </row>
    <row r="3" spans="1:12" ht="15.45" x14ac:dyDescent="0.4">
      <c r="A3" s="136"/>
      <c r="B3" s="41"/>
      <c r="C3" s="136"/>
      <c r="D3" s="136"/>
      <c r="E3" s="136"/>
      <c r="F3" s="136"/>
      <c r="G3" s="136"/>
      <c r="I3" s="136"/>
    </row>
    <row r="4" spans="1:12" ht="15.45" x14ac:dyDescent="0.4">
      <c r="A4" s="136"/>
      <c r="B4" s="41"/>
      <c r="C4" s="136"/>
      <c r="D4" s="136"/>
      <c r="E4" s="136"/>
      <c r="F4" s="136"/>
      <c r="G4" s="137" t="s">
        <v>116</v>
      </c>
      <c r="I4" s="136"/>
    </row>
    <row r="5" spans="1:12" ht="15.45" x14ac:dyDescent="0.4">
      <c r="A5" s="136"/>
      <c r="B5" s="136"/>
      <c r="C5" s="136"/>
      <c r="D5" s="136"/>
      <c r="E5" s="136"/>
      <c r="F5" s="136"/>
      <c r="G5" s="158">
        <v>100</v>
      </c>
      <c r="H5" s="136"/>
      <c r="I5" s="156" t="s">
        <v>139</v>
      </c>
      <c r="J5" s="156" t="s">
        <v>140</v>
      </c>
    </row>
    <row r="6" spans="1:12" ht="15.45" x14ac:dyDescent="0.4">
      <c r="A6" s="136"/>
      <c r="B6" s="136"/>
      <c r="C6" s="136"/>
      <c r="D6" s="136"/>
      <c r="E6" s="154" t="s">
        <v>113</v>
      </c>
      <c r="F6" s="155"/>
      <c r="G6" s="154" t="s">
        <v>113</v>
      </c>
      <c r="H6" s="156" t="s">
        <v>138</v>
      </c>
      <c r="I6" s="156" t="s">
        <v>140</v>
      </c>
      <c r="J6" s="156" t="s">
        <v>141</v>
      </c>
    </row>
    <row r="7" spans="1:12" ht="15.45" x14ac:dyDescent="0.4">
      <c r="A7" s="136"/>
      <c r="B7" s="137" t="s">
        <v>115</v>
      </c>
      <c r="C7" s="136"/>
      <c r="D7" s="136"/>
      <c r="E7" s="154" t="s">
        <v>117</v>
      </c>
      <c r="F7" s="154" t="s">
        <v>114</v>
      </c>
      <c r="G7" s="154" t="s">
        <v>117</v>
      </c>
      <c r="H7" s="156" t="s">
        <v>8</v>
      </c>
      <c r="I7" s="156" t="s">
        <v>10</v>
      </c>
      <c r="J7" s="156" t="s">
        <v>10</v>
      </c>
    </row>
    <row r="8" spans="1:12" ht="15.45" x14ac:dyDescent="0.4">
      <c r="A8" s="136"/>
      <c r="C8" s="41" t="s">
        <v>118</v>
      </c>
      <c r="D8" s="136"/>
      <c r="E8" s="137" t="s">
        <v>119</v>
      </c>
      <c r="F8" s="157">
        <v>2</v>
      </c>
      <c r="G8" s="137"/>
      <c r="H8" s="136"/>
      <c r="I8" s="148"/>
      <c r="J8" s="148"/>
    </row>
    <row r="9" spans="1:12" ht="15.45" x14ac:dyDescent="0.4">
      <c r="A9" s="136"/>
      <c r="B9" s="137" t="s">
        <v>108</v>
      </c>
      <c r="C9" s="136">
        <v>21</v>
      </c>
      <c r="D9" s="136"/>
      <c r="E9" s="136">
        <f>C15</f>
        <v>230</v>
      </c>
      <c r="F9" s="136"/>
      <c r="G9" s="136">
        <f>$G$5+E9*$F$8</f>
        <v>560</v>
      </c>
      <c r="H9" s="159">
        <v>170</v>
      </c>
      <c r="I9" s="151">
        <f>E24</f>
        <v>952</v>
      </c>
      <c r="J9" s="148"/>
      <c r="L9" s="110" t="s">
        <v>156</v>
      </c>
    </row>
    <row r="10" spans="1:12" ht="15.45" x14ac:dyDescent="0.4">
      <c r="A10" s="136"/>
      <c r="B10" s="137" t="s">
        <v>109</v>
      </c>
      <c r="C10" s="136">
        <v>42</v>
      </c>
      <c r="D10" s="136"/>
      <c r="E10" s="136">
        <f>E9-$C$9</f>
        <v>209</v>
      </c>
      <c r="F10" s="136"/>
      <c r="G10" s="136">
        <f>$G$5+E10*$F$8</f>
        <v>518</v>
      </c>
      <c r="H10" s="152">
        <f>E33</f>
        <v>173.36</v>
      </c>
      <c r="I10" s="151">
        <f>E34</f>
        <v>898.00480000000016</v>
      </c>
      <c r="J10" s="153">
        <f>E35</f>
        <v>-53.995199999999841</v>
      </c>
    </row>
    <row r="11" spans="1:12" ht="15.45" x14ac:dyDescent="0.4">
      <c r="A11" s="136"/>
      <c r="B11" s="41" t="s">
        <v>110</v>
      </c>
      <c r="C11" s="41">
        <v>63</v>
      </c>
      <c r="D11" s="136"/>
      <c r="E11" s="136">
        <f t="shared" ref="E11:E13" si="0">E10-$C$9</f>
        <v>188</v>
      </c>
      <c r="F11" s="136"/>
      <c r="G11" s="136">
        <f>$G$5+E11*$F$8</f>
        <v>476</v>
      </c>
      <c r="H11" s="152">
        <f>E53</f>
        <v>176.72</v>
      </c>
      <c r="I11" s="151">
        <f>E54</f>
        <v>841.18720000000008</v>
      </c>
      <c r="J11" s="153">
        <f>E55</f>
        <v>-110.81279999999992</v>
      </c>
    </row>
    <row r="12" spans="1:12" ht="15.45" x14ac:dyDescent="0.4">
      <c r="A12" s="136"/>
      <c r="B12" s="137" t="s">
        <v>111</v>
      </c>
      <c r="C12" s="136">
        <v>75</v>
      </c>
      <c r="D12" s="136"/>
      <c r="E12" s="136">
        <f t="shared" si="0"/>
        <v>167</v>
      </c>
      <c r="F12" s="136"/>
      <c r="G12" s="136">
        <f>$G$5+E12*$F$8</f>
        <v>434</v>
      </c>
      <c r="H12" s="152">
        <f>E73</f>
        <v>182.6</v>
      </c>
      <c r="I12" s="151">
        <f>E74</f>
        <v>792.48400000000004</v>
      </c>
      <c r="J12" s="153">
        <f>E75</f>
        <v>-159.51599999999996</v>
      </c>
    </row>
    <row r="13" spans="1:12" ht="15.45" x14ac:dyDescent="0.4">
      <c r="A13" s="136"/>
      <c r="B13" s="137" t="s">
        <v>112</v>
      </c>
      <c r="C13" s="136">
        <v>86</v>
      </c>
      <c r="D13" s="136"/>
      <c r="E13" s="136">
        <f t="shared" si="0"/>
        <v>146</v>
      </c>
      <c r="F13" s="136"/>
      <c r="G13" s="136">
        <f>$G$5+E13*$F$8</f>
        <v>392</v>
      </c>
      <c r="H13" s="152">
        <f>E93</f>
        <v>186.8</v>
      </c>
      <c r="I13" s="151">
        <f>E94</f>
        <v>732.25600000000009</v>
      </c>
      <c r="J13" s="153">
        <f>E95</f>
        <v>-219.74399999999991</v>
      </c>
    </row>
    <row r="14" spans="1:12" ht="15.45" x14ac:dyDescent="0.4">
      <c r="A14" s="136"/>
      <c r="B14" s="136"/>
      <c r="C14" s="136"/>
      <c r="D14" s="136"/>
      <c r="E14" s="136"/>
      <c r="F14" s="136"/>
      <c r="G14" s="136"/>
      <c r="H14" s="136"/>
      <c r="I14" s="136"/>
      <c r="J14" s="148"/>
    </row>
    <row r="15" spans="1:12" ht="15.45" x14ac:dyDescent="0.4">
      <c r="A15" s="136"/>
      <c r="B15" s="148" t="s">
        <v>144</v>
      </c>
      <c r="C15" s="160">
        <v>230</v>
      </c>
      <c r="D15" s="136"/>
      <c r="E15" s="136"/>
      <c r="F15" s="136"/>
      <c r="G15" s="41" t="s">
        <v>151</v>
      </c>
      <c r="H15" s="136"/>
      <c r="I15" s="136"/>
      <c r="J15" s="161">
        <f>'1. Benefit-Cost of BSE'!I27</f>
        <v>2.6</v>
      </c>
      <c r="L15" t="s">
        <v>152</v>
      </c>
    </row>
    <row r="16" spans="1:12" ht="15.45" x14ac:dyDescent="0.4">
      <c r="A16" s="136"/>
      <c r="B16" s="148" t="s">
        <v>143</v>
      </c>
      <c r="C16" s="138">
        <f>C15/(365/12)</f>
        <v>7.5616438356164384</v>
      </c>
      <c r="D16" s="136"/>
      <c r="E16" s="136"/>
      <c r="F16" s="136"/>
      <c r="G16" s="136"/>
      <c r="H16" s="136"/>
      <c r="I16" s="136"/>
    </row>
    <row r="17" spans="1:9" ht="15.45" x14ac:dyDescent="0.4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5.45" x14ac:dyDescent="0.4">
      <c r="A18" s="136"/>
      <c r="B18" s="148" t="s">
        <v>145</v>
      </c>
      <c r="C18" s="136"/>
      <c r="D18" s="136"/>
      <c r="E18" s="136"/>
      <c r="F18" s="136"/>
      <c r="G18" s="136"/>
      <c r="H18" s="136"/>
      <c r="I18" s="136"/>
    </row>
    <row r="19" spans="1:9" ht="15.45" x14ac:dyDescent="0.4">
      <c r="A19" s="136"/>
      <c r="B19" s="187" t="s">
        <v>153</v>
      </c>
      <c r="C19" s="179"/>
      <c r="D19" s="179"/>
      <c r="E19" s="179"/>
      <c r="F19" s="179"/>
      <c r="G19" s="136"/>
      <c r="H19" s="136"/>
      <c r="I19" s="136"/>
    </row>
    <row r="20" spans="1:9" ht="15.45" x14ac:dyDescent="0.4">
      <c r="A20" s="136"/>
      <c r="B20" s="139" t="s">
        <v>120</v>
      </c>
      <c r="C20" s="139" t="s">
        <v>136</v>
      </c>
      <c r="E20" s="140">
        <f>$C$15</f>
        <v>230</v>
      </c>
      <c r="F20" s="136"/>
      <c r="G20" s="148" t="s">
        <v>148</v>
      </c>
      <c r="H20" s="136"/>
      <c r="I20" s="136"/>
    </row>
    <row r="21" spans="1:9" ht="15.45" x14ac:dyDescent="0.4">
      <c r="A21" s="136"/>
      <c r="B21" s="140" t="s">
        <v>121</v>
      </c>
      <c r="C21" s="139"/>
      <c r="E21" s="140"/>
      <c r="F21" s="136"/>
      <c r="G21" s="136"/>
      <c r="H21" s="136"/>
      <c r="I21" s="136"/>
    </row>
    <row r="22" spans="1:9" ht="15.45" x14ac:dyDescent="0.4">
      <c r="A22" s="136"/>
      <c r="B22" s="139" t="s">
        <v>122</v>
      </c>
      <c r="C22" s="139" t="s">
        <v>123</v>
      </c>
      <c r="E22" s="149">
        <f>$G$9</f>
        <v>560</v>
      </c>
      <c r="F22" s="136"/>
      <c r="G22" s="136"/>
      <c r="H22" s="136"/>
      <c r="I22" s="136"/>
    </row>
    <row r="23" spans="1:9" ht="15.45" x14ac:dyDescent="0.4">
      <c r="A23" s="136"/>
      <c r="B23" s="139" t="s">
        <v>142</v>
      </c>
      <c r="C23" s="139" t="s">
        <v>8</v>
      </c>
      <c r="E23" s="146">
        <f>$H$9</f>
        <v>170</v>
      </c>
      <c r="F23" s="136"/>
      <c r="G23" s="136"/>
      <c r="H23" s="136"/>
      <c r="I23" s="136"/>
    </row>
    <row r="24" spans="1:9" ht="15.45" x14ac:dyDescent="0.4">
      <c r="A24" s="136"/>
      <c r="B24" s="140" t="s">
        <v>124</v>
      </c>
      <c r="C24" s="140" t="s">
        <v>10</v>
      </c>
      <c r="E24" s="141">
        <f>E22*E23*0.01</f>
        <v>952</v>
      </c>
      <c r="F24" s="136"/>
      <c r="G24" s="136"/>
      <c r="H24" s="136"/>
      <c r="I24" s="136"/>
    </row>
    <row r="25" spans="1:9" ht="15.45" x14ac:dyDescent="0.4">
      <c r="A25" s="136"/>
      <c r="B25" s="142" t="s">
        <v>125</v>
      </c>
      <c r="C25" s="139"/>
      <c r="E25" s="143"/>
      <c r="F25" s="136"/>
      <c r="G25" s="136"/>
      <c r="H25" s="136"/>
      <c r="I25" s="136"/>
    </row>
    <row r="26" spans="1:9" ht="15.45" x14ac:dyDescent="0.4">
      <c r="A26" s="136"/>
      <c r="B26" s="140" t="s">
        <v>126</v>
      </c>
      <c r="C26" s="139"/>
      <c r="E26" s="139"/>
      <c r="F26" s="136"/>
      <c r="G26" s="41" t="s">
        <v>147</v>
      </c>
      <c r="H26" s="136"/>
      <c r="I26" s="136"/>
    </row>
    <row r="27" spans="1:9" ht="15.45" x14ac:dyDescent="0.4">
      <c r="A27" s="136"/>
      <c r="B27" s="140" t="s">
        <v>137</v>
      </c>
      <c r="C27" s="140" t="s">
        <v>136</v>
      </c>
      <c r="E27" s="140">
        <f>$E$10</f>
        <v>209</v>
      </c>
      <c r="F27" s="136"/>
      <c r="G27" s="136"/>
      <c r="H27" s="136"/>
      <c r="I27" s="136"/>
    </row>
    <row r="28" spans="1:9" ht="15.45" x14ac:dyDescent="0.4">
      <c r="B28" s="139" t="s">
        <v>127</v>
      </c>
      <c r="C28" s="139" t="s">
        <v>123</v>
      </c>
      <c r="E28" s="150">
        <f>$G$10</f>
        <v>518</v>
      </c>
    </row>
    <row r="29" spans="1:9" ht="15.45" x14ac:dyDescent="0.4">
      <c r="B29" s="139" t="s">
        <v>128</v>
      </c>
      <c r="C29" s="139" t="s">
        <v>123</v>
      </c>
      <c r="E29" s="144">
        <f>E28-E22</f>
        <v>-42</v>
      </c>
    </row>
    <row r="30" spans="1:9" ht="15.45" x14ac:dyDescent="0.4">
      <c r="B30" s="139" t="s">
        <v>129</v>
      </c>
      <c r="C30" s="139" t="s">
        <v>130</v>
      </c>
      <c r="E30" s="159">
        <v>0.08</v>
      </c>
    </row>
    <row r="31" spans="1:9" ht="15.45" x14ac:dyDescent="0.4">
      <c r="B31" s="139" t="s">
        <v>131</v>
      </c>
      <c r="C31" s="139" t="s">
        <v>8</v>
      </c>
      <c r="E31" s="145">
        <f>E30*E29*-1</f>
        <v>3.36</v>
      </c>
    </row>
    <row r="32" spans="1:9" ht="15.45" x14ac:dyDescent="0.4">
      <c r="B32" s="139"/>
      <c r="C32" s="139"/>
      <c r="E32" s="145"/>
    </row>
    <row r="33" spans="2:7" ht="15.45" x14ac:dyDescent="0.4">
      <c r="B33" s="140" t="s">
        <v>132</v>
      </c>
      <c r="C33" s="140" t="s">
        <v>8</v>
      </c>
      <c r="E33" s="146">
        <f>(E23+E31)</f>
        <v>173.36</v>
      </c>
    </row>
    <row r="34" spans="2:7" ht="15.45" x14ac:dyDescent="0.4">
      <c r="B34" s="140" t="s">
        <v>124</v>
      </c>
      <c r="C34" s="140"/>
      <c r="E34" s="141">
        <f>((E33*0.01)*(E28))</f>
        <v>898.00480000000016</v>
      </c>
    </row>
    <row r="35" spans="2:7" ht="15.45" x14ac:dyDescent="0.4">
      <c r="B35" s="140" t="s">
        <v>133</v>
      </c>
      <c r="C35" s="140" t="s">
        <v>10</v>
      </c>
      <c r="E35" s="147">
        <f>E34-E24</f>
        <v>-53.995199999999841</v>
      </c>
    </row>
    <row r="36" spans="2:7" ht="15.45" x14ac:dyDescent="0.4">
      <c r="B36" s="140" t="s">
        <v>134</v>
      </c>
    </row>
    <row r="37" spans="2:7" x14ac:dyDescent="0.4">
      <c r="B37" s="142" t="s">
        <v>135</v>
      </c>
    </row>
    <row r="39" spans="2:7" ht="15.45" x14ac:dyDescent="0.4">
      <c r="B39" s="187" t="s">
        <v>153</v>
      </c>
      <c r="C39" s="179"/>
      <c r="D39" s="179"/>
      <c r="E39" s="179"/>
      <c r="F39" s="179"/>
    </row>
    <row r="40" spans="2:7" ht="15.45" x14ac:dyDescent="0.4">
      <c r="B40" s="139" t="s">
        <v>120</v>
      </c>
      <c r="C40" s="139" t="s">
        <v>136</v>
      </c>
      <c r="E40" s="139">
        <f>$E$20</f>
        <v>230</v>
      </c>
      <c r="F40" s="136"/>
      <c r="G40" s="148" t="s">
        <v>148</v>
      </c>
    </row>
    <row r="41" spans="2:7" ht="15.45" x14ac:dyDescent="0.4">
      <c r="B41" s="140" t="s">
        <v>121</v>
      </c>
      <c r="C41" s="139"/>
      <c r="E41" s="140"/>
      <c r="F41" s="136"/>
    </row>
    <row r="42" spans="2:7" ht="15.45" x14ac:dyDescent="0.4">
      <c r="B42" s="139" t="s">
        <v>122</v>
      </c>
      <c r="C42" s="139" t="s">
        <v>123</v>
      </c>
      <c r="E42" s="149">
        <f>E22</f>
        <v>560</v>
      </c>
      <c r="F42" s="136"/>
    </row>
    <row r="43" spans="2:7" ht="15.45" x14ac:dyDescent="0.4">
      <c r="B43" s="139" t="s">
        <v>142</v>
      </c>
      <c r="C43" s="139" t="s">
        <v>8</v>
      </c>
      <c r="E43" s="146">
        <f>E23</f>
        <v>170</v>
      </c>
      <c r="F43" s="136"/>
    </row>
    <row r="44" spans="2:7" ht="15.45" x14ac:dyDescent="0.4">
      <c r="B44" s="140" t="s">
        <v>124</v>
      </c>
      <c r="C44" s="140" t="s">
        <v>10</v>
      </c>
      <c r="E44" s="141">
        <f>E42*E43*0.01</f>
        <v>952</v>
      </c>
      <c r="F44" s="136"/>
    </row>
    <row r="45" spans="2:7" ht="15.45" x14ac:dyDescent="0.4">
      <c r="B45" s="142" t="s">
        <v>125</v>
      </c>
      <c r="C45" s="139"/>
      <c r="E45" s="143"/>
      <c r="F45" s="136"/>
    </row>
    <row r="46" spans="2:7" ht="15.45" x14ac:dyDescent="0.4">
      <c r="B46" s="140" t="s">
        <v>126</v>
      </c>
      <c r="C46" s="139"/>
      <c r="E46" s="139"/>
      <c r="F46" s="136"/>
    </row>
    <row r="47" spans="2:7" ht="15.45" x14ac:dyDescent="0.4">
      <c r="B47" s="140" t="s">
        <v>137</v>
      </c>
      <c r="C47" s="140" t="s">
        <v>136</v>
      </c>
      <c r="E47" s="140">
        <f>E11</f>
        <v>188</v>
      </c>
      <c r="F47" s="136"/>
      <c r="G47" s="41" t="s">
        <v>146</v>
      </c>
    </row>
    <row r="48" spans="2:7" ht="15.45" x14ac:dyDescent="0.4">
      <c r="B48" s="139" t="s">
        <v>127</v>
      </c>
      <c r="C48" s="139" t="s">
        <v>123</v>
      </c>
      <c r="E48" s="150">
        <f>G11</f>
        <v>476</v>
      </c>
    </row>
    <row r="49" spans="2:9" ht="15.45" x14ac:dyDescent="0.4">
      <c r="B49" s="139" t="s">
        <v>128</v>
      </c>
      <c r="C49" s="139" t="s">
        <v>123</v>
      </c>
      <c r="E49" s="144">
        <f>E48-E42</f>
        <v>-84</v>
      </c>
    </row>
    <row r="50" spans="2:9" ht="15.45" x14ac:dyDescent="0.4">
      <c r="B50" s="139" t="s">
        <v>129</v>
      </c>
      <c r="C50" s="139" t="s">
        <v>130</v>
      </c>
      <c r="E50" s="159">
        <v>0.08</v>
      </c>
    </row>
    <row r="51" spans="2:9" ht="15.45" x14ac:dyDescent="0.4">
      <c r="B51" s="139" t="s">
        <v>131</v>
      </c>
      <c r="C51" s="139" t="s">
        <v>8</v>
      </c>
      <c r="E51" s="145">
        <f>E50*E49*-1</f>
        <v>6.72</v>
      </c>
    </row>
    <row r="52" spans="2:9" ht="15.45" x14ac:dyDescent="0.4">
      <c r="B52" s="139"/>
      <c r="C52" s="139"/>
      <c r="E52" s="145"/>
    </row>
    <row r="53" spans="2:9" ht="15.45" x14ac:dyDescent="0.4">
      <c r="B53" s="140" t="s">
        <v>132</v>
      </c>
      <c r="C53" s="140" t="s">
        <v>8</v>
      </c>
      <c r="E53" s="146">
        <f>(E43+E51)</f>
        <v>176.72</v>
      </c>
    </row>
    <row r="54" spans="2:9" ht="15.45" x14ac:dyDescent="0.4">
      <c r="B54" s="140" t="s">
        <v>124</v>
      </c>
      <c r="C54" s="140"/>
      <c r="E54" s="141">
        <f>((E53*0.01)*(E48))</f>
        <v>841.18720000000008</v>
      </c>
    </row>
    <row r="55" spans="2:9" ht="15.45" x14ac:dyDescent="0.4">
      <c r="B55" s="140" t="s">
        <v>133</v>
      </c>
      <c r="C55" s="140" t="s">
        <v>10</v>
      </c>
      <c r="E55" s="147">
        <f>E54-E44</f>
        <v>-110.81279999999992</v>
      </c>
    </row>
    <row r="56" spans="2:9" ht="15.45" x14ac:dyDescent="0.4">
      <c r="B56" s="140" t="s">
        <v>134</v>
      </c>
    </row>
    <row r="57" spans="2:9" x14ac:dyDescent="0.4">
      <c r="B57" s="142" t="s">
        <v>135</v>
      </c>
    </row>
    <row r="59" spans="2:9" ht="15.45" x14ac:dyDescent="0.4">
      <c r="B59" s="187" t="s">
        <v>153</v>
      </c>
      <c r="C59" s="179"/>
      <c r="D59" s="179"/>
      <c r="E59" s="179"/>
      <c r="F59" s="179"/>
      <c r="G59" s="136"/>
      <c r="H59" s="136"/>
      <c r="I59" s="136"/>
    </row>
    <row r="60" spans="2:9" ht="15.45" x14ac:dyDescent="0.4">
      <c r="B60" s="139" t="s">
        <v>120</v>
      </c>
      <c r="C60" s="139" t="s">
        <v>136</v>
      </c>
      <c r="E60" s="140">
        <f>$C$15</f>
        <v>230</v>
      </c>
      <c r="F60" s="136"/>
      <c r="G60" s="148" t="s">
        <v>148</v>
      </c>
      <c r="H60" s="136"/>
      <c r="I60" s="136"/>
    </row>
    <row r="61" spans="2:9" ht="15.45" x14ac:dyDescent="0.4">
      <c r="B61" s="140" t="s">
        <v>121</v>
      </c>
      <c r="C61" s="139"/>
      <c r="E61" s="140"/>
      <c r="F61" s="136"/>
      <c r="G61" s="136"/>
      <c r="H61" s="136"/>
      <c r="I61" s="136"/>
    </row>
    <row r="62" spans="2:9" ht="15.45" x14ac:dyDescent="0.4">
      <c r="B62" s="139" t="s">
        <v>122</v>
      </c>
      <c r="C62" s="139" t="s">
        <v>123</v>
      </c>
      <c r="E62" s="149">
        <f>$G$9</f>
        <v>560</v>
      </c>
      <c r="F62" s="136"/>
      <c r="G62" s="136"/>
      <c r="H62" s="136"/>
      <c r="I62" s="136"/>
    </row>
    <row r="63" spans="2:9" ht="15.45" x14ac:dyDescent="0.4">
      <c r="B63" s="139" t="s">
        <v>142</v>
      </c>
      <c r="C63" s="139" t="s">
        <v>8</v>
      </c>
      <c r="E63" s="146">
        <f>$H$9</f>
        <v>170</v>
      </c>
      <c r="F63" s="136"/>
      <c r="G63" s="136"/>
      <c r="H63" s="136"/>
      <c r="I63" s="136"/>
    </row>
    <row r="64" spans="2:9" ht="15.45" x14ac:dyDescent="0.4">
      <c r="B64" s="140" t="s">
        <v>124</v>
      </c>
      <c r="C64" s="140" t="s">
        <v>10</v>
      </c>
      <c r="E64" s="141">
        <f>E62*E63*0.01</f>
        <v>952</v>
      </c>
      <c r="F64" s="136"/>
      <c r="G64" s="136"/>
      <c r="H64" s="136"/>
      <c r="I64" s="136"/>
    </row>
    <row r="65" spans="2:9" ht="15.45" x14ac:dyDescent="0.4">
      <c r="B65" s="142" t="s">
        <v>125</v>
      </c>
      <c r="C65" s="139"/>
      <c r="E65" s="143"/>
      <c r="F65" s="136"/>
      <c r="G65" s="136"/>
      <c r="H65" s="136"/>
      <c r="I65" s="136"/>
    </row>
    <row r="66" spans="2:9" ht="15.45" x14ac:dyDescent="0.4">
      <c r="B66" s="140" t="s">
        <v>126</v>
      </c>
      <c r="C66" s="139"/>
      <c r="E66" s="139"/>
      <c r="F66" s="136"/>
      <c r="G66" s="41" t="s">
        <v>149</v>
      </c>
      <c r="H66" s="136"/>
      <c r="I66" s="136"/>
    </row>
    <row r="67" spans="2:9" ht="15.45" x14ac:dyDescent="0.4">
      <c r="B67" s="140" t="s">
        <v>137</v>
      </c>
      <c r="C67" s="140" t="s">
        <v>136</v>
      </c>
      <c r="E67" s="140">
        <f>E12</f>
        <v>167</v>
      </c>
      <c r="F67" s="136"/>
      <c r="G67" s="136"/>
      <c r="H67" s="136"/>
      <c r="I67" s="136"/>
    </row>
    <row r="68" spans="2:9" ht="15.45" x14ac:dyDescent="0.4">
      <c r="B68" s="139" t="s">
        <v>127</v>
      </c>
      <c r="C68" s="139" t="s">
        <v>123</v>
      </c>
      <c r="E68" s="150">
        <f>G12</f>
        <v>434</v>
      </c>
    </row>
    <row r="69" spans="2:9" ht="15.45" x14ac:dyDescent="0.4">
      <c r="B69" s="139" t="s">
        <v>128</v>
      </c>
      <c r="C69" s="139" t="s">
        <v>123</v>
      </c>
      <c r="E69" s="144">
        <f>E68-E62</f>
        <v>-126</v>
      </c>
    </row>
    <row r="70" spans="2:9" ht="15.45" x14ac:dyDescent="0.4">
      <c r="B70" s="139" t="s">
        <v>129</v>
      </c>
      <c r="C70" s="139" t="s">
        <v>130</v>
      </c>
      <c r="E70" s="159">
        <v>0.1</v>
      </c>
    </row>
    <row r="71" spans="2:9" ht="15.45" x14ac:dyDescent="0.4">
      <c r="B71" s="139" t="s">
        <v>131</v>
      </c>
      <c r="C71" s="139" t="s">
        <v>8</v>
      </c>
      <c r="E71" s="145">
        <f>E70*E69*-1</f>
        <v>12.600000000000001</v>
      </c>
    </row>
    <row r="72" spans="2:9" ht="15.45" x14ac:dyDescent="0.4">
      <c r="B72" s="139"/>
      <c r="C72" s="139"/>
      <c r="E72" s="145"/>
    </row>
    <row r="73" spans="2:9" ht="15.45" x14ac:dyDescent="0.4">
      <c r="B73" s="140" t="s">
        <v>132</v>
      </c>
      <c r="C73" s="140" t="s">
        <v>8</v>
      </c>
      <c r="E73" s="146">
        <f>(E63+E71)</f>
        <v>182.6</v>
      </c>
    </row>
    <row r="74" spans="2:9" ht="15.45" x14ac:dyDescent="0.4">
      <c r="B74" s="140" t="s">
        <v>124</v>
      </c>
      <c r="C74" s="140"/>
      <c r="E74" s="141">
        <f>((E73*0.01)*(E68))</f>
        <v>792.48400000000004</v>
      </c>
    </row>
    <row r="75" spans="2:9" ht="15.45" x14ac:dyDescent="0.4">
      <c r="B75" s="140" t="s">
        <v>133</v>
      </c>
      <c r="C75" s="140" t="s">
        <v>10</v>
      </c>
      <c r="E75" s="147">
        <f>E74-E64</f>
        <v>-159.51599999999996</v>
      </c>
    </row>
    <row r="76" spans="2:9" ht="15.45" x14ac:dyDescent="0.4">
      <c r="B76" s="140" t="s">
        <v>134</v>
      </c>
    </row>
    <row r="77" spans="2:9" x14ac:dyDescent="0.4">
      <c r="B77" s="142" t="s">
        <v>135</v>
      </c>
    </row>
    <row r="79" spans="2:9" ht="15.45" x14ac:dyDescent="0.4">
      <c r="B79" s="187" t="s">
        <v>153</v>
      </c>
      <c r="C79" s="179"/>
      <c r="D79" s="179"/>
      <c r="E79" s="179"/>
      <c r="F79" s="179"/>
    </row>
    <row r="80" spans="2:9" ht="15.45" x14ac:dyDescent="0.4">
      <c r="B80" s="139" t="s">
        <v>120</v>
      </c>
      <c r="C80" s="139" t="s">
        <v>136</v>
      </c>
      <c r="E80" s="140">
        <f>$E$20</f>
        <v>230</v>
      </c>
      <c r="F80" s="136"/>
      <c r="G80" s="148" t="s">
        <v>148</v>
      </c>
    </row>
    <row r="81" spans="2:7" ht="15.45" x14ac:dyDescent="0.4">
      <c r="B81" s="140" t="s">
        <v>121</v>
      </c>
      <c r="C81" s="139"/>
      <c r="E81" s="140"/>
      <c r="F81" s="136"/>
    </row>
    <row r="82" spans="2:7" ht="15.45" x14ac:dyDescent="0.4">
      <c r="B82" s="139" t="s">
        <v>122</v>
      </c>
      <c r="C82" s="139" t="s">
        <v>123</v>
      </c>
      <c r="E82" s="149">
        <f>E62</f>
        <v>560</v>
      </c>
      <c r="F82" s="136"/>
    </row>
    <row r="83" spans="2:7" ht="15.45" x14ac:dyDescent="0.4">
      <c r="B83" s="139" t="s">
        <v>142</v>
      </c>
      <c r="C83" s="139" t="s">
        <v>8</v>
      </c>
      <c r="E83" s="146">
        <f>E63</f>
        <v>170</v>
      </c>
      <c r="F83" s="136"/>
    </row>
    <row r="84" spans="2:7" ht="15.45" x14ac:dyDescent="0.4">
      <c r="B84" s="140" t="s">
        <v>124</v>
      </c>
      <c r="C84" s="140" t="s">
        <v>10</v>
      </c>
      <c r="E84" s="141">
        <f>E82*E83*0.01</f>
        <v>952</v>
      </c>
      <c r="F84" s="136"/>
    </row>
    <row r="85" spans="2:7" ht="15.45" x14ac:dyDescent="0.4">
      <c r="B85" s="142" t="s">
        <v>125</v>
      </c>
      <c r="C85" s="139"/>
      <c r="E85" s="143"/>
      <c r="F85" s="136"/>
    </row>
    <row r="86" spans="2:7" ht="15.45" x14ac:dyDescent="0.4">
      <c r="B86" s="140" t="s">
        <v>126</v>
      </c>
      <c r="C86" s="139"/>
      <c r="E86" s="139"/>
      <c r="F86" s="136"/>
    </row>
    <row r="87" spans="2:7" ht="15.45" x14ac:dyDescent="0.4">
      <c r="B87" s="140" t="s">
        <v>137</v>
      </c>
      <c r="C87" s="140" t="s">
        <v>136</v>
      </c>
      <c r="E87" s="140">
        <f>E13</f>
        <v>146</v>
      </c>
      <c r="F87" s="136"/>
      <c r="G87" s="41" t="s">
        <v>150</v>
      </c>
    </row>
    <row r="88" spans="2:7" ht="15.45" x14ac:dyDescent="0.4">
      <c r="B88" s="139" t="s">
        <v>127</v>
      </c>
      <c r="C88" s="139" t="s">
        <v>123</v>
      </c>
      <c r="E88" s="150">
        <f>G13</f>
        <v>392</v>
      </c>
    </row>
    <row r="89" spans="2:7" ht="15.45" x14ac:dyDescent="0.4">
      <c r="B89" s="139" t="s">
        <v>128</v>
      </c>
      <c r="C89" s="139" t="s">
        <v>123</v>
      </c>
      <c r="E89" s="144">
        <f>E88-E82</f>
        <v>-168</v>
      </c>
    </row>
    <row r="90" spans="2:7" ht="15.45" x14ac:dyDescent="0.4">
      <c r="B90" s="139" t="s">
        <v>129</v>
      </c>
      <c r="C90" s="139" t="s">
        <v>130</v>
      </c>
      <c r="E90" s="159">
        <v>0.1</v>
      </c>
    </row>
    <row r="91" spans="2:7" ht="15.45" x14ac:dyDescent="0.4">
      <c r="B91" s="139" t="s">
        <v>131</v>
      </c>
      <c r="C91" s="139" t="s">
        <v>8</v>
      </c>
      <c r="E91" s="145">
        <f>E90*E89*-1</f>
        <v>16.8</v>
      </c>
    </row>
    <row r="92" spans="2:7" ht="15.45" x14ac:dyDescent="0.4">
      <c r="B92" s="139"/>
      <c r="C92" s="139"/>
      <c r="E92" s="145"/>
    </row>
    <row r="93" spans="2:7" ht="15.45" x14ac:dyDescent="0.4">
      <c r="B93" s="140" t="s">
        <v>132</v>
      </c>
      <c r="C93" s="140" t="s">
        <v>8</v>
      </c>
      <c r="E93" s="146">
        <f>(E83+E91)</f>
        <v>186.8</v>
      </c>
    </row>
    <row r="94" spans="2:7" ht="15.45" x14ac:dyDescent="0.4">
      <c r="B94" s="140" t="s">
        <v>124</v>
      </c>
      <c r="C94" s="140"/>
      <c r="E94" s="141">
        <f>((E93*0.01)*(E88))</f>
        <v>732.25600000000009</v>
      </c>
    </row>
    <row r="95" spans="2:7" ht="15.45" x14ac:dyDescent="0.4">
      <c r="B95" s="140" t="s">
        <v>133</v>
      </c>
      <c r="C95" s="140" t="s">
        <v>10</v>
      </c>
      <c r="E95" s="147">
        <f>E94-E84</f>
        <v>-219.74399999999991</v>
      </c>
    </row>
    <row r="96" spans="2:7" ht="15.45" x14ac:dyDescent="0.4">
      <c r="B96" s="140" t="s">
        <v>134</v>
      </c>
    </row>
    <row r="97" spans="2:2" x14ac:dyDescent="0.4">
      <c r="B97" s="142" t="s">
        <v>135</v>
      </c>
    </row>
  </sheetData>
  <sheetProtection sheet="1" objects="1" scenarios="1"/>
  <mergeCells count="5">
    <mergeCell ref="B19:F19"/>
    <mergeCell ref="B39:F39"/>
    <mergeCell ref="B59:F59"/>
    <mergeCell ref="B79:F79"/>
    <mergeCell ref="B2:J2"/>
  </mergeCells>
  <pageMargins left="0.95" right="0.45" top="0.75" bottom="0.75" header="0.3" footer="0.3"/>
  <pageSetup scale="75" orientation="portrait" horizontalDpi="4294967295" verticalDpi="4294967295" r:id="rId1"/>
  <headerFooter>
    <oddFooter>&amp;L&amp;F&amp;R&amp;A
Page &amp;P of &amp;N</oddFooter>
  </headerFooter>
  <rowBreaks count="1" manualBreakCount="1">
    <brk id="57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63"/>
  <sheetViews>
    <sheetView tabSelected="1" zoomScaleNormal="100" workbookViewId="0">
      <selection activeCell="B2" sqref="B2"/>
    </sheetView>
  </sheetViews>
  <sheetFormatPr defaultRowHeight="14.6" x14ac:dyDescent="0.4"/>
  <cols>
    <col min="1" max="1" width="4.23046875" customWidth="1"/>
    <col min="2" max="2" width="23.15234375" customWidth="1"/>
    <col min="3" max="3" width="10.84375" customWidth="1"/>
    <col min="4" max="4" width="10.69140625" customWidth="1"/>
    <col min="5" max="5" width="10.53515625" customWidth="1"/>
    <col min="6" max="6" width="10.84375" customWidth="1"/>
    <col min="7" max="7" width="10.61328125" customWidth="1"/>
    <col min="8" max="8" width="10.15234375" customWidth="1"/>
    <col min="9" max="9" width="13.3828125" customWidth="1"/>
  </cols>
  <sheetData>
    <row r="1" spans="2:11" ht="17.600000000000001" x14ac:dyDescent="0.4">
      <c r="B1" s="192" t="s">
        <v>27</v>
      </c>
      <c r="C1" s="177"/>
      <c r="D1" s="177"/>
      <c r="E1" s="177"/>
      <c r="F1" s="177"/>
      <c r="G1" s="177"/>
      <c r="H1" s="177"/>
      <c r="I1" s="177"/>
      <c r="J1" s="45"/>
      <c r="K1" s="46"/>
    </row>
    <row r="2" spans="2:11" ht="71.150000000000006" x14ac:dyDescent="0.4">
      <c r="B2" s="53" t="s">
        <v>28</v>
      </c>
      <c r="C2" s="54"/>
      <c r="D2" s="54"/>
      <c r="E2" s="55" t="s">
        <v>29</v>
      </c>
      <c r="F2" s="55" t="s">
        <v>30</v>
      </c>
      <c r="G2" s="55" t="s">
        <v>31</v>
      </c>
      <c r="H2" s="55" t="s">
        <v>32</v>
      </c>
      <c r="I2" s="55" t="s">
        <v>33</v>
      </c>
    </row>
    <row r="3" spans="2:11" x14ac:dyDescent="0.4">
      <c r="B3" s="110" t="s">
        <v>34</v>
      </c>
      <c r="C3" s="54"/>
      <c r="D3" s="54"/>
      <c r="E3" s="56">
        <v>800</v>
      </c>
      <c r="F3" s="57"/>
      <c r="G3" s="58">
        <f>E3/$H$15</f>
        <v>32</v>
      </c>
      <c r="H3" s="114">
        <f>G3/$E$28*100</f>
        <v>7.1032186459489459</v>
      </c>
      <c r="I3" s="110"/>
    </row>
    <row r="4" spans="2:11" x14ac:dyDescent="0.4">
      <c r="B4" s="196" t="s">
        <v>166</v>
      </c>
      <c r="C4" s="54"/>
      <c r="D4" s="54"/>
      <c r="E4" s="56">
        <v>30</v>
      </c>
      <c r="F4" s="60"/>
      <c r="G4" s="61">
        <f>E4/$H$15</f>
        <v>1.2</v>
      </c>
      <c r="H4" s="115">
        <f>G4/$E$28*100</f>
        <v>0.26637069922308543</v>
      </c>
      <c r="I4" s="110"/>
    </row>
    <row r="5" spans="2:11" x14ac:dyDescent="0.4">
      <c r="B5" s="196" t="s">
        <v>92</v>
      </c>
      <c r="C5" s="54"/>
      <c r="D5" s="54"/>
      <c r="E5" s="56">
        <v>70</v>
      </c>
      <c r="F5" s="60"/>
      <c r="G5" s="61">
        <f>E5/$H$15</f>
        <v>2.8</v>
      </c>
      <c r="H5" s="115">
        <f>G5/$E$28*100</f>
        <v>0.6215316315205327</v>
      </c>
      <c r="I5" s="110"/>
    </row>
    <row r="6" spans="2:11" x14ac:dyDescent="0.4">
      <c r="B6" s="110" t="s">
        <v>35</v>
      </c>
      <c r="C6" s="54"/>
      <c r="D6" s="54"/>
      <c r="E6" s="111">
        <f>(SUM(E3:E5)*0.5*E23*0.01)</f>
        <v>27</v>
      </c>
      <c r="F6" s="59"/>
      <c r="G6" s="58">
        <f>E6/$H$15</f>
        <v>1.08</v>
      </c>
      <c r="H6" s="114">
        <f>G6/$E$28*100</f>
        <v>0.23973362930077693</v>
      </c>
      <c r="I6" s="110"/>
    </row>
    <row r="7" spans="2:11" x14ac:dyDescent="0.4">
      <c r="B7" s="53" t="s">
        <v>36</v>
      </c>
      <c r="C7" s="54"/>
      <c r="D7" s="54"/>
      <c r="E7" s="64">
        <f>SUM(E3:E6)</f>
        <v>927</v>
      </c>
      <c r="F7" s="65"/>
      <c r="G7" s="66">
        <f>E7/$H$15</f>
        <v>37.08</v>
      </c>
      <c r="H7" s="66">
        <f>G7/$E$28*100</f>
        <v>8.2308546059933398</v>
      </c>
      <c r="I7" s="67">
        <f>E7/E16</f>
        <v>0.46354635463546356</v>
      </c>
    </row>
    <row r="8" spans="2:11" x14ac:dyDescent="0.4">
      <c r="B8" s="53"/>
      <c r="C8" s="54"/>
      <c r="D8" s="54"/>
      <c r="E8" s="68"/>
      <c r="F8" s="60"/>
      <c r="G8" s="61"/>
      <c r="H8" s="62"/>
      <c r="I8" s="54"/>
    </row>
    <row r="9" spans="2:11" x14ac:dyDescent="0.4">
      <c r="B9" s="53" t="s">
        <v>37</v>
      </c>
      <c r="C9" s="54"/>
      <c r="D9" s="54"/>
      <c r="E9" s="54"/>
      <c r="F9" s="54"/>
      <c r="G9" s="54"/>
      <c r="H9" s="54"/>
      <c r="I9" s="54"/>
    </row>
    <row r="10" spans="2:11" x14ac:dyDescent="0.4">
      <c r="B10" s="110" t="s">
        <v>38</v>
      </c>
      <c r="C10" s="54"/>
      <c r="D10" s="54"/>
      <c r="E10" s="69">
        <f>(G19-G22)/G20</f>
        <v>810</v>
      </c>
      <c r="F10" s="57"/>
      <c r="G10" s="58">
        <f>E10/$H$15</f>
        <v>32.4</v>
      </c>
      <c r="H10" s="114">
        <f>G10/$E$28*100</f>
        <v>7.192008879023307</v>
      </c>
      <c r="I10" s="54"/>
    </row>
    <row r="11" spans="2:11" x14ac:dyDescent="0.4">
      <c r="B11" s="110" t="s">
        <v>39</v>
      </c>
      <c r="C11" s="54"/>
      <c r="D11" s="54"/>
      <c r="E11" s="111">
        <f>F24*E23*0.01</f>
        <v>172.8</v>
      </c>
      <c r="F11" s="59"/>
      <c r="G11" s="58">
        <f>E11/$H$15</f>
        <v>6.9120000000000008</v>
      </c>
      <c r="H11" s="114">
        <f>G11/$E$28*100</f>
        <v>1.5342952275249724</v>
      </c>
      <c r="I11" s="54"/>
    </row>
    <row r="12" spans="2:11" x14ac:dyDescent="0.4">
      <c r="B12" s="110" t="s">
        <v>40</v>
      </c>
      <c r="C12" s="54"/>
      <c r="D12" s="70">
        <v>2</v>
      </c>
      <c r="E12" s="69">
        <f>G19*D12*0.01</f>
        <v>90</v>
      </c>
      <c r="F12" s="57"/>
      <c r="G12" s="58">
        <f>E12/$H$15</f>
        <v>3.6</v>
      </c>
      <c r="H12" s="114">
        <f>G12/$E$28*100</f>
        <v>0.7991120976692565</v>
      </c>
      <c r="I12" s="54"/>
    </row>
    <row r="13" spans="2:11" x14ac:dyDescent="0.4">
      <c r="B13" s="53" t="s">
        <v>41</v>
      </c>
      <c r="C13" s="53"/>
      <c r="D13" s="53"/>
      <c r="E13" s="51">
        <f>SUM(E10:E12)</f>
        <v>1072.8</v>
      </c>
      <c r="F13" s="53"/>
      <c r="G13" s="71">
        <f>E13/$H$15</f>
        <v>42.911999999999999</v>
      </c>
      <c r="H13" s="71">
        <f>G13/$E$28*100</f>
        <v>9.525416204217537</v>
      </c>
      <c r="I13" s="67">
        <f>E13/E16</f>
        <v>0.53645364536453644</v>
      </c>
    </row>
    <row r="14" spans="2:11" x14ac:dyDescent="0.4">
      <c r="B14" s="53"/>
      <c r="C14" s="53"/>
      <c r="D14" s="53"/>
      <c r="E14" s="51"/>
      <c r="F14" s="53"/>
      <c r="G14" s="71"/>
      <c r="H14" s="71" t="s">
        <v>42</v>
      </c>
      <c r="I14" s="67"/>
    </row>
    <row r="15" spans="2:11" ht="15.45" x14ac:dyDescent="0.4">
      <c r="B15" s="50" t="s">
        <v>43</v>
      </c>
      <c r="C15" s="54"/>
      <c r="D15" s="120">
        <v>1</v>
      </c>
      <c r="E15" s="110" t="s">
        <v>44</v>
      </c>
      <c r="F15" s="54"/>
      <c r="G15" s="169">
        <f>'1. Benefit-Cost of BSE'!I21</f>
        <v>25</v>
      </c>
      <c r="H15" s="72">
        <f>D15*G15</f>
        <v>25</v>
      </c>
      <c r="I15" s="110" t="s">
        <v>45</v>
      </c>
    </row>
    <row r="16" spans="2:11" x14ac:dyDescent="0.4">
      <c r="B16" s="53" t="s">
        <v>46</v>
      </c>
      <c r="C16" s="54"/>
      <c r="D16" s="54"/>
      <c r="E16" s="51">
        <f>E7+E13</f>
        <v>1999.8</v>
      </c>
      <c r="F16" s="110" t="s">
        <v>163</v>
      </c>
      <c r="G16" s="66">
        <f>E16/(G15*D15)</f>
        <v>79.992000000000004</v>
      </c>
      <c r="H16" s="71">
        <f>G16/$E$28*100</f>
        <v>17.756270810210879</v>
      </c>
      <c r="I16" s="73">
        <f>G16/G28</f>
        <v>9.1471698113207559E-2</v>
      </c>
      <c r="K16" s="47"/>
    </row>
    <row r="17" spans="2:11" x14ac:dyDescent="0.4">
      <c r="B17" s="53" t="s">
        <v>47</v>
      </c>
      <c r="C17" s="54"/>
      <c r="D17" s="54"/>
      <c r="E17" s="121">
        <f>E16/(H15*E26*0.01)</f>
        <v>94.108235294117648</v>
      </c>
      <c r="F17" s="74">
        <f>H15*G20*E26*0.01</f>
        <v>85</v>
      </c>
      <c r="G17" s="53" t="s">
        <v>48</v>
      </c>
      <c r="H17" s="54"/>
      <c r="I17" s="54"/>
      <c r="K17" s="47"/>
    </row>
    <row r="18" spans="2:11" x14ac:dyDescent="0.4">
      <c r="B18" s="54"/>
      <c r="C18" s="54"/>
      <c r="D18" s="54"/>
      <c r="E18" s="54"/>
      <c r="F18" s="54"/>
      <c r="G18" s="75"/>
      <c r="H18" s="54"/>
      <c r="I18" s="54"/>
    </row>
    <row r="19" spans="2:11" x14ac:dyDescent="0.4">
      <c r="B19" s="110" t="s">
        <v>49</v>
      </c>
      <c r="C19" s="110"/>
      <c r="D19" s="110"/>
      <c r="E19" s="54"/>
      <c r="F19" s="54"/>
      <c r="G19" s="76">
        <v>4500</v>
      </c>
      <c r="H19" s="77"/>
      <c r="I19" s="54"/>
    </row>
    <row r="20" spans="2:11" x14ac:dyDescent="0.4">
      <c r="B20" s="110" t="s">
        <v>50</v>
      </c>
      <c r="C20" s="110"/>
      <c r="D20" s="110"/>
      <c r="E20" s="54"/>
      <c r="F20" s="54"/>
      <c r="G20" s="78">
        <v>4</v>
      </c>
      <c r="H20" s="54"/>
      <c r="I20" s="54"/>
    </row>
    <row r="21" spans="2:11" ht="15.45" x14ac:dyDescent="0.4">
      <c r="B21" s="110"/>
      <c r="C21" s="110"/>
      <c r="D21" s="110"/>
      <c r="E21" s="165" t="s">
        <v>51</v>
      </c>
      <c r="F21" s="167" t="s">
        <v>162</v>
      </c>
      <c r="G21" s="168" t="s">
        <v>52</v>
      </c>
      <c r="H21" s="79"/>
      <c r="I21" s="54"/>
    </row>
    <row r="22" spans="2:11" x14ac:dyDescent="0.4">
      <c r="B22" s="110" t="s">
        <v>53</v>
      </c>
      <c r="C22" s="110"/>
      <c r="D22" s="110"/>
      <c r="E22" s="80">
        <v>1800</v>
      </c>
      <c r="F22" s="81">
        <v>70</v>
      </c>
      <c r="G22" s="109">
        <f>E22*F22*0.01</f>
        <v>1260</v>
      </c>
      <c r="H22" s="63"/>
      <c r="I22" s="54"/>
    </row>
    <row r="23" spans="2:11" x14ac:dyDescent="0.4">
      <c r="B23" s="110" t="s">
        <v>54</v>
      </c>
      <c r="C23" s="110"/>
      <c r="D23" s="110"/>
      <c r="E23" s="70">
        <v>6</v>
      </c>
      <c r="F23" s="54" t="s">
        <v>21</v>
      </c>
      <c r="G23" s="54"/>
      <c r="H23" s="54"/>
      <c r="I23" s="54"/>
    </row>
    <row r="24" spans="2:11" x14ac:dyDescent="0.4">
      <c r="B24" s="110" t="s">
        <v>55</v>
      </c>
      <c r="C24" s="110"/>
      <c r="D24" s="110"/>
      <c r="E24" s="54"/>
      <c r="F24" s="111">
        <f>(G19+G22)/2</f>
        <v>2880</v>
      </c>
      <c r="G24" s="54"/>
      <c r="H24" s="54"/>
      <c r="I24" s="54"/>
    </row>
    <row r="25" spans="2:11" x14ac:dyDescent="0.4">
      <c r="B25" s="82" t="s">
        <v>56</v>
      </c>
      <c r="C25" s="54"/>
      <c r="D25" s="54"/>
      <c r="E25" s="54"/>
      <c r="F25" s="63"/>
      <c r="G25" s="54"/>
      <c r="H25" s="54"/>
      <c r="I25" s="54"/>
    </row>
    <row r="26" spans="2:11" x14ac:dyDescent="0.4">
      <c r="B26" s="50" t="s">
        <v>57</v>
      </c>
      <c r="C26" s="54"/>
      <c r="D26" s="54"/>
      <c r="E26" s="70">
        <v>85</v>
      </c>
      <c r="F26" s="54" t="s">
        <v>21</v>
      </c>
      <c r="G26" s="53" t="s">
        <v>58</v>
      </c>
      <c r="H26" s="53"/>
      <c r="I26" s="54"/>
    </row>
    <row r="27" spans="2:11" ht="15.45" x14ac:dyDescent="0.4">
      <c r="B27" s="170" t="s">
        <v>93</v>
      </c>
      <c r="C27" s="54"/>
      <c r="D27" s="54"/>
      <c r="E27" s="83">
        <v>530</v>
      </c>
      <c r="F27" s="54" t="s">
        <v>59</v>
      </c>
      <c r="G27" s="76">
        <v>165</v>
      </c>
      <c r="H27" s="116" t="s">
        <v>8</v>
      </c>
      <c r="I27" s="84" t="s">
        <v>60</v>
      </c>
    </row>
    <row r="28" spans="2:11" x14ac:dyDescent="0.4">
      <c r="B28" s="53" t="s">
        <v>61</v>
      </c>
      <c r="C28" s="54"/>
      <c r="D28" s="54"/>
      <c r="E28" s="85">
        <f>E26*E27*0.01</f>
        <v>450.5</v>
      </c>
      <c r="F28" s="53" t="s">
        <v>59</v>
      </c>
      <c r="G28" s="86">
        <f>E27*G27*0.01</f>
        <v>874.5</v>
      </c>
      <c r="H28" s="116" t="s">
        <v>10</v>
      </c>
      <c r="I28" s="84" t="s">
        <v>62</v>
      </c>
    </row>
    <row r="29" spans="2:11" x14ac:dyDescent="0.4">
      <c r="B29" s="54"/>
      <c r="C29" s="54"/>
      <c r="D29" s="54"/>
      <c r="E29" s="87"/>
      <c r="F29" s="53" t="s">
        <v>63</v>
      </c>
      <c r="G29" s="54"/>
      <c r="H29" s="54"/>
      <c r="I29" s="88">
        <f>G19/G28</f>
        <v>5.1457975986277873</v>
      </c>
    </row>
    <row r="30" spans="2:11" x14ac:dyDescent="0.4">
      <c r="B30" s="89" t="s">
        <v>64</v>
      </c>
      <c r="C30" s="54"/>
      <c r="D30" s="54"/>
      <c r="E30" s="54"/>
      <c r="F30" s="54"/>
      <c r="G30" s="63"/>
      <c r="H30" s="63"/>
      <c r="I30" s="90"/>
    </row>
    <row r="31" spans="2:11" x14ac:dyDescent="0.4">
      <c r="B31" s="191" t="s">
        <v>65</v>
      </c>
      <c r="C31" s="191"/>
      <c r="D31" s="191"/>
      <c r="E31" s="191"/>
      <c r="F31" s="191"/>
      <c r="G31" s="191"/>
      <c r="H31" s="193"/>
      <c r="I31" s="193"/>
    </row>
    <row r="32" spans="2:11" ht="71.150000000000006" x14ac:dyDescent="0.4">
      <c r="B32" s="54"/>
      <c r="C32" s="54"/>
      <c r="D32" s="54"/>
      <c r="E32" s="55" t="s">
        <v>66</v>
      </c>
      <c r="F32" s="55" t="s">
        <v>67</v>
      </c>
      <c r="G32" s="55" t="s">
        <v>68</v>
      </c>
      <c r="H32" s="55" t="s">
        <v>69</v>
      </c>
      <c r="I32" s="55" t="s">
        <v>70</v>
      </c>
    </row>
    <row r="33" spans="2:11" ht="15.45" x14ac:dyDescent="0.4">
      <c r="B33" s="54"/>
      <c r="C33" s="54"/>
      <c r="D33" s="54"/>
      <c r="E33" s="168" t="s">
        <v>71</v>
      </c>
      <c r="F33" s="168" t="s">
        <v>8</v>
      </c>
      <c r="G33" s="168" t="s">
        <v>71</v>
      </c>
      <c r="H33" s="168" t="s">
        <v>59</v>
      </c>
      <c r="I33" s="168" t="s">
        <v>71</v>
      </c>
    </row>
    <row r="34" spans="2:11" ht="15.45" x14ac:dyDescent="0.4">
      <c r="B34" s="91" t="s">
        <v>72</v>
      </c>
      <c r="C34" s="76">
        <v>500</v>
      </c>
      <c r="D34" s="92" t="s">
        <v>73</v>
      </c>
      <c r="E34" s="93"/>
      <c r="F34" s="54"/>
      <c r="G34" s="93"/>
      <c r="H34" s="93"/>
      <c r="I34" s="76">
        <v>750</v>
      </c>
      <c r="J34" s="49"/>
      <c r="K34" s="49"/>
    </row>
    <row r="35" spans="2:11" ht="15.45" x14ac:dyDescent="0.4">
      <c r="B35" s="91" t="s">
        <v>74</v>
      </c>
      <c r="C35" s="109">
        <f>G27</f>
        <v>165</v>
      </c>
      <c r="D35" s="92" t="s">
        <v>75</v>
      </c>
      <c r="E35" s="93"/>
      <c r="F35" s="110"/>
      <c r="G35" s="71"/>
      <c r="H35" s="93"/>
      <c r="I35" s="84" t="s">
        <v>76</v>
      </c>
      <c r="J35" s="48"/>
      <c r="K35" s="49"/>
    </row>
    <row r="36" spans="2:11" x14ac:dyDescent="0.4">
      <c r="B36" s="54"/>
      <c r="C36" s="110"/>
      <c r="D36" s="94"/>
      <c r="E36" s="110"/>
      <c r="F36" s="110"/>
      <c r="G36" s="110"/>
      <c r="H36" s="110"/>
      <c r="I36" s="84" t="s">
        <v>77</v>
      </c>
    </row>
    <row r="37" spans="2:11" x14ac:dyDescent="0.4">
      <c r="B37" s="110" t="s">
        <v>78</v>
      </c>
      <c r="C37" s="111">
        <f>$C38-$C$34</f>
        <v>3000</v>
      </c>
      <c r="D37" s="110"/>
      <c r="E37" s="95">
        <f t="shared" ref="E37:E43" si="0">((($C37+$G$22)/2)*$E$23*0.01+$D$12*0.01*$C37+$E$7+($C37-$G$22)/$G$20)/$H$15</f>
        <v>61.991999999999997</v>
      </c>
      <c r="F37" s="58">
        <f t="shared" ref="F37:F43" si="1">E37/$E$28*100</f>
        <v>13.760710321864595</v>
      </c>
      <c r="G37" s="58">
        <f>E37-E40</f>
        <v>-18.000000000000007</v>
      </c>
      <c r="H37" s="96">
        <f>G37/($G$27*0.01)</f>
        <v>-10.909090909090912</v>
      </c>
      <c r="I37" s="113">
        <f>E37/$I$34</f>
        <v>8.2655999999999993E-2</v>
      </c>
      <c r="J37" s="110"/>
      <c r="K37" s="47"/>
    </row>
    <row r="38" spans="2:11" x14ac:dyDescent="0.4">
      <c r="B38" s="110"/>
      <c r="C38" s="111">
        <f>$C39-$C$34</f>
        <v>3500</v>
      </c>
      <c r="D38" s="110"/>
      <c r="E38" s="95">
        <f t="shared" si="0"/>
        <v>67.992000000000004</v>
      </c>
      <c r="F38" s="58">
        <f t="shared" si="1"/>
        <v>15.092563817980023</v>
      </c>
      <c r="G38" s="58">
        <f>E38-E40</f>
        <v>-12</v>
      </c>
      <c r="H38" s="96">
        <f>G38/($G$27*0.01)</f>
        <v>-7.2727272727272725</v>
      </c>
      <c r="I38" s="113">
        <f t="shared" ref="I38:I43" si="2">E38/$I$34</f>
        <v>9.0656E-2</v>
      </c>
      <c r="J38" s="110"/>
      <c r="K38" s="47"/>
    </row>
    <row r="39" spans="2:11" x14ac:dyDescent="0.4">
      <c r="B39" s="110"/>
      <c r="C39" s="111">
        <f>$C40-$C$34</f>
        <v>4000</v>
      </c>
      <c r="D39" s="110"/>
      <c r="E39" s="95">
        <f t="shared" si="0"/>
        <v>73.992000000000004</v>
      </c>
      <c r="F39" s="58">
        <f t="shared" si="1"/>
        <v>16.42441731409545</v>
      </c>
      <c r="G39" s="58">
        <f>E39-E40</f>
        <v>-6</v>
      </c>
      <c r="H39" s="96">
        <f>G39/($G$27*0.01)</f>
        <v>-3.6363636363636362</v>
      </c>
      <c r="I39" s="113">
        <f t="shared" si="2"/>
        <v>9.8656000000000008E-2</v>
      </c>
      <c r="J39" s="110"/>
      <c r="K39" s="47"/>
    </row>
    <row r="40" spans="2:11" x14ac:dyDescent="0.4">
      <c r="B40" s="110" t="s">
        <v>79</v>
      </c>
      <c r="C40" s="97">
        <f>G19</f>
        <v>4500</v>
      </c>
      <c r="D40" s="110"/>
      <c r="E40" s="98">
        <f t="shared" si="0"/>
        <v>79.992000000000004</v>
      </c>
      <c r="F40" s="71">
        <f t="shared" si="1"/>
        <v>17.756270810210879</v>
      </c>
      <c r="G40" s="71"/>
      <c r="H40" s="88"/>
      <c r="I40" s="99">
        <f t="shared" si="2"/>
        <v>0.106656</v>
      </c>
      <c r="J40" s="110"/>
      <c r="K40" s="47"/>
    </row>
    <row r="41" spans="2:11" x14ac:dyDescent="0.4">
      <c r="B41" s="110"/>
      <c r="C41" s="111">
        <f>$C40+$C$34</f>
        <v>5000</v>
      </c>
      <c r="D41" s="110"/>
      <c r="E41" s="95">
        <f t="shared" si="0"/>
        <v>85.992000000000004</v>
      </c>
      <c r="F41" s="58">
        <f t="shared" si="1"/>
        <v>19.088124306326304</v>
      </c>
      <c r="G41" s="58">
        <f>E41-E40</f>
        <v>6</v>
      </c>
      <c r="H41" s="96">
        <f>G41/($G$27*0.01)</f>
        <v>3.6363636363636362</v>
      </c>
      <c r="I41" s="113">
        <f t="shared" si="2"/>
        <v>0.11465600000000001</v>
      </c>
      <c r="J41" s="110"/>
      <c r="K41" s="47"/>
    </row>
    <row r="42" spans="2:11" x14ac:dyDescent="0.4">
      <c r="B42" s="110"/>
      <c r="C42" s="111">
        <f>$C41+$C$34</f>
        <v>5500</v>
      </c>
      <c r="D42" s="110"/>
      <c r="E42" s="95">
        <f t="shared" si="0"/>
        <v>91.992000000000004</v>
      </c>
      <c r="F42" s="58">
        <f t="shared" si="1"/>
        <v>20.419977802441732</v>
      </c>
      <c r="G42" s="58">
        <f>E42-E40</f>
        <v>12</v>
      </c>
      <c r="H42" s="96">
        <f>G42/($G$27*0.01)</f>
        <v>7.2727272727272725</v>
      </c>
      <c r="I42" s="113">
        <f t="shared" si="2"/>
        <v>0.122656</v>
      </c>
      <c r="J42" s="110"/>
      <c r="K42" s="47"/>
    </row>
    <row r="43" spans="2:11" x14ac:dyDescent="0.4">
      <c r="B43" s="110"/>
      <c r="C43" s="111">
        <f>$C42+$C$34</f>
        <v>6000</v>
      </c>
      <c r="D43" s="110"/>
      <c r="E43" s="95">
        <f t="shared" si="0"/>
        <v>97.992000000000004</v>
      </c>
      <c r="F43" s="58">
        <f t="shared" si="1"/>
        <v>21.75183129855716</v>
      </c>
      <c r="G43" s="58">
        <f>E43-E40</f>
        <v>18</v>
      </c>
      <c r="H43" s="96">
        <f>G43/($G$27*0.01)</f>
        <v>10.909090909090908</v>
      </c>
      <c r="I43" s="113">
        <f t="shared" si="2"/>
        <v>0.13065599999999999</v>
      </c>
      <c r="J43" s="110"/>
      <c r="K43" s="47"/>
    </row>
    <row r="44" spans="2:11" x14ac:dyDescent="0.4">
      <c r="B44" s="50" t="s">
        <v>80</v>
      </c>
      <c r="C44" s="111"/>
      <c r="D44" s="110"/>
      <c r="E44" s="100"/>
      <c r="F44" s="71"/>
      <c r="G44" s="110"/>
      <c r="H44" s="110"/>
      <c r="I44" s="110"/>
      <c r="J44" s="48"/>
    </row>
    <row r="45" spans="2:11" x14ac:dyDescent="0.4">
      <c r="B45" s="110"/>
      <c r="C45" s="111"/>
      <c r="D45" s="110"/>
      <c r="E45" s="100"/>
      <c r="F45" s="71"/>
      <c r="G45" s="88"/>
      <c r="H45" s="110"/>
      <c r="I45" s="110"/>
      <c r="J45" s="110"/>
    </row>
    <row r="46" spans="2:11" x14ac:dyDescent="0.4">
      <c r="B46" s="110" t="s">
        <v>81</v>
      </c>
      <c r="C46" s="101" t="s">
        <v>82</v>
      </c>
      <c r="D46" s="102"/>
      <c r="E46" s="102"/>
      <c r="F46" s="102"/>
      <c r="G46" s="103"/>
      <c r="H46" s="110"/>
      <c r="I46" s="110"/>
      <c r="J46" s="110"/>
    </row>
    <row r="47" spans="2:11" x14ac:dyDescent="0.4">
      <c r="B47" s="89" t="s">
        <v>64</v>
      </c>
      <c r="C47" s="110"/>
      <c r="D47" s="110"/>
      <c r="E47" s="110"/>
      <c r="F47" s="110"/>
      <c r="G47" s="111"/>
      <c r="H47" s="109"/>
      <c r="I47" s="110"/>
      <c r="J47" s="110"/>
    </row>
    <row r="48" spans="2:11" x14ac:dyDescent="0.4">
      <c r="B48" s="110"/>
      <c r="C48" s="191" t="s">
        <v>83</v>
      </c>
      <c r="D48" s="194"/>
      <c r="E48" s="194"/>
      <c r="F48" s="194"/>
      <c r="G48" s="194"/>
      <c r="H48" s="194"/>
      <c r="I48" s="110"/>
      <c r="J48" s="110"/>
    </row>
    <row r="49" spans="2:10" x14ac:dyDescent="0.4">
      <c r="B49" s="91" t="s">
        <v>84</v>
      </c>
      <c r="C49" s="110"/>
      <c r="D49" s="110"/>
      <c r="E49" s="104">
        <v>5</v>
      </c>
      <c r="F49" s="195" t="s">
        <v>85</v>
      </c>
      <c r="G49" s="183"/>
      <c r="H49" s="183"/>
      <c r="I49" s="109"/>
      <c r="J49" s="110"/>
    </row>
    <row r="50" spans="2:10" x14ac:dyDescent="0.4">
      <c r="B50" s="91"/>
      <c r="C50" s="190" t="s">
        <v>86</v>
      </c>
      <c r="D50" s="191"/>
      <c r="E50" s="191"/>
      <c r="F50" s="191"/>
      <c r="G50" s="191"/>
      <c r="H50" s="191"/>
      <c r="I50" s="109"/>
      <c r="J50" s="110"/>
    </row>
    <row r="51" spans="2:10" x14ac:dyDescent="0.4">
      <c r="B51" s="91" t="s">
        <v>87</v>
      </c>
      <c r="C51" s="105"/>
      <c r="D51" s="106">
        <f>E51-E49</f>
        <v>15</v>
      </c>
      <c r="E51" s="106">
        <f>(F51-E49)</f>
        <v>20</v>
      </c>
      <c r="F51" s="107">
        <f>D15*G15</f>
        <v>25</v>
      </c>
      <c r="G51" s="106">
        <f>(F51+E49)</f>
        <v>30</v>
      </c>
      <c r="H51" s="112">
        <f>G51+E49</f>
        <v>35</v>
      </c>
      <c r="I51" s="109"/>
      <c r="J51" s="110"/>
    </row>
    <row r="52" spans="2:10" x14ac:dyDescent="0.4">
      <c r="B52" s="110"/>
      <c r="C52" s="53" t="s">
        <v>52</v>
      </c>
      <c r="D52" s="94"/>
      <c r="E52" s="110"/>
      <c r="F52" s="108" t="s">
        <v>71</v>
      </c>
      <c r="G52" s="111"/>
      <c r="H52" s="111"/>
      <c r="I52" s="109"/>
      <c r="J52" s="110"/>
    </row>
    <row r="53" spans="2:10" x14ac:dyDescent="0.4">
      <c r="B53" s="110"/>
      <c r="C53" s="111">
        <f>$C54-$C$34</f>
        <v>3000</v>
      </c>
      <c r="D53" s="95">
        <f t="shared" ref="D53:H59" si="3">((($C53+$G$22)/2)*$E$23*0.01+$D$12*0.01*$C53+$E$7+($C53-$G$22)/$G$20)/D$51</f>
        <v>103.32</v>
      </c>
      <c r="E53" s="95">
        <f t="shared" si="3"/>
        <v>77.489999999999995</v>
      </c>
      <c r="F53" s="95">
        <f t="shared" si="3"/>
        <v>61.991999999999997</v>
      </c>
      <c r="G53" s="95">
        <f t="shared" si="3"/>
        <v>51.66</v>
      </c>
      <c r="H53" s="95">
        <f t="shared" si="3"/>
        <v>44.28</v>
      </c>
      <c r="I53" s="110"/>
      <c r="J53" s="110"/>
    </row>
    <row r="54" spans="2:10" x14ac:dyDescent="0.4">
      <c r="B54" s="110"/>
      <c r="C54" s="111">
        <f>$C55-$C$34</f>
        <v>3500</v>
      </c>
      <c r="D54" s="95">
        <f t="shared" si="3"/>
        <v>113.32</v>
      </c>
      <c r="E54" s="95">
        <f t="shared" si="3"/>
        <v>84.99</v>
      </c>
      <c r="F54" s="95">
        <f t="shared" si="3"/>
        <v>67.992000000000004</v>
      </c>
      <c r="G54" s="95">
        <f t="shared" si="3"/>
        <v>56.66</v>
      </c>
      <c r="H54" s="95">
        <f t="shared" si="3"/>
        <v>48.565714285714286</v>
      </c>
      <c r="I54" s="110"/>
      <c r="J54" s="110"/>
    </row>
    <row r="55" spans="2:10" x14ac:dyDescent="0.4">
      <c r="B55" s="110"/>
      <c r="C55" s="111">
        <f>$C56-$C$34</f>
        <v>4000</v>
      </c>
      <c r="D55" s="95">
        <f t="shared" si="3"/>
        <v>123.32</v>
      </c>
      <c r="E55" s="95">
        <f t="shared" si="3"/>
        <v>92.49</v>
      </c>
      <c r="F55" s="95">
        <f t="shared" si="3"/>
        <v>73.992000000000004</v>
      </c>
      <c r="G55" s="95">
        <f t="shared" si="3"/>
        <v>61.66</v>
      </c>
      <c r="H55" s="95">
        <f t="shared" si="3"/>
        <v>52.851428571428571</v>
      </c>
      <c r="I55" s="110"/>
      <c r="J55" s="110"/>
    </row>
    <row r="56" spans="2:10" x14ac:dyDescent="0.4">
      <c r="B56" s="110" t="s">
        <v>79</v>
      </c>
      <c r="C56" s="97">
        <f>G19</f>
        <v>4500</v>
      </c>
      <c r="D56" s="95">
        <f t="shared" si="3"/>
        <v>133.32</v>
      </c>
      <c r="E56" s="95">
        <f t="shared" si="3"/>
        <v>99.99</v>
      </c>
      <c r="F56" s="98">
        <f t="shared" si="3"/>
        <v>79.992000000000004</v>
      </c>
      <c r="G56" s="95">
        <f t="shared" si="3"/>
        <v>66.66</v>
      </c>
      <c r="H56" s="95">
        <f t="shared" si="3"/>
        <v>57.137142857142855</v>
      </c>
      <c r="I56" s="110"/>
      <c r="J56" s="109"/>
    </row>
    <row r="57" spans="2:10" x14ac:dyDescent="0.4">
      <c r="B57" s="110"/>
      <c r="C57" s="111">
        <f>$C56+$C$34</f>
        <v>5000</v>
      </c>
      <c r="D57" s="95">
        <f t="shared" si="3"/>
        <v>143.32000000000002</v>
      </c>
      <c r="E57" s="95">
        <f t="shared" si="3"/>
        <v>107.49000000000001</v>
      </c>
      <c r="F57" s="95">
        <f t="shared" si="3"/>
        <v>85.992000000000004</v>
      </c>
      <c r="G57" s="95">
        <f t="shared" si="3"/>
        <v>71.660000000000011</v>
      </c>
      <c r="H57" s="95">
        <f t="shared" si="3"/>
        <v>61.422857142857147</v>
      </c>
      <c r="I57" s="110"/>
      <c r="J57" s="110"/>
    </row>
    <row r="58" spans="2:10" x14ac:dyDescent="0.4">
      <c r="B58" s="110"/>
      <c r="C58" s="111">
        <f>$C57+$C$34</f>
        <v>5500</v>
      </c>
      <c r="D58" s="95">
        <f t="shared" si="3"/>
        <v>153.32000000000002</v>
      </c>
      <c r="E58" s="95">
        <f t="shared" si="3"/>
        <v>114.99000000000001</v>
      </c>
      <c r="F58" s="95">
        <f t="shared" si="3"/>
        <v>91.992000000000004</v>
      </c>
      <c r="G58" s="95">
        <f t="shared" si="3"/>
        <v>76.660000000000011</v>
      </c>
      <c r="H58" s="95">
        <f t="shared" si="3"/>
        <v>65.708571428571432</v>
      </c>
      <c r="I58" s="110"/>
      <c r="J58" s="110"/>
    </row>
    <row r="59" spans="2:10" x14ac:dyDescent="0.4">
      <c r="B59" s="110"/>
      <c r="C59" s="111">
        <f>$C58+$C$34</f>
        <v>6000</v>
      </c>
      <c r="D59" s="95">
        <f t="shared" si="3"/>
        <v>163.32000000000002</v>
      </c>
      <c r="E59" s="95">
        <f t="shared" si="3"/>
        <v>122.49000000000001</v>
      </c>
      <c r="F59" s="95">
        <f t="shared" si="3"/>
        <v>97.992000000000004</v>
      </c>
      <c r="G59" s="95">
        <f t="shared" si="3"/>
        <v>81.660000000000011</v>
      </c>
      <c r="H59" s="95">
        <f t="shared" si="3"/>
        <v>69.994285714285724</v>
      </c>
      <c r="I59" s="110"/>
      <c r="J59" s="110"/>
    </row>
    <row r="60" spans="2:10" x14ac:dyDescent="0.4">
      <c r="B60" s="89" t="s">
        <v>64</v>
      </c>
      <c r="C60" s="110"/>
      <c r="D60" s="110"/>
      <c r="E60" s="110"/>
      <c r="F60" s="110"/>
      <c r="G60" s="110"/>
      <c r="H60" s="110"/>
      <c r="I60" s="110"/>
      <c r="J60" s="110"/>
    </row>
    <row r="61" spans="2:10" x14ac:dyDescent="0.4">
      <c r="B61" s="50"/>
      <c r="C61" s="110"/>
      <c r="D61" s="110"/>
      <c r="E61" s="110"/>
      <c r="F61" s="110"/>
      <c r="G61" s="110"/>
      <c r="H61" s="110"/>
      <c r="I61" s="110"/>
      <c r="J61" s="110"/>
    </row>
    <row r="62" spans="2:10" x14ac:dyDescent="0.4">
      <c r="B62" s="189"/>
      <c r="C62" s="179"/>
      <c r="D62" s="179"/>
      <c r="E62" s="179"/>
      <c r="F62" s="179"/>
      <c r="G62" s="179"/>
      <c r="H62" s="179"/>
      <c r="I62" s="110"/>
      <c r="J62" s="110"/>
    </row>
    <row r="63" spans="2:10" x14ac:dyDescent="0.4">
      <c r="B63" s="127"/>
    </row>
  </sheetData>
  <sheetProtection sheet="1" objects="1" scenarios="1"/>
  <mergeCells count="6">
    <mergeCell ref="B62:H62"/>
    <mergeCell ref="C50:H50"/>
    <mergeCell ref="B1:I1"/>
    <mergeCell ref="B31:I31"/>
    <mergeCell ref="C48:H48"/>
    <mergeCell ref="F49:H49"/>
  </mergeCells>
  <pageMargins left="0.95" right="0.45" top="0.75" bottom="0.75" header="0.3" footer="0.3"/>
  <pageSetup scale="69" orientation="portrait" r:id="rId1"/>
  <headerFooter>
    <oddFooter>&amp;L&amp;F&amp;R&amp;A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Benefit-Cost of BSE</vt:lpstr>
      <vt:lpstr>2.Delayed Pregancy Revenue-Cost</vt:lpstr>
      <vt:lpstr>3. Bull Ownership Cost</vt:lpstr>
      <vt:lpstr>'1. Benefit-Cost of BSE'!Print_Area</vt:lpstr>
      <vt:lpstr>'2.Delayed Pregancy Revenue-Cost'!Print_Area</vt:lpstr>
      <vt:lpstr>'3. Bull Ownership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jim_000</dc:creator>
  <cp:lastModifiedBy>Jim McGrann</cp:lastModifiedBy>
  <cp:lastPrinted>2019-01-07T20:42:13Z</cp:lastPrinted>
  <dcterms:created xsi:type="dcterms:W3CDTF">2014-11-12T18:41:25Z</dcterms:created>
  <dcterms:modified xsi:type="dcterms:W3CDTF">2019-01-07T20:43:56Z</dcterms:modified>
</cp:coreProperties>
</file>