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ialogsheets/sheet1.xml" ContentType="application/vnd.openxmlformats-officedocument.spreadsheetml.dialogsheet+xml"/>
  <Override PartName="/xl/dialogsheets/sheet2.xml" ContentType="application/vnd.openxmlformats-officedocument.spreadsheetml.dialogsheet+xml"/>
  <Override PartName="/xl/dialogsheets/sheet3.xml" ContentType="application/vnd.openxmlformats-officedocument.spreadsheetml.dialog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gra\Documents\2018 TAMU Beef Cattle Decision Aids\C. Cow-Calf Budget\"/>
    </mc:Choice>
  </mc:AlternateContent>
  <xr:revisionPtr revIDLastSave="0" documentId="8_{262A4D91-BAEC-4664-8A2E-EEDB541D3850}" xr6:coauthVersionLast="34" xr6:coauthVersionMax="34" xr10:uidLastSave="{00000000-0000-0000-0000-000000000000}"/>
  <bookViews>
    <workbookView xWindow="-17" yWindow="3257" windowWidth="3840" windowHeight="3274" tabRatio="1000" firstSheet="3" activeTab="4" xr2:uid="{00000000-000D-0000-FFFF-FFFF00000000}"/>
  </bookViews>
  <sheets>
    <sheet name="1. Cow Calf Budget" sheetId="2" r:id="rId1"/>
    <sheet name="2. Vehicles,Mach.,Equipt." sheetId="16" r:id="rId2"/>
    <sheet name="3. Cattle Pricing" sheetId="15" r:id="rId3"/>
    <sheet name="4. Income Statement" sheetId="17" r:id="rId4"/>
    <sheet name="5. SPA Measures" sheetId="4" r:id="rId5"/>
    <sheet name="6. Prod Practice Eval" sheetId="3" r:id="rId6"/>
    <sheet name="7. Sensitivity" sheetId="10" r:id="rId7"/>
    <sheet name="9. Cow Investment Analysis" sheetId="11" r:id="rId8"/>
    <sheet name="10. InvestmentSummary NPV &amp; IRR" sheetId="12" r:id="rId9"/>
    <sheet name="8. Cow Investment Data" sheetId="5" r:id="rId10"/>
    <sheet name="Dlg_Data" sheetId="6" state="hidden" r:id="rId11"/>
    <sheet name="Dlg_Print" sheetId="7" state="hidden" r:id="rId12"/>
    <sheet name="Dlg_Ind" sheetId="8" state="hidden" r:id="rId13"/>
  </sheets>
  <externalReferences>
    <externalReference r:id="rId14"/>
  </externalReferences>
  <definedNames>
    <definedName name="BUDGET">'1. Cow Calf Budget'!$A$1</definedName>
    <definedName name="CALFPROD">'7. Sensitivity'!$B$91</definedName>
    <definedName name="COSTS">'1. Cow Calf Budget'!$A$60:$A$60</definedName>
    <definedName name="COSTSUM">'1. Cow Calf Budget'!$A$141</definedName>
    <definedName name="CRPC">'1. Cow Calf Budget'!$A$63</definedName>
    <definedName name="DATA">#REF!</definedName>
    <definedName name="Data_OK_1">[1]!Data_OK_1</definedName>
    <definedName name="Data_OK_2">[1]!Data_OK_2</definedName>
    <definedName name="Data_OK_3">[1]!Data_OK_3</definedName>
    <definedName name="Data_OK_4">[1]!Data_OK_4</definedName>
    <definedName name="Data_OK_5">[1]!Data_OK_5</definedName>
    <definedName name="Eval">'6. Prod Practice Eval'!$B$1</definedName>
    <definedName name="INVVAL">'10. InvestmentSummary NPV &amp; IRR'!$B$1</definedName>
    <definedName name="LAND">'1. Cow Calf Budget'!#REF!</definedName>
    <definedName name="LONG">'9. Cow Investment Analysis'!$A$1</definedName>
    <definedName name="MAIN">#REF!</definedName>
    <definedName name="_xlnm.Print_Area" localSheetId="0">'1. Cow Calf Budget'!$A$1:$G$178</definedName>
    <definedName name="_xlnm.Print_Area" localSheetId="8">'10. InvestmentSummary NPV &amp; IRR'!$B$1:$J$23</definedName>
    <definedName name="_xlnm.Print_Area" localSheetId="1">'2. Vehicles,Mach.,Equipt.'!$B$1:$I$39</definedName>
    <definedName name="_xlnm.Print_Area" localSheetId="2">'3. Cattle Pricing'!$B$1:$E$77</definedName>
    <definedName name="_xlnm.Print_Area" localSheetId="3">'4. Income Statement'!$B$1:$K$54</definedName>
    <definedName name="_xlnm.Print_Area" localSheetId="4">'5. SPA Measures'!$B$1:$H$68</definedName>
    <definedName name="_xlnm.Print_Area" localSheetId="5">'6. Prod Practice Eval'!$B$1:$G$62</definedName>
    <definedName name="_xlnm.Print_Area" localSheetId="6">'7. Sensitivity'!$B$1:$I$128</definedName>
    <definedName name="_xlnm.Print_Area" localSheetId="9">'8. Cow Investment Data'!$A$2:$E$16</definedName>
    <definedName name="_xlnm.Print_Area" localSheetId="7">'9. Cow Investment Analysis'!$A$1:$J$27</definedName>
    <definedName name="Print_Ind_OK">[1]!Print_Ind_OK</definedName>
    <definedName name="Print_OK">[1]!Print_OK</definedName>
    <definedName name="PRINT1">'1. Cow Calf Budget'!$A$1:$F$60</definedName>
    <definedName name="PRINT10">'9. Cow Investment Analysis'!$A$1:$J$27</definedName>
    <definedName name="PRINT11">'10. InvestmentSummary NPV &amp; IRR'!$B$1:$J$23</definedName>
    <definedName name="PRINT2">'1. Cow Calf Budget'!$A$63:$G$139</definedName>
    <definedName name="PRINT3">'1. Cow Calf Budget'!$A$140:$G$140</definedName>
    <definedName name="PRINT4">'1. Cow Calf Budget'!$A$141:$G$180</definedName>
    <definedName name="Print5">'6. Prod Practice Eval'!$B$1:$G$62</definedName>
    <definedName name="Print6">'5. SPA Measures'!$B$1:$H$68</definedName>
    <definedName name="Print7">'8. Cow Investment Data'!$A$2:$E$16</definedName>
    <definedName name="PRINT8">'7. Sensitivity'!$B$1:$R$45</definedName>
    <definedName name="PRINT9">'7. Sensitivity'!$B$91:$I$128</definedName>
    <definedName name="SENS">'7. Sensitivity'!$B$1</definedName>
    <definedName name="SENSGROSS">'7. Sensitivity'!#REF!</definedName>
    <definedName name="SENSNET">'7. Sensitivity'!#REF!</definedName>
    <definedName name="View6">'5. SPA Measures'!$B$1</definedName>
    <definedName name="View7">'8. Cow Investment Data'!$A$1</definedName>
  </definedNames>
  <calcPr calcId="162913"/>
</workbook>
</file>

<file path=xl/calcChain.xml><?xml version="1.0" encoding="utf-8"?>
<calcChain xmlns="http://schemas.openxmlformats.org/spreadsheetml/2006/main">
  <c r="D50" i="2" l="1"/>
  <c r="G26" i="4" l="1"/>
  <c r="A2" i="5" l="1"/>
  <c r="C12" i="12"/>
  <c r="D7" i="12"/>
  <c r="D6" i="12"/>
  <c r="D5" i="12"/>
  <c r="B3" i="12"/>
  <c r="I106" i="11"/>
  <c r="H106" i="11"/>
  <c r="G106" i="11"/>
  <c r="F106" i="11"/>
  <c r="E106" i="11"/>
  <c r="D106" i="11"/>
  <c r="I105" i="11"/>
  <c r="I107" i="11" s="1"/>
  <c r="H105" i="11"/>
  <c r="H107" i="11" s="1"/>
  <c r="G105" i="11"/>
  <c r="G107" i="11" s="1"/>
  <c r="F105" i="11"/>
  <c r="E105" i="11"/>
  <c r="E107" i="11" s="1"/>
  <c r="D105" i="11"/>
  <c r="D107" i="11" s="1"/>
  <c r="I104" i="11"/>
  <c r="H104" i="11"/>
  <c r="G104" i="11"/>
  <c r="F104" i="11"/>
  <c r="E104" i="11"/>
  <c r="D104" i="11"/>
  <c r="C102" i="11"/>
  <c r="C116" i="11" s="1"/>
  <c r="H101" i="11"/>
  <c r="C101" i="11"/>
  <c r="F117" i="11" s="1"/>
  <c r="C98" i="11"/>
  <c r="B119" i="11" s="1"/>
  <c r="B123" i="11" s="1"/>
  <c r="I76" i="11"/>
  <c r="H76" i="11"/>
  <c r="G76" i="11"/>
  <c r="F76" i="11"/>
  <c r="E76" i="11"/>
  <c r="D76" i="11"/>
  <c r="I75" i="11"/>
  <c r="I77" i="11" s="1"/>
  <c r="H75" i="11"/>
  <c r="H77" i="11" s="1"/>
  <c r="G75" i="11"/>
  <c r="G77" i="11" s="1"/>
  <c r="F75" i="11"/>
  <c r="E75" i="11"/>
  <c r="E77" i="11" s="1"/>
  <c r="D75" i="11"/>
  <c r="D77" i="11" s="1"/>
  <c r="I74" i="11"/>
  <c r="H74" i="11"/>
  <c r="G74" i="11"/>
  <c r="F74" i="11"/>
  <c r="E74" i="11"/>
  <c r="D74" i="11"/>
  <c r="C72" i="11"/>
  <c r="C86" i="11" s="1"/>
  <c r="H71" i="11"/>
  <c r="C71" i="11"/>
  <c r="I87" i="11" s="1"/>
  <c r="C68" i="11"/>
  <c r="B89" i="11" s="1"/>
  <c r="B93" i="11" s="1"/>
  <c r="I46" i="11"/>
  <c r="H46" i="11"/>
  <c r="G46" i="11"/>
  <c r="F46" i="11"/>
  <c r="E46" i="11"/>
  <c r="D46" i="11"/>
  <c r="I45" i="11"/>
  <c r="I47" i="11" s="1"/>
  <c r="H45" i="11"/>
  <c r="H47" i="11" s="1"/>
  <c r="G45" i="11"/>
  <c r="G47" i="11" s="1"/>
  <c r="F45" i="11"/>
  <c r="F47" i="11" s="1"/>
  <c r="E45" i="11"/>
  <c r="D45" i="11"/>
  <c r="D47" i="11" s="1"/>
  <c r="I44" i="11"/>
  <c r="H44" i="11"/>
  <c r="G44" i="11"/>
  <c r="F44" i="11"/>
  <c r="E44" i="11"/>
  <c r="D44" i="11"/>
  <c r="C42" i="11"/>
  <c r="C56" i="11" s="1"/>
  <c r="H41" i="11"/>
  <c r="C41" i="11"/>
  <c r="C13" i="12" s="1"/>
  <c r="C38" i="11"/>
  <c r="B59" i="11" s="1"/>
  <c r="B63" i="11" s="1"/>
  <c r="B27" i="11"/>
  <c r="B31" i="11" s="1"/>
  <c r="I25" i="11"/>
  <c r="H25" i="11"/>
  <c r="G25" i="11"/>
  <c r="F25" i="11"/>
  <c r="E25" i="11"/>
  <c r="D25" i="11"/>
  <c r="C24" i="11"/>
  <c r="H22" i="11"/>
  <c r="G22" i="11"/>
  <c r="F22" i="11"/>
  <c r="E22" i="11"/>
  <c r="D22" i="11"/>
  <c r="C22" i="11"/>
  <c r="I15" i="11"/>
  <c r="H15" i="11"/>
  <c r="G15" i="11"/>
  <c r="F15" i="11"/>
  <c r="E15" i="11"/>
  <c r="D15" i="11"/>
  <c r="C12" i="11"/>
  <c r="C104" i="11" s="1"/>
  <c r="I11" i="11"/>
  <c r="H11" i="11"/>
  <c r="G11" i="11"/>
  <c r="F11" i="11"/>
  <c r="E11" i="11"/>
  <c r="D11" i="11"/>
  <c r="C11" i="11"/>
  <c r="D10" i="11"/>
  <c r="D24" i="11" s="1"/>
  <c r="H7" i="11"/>
  <c r="H99" i="11" s="1"/>
  <c r="H6" i="11"/>
  <c r="I79" i="11" s="1"/>
  <c r="H5" i="11"/>
  <c r="H37" i="11" s="1"/>
  <c r="J3" i="11"/>
  <c r="D116" i="10"/>
  <c r="D124" i="10" s="1"/>
  <c r="G110" i="10"/>
  <c r="I109" i="10"/>
  <c r="H109" i="10"/>
  <c r="F109" i="10"/>
  <c r="E109" i="10"/>
  <c r="G107" i="10"/>
  <c r="I106" i="10"/>
  <c r="H106" i="10"/>
  <c r="F106" i="10"/>
  <c r="E106" i="10"/>
  <c r="I103" i="10"/>
  <c r="H103" i="10"/>
  <c r="F103" i="10"/>
  <c r="E103" i="10"/>
  <c r="D86" i="10"/>
  <c r="D79" i="10"/>
  <c r="D72" i="10"/>
  <c r="G66" i="10"/>
  <c r="G63" i="10"/>
  <c r="C54" i="10"/>
  <c r="H65" i="10" s="1"/>
  <c r="C53" i="10"/>
  <c r="I62" i="10" s="1"/>
  <c r="C52" i="10"/>
  <c r="I58" i="10" s="1"/>
  <c r="C51" i="10"/>
  <c r="D43" i="10"/>
  <c r="D36" i="10"/>
  <c r="D29" i="10"/>
  <c r="D30" i="10" s="1"/>
  <c r="D37" i="10" s="1"/>
  <c r="D44" i="10" s="1"/>
  <c r="G23" i="10"/>
  <c r="I22" i="10"/>
  <c r="H22" i="10"/>
  <c r="F22" i="10"/>
  <c r="E22" i="10"/>
  <c r="G20" i="10"/>
  <c r="I19" i="10"/>
  <c r="H19" i="10"/>
  <c r="F19" i="10"/>
  <c r="E19" i="10"/>
  <c r="I15" i="10"/>
  <c r="H15" i="10"/>
  <c r="F15" i="10"/>
  <c r="E15" i="10"/>
  <c r="C6" i="10"/>
  <c r="C40" i="10" s="1"/>
  <c r="B2" i="10"/>
  <c r="G59" i="3"/>
  <c r="F59" i="3"/>
  <c r="G45" i="3"/>
  <c r="F45" i="3"/>
  <c r="G41" i="3"/>
  <c r="F41" i="3"/>
  <c r="G17" i="3"/>
  <c r="E13" i="3"/>
  <c r="G13" i="3" s="1"/>
  <c r="E12" i="3"/>
  <c r="G12" i="3" s="1"/>
  <c r="E11" i="3"/>
  <c r="G11" i="3" s="1"/>
  <c r="B2" i="3"/>
  <c r="G32" i="4"/>
  <c r="E32" i="4"/>
  <c r="G22" i="4"/>
  <c r="G9" i="4"/>
  <c r="G8" i="4"/>
  <c r="G6" i="4"/>
  <c r="B2" i="4"/>
  <c r="I37" i="17"/>
  <c r="K37" i="17" s="1"/>
  <c r="H37" i="17"/>
  <c r="K36" i="17"/>
  <c r="I36" i="17"/>
  <c r="H36" i="17"/>
  <c r="I35" i="17"/>
  <c r="K35" i="17" s="1"/>
  <c r="H35" i="17"/>
  <c r="I34" i="17"/>
  <c r="K34" i="17" s="1"/>
  <c r="H34" i="17"/>
  <c r="I33" i="17"/>
  <c r="K33" i="17" s="1"/>
  <c r="H33" i="17"/>
  <c r="L32" i="17"/>
  <c r="I32" i="17"/>
  <c r="K32" i="17" s="1"/>
  <c r="H32" i="17"/>
  <c r="K31" i="17"/>
  <c r="I31" i="17"/>
  <c r="H31" i="17"/>
  <c r="H30" i="17"/>
  <c r="H29" i="17"/>
  <c r="I28" i="17"/>
  <c r="K28" i="17" s="1"/>
  <c r="H28" i="17"/>
  <c r="I27" i="17"/>
  <c r="K27" i="17" s="1"/>
  <c r="H27" i="17"/>
  <c r="I26" i="17"/>
  <c r="K26" i="17" s="1"/>
  <c r="H26" i="17"/>
  <c r="I25" i="17"/>
  <c r="K25" i="17" s="1"/>
  <c r="H25" i="17"/>
  <c r="H24" i="17"/>
  <c r="H23" i="17"/>
  <c r="H22" i="17"/>
  <c r="H21" i="17"/>
  <c r="H20" i="17"/>
  <c r="H19" i="17"/>
  <c r="H18" i="17"/>
  <c r="F18" i="17"/>
  <c r="H17" i="17"/>
  <c r="F17" i="17"/>
  <c r="K16" i="17"/>
  <c r="I16" i="17"/>
  <c r="J16" i="17" s="1"/>
  <c r="H16" i="17"/>
  <c r="F16" i="17"/>
  <c r="I15" i="17"/>
  <c r="J15" i="17" s="1"/>
  <c r="H15" i="17"/>
  <c r="F15" i="17"/>
  <c r="F21" i="17" s="1"/>
  <c r="F35" i="17" s="1"/>
  <c r="I14" i="17"/>
  <c r="K14" i="17" s="1"/>
  <c r="H14" i="17"/>
  <c r="H13" i="17"/>
  <c r="H12" i="17"/>
  <c r="H11" i="17"/>
  <c r="H10" i="17"/>
  <c r="H9" i="17"/>
  <c r="D9" i="17"/>
  <c r="H8" i="17"/>
  <c r="D8" i="17"/>
  <c r="H7" i="17"/>
  <c r="D7" i="17"/>
  <c r="H6" i="17"/>
  <c r="D6" i="17"/>
  <c r="H5" i="17"/>
  <c r="D5" i="17"/>
  <c r="B2" i="17"/>
  <c r="I83" i="15"/>
  <c r="C75" i="15"/>
  <c r="D75" i="15" s="1"/>
  <c r="E72" i="2" s="1"/>
  <c r="D71" i="15"/>
  <c r="E69" i="2" s="1"/>
  <c r="K69" i="2" s="1"/>
  <c r="D67" i="15"/>
  <c r="C67" i="15"/>
  <c r="D50" i="15"/>
  <c r="D38" i="15"/>
  <c r="D35" i="15"/>
  <c r="C63" i="15" s="1"/>
  <c r="D23" i="15"/>
  <c r="D6" i="15"/>
  <c r="E82" i="15" s="1"/>
  <c r="H83" i="15" s="1"/>
  <c r="B2" i="15"/>
  <c r="B37" i="16"/>
  <c r="C36" i="16"/>
  <c r="E36" i="16" s="1"/>
  <c r="B36" i="16"/>
  <c r="B35" i="16"/>
  <c r="B34" i="16"/>
  <c r="B33" i="16"/>
  <c r="C32" i="16"/>
  <c r="E32" i="16" s="1"/>
  <c r="B32" i="16"/>
  <c r="B31" i="16"/>
  <c r="H30" i="16"/>
  <c r="I30" i="16" s="1"/>
  <c r="B30" i="16"/>
  <c r="B29" i="16"/>
  <c r="B28" i="16"/>
  <c r="B27" i="16"/>
  <c r="C18" i="16"/>
  <c r="I17" i="16"/>
  <c r="H37" i="16" s="1"/>
  <c r="I37" i="16" s="1"/>
  <c r="G17" i="16"/>
  <c r="F37" i="16" s="1"/>
  <c r="G37" i="16" s="1"/>
  <c r="F17" i="16"/>
  <c r="C37" i="16" s="1"/>
  <c r="E37" i="16" s="1"/>
  <c r="I16" i="16"/>
  <c r="H36" i="16" s="1"/>
  <c r="I36" i="16" s="1"/>
  <c r="G16" i="16"/>
  <c r="F36" i="16" s="1"/>
  <c r="G36" i="16" s="1"/>
  <c r="F16" i="16"/>
  <c r="I15" i="16"/>
  <c r="H35" i="16" s="1"/>
  <c r="I35" i="16" s="1"/>
  <c r="G15" i="16"/>
  <c r="F35" i="16" s="1"/>
  <c r="G35" i="16" s="1"/>
  <c r="F15" i="16"/>
  <c r="C35" i="16" s="1"/>
  <c r="E35" i="16" s="1"/>
  <c r="I14" i="16"/>
  <c r="H34" i="16" s="1"/>
  <c r="I34" i="16" s="1"/>
  <c r="G14" i="16"/>
  <c r="F34" i="16" s="1"/>
  <c r="G34" i="16" s="1"/>
  <c r="F14" i="16"/>
  <c r="C34" i="16" s="1"/>
  <c r="E34" i="16" s="1"/>
  <c r="I13" i="16"/>
  <c r="H33" i="16" s="1"/>
  <c r="I33" i="16" s="1"/>
  <c r="G13" i="16"/>
  <c r="F33" i="16" s="1"/>
  <c r="G33" i="16" s="1"/>
  <c r="F13" i="16"/>
  <c r="C33" i="16" s="1"/>
  <c r="E33" i="16" s="1"/>
  <c r="I12" i="16"/>
  <c r="H32" i="16" s="1"/>
  <c r="I32" i="16" s="1"/>
  <c r="G12" i="16"/>
  <c r="F32" i="16" s="1"/>
  <c r="G32" i="16" s="1"/>
  <c r="F12" i="16"/>
  <c r="I11" i="16"/>
  <c r="H31" i="16" s="1"/>
  <c r="I31" i="16" s="1"/>
  <c r="G11" i="16"/>
  <c r="F31" i="16" s="1"/>
  <c r="G31" i="16" s="1"/>
  <c r="F11" i="16"/>
  <c r="C31" i="16" s="1"/>
  <c r="E31" i="16" s="1"/>
  <c r="I10" i="16"/>
  <c r="G10" i="16"/>
  <c r="F30" i="16" s="1"/>
  <c r="G30" i="16" s="1"/>
  <c r="F10" i="16"/>
  <c r="C30" i="16" s="1"/>
  <c r="E30" i="16" s="1"/>
  <c r="I9" i="16"/>
  <c r="H29" i="16" s="1"/>
  <c r="I29" i="16" s="1"/>
  <c r="G9" i="16"/>
  <c r="F9" i="16"/>
  <c r="C29" i="16" s="1"/>
  <c r="E29" i="16" s="1"/>
  <c r="I8" i="16"/>
  <c r="H28" i="16" s="1"/>
  <c r="I28" i="16" s="1"/>
  <c r="G8" i="16"/>
  <c r="F28" i="16" s="1"/>
  <c r="G28" i="16" s="1"/>
  <c r="F8" i="16"/>
  <c r="C28" i="16" s="1"/>
  <c r="E28" i="16" s="1"/>
  <c r="I7" i="16"/>
  <c r="H27" i="16" s="1"/>
  <c r="I27" i="16" s="1"/>
  <c r="G7" i="16"/>
  <c r="F27" i="16" s="1"/>
  <c r="G27" i="16" s="1"/>
  <c r="F7" i="16"/>
  <c r="C27" i="16" s="1"/>
  <c r="E27" i="16" s="1"/>
  <c r="D2" i="16"/>
  <c r="P510" i="2"/>
  <c r="P500" i="2"/>
  <c r="P499" i="2"/>
  <c r="P498" i="2"/>
  <c r="K319" i="2"/>
  <c r="K318" i="2"/>
  <c r="K320" i="2" s="1"/>
  <c r="F49" i="3" s="1"/>
  <c r="F188" i="2"/>
  <c r="J188" i="2" s="1"/>
  <c r="B183" i="2"/>
  <c r="G183" i="2" s="1"/>
  <c r="J138" i="2"/>
  <c r="F137" i="2"/>
  <c r="G137" i="2" s="1"/>
  <c r="K140" i="2" s="1"/>
  <c r="F136" i="2"/>
  <c r="G135" i="2"/>
  <c r="K138" i="2" s="1"/>
  <c r="F135" i="2"/>
  <c r="E134" i="2"/>
  <c r="G130" i="2"/>
  <c r="K128" i="2"/>
  <c r="E128" i="2"/>
  <c r="F128" i="2" s="1"/>
  <c r="J128" i="2" s="1"/>
  <c r="K127" i="2"/>
  <c r="E127" i="2"/>
  <c r="F127" i="2" s="1"/>
  <c r="J127" i="2" s="1"/>
  <c r="K126" i="2"/>
  <c r="E126" i="2"/>
  <c r="F126" i="2" s="1"/>
  <c r="J126" i="2" s="1"/>
  <c r="K125" i="2"/>
  <c r="F125" i="2"/>
  <c r="J125" i="2" s="1"/>
  <c r="E125" i="2"/>
  <c r="K124" i="2"/>
  <c r="E124" i="2"/>
  <c r="F124" i="2" s="1"/>
  <c r="J124" i="2" s="1"/>
  <c r="K123" i="2"/>
  <c r="E123" i="2"/>
  <c r="F123" i="2" s="1"/>
  <c r="J123" i="2" s="1"/>
  <c r="K122" i="2"/>
  <c r="E122" i="2"/>
  <c r="F122" i="2" s="1"/>
  <c r="K116" i="2"/>
  <c r="F116" i="2"/>
  <c r="J116" i="2" s="1"/>
  <c r="E116" i="2"/>
  <c r="K111" i="2"/>
  <c r="E111" i="2"/>
  <c r="F111" i="2" s="1"/>
  <c r="J111" i="2" s="1"/>
  <c r="G110" i="2"/>
  <c r="I30" i="17" s="1"/>
  <c r="K30" i="17" s="1"/>
  <c r="G109" i="2"/>
  <c r="F109" i="2" s="1"/>
  <c r="J109" i="2" s="1"/>
  <c r="K108" i="2"/>
  <c r="E108" i="2"/>
  <c r="F108" i="2" s="1"/>
  <c r="J108" i="2" s="1"/>
  <c r="K107" i="2"/>
  <c r="E107" i="2"/>
  <c r="F107" i="2" s="1"/>
  <c r="J107" i="2" s="1"/>
  <c r="K106" i="2"/>
  <c r="F106" i="2"/>
  <c r="J106" i="2" s="1"/>
  <c r="K105" i="2"/>
  <c r="E105" i="2"/>
  <c r="F105" i="2" s="1"/>
  <c r="J105" i="2" s="1"/>
  <c r="K99" i="2"/>
  <c r="G99" i="2"/>
  <c r="I23" i="17" s="1"/>
  <c r="K23" i="17" s="1"/>
  <c r="J98" i="2"/>
  <c r="F98" i="2"/>
  <c r="G98" i="2" s="1"/>
  <c r="I22" i="17" s="1"/>
  <c r="J97" i="2"/>
  <c r="G97" i="2"/>
  <c r="I21" i="17" s="1"/>
  <c r="F97" i="2"/>
  <c r="F96" i="2"/>
  <c r="J96" i="2" s="1"/>
  <c r="G95" i="2"/>
  <c r="I19" i="17" s="1"/>
  <c r="K19" i="17" s="1"/>
  <c r="F95" i="2"/>
  <c r="J95" i="2" s="1"/>
  <c r="J94" i="2"/>
  <c r="F94" i="2"/>
  <c r="G94" i="2" s="1"/>
  <c r="I18" i="17" s="1"/>
  <c r="K18" i="17" s="1"/>
  <c r="J93" i="2"/>
  <c r="G93" i="2"/>
  <c r="I17" i="17" s="1"/>
  <c r="K17" i="17" s="1"/>
  <c r="F93" i="2"/>
  <c r="K91" i="2"/>
  <c r="F91" i="2"/>
  <c r="J91" i="2" s="1"/>
  <c r="K90" i="2"/>
  <c r="E90" i="2"/>
  <c r="F90" i="2" s="1"/>
  <c r="J90" i="2" s="1"/>
  <c r="K89" i="2"/>
  <c r="E89" i="2"/>
  <c r="F89" i="2" s="1"/>
  <c r="J88" i="2"/>
  <c r="F88" i="2"/>
  <c r="G88" i="2" s="1"/>
  <c r="J87" i="2"/>
  <c r="F87" i="2"/>
  <c r="G87" i="2" s="1"/>
  <c r="F86" i="2"/>
  <c r="G86" i="2" s="1"/>
  <c r="F85" i="2"/>
  <c r="G85" i="2" s="1"/>
  <c r="J83" i="2"/>
  <c r="F83" i="2"/>
  <c r="G83" i="2" s="1"/>
  <c r="H82" i="2"/>
  <c r="F82" i="2"/>
  <c r="J82" i="2" s="1"/>
  <c r="F81" i="2"/>
  <c r="J81" i="2" s="1"/>
  <c r="F80" i="2"/>
  <c r="J80" i="2" s="1"/>
  <c r="H79" i="2"/>
  <c r="F79" i="2"/>
  <c r="B70" i="2"/>
  <c r="D70" i="2" s="1"/>
  <c r="C5" i="17" s="1"/>
  <c r="B69" i="2"/>
  <c r="D69" i="2" s="1"/>
  <c r="C8" i="17" s="1"/>
  <c r="E68" i="2"/>
  <c r="N21" i="2" s="1"/>
  <c r="J21" i="2" s="1"/>
  <c r="F58" i="2"/>
  <c r="G10" i="4" s="1"/>
  <c r="F57" i="2"/>
  <c r="G7" i="4" s="1"/>
  <c r="D53" i="2"/>
  <c r="B106" i="2" s="1"/>
  <c r="E52" i="2"/>
  <c r="E51" i="2"/>
  <c r="E50" i="2"/>
  <c r="N29" i="2"/>
  <c r="C10" i="5" s="1"/>
  <c r="N28" i="2"/>
  <c r="J28" i="2" s="1"/>
  <c r="N26" i="2"/>
  <c r="N25" i="2"/>
  <c r="F24" i="2"/>
  <c r="C71" i="15" s="1"/>
  <c r="N23" i="2"/>
  <c r="J23" i="2"/>
  <c r="D22" i="2"/>
  <c r="N20" i="2"/>
  <c r="D20" i="2"/>
  <c r="N19" i="2"/>
  <c r="J19" i="2" s="1"/>
  <c r="N18" i="2"/>
  <c r="B68" i="2" s="1"/>
  <c r="D68" i="2" s="1"/>
  <c r="C7" i="17" s="1"/>
  <c r="N15" i="2"/>
  <c r="J15" i="2" s="1"/>
  <c r="D15" i="2"/>
  <c r="H11" i="2"/>
  <c r="H13" i="2" s="1"/>
  <c r="D11" i="2"/>
  <c r="D13" i="2" s="1"/>
  <c r="D10" i="2"/>
  <c r="F3" i="2"/>
  <c r="F42" i="15" l="1"/>
  <c r="K325" i="2"/>
  <c r="D68" i="15"/>
  <c r="I110" i="10"/>
  <c r="I23" i="10"/>
  <c r="E58" i="10"/>
  <c r="G96" i="2"/>
  <c r="I20" i="17" s="1"/>
  <c r="J140" i="2"/>
  <c r="J37" i="17"/>
  <c r="F23" i="10"/>
  <c r="D27" i="10"/>
  <c r="D34" i="10" s="1"/>
  <c r="D41" i="10" s="1"/>
  <c r="H66" i="10"/>
  <c r="I65" i="10"/>
  <c r="C83" i="10"/>
  <c r="F110" i="10"/>
  <c r="D114" i="10"/>
  <c r="D122" i="10" s="1"/>
  <c r="E110" i="10"/>
  <c r="K324" i="2"/>
  <c r="K326" i="2" s="1"/>
  <c r="G49" i="3" s="1"/>
  <c r="H110" i="10"/>
  <c r="I22" i="11"/>
  <c r="H14" i="15"/>
  <c r="K15" i="17"/>
  <c r="D31" i="10"/>
  <c r="D38" i="10" s="1"/>
  <c r="D45" i="10" s="1"/>
  <c r="E62" i="10"/>
  <c r="D71" i="10"/>
  <c r="D78" i="10" s="1"/>
  <c r="D85" i="10" s="1"/>
  <c r="F107" i="10"/>
  <c r="D118" i="10"/>
  <c r="D126" i="10" s="1"/>
  <c r="I73" i="11"/>
  <c r="I83" i="11"/>
  <c r="J86" i="2"/>
  <c r="J85" i="2"/>
  <c r="D72" i="11"/>
  <c r="D86" i="11" s="1"/>
  <c r="G188" i="2"/>
  <c r="K188" i="2" s="1"/>
  <c r="F25" i="2"/>
  <c r="G17" i="4" s="1"/>
  <c r="I12" i="17"/>
  <c r="K12" i="17" s="1"/>
  <c r="K87" i="2"/>
  <c r="J89" i="2"/>
  <c r="J92" i="2"/>
  <c r="I10" i="17"/>
  <c r="K10" i="17" s="1"/>
  <c r="K92" i="2"/>
  <c r="K85" i="2"/>
  <c r="I9" i="17"/>
  <c r="K83" i="2"/>
  <c r="I11" i="17"/>
  <c r="K11" i="17" s="1"/>
  <c r="K86" i="2"/>
  <c r="I13" i="17"/>
  <c r="K88" i="2"/>
  <c r="J122" i="2"/>
  <c r="J130" i="2" s="1"/>
  <c r="F130" i="2"/>
  <c r="F150" i="2" s="1"/>
  <c r="G150" i="2" s="1"/>
  <c r="G79" i="2"/>
  <c r="J139" i="2"/>
  <c r="G136" i="2"/>
  <c r="K139" i="2" s="1"/>
  <c r="D88" i="15"/>
  <c r="C88" i="15" s="1"/>
  <c r="N17" i="2"/>
  <c r="G80" i="2"/>
  <c r="G81" i="2"/>
  <c r="G82" i="2"/>
  <c r="K93" i="2"/>
  <c r="K94" i="2"/>
  <c r="K95" i="2"/>
  <c r="K96" i="2"/>
  <c r="K97" i="2"/>
  <c r="K98" i="2"/>
  <c r="I29" i="17"/>
  <c r="N34" i="17" s="1"/>
  <c r="K109" i="2"/>
  <c r="I156" i="10"/>
  <c r="F26" i="3" s="1"/>
  <c r="N16" i="2"/>
  <c r="J18" i="2"/>
  <c r="N30" i="2"/>
  <c r="J30" i="2" s="1"/>
  <c r="F59" i="2"/>
  <c r="G11" i="4" s="1"/>
  <c r="J79" i="2"/>
  <c r="F99" i="2"/>
  <c r="D17" i="2"/>
  <c r="E39" i="4"/>
  <c r="F39" i="4" s="1"/>
  <c r="G39" i="4"/>
  <c r="K20" i="17"/>
  <c r="J20" i="17"/>
  <c r="J21" i="17"/>
  <c r="K21" i="17"/>
  <c r="J22" i="17"/>
  <c r="K22" i="17"/>
  <c r="K130" i="2"/>
  <c r="E63" i="10"/>
  <c r="I63" i="10"/>
  <c r="G17" i="11"/>
  <c r="H38" i="11"/>
  <c r="F49" i="11"/>
  <c r="H69" i="11"/>
  <c r="C74" i="11"/>
  <c r="H97" i="11"/>
  <c r="F109" i="11"/>
  <c r="H15" i="15"/>
  <c r="H16" i="15" s="1"/>
  <c r="D14" i="15" s="1"/>
  <c r="D25" i="15" s="1"/>
  <c r="F43" i="15"/>
  <c r="F44" i="15" s="1"/>
  <c r="D42" i="15" s="1"/>
  <c r="D52" i="15" s="1"/>
  <c r="C61" i="15"/>
  <c r="J14" i="17"/>
  <c r="J28" i="17"/>
  <c r="H20" i="10"/>
  <c r="D28" i="10"/>
  <c r="D35" i="10" s="1"/>
  <c r="D42" i="10" s="1"/>
  <c r="F58" i="10"/>
  <c r="F62" i="10"/>
  <c r="F63" i="10" s="1"/>
  <c r="E65" i="10"/>
  <c r="E66" i="10" s="1"/>
  <c r="I66" i="10"/>
  <c r="D73" i="10"/>
  <c r="D80" i="10" s="1"/>
  <c r="D87" i="10" s="1"/>
  <c r="H107" i="10"/>
  <c r="D115" i="10"/>
  <c r="D123" i="10" s="1"/>
  <c r="E10" i="11"/>
  <c r="E24" i="11" s="1"/>
  <c r="D17" i="11"/>
  <c r="H17" i="11"/>
  <c r="H39" i="11"/>
  <c r="C44" i="11"/>
  <c r="E49" i="11"/>
  <c r="H67" i="11"/>
  <c r="H72" i="11"/>
  <c r="H86" i="11" s="1"/>
  <c r="G84" i="11"/>
  <c r="E109" i="11"/>
  <c r="I109" i="11"/>
  <c r="D72" i="15"/>
  <c r="E20" i="10"/>
  <c r="I20" i="10"/>
  <c r="H23" i="10"/>
  <c r="H58" i="10"/>
  <c r="H62" i="10"/>
  <c r="H63" i="10" s="1"/>
  <c r="F65" i="10"/>
  <c r="F66" i="10" s="1"/>
  <c r="D70" i="10"/>
  <c r="D77" i="10" s="1"/>
  <c r="D84" i="10" s="1"/>
  <c r="D74" i="10"/>
  <c r="D81" i="10" s="1"/>
  <c r="D88" i="10" s="1"/>
  <c r="E107" i="10"/>
  <c r="I107" i="10"/>
  <c r="I155" i="10"/>
  <c r="E26" i="3" s="1"/>
  <c r="L12" i="11"/>
  <c r="I7" i="12" s="1"/>
  <c r="E17" i="11"/>
  <c r="I17" i="11"/>
  <c r="D49" i="11"/>
  <c r="H49" i="11"/>
  <c r="E73" i="11"/>
  <c r="L74" i="11"/>
  <c r="E79" i="11"/>
  <c r="G79" i="11"/>
  <c r="H98" i="11"/>
  <c r="C14" i="12"/>
  <c r="F20" i="10"/>
  <c r="E23" i="10"/>
  <c r="D117" i="10"/>
  <c r="D125" i="10" s="1"/>
  <c r="F17" i="11"/>
  <c r="I49" i="11"/>
  <c r="H68" i="11"/>
  <c r="F87" i="11"/>
  <c r="G109" i="11"/>
  <c r="K110" i="2"/>
  <c r="F110" i="2"/>
  <c r="J110" i="2" s="1"/>
  <c r="G18" i="16"/>
  <c r="E38" i="16"/>
  <c r="F29" i="16"/>
  <c r="G29" i="16" s="1"/>
  <c r="G38" i="16" s="1"/>
  <c r="G39" i="16" s="1"/>
  <c r="I38" i="16"/>
  <c r="I18" i="16"/>
  <c r="F18" i="16"/>
  <c r="B114" i="2"/>
  <c r="G114" i="2" s="1"/>
  <c r="E106" i="2"/>
  <c r="K183" i="2"/>
  <c r="F183" i="2"/>
  <c r="J183" i="2" s="1"/>
  <c r="E53" i="2"/>
  <c r="J160" i="2"/>
  <c r="K160" i="2" s="1"/>
  <c r="F115" i="2"/>
  <c r="J29" i="2"/>
  <c r="F68" i="2"/>
  <c r="G68" i="2" s="1"/>
  <c r="F7" i="17" s="1"/>
  <c r="E7" i="17" s="1"/>
  <c r="G16" i="4"/>
  <c r="E54" i="11"/>
  <c r="I102" i="11"/>
  <c r="I116" i="11" s="1"/>
  <c r="H114" i="11"/>
  <c r="C43" i="11"/>
  <c r="G43" i="11"/>
  <c r="I53" i="11"/>
  <c r="F54" i="11"/>
  <c r="F57" i="11"/>
  <c r="I72" i="11"/>
  <c r="I86" i="11" s="1"/>
  <c r="F73" i="11"/>
  <c r="C84" i="11"/>
  <c r="H84" i="11"/>
  <c r="G87" i="11"/>
  <c r="C103" i="11"/>
  <c r="G103" i="11"/>
  <c r="G113" i="11"/>
  <c r="D114" i="11"/>
  <c r="I114" i="11"/>
  <c r="D117" i="11"/>
  <c r="H117" i="11"/>
  <c r="C15" i="12"/>
  <c r="I42" i="11"/>
  <c r="I56" i="11" s="1"/>
  <c r="F43" i="11"/>
  <c r="E57" i="11"/>
  <c r="I57" i="11"/>
  <c r="D43" i="11"/>
  <c r="H43" i="11"/>
  <c r="C54" i="11"/>
  <c r="H54" i="11"/>
  <c r="G57" i="11"/>
  <c r="C73" i="11"/>
  <c r="G73" i="11"/>
  <c r="D84" i="11"/>
  <c r="I84" i="11"/>
  <c r="D87" i="11"/>
  <c r="H87" i="11"/>
  <c r="G102" i="11"/>
  <c r="G116" i="11" s="1"/>
  <c r="D103" i="11"/>
  <c r="H103" i="11"/>
  <c r="H113" i="11"/>
  <c r="E117" i="11"/>
  <c r="I117" i="11"/>
  <c r="F103" i="11"/>
  <c r="E114" i="11"/>
  <c r="C114" i="11"/>
  <c r="G117" i="11"/>
  <c r="D42" i="11"/>
  <c r="D56" i="11" s="1"/>
  <c r="E43" i="11"/>
  <c r="I43" i="11"/>
  <c r="L44" i="11"/>
  <c r="G54" i="11"/>
  <c r="D54" i="11"/>
  <c r="I54" i="11"/>
  <c r="D57" i="11"/>
  <c r="H57" i="11"/>
  <c r="D73" i="11"/>
  <c r="H73" i="11"/>
  <c r="H83" i="11"/>
  <c r="E84" i="11"/>
  <c r="E87" i="11"/>
  <c r="D102" i="11"/>
  <c r="D116" i="11" s="1"/>
  <c r="H102" i="11"/>
  <c r="H116" i="11" s="1"/>
  <c r="E103" i="11"/>
  <c r="I103" i="11"/>
  <c r="L104" i="11"/>
  <c r="I113" i="11"/>
  <c r="I119" i="11" s="1"/>
  <c r="I123" i="11" s="1"/>
  <c r="G114" i="11"/>
  <c r="F79" i="11"/>
  <c r="E47" i="11"/>
  <c r="G49" i="11"/>
  <c r="F77" i="11"/>
  <c r="F84" i="11" s="1"/>
  <c r="D79" i="11"/>
  <c r="H79" i="11"/>
  <c r="F107" i="11"/>
  <c r="F114" i="11" s="1"/>
  <c r="D109" i="11"/>
  <c r="H109" i="11"/>
  <c r="H17" i="2"/>
  <c r="H27" i="2" s="1"/>
  <c r="D30" i="2" s="1"/>
  <c r="D76" i="15"/>
  <c r="F69" i="2"/>
  <c r="G69" i="2" s="1"/>
  <c r="F8" i="17" s="1"/>
  <c r="E8" i="17" s="1"/>
  <c r="E72" i="11" l="1"/>
  <c r="E86" i="11" s="1"/>
  <c r="K29" i="17"/>
  <c r="H119" i="11"/>
  <c r="H123" i="11" s="1"/>
  <c r="I89" i="11"/>
  <c r="I93" i="11" s="1"/>
  <c r="G104" i="2"/>
  <c r="I24" i="17" s="1"/>
  <c r="I39" i="16"/>
  <c r="N22" i="2"/>
  <c r="J22" i="2" s="1"/>
  <c r="F61" i="2"/>
  <c r="H39" i="4"/>
  <c r="G113" i="2"/>
  <c r="E39" i="16"/>
  <c r="H89" i="11"/>
  <c r="H93" i="11" s="1"/>
  <c r="F72" i="11"/>
  <c r="F86" i="11" s="1"/>
  <c r="F10" i="11"/>
  <c r="F24" i="11" s="1"/>
  <c r="D56" i="15"/>
  <c r="D53" i="15"/>
  <c r="D57" i="15" s="1"/>
  <c r="D64" i="15" s="1"/>
  <c r="D26" i="15"/>
  <c r="D30" i="15" s="1"/>
  <c r="F44" i="3"/>
  <c r="F61" i="3" s="1"/>
  <c r="F14" i="3" s="1"/>
  <c r="D29" i="15"/>
  <c r="G26" i="3"/>
  <c r="I7" i="17"/>
  <c r="K7" i="17" s="1"/>
  <c r="K81" i="2"/>
  <c r="N33" i="2"/>
  <c r="J99" i="2"/>
  <c r="I6" i="17"/>
  <c r="K80" i="2"/>
  <c r="I59" i="11"/>
  <c r="I63" i="11" s="1"/>
  <c r="B71" i="2"/>
  <c r="N27" i="2"/>
  <c r="J16" i="2"/>
  <c r="B72" i="2"/>
  <c r="J17" i="2"/>
  <c r="I5" i="17"/>
  <c r="G101" i="2"/>
  <c r="K79" i="2"/>
  <c r="I8" i="17"/>
  <c r="K8" i="17" s="1"/>
  <c r="K82" i="2"/>
  <c r="F60" i="2"/>
  <c r="K13" i="17"/>
  <c r="J13" i="17"/>
  <c r="K9" i="17"/>
  <c r="J9" i="17"/>
  <c r="J101" i="2"/>
  <c r="J134" i="2" s="1"/>
  <c r="J158" i="2" s="1"/>
  <c r="F101" i="2"/>
  <c r="F148" i="2" s="1"/>
  <c r="G148" i="2" s="1"/>
  <c r="E104" i="2"/>
  <c r="F104" i="2" s="1"/>
  <c r="J104" i="2" s="1"/>
  <c r="K25" i="4"/>
  <c r="L25" i="4" s="1"/>
  <c r="E25" i="4" s="1"/>
  <c r="G25" i="4" s="1"/>
  <c r="B187" i="2"/>
  <c r="F187" i="2" s="1"/>
  <c r="J187" i="2" s="1"/>
  <c r="K104" i="2"/>
  <c r="K24" i="17"/>
  <c r="K170" i="2"/>
  <c r="K114" i="2"/>
  <c r="F114" i="2"/>
  <c r="N24" i="2"/>
  <c r="J24" i="2" s="1"/>
  <c r="G115" i="2"/>
  <c r="J115" i="2"/>
  <c r="E42" i="11"/>
  <c r="G119" i="11"/>
  <c r="G123" i="11" s="1"/>
  <c r="G10" i="11"/>
  <c r="E102" i="11"/>
  <c r="G72" i="11" l="1"/>
  <c r="G86" i="11" s="1"/>
  <c r="F113" i="2"/>
  <c r="J113" i="2" s="1"/>
  <c r="K113" i="2"/>
  <c r="K169" i="2" s="1"/>
  <c r="F119" i="2"/>
  <c r="F149" i="2" s="1"/>
  <c r="G149" i="2" s="1"/>
  <c r="K101" i="2"/>
  <c r="K134" i="2" s="1"/>
  <c r="K158" i="2" s="1"/>
  <c r="I38" i="17"/>
  <c r="K38" i="17" s="1"/>
  <c r="K5" i="17"/>
  <c r="L24" i="17"/>
  <c r="F46" i="2"/>
  <c r="F47" i="2" s="1"/>
  <c r="J27" i="2"/>
  <c r="D71" i="2"/>
  <c r="C6" i="17" s="1"/>
  <c r="K6" i="17"/>
  <c r="J6" i="17"/>
  <c r="D62" i="15"/>
  <c r="F57" i="15"/>
  <c r="D72" i="2"/>
  <c r="C9" i="17" s="1"/>
  <c r="F72" i="2"/>
  <c r="F56" i="15"/>
  <c r="D58" i="15" s="1"/>
  <c r="D61" i="15"/>
  <c r="E70" i="2" s="1"/>
  <c r="D63" i="15"/>
  <c r="E71" i="2" s="1"/>
  <c r="G44" i="3"/>
  <c r="G61" i="3" s="1"/>
  <c r="F15" i="3" s="1"/>
  <c r="G187" i="2"/>
  <c r="K187" i="2" s="1"/>
  <c r="B134" i="2"/>
  <c r="B186" i="2"/>
  <c r="F186" i="2" s="1"/>
  <c r="F190" i="2" s="1"/>
  <c r="G190" i="2" s="1"/>
  <c r="J114" i="2"/>
  <c r="J170" i="2"/>
  <c r="E40" i="4"/>
  <c r="J168" i="2"/>
  <c r="J135" i="2"/>
  <c r="K115" i="2"/>
  <c r="G119" i="2"/>
  <c r="M119" i="2" s="1"/>
  <c r="G157" i="2"/>
  <c r="I39" i="17"/>
  <c r="G117" i="2"/>
  <c r="F117" i="2" s="1"/>
  <c r="E116" i="11"/>
  <c r="F102" i="11"/>
  <c r="F116" i="11" s="1"/>
  <c r="H10" i="11"/>
  <c r="G24" i="11"/>
  <c r="E56" i="11"/>
  <c r="F42" i="11"/>
  <c r="J169" i="2"/>
  <c r="E24" i="4" l="1"/>
  <c r="E28" i="4" s="1"/>
  <c r="E34" i="4" s="1"/>
  <c r="G24" i="4"/>
  <c r="G28" i="4" s="1"/>
  <c r="G34" i="4" s="1"/>
  <c r="J143" i="2"/>
  <c r="J163" i="2" s="1"/>
  <c r="G72" i="2"/>
  <c r="F9" i="17" s="1"/>
  <c r="E9" i="17" s="1"/>
  <c r="G61" i="4"/>
  <c r="H61" i="4" s="1"/>
  <c r="N31" i="2"/>
  <c r="J31" i="2" s="1"/>
  <c r="E61" i="4"/>
  <c r="F61" i="4" s="1"/>
  <c r="C14" i="11"/>
  <c r="E15" i="3"/>
  <c r="G15" i="3" s="1"/>
  <c r="G60" i="10"/>
  <c r="G17" i="10"/>
  <c r="G15" i="4"/>
  <c r="C53" i="2"/>
  <c r="F50" i="2"/>
  <c r="F51" i="2"/>
  <c r="F53" i="2"/>
  <c r="F52" i="2"/>
  <c r="F70" i="2"/>
  <c r="G59" i="10"/>
  <c r="G14" i="4"/>
  <c r="G16" i="10"/>
  <c r="N32" i="2"/>
  <c r="E14" i="3"/>
  <c r="G14" i="3" s="1"/>
  <c r="C13" i="11"/>
  <c r="F71" i="2"/>
  <c r="G71" i="2" s="1"/>
  <c r="F6" i="17" s="1"/>
  <c r="E6" i="17" s="1"/>
  <c r="J119" i="2"/>
  <c r="J133" i="2" s="1"/>
  <c r="J157" i="2" s="1"/>
  <c r="G186" i="2"/>
  <c r="J186" i="2"/>
  <c r="M134" i="2"/>
  <c r="N134" i="2" s="1"/>
  <c r="F134" i="2"/>
  <c r="G40" i="4"/>
  <c r="F40" i="4"/>
  <c r="E41" i="4"/>
  <c r="F41" i="4" s="1"/>
  <c r="J171" i="2"/>
  <c r="K168" i="2"/>
  <c r="K171" i="2" s="1"/>
  <c r="K135" i="2"/>
  <c r="O119" i="2"/>
  <c r="K143" i="2"/>
  <c r="K163" i="2" s="1"/>
  <c r="K119" i="2"/>
  <c r="K133" i="2" s="1"/>
  <c r="K39" i="17"/>
  <c r="L30" i="17"/>
  <c r="L33" i="17" s="1"/>
  <c r="I41" i="17"/>
  <c r="E157" i="2"/>
  <c r="F157" i="2"/>
  <c r="H24" i="11"/>
  <c r="I10" i="11"/>
  <c r="I24" i="11" s="1"/>
  <c r="F56" i="11"/>
  <c r="G42" i="11"/>
  <c r="J136" i="2" l="1"/>
  <c r="K28" i="4"/>
  <c r="G70" i="2"/>
  <c r="F5" i="17" s="1"/>
  <c r="E5" i="17" s="1"/>
  <c r="F74" i="2"/>
  <c r="E16" i="10"/>
  <c r="I152" i="10"/>
  <c r="F29" i="3" s="1"/>
  <c r="G29" i="3" s="1"/>
  <c r="H59" i="10"/>
  <c r="F59" i="10"/>
  <c r="H16" i="10"/>
  <c r="I59" i="10"/>
  <c r="E59" i="10"/>
  <c r="I16" i="10"/>
  <c r="F16" i="10"/>
  <c r="L13" i="11"/>
  <c r="J12" i="12" s="1"/>
  <c r="C105" i="11"/>
  <c r="C45" i="11"/>
  <c r="C15" i="11"/>
  <c r="C75" i="11"/>
  <c r="C17" i="11"/>
  <c r="C106" i="11"/>
  <c r="C46" i="11"/>
  <c r="C76" i="11"/>
  <c r="G70" i="10"/>
  <c r="G73" i="10"/>
  <c r="G71" i="10"/>
  <c r="G74" i="10"/>
  <c r="G72" i="10"/>
  <c r="E60" i="10"/>
  <c r="I17" i="10"/>
  <c r="H17" i="10"/>
  <c r="E17" i="10"/>
  <c r="F17" i="10"/>
  <c r="I60" i="10"/>
  <c r="H60" i="10"/>
  <c r="F60" i="10"/>
  <c r="F139" i="2"/>
  <c r="C11" i="5"/>
  <c r="J137" i="2"/>
  <c r="J141" i="2" s="1"/>
  <c r="J142" i="2" s="1"/>
  <c r="J144" i="2" s="1"/>
  <c r="G134" i="2"/>
  <c r="H40" i="4"/>
  <c r="G41" i="4"/>
  <c r="H41" i="4" s="1"/>
  <c r="O34" i="17"/>
  <c r="K41" i="17"/>
  <c r="L39" i="17"/>
  <c r="K157" i="2"/>
  <c r="K136" i="2"/>
  <c r="N119" i="2"/>
  <c r="P119" i="2" s="1"/>
  <c r="G56" i="11"/>
  <c r="H42" i="11"/>
  <c r="H56" i="11" s="1"/>
  <c r="F165" i="2"/>
  <c r="J159" i="2"/>
  <c r="J162" i="2" s="1"/>
  <c r="F11" i="17" l="1"/>
  <c r="F37" i="17" s="1"/>
  <c r="F40" i="17" s="1"/>
  <c r="F43" i="17" s="1"/>
  <c r="F45" i="17" s="1"/>
  <c r="G81" i="10"/>
  <c r="G88" i="10" s="1"/>
  <c r="C79" i="11"/>
  <c r="C77" i="11"/>
  <c r="L75" i="11"/>
  <c r="J14" i="12" s="1"/>
  <c r="I73" i="10"/>
  <c r="I70" i="10"/>
  <c r="I71" i="10"/>
  <c r="I72" i="10"/>
  <c r="I74" i="10"/>
  <c r="G78" i="10"/>
  <c r="G85" i="10" s="1"/>
  <c r="G80" i="10"/>
  <c r="G87" i="10" s="1"/>
  <c r="C49" i="11"/>
  <c r="C47" i="11"/>
  <c r="L45" i="11"/>
  <c r="J13" i="12" s="1"/>
  <c r="F73" i="10"/>
  <c r="F70" i="10"/>
  <c r="F71" i="10"/>
  <c r="F74" i="10"/>
  <c r="F72" i="10"/>
  <c r="F142" i="2"/>
  <c r="G142" i="2" s="1"/>
  <c r="E142" i="2" s="1"/>
  <c r="G74" i="2"/>
  <c r="E47" i="4"/>
  <c r="F47" i="4" s="1"/>
  <c r="G47" i="4"/>
  <c r="H47" i="4" s="1"/>
  <c r="G77" i="10"/>
  <c r="G84" i="10" s="1"/>
  <c r="L105" i="11"/>
  <c r="J15" i="12" s="1"/>
  <c r="C107" i="11"/>
  <c r="C109" i="11"/>
  <c r="E70" i="10"/>
  <c r="E74" i="10"/>
  <c r="E73" i="10"/>
  <c r="E72" i="10"/>
  <c r="E71" i="10"/>
  <c r="H71" i="10"/>
  <c r="H72" i="10"/>
  <c r="H70" i="10"/>
  <c r="H73" i="10"/>
  <c r="H74" i="10"/>
  <c r="F151" i="2"/>
  <c r="E50" i="4"/>
  <c r="F50" i="4" s="1"/>
  <c r="G139" i="2"/>
  <c r="G50" i="4"/>
  <c r="H50" i="4" s="1"/>
  <c r="K137" i="2"/>
  <c r="K141" i="2" s="1"/>
  <c r="K142" i="2" s="1"/>
  <c r="K144" i="2" s="1"/>
  <c r="K186" i="2"/>
  <c r="K190" i="2" s="1"/>
  <c r="M136" i="2"/>
  <c r="N136" i="2"/>
  <c r="O136" i="2" s="1"/>
  <c r="K159" i="2"/>
  <c r="K162" i="2" s="1"/>
  <c r="G165" i="2"/>
  <c r="E165" i="2" s="1"/>
  <c r="F49" i="17"/>
  <c r="J164" i="2"/>
  <c r="F160" i="2"/>
  <c r="I77" i="10" l="1"/>
  <c r="I84" i="10" s="1"/>
  <c r="I81" i="10"/>
  <c r="I88" i="10" s="1"/>
  <c r="H81" i="10"/>
  <c r="H88" i="10" s="1"/>
  <c r="H78" i="10"/>
  <c r="H85" i="10" s="1"/>
  <c r="F78" i="10"/>
  <c r="F85" i="10" s="1"/>
  <c r="E81" i="10"/>
  <c r="E88" i="10" s="1"/>
  <c r="H80" i="10"/>
  <c r="H87" i="10" s="1"/>
  <c r="E78" i="10"/>
  <c r="E85" i="10" s="1"/>
  <c r="F77" i="10"/>
  <c r="F84" i="10" s="1"/>
  <c r="E80" i="10"/>
  <c r="E87" i="10" s="1"/>
  <c r="F81" i="10"/>
  <c r="F88" i="10" s="1"/>
  <c r="I70" i="2"/>
  <c r="I71" i="2"/>
  <c r="I72" i="2"/>
  <c r="I69" i="2"/>
  <c r="I68" i="2"/>
  <c r="E74" i="2"/>
  <c r="I80" i="10"/>
  <c r="I87" i="10" s="1"/>
  <c r="E77" i="10"/>
  <c r="E84" i="10" s="1"/>
  <c r="H77" i="10"/>
  <c r="H84" i="10" s="1"/>
  <c r="F80" i="10"/>
  <c r="F87" i="10" s="1"/>
  <c r="I78" i="10"/>
  <c r="I85" i="10" s="1"/>
  <c r="G145" i="2"/>
  <c r="I44" i="17"/>
  <c r="I46" i="17" s="1"/>
  <c r="G151" i="2"/>
  <c r="G152" i="2" s="1"/>
  <c r="F152" i="2"/>
  <c r="E49" i="4" s="1"/>
  <c r="F49" i="4" s="1"/>
  <c r="G160" i="2"/>
  <c r="K164" i="2"/>
  <c r="E44" i="4"/>
  <c r="G44" i="4"/>
  <c r="F174" i="2"/>
  <c r="F173" i="2" s="1"/>
  <c r="C163" i="2"/>
  <c r="F162" i="2"/>
  <c r="G162" i="2" s="1"/>
  <c r="E162" i="2" s="1"/>
  <c r="K46" i="17" l="1"/>
  <c r="I51" i="17"/>
  <c r="J46" i="17" s="1"/>
  <c r="L46" i="17"/>
  <c r="L47" i="17" s="1"/>
  <c r="G154" i="2"/>
  <c r="E154" i="2" s="1"/>
  <c r="E145" i="2"/>
  <c r="J148" i="2"/>
  <c r="D157" i="2"/>
  <c r="F145" i="2"/>
  <c r="E45" i="4" s="1"/>
  <c r="L144" i="2"/>
  <c r="L171" i="2"/>
  <c r="L170" i="2"/>
  <c r="L169" i="2"/>
  <c r="L168" i="2"/>
  <c r="D165" i="2"/>
  <c r="E160" i="2"/>
  <c r="H44" i="4"/>
  <c r="C6" i="5"/>
  <c r="F44" i="4"/>
  <c r="I55" i="17" l="1"/>
  <c r="F51" i="17"/>
  <c r="J10" i="17"/>
  <c r="J39" i="17"/>
  <c r="J33" i="17"/>
  <c r="J24" i="17"/>
  <c r="J38" i="17"/>
  <c r="J30" i="17"/>
  <c r="J12" i="17"/>
  <c r="J51" i="17"/>
  <c r="J11" i="17"/>
  <c r="J41" i="17"/>
  <c r="K51" i="17"/>
  <c r="J36" i="17"/>
  <c r="J32" i="17"/>
  <c r="J18" i="17"/>
  <c r="J19" i="17"/>
  <c r="J25" i="17"/>
  <c r="J34" i="17"/>
  <c r="J26" i="17"/>
  <c r="J7" i="17"/>
  <c r="J35" i="17"/>
  <c r="J27" i="17"/>
  <c r="J17" i="17"/>
  <c r="J8" i="17"/>
  <c r="J5" i="17"/>
  <c r="J31" i="17"/>
  <c r="J23" i="17"/>
  <c r="J29" i="17"/>
  <c r="I31" i="10"/>
  <c r="H27" i="10"/>
  <c r="F169" i="2"/>
  <c r="F168" i="2" s="1"/>
  <c r="F29" i="10"/>
  <c r="F30" i="10"/>
  <c r="F27" i="10"/>
  <c r="F171" i="2"/>
  <c r="H29" i="10"/>
  <c r="F154" i="2"/>
  <c r="E54" i="4" s="1"/>
  <c r="E148" i="2"/>
  <c r="E149" i="2"/>
  <c r="F28" i="10"/>
  <c r="F31" i="10"/>
  <c r="H30" i="10"/>
  <c r="E29" i="10"/>
  <c r="G29" i="10"/>
  <c r="E151" i="2"/>
  <c r="E31" i="10"/>
  <c r="G31" i="10"/>
  <c r="E150" i="2"/>
  <c r="G30" i="10"/>
  <c r="I30" i="10"/>
  <c r="F193" i="2"/>
  <c r="H31" i="10"/>
  <c r="H38" i="10" s="1"/>
  <c r="H45" i="10" s="1"/>
  <c r="G27" i="10"/>
  <c r="E30" i="10"/>
  <c r="E23" i="3"/>
  <c r="G49" i="4"/>
  <c r="H49" i="4" s="1"/>
  <c r="G104" i="10"/>
  <c r="G28" i="10"/>
  <c r="I28" i="10"/>
  <c r="E27" i="10"/>
  <c r="I27" i="10"/>
  <c r="E28" i="10"/>
  <c r="I29" i="10"/>
  <c r="H28" i="10"/>
  <c r="H35" i="10" s="1"/>
  <c r="H42" i="10" s="1"/>
  <c r="E52" i="4"/>
  <c r="I151" i="10"/>
  <c r="F23" i="3" s="1"/>
  <c r="C8" i="5"/>
  <c r="C13" i="5" s="1"/>
  <c r="C19" i="11" s="1"/>
  <c r="F45" i="4"/>
  <c r="F35" i="10" l="1"/>
  <c r="F42" i="10" s="1"/>
  <c r="G35" i="10"/>
  <c r="G42" i="10" s="1"/>
  <c r="H37" i="10"/>
  <c r="H44" i="10" s="1"/>
  <c r="F34" i="10"/>
  <c r="F41" i="10" s="1"/>
  <c r="G38" i="10"/>
  <c r="G45" i="10" s="1"/>
  <c r="G34" i="10"/>
  <c r="G41" i="10" s="1"/>
  <c r="G37" i="10"/>
  <c r="G44" i="10" s="1"/>
  <c r="F38" i="10"/>
  <c r="F45" i="10" s="1"/>
  <c r="F37" i="10"/>
  <c r="F44" i="10" s="1"/>
  <c r="G23" i="3"/>
  <c r="G32" i="3" s="1"/>
  <c r="E35" i="10"/>
  <c r="E42" i="10" s="1"/>
  <c r="E37" i="10"/>
  <c r="E44" i="10" s="1"/>
  <c r="I37" i="10"/>
  <c r="I44" i="10" s="1"/>
  <c r="E38" i="10"/>
  <c r="E45" i="10" s="1"/>
  <c r="H34" i="10"/>
  <c r="H41" i="10" s="1"/>
  <c r="F199" i="2"/>
  <c r="G45" i="4"/>
  <c r="H45" i="4" s="1"/>
  <c r="G193" i="2"/>
  <c r="G194" i="2" s="1"/>
  <c r="G52" i="4"/>
  <c r="F196" i="2"/>
  <c r="E62" i="4"/>
  <c r="F62" i="4" s="1"/>
  <c r="E43" i="4"/>
  <c r="F43" i="4" s="1"/>
  <c r="F52" i="4"/>
  <c r="I34" i="10"/>
  <c r="I41" i="10" s="1"/>
  <c r="E104" i="10"/>
  <c r="G116" i="10"/>
  <c r="G114" i="10"/>
  <c r="G118" i="10"/>
  <c r="G115" i="10"/>
  <c r="H104" i="10"/>
  <c r="G117" i="10"/>
  <c r="I104" i="10"/>
  <c r="F104" i="10"/>
  <c r="E56" i="4"/>
  <c r="E57" i="4"/>
  <c r="F54" i="4"/>
  <c r="I38" i="10"/>
  <c r="I45" i="10" s="1"/>
  <c r="I35" i="10"/>
  <c r="I42" i="10" s="1"/>
  <c r="E34" i="10"/>
  <c r="E41" i="10" s="1"/>
  <c r="C21" i="11"/>
  <c r="C27" i="11" s="1"/>
  <c r="C51" i="11"/>
  <c r="D19" i="11"/>
  <c r="G123" i="10" l="1"/>
  <c r="G125" i="10"/>
  <c r="E114" i="10"/>
  <c r="E118" i="10"/>
  <c r="E115" i="10"/>
  <c r="E116" i="10"/>
  <c r="E117" i="10"/>
  <c r="I114" i="10"/>
  <c r="I116" i="10"/>
  <c r="I118" i="10"/>
  <c r="I115" i="10"/>
  <c r="I117" i="10"/>
  <c r="G126" i="10"/>
  <c r="G54" i="4"/>
  <c r="H54" i="4" s="1"/>
  <c r="G196" i="2"/>
  <c r="G197" i="2" s="1"/>
  <c r="F117" i="10"/>
  <c r="F114" i="10"/>
  <c r="F118" i="10"/>
  <c r="F116" i="10"/>
  <c r="F115" i="10"/>
  <c r="G122" i="10"/>
  <c r="H52" i="4"/>
  <c r="G43" i="4"/>
  <c r="H43" i="4" s="1"/>
  <c r="G62" i="4"/>
  <c r="H62" i="4" s="1"/>
  <c r="H118" i="10"/>
  <c r="H115" i="10"/>
  <c r="H114" i="10"/>
  <c r="H116" i="10"/>
  <c r="H117" i="10"/>
  <c r="D51" i="11"/>
  <c r="E19" i="11"/>
  <c r="D21" i="11"/>
  <c r="D27" i="11" s="1"/>
  <c r="D31" i="11" s="1"/>
  <c r="C53" i="11"/>
  <c r="C59" i="11" s="1"/>
  <c r="C81" i="11"/>
  <c r="C31" i="11"/>
  <c r="F123" i="10" l="1"/>
  <c r="F125" i="10"/>
  <c r="I122" i="10"/>
  <c r="I125" i="10"/>
  <c r="E126" i="10"/>
  <c r="I123" i="10"/>
  <c r="H123" i="10"/>
  <c r="F126" i="10"/>
  <c r="I126" i="10"/>
  <c r="H125" i="10"/>
  <c r="H126" i="10"/>
  <c r="F122" i="10"/>
  <c r="E123" i="10"/>
  <c r="H122" i="10"/>
  <c r="E125" i="10"/>
  <c r="E122" i="10"/>
  <c r="C83" i="11"/>
  <c r="C89" i="11" s="1"/>
  <c r="C111" i="11"/>
  <c r="F19" i="11"/>
  <c r="E21" i="11"/>
  <c r="E27" i="11" s="1"/>
  <c r="E51" i="11"/>
  <c r="C63" i="11"/>
  <c r="D53" i="11"/>
  <c r="D59" i="11" s="1"/>
  <c r="D63" i="11" s="1"/>
  <c r="D81" i="11"/>
  <c r="D83" i="11" l="1"/>
  <c r="D89" i="11" s="1"/>
  <c r="D93" i="11" s="1"/>
  <c r="D111" i="11"/>
  <c r="D113" i="11" s="1"/>
  <c r="D119" i="11" s="1"/>
  <c r="D123" i="11" s="1"/>
  <c r="E81" i="11"/>
  <c r="E53" i="11"/>
  <c r="E59" i="11" s="1"/>
  <c r="C113" i="11"/>
  <c r="C119" i="11" s="1"/>
  <c r="C123" i="11" s="1"/>
  <c r="E31" i="11"/>
  <c r="C93" i="11"/>
  <c r="G19" i="11"/>
  <c r="F21" i="11"/>
  <c r="F27" i="11" s="1"/>
  <c r="F31" i="11" s="1"/>
  <c r="F51" i="11"/>
  <c r="F53" i="11" l="1"/>
  <c r="F59" i="11" s="1"/>
  <c r="F63" i="11" s="1"/>
  <c r="F81" i="11"/>
  <c r="E83" i="11"/>
  <c r="E89" i="11" s="1"/>
  <c r="E111" i="11"/>
  <c r="G21" i="11"/>
  <c r="G27" i="11" s="1"/>
  <c r="G31" i="11" s="1"/>
  <c r="G51" i="11"/>
  <c r="H19" i="11"/>
  <c r="E63" i="11"/>
  <c r="H51" i="11" l="1"/>
  <c r="H53" i="11" s="1"/>
  <c r="H59" i="11" s="1"/>
  <c r="H63" i="11" s="1"/>
  <c r="I19" i="11"/>
  <c r="I21" i="11" s="1"/>
  <c r="I27" i="11" s="1"/>
  <c r="I31" i="11" s="1"/>
  <c r="H21" i="11"/>
  <c r="H27" i="11" s="1"/>
  <c r="H31" i="11" s="1"/>
  <c r="E113" i="11"/>
  <c r="E119" i="11" s="1"/>
  <c r="E123" i="11" s="1"/>
  <c r="G53" i="11"/>
  <c r="G59" i="11" s="1"/>
  <c r="G81" i="11"/>
  <c r="E93" i="11"/>
  <c r="F111" i="11"/>
  <c r="F83" i="11"/>
  <c r="F89" i="11" s="1"/>
  <c r="F93" i="11" s="1"/>
  <c r="J27" i="11" l="1"/>
  <c r="J7" i="11" s="1"/>
  <c r="E12" i="12" s="1"/>
  <c r="F12" i="12" s="1"/>
  <c r="L111" i="11"/>
  <c r="F113" i="11"/>
  <c r="F119" i="11" s="1"/>
  <c r="F123" i="11" s="1"/>
  <c r="J119" i="11" s="1"/>
  <c r="J100" i="11" s="1"/>
  <c r="E15" i="12" s="1"/>
  <c r="F15" i="12" s="1"/>
  <c r="G111" i="11"/>
  <c r="G83" i="11"/>
  <c r="G89" i="11" s="1"/>
  <c r="G93" i="11" s="1"/>
  <c r="J89" i="11" s="1"/>
  <c r="J70" i="11" s="1"/>
  <c r="E14" i="12" s="1"/>
  <c r="F14" i="12" s="1"/>
  <c r="G63" i="11"/>
  <c r="J59" i="11" s="1"/>
  <c r="J40" i="11" s="1"/>
  <c r="E13" i="12" s="1"/>
  <c r="F13" i="12" s="1"/>
  <c r="L59" i="11"/>
  <c r="H13" i="12" s="1"/>
  <c r="I51" i="11"/>
  <c r="I81" i="11" s="1"/>
  <c r="I111" i="11" s="1"/>
  <c r="L19" i="11"/>
  <c r="L81" i="11"/>
  <c r="H81" i="11"/>
  <c r="H111" i="11" s="1"/>
  <c r="L51" i="11"/>
  <c r="L27" i="11"/>
  <c r="H12" i="12" s="1"/>
  <c r="L123" i="11" l="1"/>
  <c r="H15" i="12" s="1"/>
  <c r="L89" i="11"/>
  <c r="H14" i="12" s="1"/>
</calcChain>
</file>

<file path=xl/sharedStrings.xml><?xml version="1.0" encoding="utf-8"?>
<sst xmlns="http://schemas.openxmlformats.org/spreadsheetml/2006/main" count="1219" uniqueCount="644">
  <si>
    <t xml:space="preserve">                                         Ranch Name:</t>
  </si>
  <si>
    <t xml:space="preserve"> </t>
  </si>
  <si>
    <t>UNITS</t>
  </si>
  <si>
    <t>VALUE</t>
  </si>
  <si>
    <t>=</t>
  </si>
  <si>
    <t>Hd.</t>
  </si>
  <si>
    <t>%</t>
  </si>
  <si>
    <t>Replacement Rate of Cows/Heifers</t>
  </si>
  <si>
    <t>Portion of Replacement Heifers Culled</t>
  </si>
  <si>
    <t xml:space="preserve">              Before Breeding</t>
  </si>
  <si>
    <t>VALUES CALCULATED</t>
  </si>
  <si>
    <t>Portion of Replacement Cows Purchased</t>
  </si>
  <si>
    <t>- - - - - - - - -</t>
  </si>
  <si>
    <t>Death Rate of Breeding Cows</t>
  </si>
  <si>
    <t>NET REPL. HEIFERS REQUIRED (HD)</t>
  </si>
  <si>
    <t>HD</t>
  </si>
  <si>
    <t>Death Rate of Replacement Heifers</t>
  </si>
  <si>
    <t/>
  </si>
  <si>
    <t>TOTAL REPL. HEIFERS REQUIRED (HD)</t>
  </si>
  <si>
    <t>CULL REPL. HEIFER SALES</t>
  </si>
  <si>
    <t>Average Age at Weaning</t>
  </si>
  <si>
    <t>Mo.</t>
  </si>
  <si>
    <t>CULL COW SALES</t>
  </si>
  <si>
    <t>Ave. Calving Age of Replacement Heifers</t>
  </si>
  <si>
    <t>REP. HEIFER WEANING TO ONE YEAR</t>
  </si>
  <si>
    <t>MO/12</t>
  </si>
  <si>
    <t>Number of Breeding Cows Per Bull</t>
  </si>
  <si>
    <t>REP. HEF. ONE YEAR TO CALVING AGE</t>
  </si>
  <si>
    <t>Useful Life of Bull</t>
  </si>
  <si>
    <t>Yrs.</t>
  </si>
  <si>
    <t>BREEDING COW AVE. INVESTMENT</t>
  </si>
  <si>
    <t>DOL.</t>
  </si>
  <si>
    <t>Number of Breeding Cows Per Horse</t>
  </si>
  <si>
    <t>CAPITAL INVEST. PER BREEDING COW - BULL</t>
  </si>
  <si>
    <t>Useful Life of Horse</t>
  </si>
  <si>
    <t>CAPITAL INVEST. PER BREEDING COW - HORSE</t>
  </si>
  <si>
    <t>Payweight of Culled Bulls</t>
  </si>
  <si>
    <t>CAPITAL INVESTMENT PER BREEDING COW</t>
  </si>
  <si>
    <t>$/Cwt</t>
  </si>
  <si>
    <t>ANIMAL UNIT EQUIV.. - BULL</t>
  </si>
  <si>
    <t>AU</t>
  </si>
  <si>
    <t>Horse Salvage Value</t>
  </si>
  <si>
    <t>$/Hd.</t>
  </si>
  <si>
    <t>ANIMAL UNIT EQUIV.. - HORSE</t>
  </si>
  <si>
    <t>ANIMAL UNIT EQUIV.. PER BREEDING COW</t>
  </si>
  <si>
    <t>Investment</t>
  </si>
  <si>
    <t>BULL &amp; HORSE DEPRECIATION</t>
  </si>
  <si>
    <t>-------------------------------</t>
  </si>
  <si>
    <t>-</t>
  </si>
  <si>
    <t>PURCHASED COW DEPRECIATION</t>
  </si>
  <si>
    <t>Replacement Heifers Weaning to 1 Year</t>
  </si>
  <si>
    <t>CASH FLOW REQUIREMENT FOR LIVESTOCK INV.</t>
  </si>
  <si>
    <t>Replacement Heifers One Year to Breeding Age</t>
  </si>
  <si>
    <t>CULL COW &amp; HEIFER INCOME</t>
  </si>
  <si>
    <t>Average Breeding Cow Value</t>
  </si>
  <si>
    <t>PRICE DIFFERENTIAL- STEERS-HEIFERS</t>
  </si>
  <si>
    <t>DOL,/CWT.</t>
  </si>
  <si>
    <t>Cost of Purchased Breeding Cow or Pair</t>
  </si>
  <si>
    <t>TOTAL VARIABLE COSTS</t>
  </si>
  <si>
    <t>Average Bull Investment Value</t>
  </si>
  <si>
    <t>Average Horse Investment Value</t>
  </si>
  <si>
    <t>Percent of Livestock Investment Borrowed</t>
  </si>
  <si>
    <t>Interest Rate on Borrowed Livestock Capital</t>
  </si>
  <si>
    <t>AU/BCU</t>
  </si>
  <si>
    <t>-----------------------</t>
  </si>
  <si>
    <t>Replacement Heifers 1 Yr. to Breeding</t>
  </si>
  <si>
    <t>Breeding Cow and Calf</t>
  </si>
  <si>
    <t>Bull</t>
  </si>
  <si>
    <t xml:space="preserve">                                                         COW-CALF ENTERPRISE BUDGET</t>
  </si>
  <si>
    <t>Horse</t>
  </si>
  <si>
    <t>Calculated AU Req. Per Breeding Cow Unit</t>
  </si>
  <si>
    <t>CALCULATED SPA PRODUCTION PERFORMANCE</t>
  </si>
  <si>
    <t>--------------------------------------</t>
  </si>
  <si>
    <t>Calf Crop or Weaning Percentage</t>
  </si>
  <si>
    <t>Average Weaning Weight</t>
  </si>
  <si>
    <t>Lb./Head</t>
  </si>
  <si>
    <t>Lb. Weaned Per Exposed Female</t>
  </si>
  <si>
    <t xml:space="preserve">          Lb./Cow Exposed</t>
  </si>
  <si>
    <t xml:space="preserve">Quantity </t>
  </si>
  <si>
    <t>Unit</t>
  </si>
  <si>
    <t>$/Cwt.</t>
  </si>
  <si>
    <t>Return</t>
  </si>
  <si>
    <t>Total Herd</t>
  </si>
  <si>
    <t>Wt./Hd.</t>
  </si>
  <si>
    <t>$ Return</t>
  </si>
  <si>
    <t xml:space="preserve">   Cull Cow</t>
  </si>
  <si>
    <t>Lb.</t>
  </si>
  <si>
    <t xml:space="preserve">   Steer Calves</t>
  </si>
  <si>
    <t xml:space="preserve">   Heifer Calves</t>
  </si>
  <si>
    <t xml:space="preserve">   Rep. Heifer. Culls</t>
  </si>
  <si>
    <t>Per BCU</t>
  </si>
  <si>
    <t>Description</t>
  </si>
  <si>
    <t>Input Use</t>
  </si>
  <si>
    <t>$/Unit</t>
  </si>
  <si>
    <t>Cost</t>
  </si>
  <si>
    <t>$ Cost</t>
  </si>
  <si>
    <t>Dol./BCU</t>
  </si>
  <si>
    <t>Invested</t>
  </si>
  <si>
    <t xml:space="preserve">    Livestock Investment</t>
  </si>
  <si>
    <t>Dol.</t>
  </si>
  <si>
    <t xml:space="preserve">    Machinery and Equipment</t>
  </si>
  <si>
    <t xml:space="preserve">    Operating Capital</t>
  </si>
  <si>
    <t xml:space="preserve">    Livestock Depreciation</t>
  </si>
  <si>
    <t xml:space="preserve">    Hired Temporary Labor</t>
  </si>
  <si>
    <t>Net Financial Income</t>
  </si>
  <si>
    <t xml:space="preserve">       %</t>
  </si>
  <si>
    <t>Total Cash Costs</t>
  </si>
  <si>
    <t>Cash Income Per Dollar of Cash Costs</t>
  </si>
  <si>
    <t xml:space="preserve"> Necessary Steer Price To Cover Total Financial Costs*</t>
  </si>
  <si>
    <t>Dol./Cwt.</t>
  </si>
  <si>
    <t xml:space="preserve"> Necessary Heifer Price To Cover Total Financial Costs*</t>
  </si>
  <si>
    <t xml:space="preserve"> Total Cost of Production For Calves - SPA Comparable</t>
  </si>
  <si>
    <t xml:space="preserve"> Necessary Steer Price To Cover Cash Costs*</t>
  </si>
  <si>
    <t xml:space="preserve"> Necessary Heifer Price To Cover Cash Costs*</t>
  </si>
  <si>
    <t>*Price differential is equal to input price difference between heifers and steers.</t>
  </si>
  <si>
    <t xml:space="preserve"> The value of culls is subtracted from costs before break-even calf prices are calculated using</t>
  </si>
  <si>
    <t xml:space="preserve"> actual sales weight. SPA unit cost is based on total production including replacement heifers saved and not sold.</t>
  </si>
  <si>
    <t>**Economic costs include non-cash equivalent land rent cost and interest on equity capital.</t>
  </si>
  <si>
    <t>Interval of Change For The Analysis Table</t>
  </si>
  <si>
    <t xml:space="preserve">   Calf Crop  (%)</t>
  </si>
  <si>
    <t xml:space="preserve">   Calf Price ($/Cwt.)</t>
  </si>
  <si>
    <t xml:space="preserve">     Change And Associated Calculated Values</t>
  </si>
  <si>
    <t xml:space="preserve">   Steer Calf Wt. (Lb./Hd.)</t>
  </si>
  <si>
    <t xml:space="preserve">   Heifer Calf Wt. (Lb./Hd.)</t>
  </si>
  <si>
    <t>|-----------------</t>
  </si>
  <si>
    <t xml:space="preserve">               Decrease</t>
  </si>
  <si>
    <t>Input</t>
  </si>
  <si>
    <t xml:space="preserve">                  Increase</t>
  </si>
  <si>
    <t xml:space="preserve">         Change In Calf Price</t>
  </si>
  <si>
    <t>No Change</t>
  </si>
  <si>
    <t xml:space="preserve">         Steer Calf Price</t>
  </si>
  <si>
    <t xml:space="preserve">         Heifer Calf Price</t>
  </si>
  <si>
    <t xml:space="preserve">         Change In Steer Calf Wt.</t>
  </si>
  <si>
    <t>Lb./Hd.</t>
  </si>
  <si>
    <t xml:space="preserve">         Steer Calf Weight </t>
  </si>
  <si>
    <t xml:space="preserve">         Change In Heifer Calf Wt.</t>
  </si>
  <si>
    <t xml:space="preserve">         Heifer Calf Weight</t>
  </si>
  <si>
    <t xml:space="preserve">     Net Financial Income Per Breeding Cow Unit</t>
  </si>
  <si>
    <t xml:space="preserve">           Calf Crop (%)----------&gt;</t>
  </si>
  <si>
    <t xml:space="preserve">   Total Prod. Costs ($/BCU)</t>
  </si>
  <si>
    <t>Change And Associated Calculated Values</t>
  </si>
  <si>
    <t xml:space="preserve">              Decrease</t>
  </si>
  <si>
    <t xml:space="preserve">                 Increase</t>
  </si>
  <si>
    <t xml:space="preserve">       Change In Production Cost</t>
  </si>
  <si>
    <t xml:space="preserve">         Total Production Cost</t>
  </si>
  <si>
    <t>$/BCU</t>
  </si>
  <si>
    <t xml:space="preserve">       Change In Steer Calf Wt.</t>
  </si>
  <si>
    <t xml:space="preserve">       Change In Heifer Calf Wt.</t>
  </si>
  <si>
    <t>Rtn. per cow No Change in Calf Crop*</t>
  </si>
  <si>
    <t xml:space="preserve">                           Gross Income</t>
  </si>
  <si>
    <t xml:space="preserve">                Calf Sales Weight (Lb.)</t>
  </si>
  <si>
    <t>Calculation of Discounts or Premium</t>
  </si>
  <si>
    <t>Heavy</t>
  </si>
  <si>
    <t>'Light</t>
  </si>
  <si>
    <t>Slide Discount 0r Premium</t>
  </si>
  <si>
    <t>Steers &amp; Heifer.</t>
  </si>
  <si>
    <t xml:space="preserve">Steers </t>
  </si>
  <si>
    <t>Heifers</t>
  </si>
  <si>
    <t>Total</t>
  </si>
  <si>
    <t>Value After</t>
  </si>
  <si>
    <t>Value</t>
  </si>
  <si>
    <t>Change</t>
  </si>
  <si>
    <t>Difference</t>
  </si>
  <si>
    <t xml:space="preserve"> Calf Crop Weaned</t>
  </si>
  <si>
    <t xml:space="preserve"> Steer Calf Weaning Weight </t>
  </si>
  <si>
    <t xml:space="preserve"> Heifer Calf Weaning Weight </t>
  </si>
  <si>
    <t xml:space="preserve"> Steer Calf Price</t>
  </si>
  <si>
    <t xml:space="preserve"> Heifer Calf Price</t>
  </si>
  <si>
    <t xml:space="preserve"> Production Cost Change</t>
  </si>
  <si>
    <t>$/Cow</t>
  </si>
  <si>
    <t>CALCULATED VALUES AS RESULT OF CHANGES</t>
  </si>
  <si>
    <t>Net Financial Income ($/BCU)*</t>
  </si>
  <si>
    <t>Production ------</t>
  </si>
  <si>
    <t xml:space="preserve">        Calf Sales Per Cow (Lb./Hd.)</t>
  </si>
  <si>
    <t>Necessary  Increase In Calf Production</t>
  </si>
  <si>
    <t>Lb./Cow</t>
  </si>
  <si>
    <t>% Change</t>
  </si>
  <si>
    <t xml:space="preserve">  Per Cow To Cover Added Cost (Lb./Hd.)**</t>
  </si>
  <si>
    <t>Benefit - Cost Ratio</t>
  </si>
  <si>
    <t xml:space="preserve">  Change In Net Income/Change In Cost</t>
  </si>
  <si>
    <t>*Returns  to equity capital.</t>
  </si>
  <si>
    <t>**Based on weighted average price of steer and heifer calf sales.</t>
  </si>
  <si>
    <t>Steer Calf</t>
  </si>
  <si>
    <t>Heifer Calf</t>
  </si>
  <si>
    <t>Actual Weight Used In Slide Calculation</t>
  </si>
  <si>
    <t>Cattle Price Slide Calculator-------------------</t>
  </si>
  <si>
    <t xml:space="preserve"> Base Price Before  Adjusting for Weight  Slide</t>
  </si>
  <si>
    <t xml:space="preserve">  Base Weight for Calculating Slide</t>
  </si>
  <si>
    <t xml:space="preserve">  Tolerance Above Base Weight</t>
  </si>
  <si>
    <t xml:space="preserve">  Tolerance Below Base Weight</t>
  </si>
  <si>
    <t xml:space="preserve">  Price Slide </t>
  </si>
  <si>
    <t>Price Slide Discount (-) or Premium (+)</t>
  </si>
  <si>
    <t>Market Basis Adjustment If Applicable</t>
  </si>
  <si>
    <t>Quality Discounts (-),Premiums (+)</t>
  </si>
  <si>
    <t xml:space="preserve">  Muscling </t>
  </si>
  <si>
    <t xml:space="preserve">  Frame</t>
  </si>
  <si>
    <t xml:space="preserve">  Fill</t>
  </si>
  <si>
    <t xml:space="preserve">  Breed</t>
  </si>
  <si>
    <t xml:space="preserve"> Feed Yard Premium</t>
  </si>
  <si>
    <t>Total Quality Discounts (-),Premiums (+)</t>
  </si>
  <si>
    <t xml:space="preserve">Net Cattle Price After Discount or Premium </t>
  </si>
  <si>
    <t>SELECT CALCULATED SPA PRODUCTION PERFORMANCE MEASURES</t>
  </si>
  <si>
    <t>Weaning Weight Steer Calves</t>
  </si>
  <si>
    <t>Weaning Weight  Heifer Calves</t>
  </si>
  <si>
    <t>Market Prices</t>
  </si>
  <si>
    <t xml:space="preserve">   Cull Bulls</t>
  </si>
  <si>
    <t>INVESTMENT PER BREEDING COW (Average Asset Values)</t>
  </si>
  <si>
    <t>Cost Basis</t>
  </si>
  <si>
    <t>Market Value</t>
  </si>
  <si>
    <t xml:space="preserve">    Total Current Assets</t>
  </si>
  <si>
    <t xml:space="preserve">    Non-Current Assets</t>
  </si>
  <si>
    <t xml:space="preserve">       Livestock</t>
  </si>
  <si>
    <t xml:space="preserve">       Real Estate Land &amp; Improvements</t>
  </si>
  <si>
    <t xml:space="preserve">       Other Non-Current Assets</t>
  </si>
  <si>
    <t xml:space="preserve">    Total Investment</t>
  </si>
  <si>
    <t xml:space="preserve">    Current Enterprise Liabilities</t>
  </si>
  <si>
    <t xml:space="preserve">    Total Enterprise Liabilities</t>
  </si>
  <si>
    <t xml:space="preserve">    Equity to Asset or Percent Equity (%)</t>
  </si>
  <si>
    <t>FINANCIAL &amp; ECONOMIC PERFORMANCE</t>
  </si>
  <si>
    <t>Financial</t>
  </si>
  <si>
    <t>Economic</t>
  </si>
  <si>
    <t>$/Cwt*</t>
  </si>
  <si>
    <t>Total Raised/Purchased Feed Cost</t>
  </si>
  <si>
    <t>Total Grazing Cost</t>
  </si>
  <si>
    <t>Total Feed and Grazing Cost</t>
  </si>
  <si>
    <t>Total Non-Feed Cost</t>
  </si>
  <si>
    <t>Total Non-Cash Costs</t>
  </si>
  <si>
    <t>Total Enterprise Operating Cost</t>
  </si>
  <si>
    <t>Total Financing Cost &amp; Economic Return</t>
  </si>
  <si>
    <t>Total Cost**</t>
  </si>
  <si>
    <t>Net Income***</t>
  </si>
  <si>
    <t xml:space="preserve">                             Percent Return on Enterprise Assets (ROA) </t>
  </si>
  <si>
    <t xml:space="preserve">                      Cost Basis</t>
  </si>
  <si>
    <t xml:space="preserve">                      Market Value</t>
  </si>
  <si>
    <t>UNIT COST OF WEANED CALF PRODUCTION</t>
  </si>
  <si>
    <t>Total Non Calf Revenue</t>
  </si>
  <si>
    <t>Unit Cost of Production (Breakeven Price)****</t>
  </si>
  <si>
    <t>*     Dollars per cwt. of weaned calves.</t>
  </si>
  <si>
    <t>**   These are pre-tax costs; thus they do not include income tax payments.  Withdrawals are</t>
  </si>
  <si>
    <t xml:space="preserve">       included in the cost calculations.</t>
  </si>
  <si>
    <t>***  The net income is pre-tax income, but is not equal to IRS taxable income.</t>
  </si>
  <si>
    <t>**** Adjusted for non-calf revenue.</t>
  </si>
  <si>
    <t>COW CALF DATA FOR INVESTMENT ANALYSIS</t>
  </si>
  <si>
    <t>Cash Operating Expense</t>
  </si>
  <si>
    <t>Non- Cash Costs</t>
  </si>
  <si>
    <t>Cow Depreciation  (Subtracted)</t>
  </si>
  <si>
    <t>Cow Cash Interest Cost (subtracted)</t>
  </si>
  <si>
    <t>Annual Cow Operating Cost*</t>
  </si>
  <si>
    <t>*Adjustments necessary to prevent double counting in investment analysis.</t>
  </si>
  <si>
    <t xml:space="preserve">    Real Estate Debt</t>
  </si>
  <si>
    <t xml:space="preserve">    Non-Current Enterprise &amp; Real Estate Liabilities</t>
  </si>
  <si>
    <t>----------</t>
  </si>
  <si>
    <t xml:space="preserve">Description of change:     </t>
  </si>
  <si>
    <t>IRR</t>
  </si>
  <si>
    <t>Net Present Value Calculations</t>
  </si>
  <si>
    <t>Cash Flows By Year</t>
  </si>
  <si>
    <t>Year 1</t>
  </si>
  <si>
    <t>Year 0</t>
  </si>
  <si>
    <t>Net Present</t>
  </si>
  <si>
    <t>Year</t>
  </si>
  <si>
    <t xml:space="preserve">Cow Salvage Value </t>
  </si>
  <si>
    <t>Net Above Operating Cost</t>
  </si>
  <si>
    <t>Average Cost</t>
  </si>
  <si>
    <t>Cow Operating Cost/Year</t>
  </si>
  <si>
    <t>Gross Receipts (Calf Sales)</t>
  </si>
  <si>
    <t>Cull Cow Price ($/Cwt)</t>
  </si>
  <si>
    <t>Heifer Price ($/Cwt)</t>
  </si>
  <si>
    <t>4 Year Average Price</t>
  </si>
  <si>
    <t>Steers Price ($/Cwt)</t>
  </si>
  <si>
    <t>4 Year Average Calf Crop %</t>
  </si>
  <si>
    <t>Calf Crop or Weaning %</t>
  </si>
  <si>
    <t>Discount Rate</t>
  </si>
  <si>
    <t>Calving Opportunities</t>
  </si>
  <si>
    <t xml:space="preserve">Cow Herd Average Expected Number of </t>
  </si>
  <si>
    <t>Heifer Weight (Pounds)</t>
  </si>
  <si>
    <t xml:space="preserve">Net Present </t>
  </si>
  <si>
    <t>Steer Weight (Pounds)</t>
  </si>
  <si>
    <t>Cow Investment Cost ($/Head)</t>
  </si>
  <si>
    <t>Cull Cow Sale Weight (Pounds)</t>
  </si>
  <si>
    <t>Beef Cows Net Present Value Based on Longevity</t>
  </si>
  <si>
    <t>5 Year Average Cost</t>
  </si>
  <si>
    <t>5 Year Average Price</t>
  </si>
  <si>
    <t>5 Year Average Calf Crop %</t>
  </si>
  <si>
    <t>6 year Average Production Costs</t>
  </si>
  <si>
    <t>6 year Average</t>
  </si>
  <si>
    <t>7 Year Average Calf Crop %</t>
  </si>
  <si>
    <t>7 year Average Production Costs</t>
  </si>
  <si>
    <t>7 Year Average Price</t>
  </si>
  <si>
    <t>7 Year Average Calf Crop</t>
  </si>
  <si>
    <t>Value*</t>
  </si>
  <si>
    <t>Date Printed</t>
  </si>
  <si>
    <t>*** This is the average price per cwt. for the years of calving opportunities.</t>
  </si>
  <si>
    <t xml:space="preserve">   present value equal to zero or the return on investment.</t>
  </si>
  <si>
    <t>**The internal rate of return (IRR) is defined as the discount rate that would make the net</t>
  </si>
  <si>
    <t>$/Cwt.***</t>
  </si>
  <si>
    <t>$/Head*</t>
  </si>
  <si>
    <t>Steer Price</t>
  </si>
  <si>
    <t>of Return</t>
  </si>
  <si>
    <t>Number of Calving Opportunities</t>
  </si>
  <si>
    <t>Average</t>
  </si>
  <si>
    <t>Internal Rate</t>
  </si>
  <si>
    <t>Cow Herd Average Expected</t>
  </si>
  <si>
    <t>First Year of Investment</t>
  </si>
  <si>
    <t>$/Head</t>
  </si>
  <si>
    <t>Cow Investment Cost</t>
  </si>
  <si>
    <t xml:space="preserve">*Net present value (NPV) procedure accounts for the time value of money. If the NPV of the </t>
  </si>
  <si>
    <t xml:space="preserve">  is positive. If the NPV negative the investment it is not returning the desired rate of return.</t>
  </si>
  <si>
    <t xml:space="preserve">  investment generates a NPV  in excess of the chosen rate of return or discount rate the NPV</t>
  </si>
  <si>
    <t xml:space="preserve">     Gross Financial Income Per Breeding Cow Unit</t>
  </si>
  <si>
    <t xml:space="preserve">    Change in  Net Financial Income Per Breeding Cow Unit</t>
  </si>
  <si>
    <t>Base Calf Sales Weight (Lb.)</t>
  </si>
  <si>
    <t>Breeding Cows In the Herd</t>
  </si>
  <si>
    <t xml:space="preserve">    Change in  Net Financial Income for Herd</t>
  </si>
  <si>
    <t xml:space="preserve">    Change in  Gross Income for Herd</t>
  </si>
  <si>
    <t>Head</t>
  </si>
  <si>
    <t>Heifer Calf Wt. (Lb./Hd.)</t>
  </si>
  <si>
    <t>Steer Calf Wt. (Lb./Hd.)</t>
  </si>
  <si>
    <t>Calf Price ($/Cwt.)</t>
  </si>
  <si>
    <t>Calf Crop  (%)</t>
  </si>
  <si>
    <t>*Values reflect the quantity of sales based on the replacement rate and number of heifers that can be sold.</t>
  </si>
  <si>
    <t xml:space="preserve">     Change in Gross Income Per Breeding Cow Unit</t>
  </si>
  <si>
    <t xml:space="preserve"> CASH Income</t>
  </si>
  <si>
    <t xml:space="preserve"> Purchased and Raised Feed</t>
  </si>
  <si>
    <t>CASH Cost (Interest on Debt)</t>
  </si>
  <si>
    <t>Gross Financial Income</t>
  </si>
  <si>
    <t>For different Calf Crop, Weight and Calf Prices</t>
  </si>
  <si>
    <t xml:space="preserve">    Breeding Cows In Herd</t>
  </si>
  <si>
    <t>Breeding Cows in Herd</t>
  </si>
  <si>
    <t>BEEF COWS INVESTMENT VALUATION BASED ON PRODUCTION LONGEVITY</t>
  </si>
  <si>
    <t>SUMMARY OF COW HERD INVESTMENT VALUATION</t>
  </si>
  <si>
    <t>BY NUMBER OF CALVING OPPORTUNITIES</t>
  </si>
  <si>
    <t>Cost of Calf Production For Different</t>
  </si>
  <si>
    <t>Production Costs, Calf Crop, and Weaning Weight</t>
  </si>
  <si>
    <t>Cost of Calf Production Per Cwt.</t>
  </si>
  <si>
    <t>Change in Cost of Calf Production Per Cwt.</t>
  </si>
  <si>
    <t>Price Slide &amp; Other Premium or Discount Calculator for Calf</t>
  </si>
  <si>
    <t>Changes as a Result of a Change In Production or Mgmt. Practice</t>
  </si>
  <si>
    <t>Average Weaned Percentage</t>
  </si>
  <si>
    <t xml:space="preserve">Maximum </t>
  </si>
  <si>
    <t>%***</t>
  </si>
  <si>
    <t>That Could be</t>
  </si>
  <si>
    <t>Paid $/Hd**</t>
  </si>
  <si>
    <t>** This is the maximun that could be paid per head and achieve the discount rate given the prices, cost etc.</t>
  </si>
  <si>
    <t>Net</t>
  </si>
  <si>
    <t>NON-CASH Cost - Depreciation</t>
  </si>
  <si>
    <t>Grazing Land</t>
  </si>
  <si>
    <t xml:space="preserve">     Land</t>
  </si>
  <si>
    <t>Acres/Cow</t>
  </si>
  <si>
    <t>Acres/AU</t>
  </si>
  <si>
    <t>Lb./Acre</t>
  </si>
  <si>
    <t>Lb. Weaned Per Total Acre</t>
  </si>
  <si>
    <t xml:space="preserve">    Owner Operator Management &amp; Labor</t>
  </si>
  <si>
    <t>Dol./Day</t>
  </si>
  <si>
    <t>Days</t>
  </si>
  <si>
    <t>Person</t>
  </si>
  <si>
    <t>$/Acre</t>
  </si>
  <si>
    <t>Acres</t>
  </si>
  <si>
    <t xml:space="preserve">   Equivalent Land Rent  - Grazeable Acres</t>
  </si>
  <si>
    <t>Total Grazing Costs</t>
  </si>
  <si>
    <t xml:space="preserve">   Gasoline, Fuel, &amp; Oil</t>
  </si>
  <si>
    <t xml:space="preserve">   Freight &amp; Trucking</t>
  </si>
  <si>
    <t xml:space="preserve">   Veterinary, Medicine &amp; Breeding</t>
  </si>
  <si>
    <t xml:space="preserve">   Supplies</t>
  </si>
  <si>
    <t xml:space="preserve">   Protein Supplement</t>
  </si>
  <si>
    <t xml:space="preserve">   Roughage</t>
  </si>
  <si>
    <t xml:space="preserve">   Complete Feed or Concentrate</t>
  </si>
  <si>
    <t xml:space="preserve">   Mineral and Salt</t>
  </si>
  <si>
    <t>Dol./Lb.</t>
  </si>
  <si>
    <t>Lb./BCU</t>
  </si>
  <si>
    <t>Other Select Cash Costs</t>
  </si>
  <si>
    <t>Per Total Acre</t>
  </si>
  <si>
    <t>Total Animal Units</t>
  </si>
  <si>
    <t xml:space="preserve">    Operating Capital - If Required</t>
  </si>
  <si>
    <t>Fixed Non Cash Cost</t>
  </si>
  <si>
    <t xml:space="preserve">Total Fixed Non Cash </t>
  </si>
  <si>
    <t>Non Cash</t>
  </si>
  <si>
    <t xml:space="preserve">          Total</t>
  </si>
  <si>
    <t xml:space="preserve">       Per BCU</t>
  </si>
  <si>
    <t>Total Depreciation</t>
  </si>
  <si>
    <t>Lb. Weaned Per Grazeable Acre</t>
  </si>
  <si>
    <t xml:space="preserve">    Hired Permanent Management</t>
  </si>
  <si>
    <t xml:space="preserve"> Depreciable Investments</t>
  </si>
  <si>
    <t>Cash Income Minus Total Cash Costs</t>
  </si>
  <si>
    <t>________________________________________________</t>
  </si>
  <si>
    <t>---------------------------------------------</t>
  </si>
  <si>
    <t>Check</t>
  </si>
  <si>
    <t>Variable Non Cash Economic</t>
  </si>
  <si>
    <t>Total Cash Flow</t>
  </si>
  <si>
    <t>Price Slide for Feeder Steers</t>
  </si>
  <si>
    <t>Base Steer Price</t>
  </si>
  <si>
    <t>Light</t>
  </si>
  <si>
    <t>Quality Discounts (-), Premiums (+)</t>
  </si>
  <si>
    <t xml:space="preserve">  Feed Yard or Market Premium</t>
  </si>
  <si>
    <t>Total Quality Discounts (-), Premiums (+)</t>
  </si>
  <si>
    <t xml:space="preserve">Gross Cattle Price After Discount or Premium </t>
  </si>
  <si>
    <t>Sales Value Per Head</t>
  </si>
  <si>
    <t>Marketing Costs - Percent</t>
  </si>
  <si>
    <t>Net Per Cwt.</t>
  </si>
  <si>
    <t>Net Per Head</t>
  </si>
  <si>
    <t>______________________________________________________________</t>
  </si>
  <si>
    <t>Price Slide for Feeder Heifers</t>
  </si>
  <si>
    <t>For the same weight of steers and heifers</t>
  </si>
  <si>
    <t>Basd on historical steer-heifer price</t>
  </si>
  <si>
    <t>Net Per Cwt. for Heifers</t>
  </si>
  <si>
    <t>Net Per Head for Heifers</t>
  </si>
  <si>
    <t>Summary of Net Prices For Catttle</t>
  </si>
  <si>
    <t>Weight</t>
  </si>
  <si>
    <t xml:space="preserve">   Steers </t>
  </si>
  <si>
    <t xml:space="preserve">   Heifers</t>
  </si>
  <si>
    <t>Net for Cull Cows</t>
  </si>
  <si>
    <t>Net for Cull Feeder Heifers</t>
  </si>
  <si>
    <t>________________________________________________________________________________________</t>
  </si>
  <si>
    <t xml:space="preserve">          Freight Cost Calculations</t>
  </si>
  <si>
    <t>Freight Cost Calculations</t>
  </si>
  <si>
    <t>Miles</t>
  </si>
  <si>
    <t>Cost/Mile</t>
  </si>
  <si>
    <t>Cattle Wt.</t>
  </si>
  <si>
    <t xml:space="preserve">    Load</t>
  </si>
  <si>
    <t>Cost of</t>
  </si>
  <si>
    <t>Freight</t>
  </si>
  <si>
    <t>Freight Cost</t>
  </si>
  <si>
    <t>Net Weight of Weaned Steers</t>
  </si>
  <si>
    <t>Net Weight of Weaned Heifers</t>
  </si>
  <si>
    <t>Sell Price of Cull Bulls - (Calculated - see cattle pricing sheet)</t>
  </si>
  <si>
    <t xml:space="preserve">   Marketing Costs - Percent</t>
  </si>
  <si>
    <t xml:space="preserve">   Net </t>
  </si>
  <si>
    <t xml:space="preserve"> (Prices Calculated - See Cattle Pricing Sheet)</t>
  </si>
  <si>
    <t>Hd/BCU</t>
  </si>
  <si>
    <t>Net for Cull Bulls</t>
  </si>
  <si>
    <t xml:space="preserve"> Grazing  - Non Land Costs</t>
  </si>
  <si>
    <t>Shorten breeding season and produce a more</t>
  </si>
  <si>
    <t>Forest Land</t>
  </si>
  <si>
    <t xml:space="preserve">   Insurance</t>
  </si>
  <si>
    <t xml:space="preserve">Number of Breeding Females Exposed </t>
  </si>
  <si>
    <t>Pregnancy Percentage Based on Exposed Females</t>
  </si>
  <si>
    <t>Percent Weaned Calf Crop Based on Exposed Females</t>
  </si>
  <si>
    <t>Calving Percent</t>
  </si>
  <si>
    <t>Pregnancy Percentage based on Exposed Females</t>
  </si>
  <si>
    <t>Breeding Cows</t>
  </si>
  <si>
    <t>Error</t>
  </si>
  <si>
    <t>Hay Land</t>
  </si>
  <si>
    <t>Net Per Cwt/Hd.</t>
  </si>
  <si>
    <t>Revenue</t>
  </si>
  <si>
    <t>Total Revenue</t>
  </si>
  <si>
    <t>Direct Costs</t>
  </si>
  <si>
    <t>Direct CASH Cost</t>
  </si>
  <si>
    <t>Finance Cost</t>
  </si>
  <si>
    <t>Indirect Costs</t>
  </si>
  <si>
    <t>Total Direct Costs</t>
  </si>
  <si>
    <t>Total Indirect Costs</t>
  </si>
  <si>
    <t xml:space="preserve">   Property Tax - Land Tax</t>
  </si>
  <si>
    <t xml:space="preserve">   Utilities, Phone, Computer etc.</t>
  </si>
  <si>
    <t xml:space="preserve">   Office Supplies</t>
  </si>
  <si>
    <t xml:space="preserve">   Other</t>
  </si>
  <si>
    <t>Total General and Administrative</t>
  </si>
  <si>
    <t>Total Finance Cost</t>
  </si>
  <si>
    <t>Indirect Cots</t>
  </si>
  <si>
    <t>G&amp;A</t>
  </si>
  <si>
    <t>Net Income</t>
  </si>
  <si>
    <t>Hd. -BCU</t>
  </si>
  <si>
    <t>% of Cost</t>
  </si>
  <si>
    <t>Direct Cash Cost</t>
  </si>
  <si>
    <t xml:space="preserve">  Other Grazing</t>
  </si>
  <si>
    <t xml:space="preserve">  Cash Rent Paid</t>
  </si>
  <si>
    <t>Indirect Cash Cost</t>
  </si>
  <si>
    <t xml:space="preserve">   Other Cash Cost</t>
  </si>
  <si>
    <t>Indirect Non-Cash Cost</t>
  </si>
  <si>
    <t>Finance Cash Cost</t>
  </si>
  <si>
    <t>Total Cash Indirect</t>
  </si>
  <si>
    <t>Cash Direct Costs</t>
  </si>
  <si>
    <t>Cash Direct costs</t>
  </si>
  <si>
    <t>G&amp;A Cash Cost</t>
  </si>
  <si>
    <t>Total Direct Cash Costs</t>
  </si>
  <si>
    <t>Total Non Cash</t>
  </si>
  <si>
    <t>Total Costs</t>
  </si>
  <si>
    <t>Error Check</t>
  </si>
  <si>
    <t>Percent Indirect</t>
  </si>
  <si>
    <t>Cash Costs</t>
  </si>
  <si>
    <t>Total Non Cash Cost</t>
  </si>
  <si>
    <t>Indirect + G&amp;A Cash Costs</t>
  </si>
  <si>
    <t xml:space="preserve">   Other Cash Costs</t>
  </si>
  <si>
    <t>Total Indirect &amp; G&amp;A Cash Costs</t>
  </si>
  <si>
    <t>Replacement</t>
  </si>
  <si>
    <t>Economic Cost</t>
  </si>
  <si>
    <t>Totals</t>
  </si>
  <si>
    <t>Cattle equipment</t>
  </si>
  <si>
    <t>Repairs %</t>
  </si>
  <si>
    <t>Depreciation</t>
  </si>
  <si>
    <t>Investment at Replacement Cost and Ownership and Repair Cost</t>
  </si>
  <si>
    <t>Other</t>
  </si>
  <si>
    <t xml:space="preserve">   of Cost</t>
  </si>
  <si>
    <t>Annual</t>
  </si>
  <si>
    <t xml:space="preserve">Annual </t>
  </si>
  <si>
    <t>Total Costs Ownership &amp; Repairs to Cow-Calf</t>
  </si>
  <si>
    <t xml:space="preserve">   Repairs &amp; Maintenance of Improvements</t>
  </si>
  <si>
    <t xml:space="preserve">    Vehicles, Machinery and Equipment</t>
  </si>
  <si>
    <t xml:space="preserve">       Vehicles, Machinery &amp; Equipment - at Replacement Cost</t>
  </si>
  <si>
    <t>Average Investment From Sheet 2.</t>
  </si>
  <si>
    <t xml:space="preserve">Salvage </t>
  </si>
  <si>
    <t xml:space="preserve">Useful </t>
  </si>
  <si>
    <t>Life</t>
  </si>
  <si>
    <t>Value %</t>
  </si>
  <si>
    <t>Feeders</t>
  </si>
  <si>
    <t>Pickups (2)</t>
  </si>
  <si>
    <t>Trailers (2)</t>
  </si>
  <si>
    <t>Tractor</t>
  </si>
  <si>
    <t>Gross Revenue</t>
  </si>
  <si>
    <t>Interest %</t>
  </si>
  <si>
    <t>To Cow-Calf</t>
  </si>
  <si>
    <t>Percent To</t>
  </si>
  <si>
    <t>Allocated</t>
  </si>
  <si>
    <t>Investment at Replacement Cost and Ownership and Repair Cost Allocated to Cow-Calf</t>
  </si>
  <si>
    <t>Calculating Cost of Vehicle, Machinery and Equipment at Replacement Cost</t>
  </si>
  <si>
    <t xml:space="preserve">Repairs* </t>
  </si>
  <si>
    <t>*Repairs and maintenance Cost. Fuel and oil input in main budget.</t>
  </si>
  <si>
    <t>Hd. on Load</t>
  </si>
  <si>
    <t>Steers</t>
  </si>
  <si>
    <t>Steer-Heifer Difference</t>
  </si>
  <si>
    <t>Cull Cow Price</t>
  </si>
  <si>
    <t>Cull Bull Price</t>
  </si>
  <si>
    <t>Cull Heifers Price</t>
  </si>
  <si>
    <t>Net Steer-Heifer Difference With Slide</t>
  </si>
  <si>
    <t>______________________________________________________________________</t>
  </si>
  <si>
    <t xml:space="preserve">   Other or All of feed Purchase</t>
  </si>
  <si>
    <t>Total Income</t>
  </si>
  <si>
    <t>Total Ranch Expenses</t>
  </si>
  <si>
    <t>Net Income From Ranch Operations</t>
  </si>
  <si>
    <t>Death Loss and Cull Sales Adjust.</t>
  </si>
  <si>
    <t>Income From Operations</t>
  </si>
  <si>
    <t>Capitalized Breeding Stock Cost</t>
  </si>
  <si>
    <t>Total Cost Before Capitalization</t>
  </si>
  <si>
    <t>Total Cash Income</t>
  </si>
  <si>
    <t>Total Interest Cost</t>
  </si>
  <si>
    <t>Total Other Cash Income</t>
  </si>
  <si>
    <t>Financing Cost</t>
  </si>
  <si>
    <t>Total Operating Expenses</t>
  </si>
  <si>
    <t>of total operating expenses</t>
  </si>
  <si>
    <t>Depreciation- Book Depreciation</t>
  </si>
  <si>
    <t>Total Cash Operating Expenses</t>
  </si>
  <si>
    <t>% of Oper. Exp.</t>
  </si>
  <si>
    <t xml:space="preserve">   Other Cash Incomes</t>
  </si>
  <si>
    <t xml:space="preserve">       Horses - Cash Sales -</t>
  </si>
  <si>
    <t>Net/Cwt.</t>
  </si>
  <si>
    <t>Ave.Wt.</t>
  </si>
  <si>
    <t xml:space="preserve">       Livestock - Cash Sales -</t>
  </si>
  <si>
    <t>Operating Expenses</t>
  </si>
  <si>
    <t>% of Oper.</t>
  </si>
  <si>
    <t>Expenses</t>
  </si>
  <si>
    <t xml:space="preserve">  </t>
  </si>
  <si>
    <t>Weaned Heifers</t>
  </si>
  <si>
    <t>Weaned Steers</t>
  </si>
  <si>
    <t>Sub Total Cattle Sales</t>
  </si>
  <si>
    <t>Net $/Hd.</t>
  </si>
  <si>
    <t xml:space="preserve">Sub Total Horse &amp; Related Services Sales            </t>
  </si>
  <si>
    <t>Interest Income,  Dividends and Refunds</t>
  </si>
  <si>
    <t>Net Ranch Income - (Accrual Adjusted)</t>
  </si>
  <si>
    <t>Cull Cows</t>
  </si>
  <si>
    <t>Cull Replacement Heifers</t>
  </si>
  <si>
    <t>Cull Bulls</t>
  </si>
  <si>
    <t>Percent of Sales</t>
  </si>
  <si>
    <t>Head in Herd</t>
  </si>
  <si>
    <t xml:space="preserve">    Head</t>
  </si>
  <si>
    <t>Total Other  Sales - Non-Breeding Stock</t>
  </si>
  <si>
    <t>Cull Horses</t>
  </si>
  <si>
    <t>Government Disaster Payments Related to Cattle</t>
  </si>
  <si>
    <t xml:space="preserve">   Other Non-Cash Depreciation Cost</t>
  </si>
  <si>
    <t>Total Labor and Mgmt</t>
  </si>
  <si>
    <t>Direct</t>
  </si>
  <si>
    <t>Indirect</t>
  </si>
  <si>
    <t>Finance</t>
  </si>
  <si>
    <t>% Total Cash Costs</t>
  </si>
  <si>
    <t>Per Acre</t>
  </si>
  <si>
    <t>% of TUC</t>
  </si>
  <si>
    <t>Per Total Ac.</t>
  </si>
  <si>
    <t>Total Cost (Total Unit Cost)</t>
  </si>
  <si>
    <t>General and Administrative Costs</t>
  </si>
  <si>
    <t>Replacement Cash Invest.</t>
  </si>
  <si>
    <t>Total Cash</t>
  </si>
  <si>
    <t>Interest</t>
  </si>
  <si>
    <t>Rate %</t>
  </si>
  <si>
    <t xml:space="preserve">  Breeding Cattle </t>
  </si>
  <si>
    <t xml:space="preserve">  Vehicles &amp; machinery</t>
  </si>
  <si>
    <t>Total Unit Cost</t>
  </si>
  <si>
    <t>Non-Cash Cost Depreciation Cost</t>
  </si>
  <si>
    <t>Financial Cost Summary Analysis</t>
  </si>
  <si>
    <t>Capital Purchases - Cattle</t>
  </si>
  <si>
    <t>Number of Breeding Cows In Herd - Beginning Fiscal Year - BCU</t>
  </si>
  <si>
    <t xml:space="preserve">   Professional Fees - Accounting &amp; Legal</t>
  </si>
  <si>
    <t>Financial TUC  Necessary Price Analysis</t>
  </si>
  <si>
    <t xml:space="preserve">Revenue and Costs and Returns Per Breeding Cow Unit (BCU) and Total Herd   </t>
  </si>
  <si>
    <t>Extra Ordinary Net Income*</t>
  </si>
  <si>
    <t>Gains (Loss) from Sale of Capital Assets*</t>
  </si>
  <si>
    <t>Net Change In Base Value of Breeding Stock*</t>
  </si>
  <si>
    <t>Total Accrual Revenue Adjustments*</t>
  </si>
  <si>
    <t xml:space="preserve">Cow Calf Herd Profit and Loss Statement* </t>
  </si>
  <si>
    <t>Production or Management  Practice  Evaluation</t>
  </si>
  <si>
    <t>Calculated SPA Production Performance</t>
  </si>
  <si>
    <t>Grazing Land and Stocker Rate</t>
  </si>
  <si>
    <t>Capital Investment In Livestock</t>
  </si>
  <si>
    <t>Production Coefficients</t>
  </si>
  <si>
    <t>Non-Cash Cost For Economic Cost Calculation</t>
  </si>
  <si>
    <t>Non-Cash Cost (Interest) For Economic Cost Calculation</t>
  </si>
  <si>
    <t>Total Non-Cash Cost</t>
  </si>
  <si>
    <t>Total Projected Economic Cost of Production and Net Income**</t>
  </si>
  <si>
    <t>Total Projected Economics Cost of Production</t>
  </si>
  <si>
    <t>Net Economic  Income</t>
  </si>
  <si>
    <t xml:space="preserve"> Total Economic Cost of Production For Calves - SPA Comparable</t>
  </si>
  <si>
    <t>Animal  Unit Equivalents</t>
  </si>
  <si>
    <t>Total Ind. Cash + Noncash</t>
  </si>
  <si>
    <t>Sensitivity Analysis Net, Gross Income and Costs</t>
  </si>
  <si>
    <t>Cost of Calf Production</t>
  </si>
  <si>
    <t>Cattle Pricing Calculator</t>
  </si>
  <si>
    <t>Cow - Calf  and Herd Budget</t>
  </si>
  <si>
    <t xml:space="preserve">*There are blank cells associated with ranch financial statements but not used when linked to a cow-calf budget. </t>
  </si>
  <si>
    <t>Net Income**</t>
  </si>
  <si>
    <t>**Does not have total ranch adjustments that are accomplished in the ranch business financial statements.</t>
  </si>
  <si>
    <t>uniform calf crop and implant calves when worked</t>
  </si>
  <si>
    <t xml:space="preserve">   Dues &amp; Subscriptions</t>
  </si>
  <si>
    <t xml:space="preserve">   Administrative Wages Payroll etc.</t>
  </si>
  <si>
    <t xml:space="preserve">     Head</t>
  </si>
  <si>
    <t>Capitalized Cost Adjustment*</t>
  </si>
  <si>
    <t>Total Accrual Interest Adjustments*</t>
  </si>
  <si>
    <t>Total Accrual Cost Adjustments*</t>
  </si>
  <si>
    <t xml:space="preserve">   Cull Bull</t>
  </si>
  <si>
    <t xml:space="preserve">          Head</t>
  </si>
  <si>
    <t>Bull salvage value is in revenue as remaining basis is zero.</t>
  </si>
  <si>
    <t>Cow salvage value is in revenue as remaining basis is zero.</t>
  </si>
  <si>
    <t>TOTAL NON-CASH Cost - Depreciation</t>
  </si>
  <si>
    <t>Cost/BCU</t>
  </si>
  <si>
    <t>Estimated breeding stock replacement based of depreciation to zero salvage value.</t>
  </si>
  <si>
    <r>
      <t xml:space="preserve">  Base Price Before </t>
    </r>
    <r>
      <rPr>
        <sz val="11"/>
        <rFont val="Arial"/>
        <family val="2"/>
      </rPr>
      <t>Adjusting for Weight Slide</t>
    </r>
  </si>
  <si>
    <t xml:space="preserve">   $/Ton</t>
  </si>
  <si>
    <t>400 Cow-Calf Case Ranch Budget</t>
  </si>
  <si>
    <t>Per Head</t>
  </si>
  <si>
    <t xml:space="preserve">$/Per </t>
  </si>
  <si>
    <t>BCU</t>
  </si>
  <si>
    <t xml:space="preserve">   Repairs &amp; Main. - Vehicles, Mach.&amp; Equip.</t>
  </si>
  <si>
    <t xml:space="preserve">   Water Mgmt. &amp; Improvement Cost</t>
  </si>
  <si>
    <t xml:space="preserve">  Water Mgmt. &amp; Improvements</t>
  </si>
  <si>
    <t>Lb./Hd</t>
  </si>
  <si>
    <t>Salvage Value % of Purchase</t>
  </si>
  <si>
    <t>Total Land in Ranch and acres per AU</t>
  </si>
  <si>
    <t>Rolling Plains TX - Owned Land</t>
  </si>
  <si>
    <r>
      <t xml:space="preserve">   Vehicles, Machinery &amp; Equipment (</t>
    </r>
    <r>
      <rPr>
        <sz val="8"/>
        <rFont val="Arial"/>
        <family val="2"/>
      </rPr>
      <t>See Sheet 2.)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</si>
</sst>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0.0000"/>
    <numFmt numFmtId="168" formatCode="0_)"/>
    <numFmt numFmtId="169" formatCode="&quot;$&quot;#,##0.00"/>
    <numFmt numFmtId="170" formatCode="&quot;$&quot;#,##0"/>
    <numFmt numFmtId="171" formatCode="0.0%"/>
    <numFmt numFmtId="172" formatCode="0_);\(0\)"/>
    <numFmt numFmtId="173" formatCode="#,##0.0_);\(#,##0.0\)"/>
    <numFmt numFmtId="174" formatCode="0.00_);\(0.00\)"/>
    <numFmt numFmtId="175" formatCode="0.0_);\(0.0\)"/>
    <numFmt numFmtId="176" formatCode="_(* #,##0_);_(* \(#,##0\);_(* &quot;-&quot;??_);_(@_)"/>
    <numFmt numFmtId="177" formatCode="[$$-409]#,##0_);[Red]\([$$-409]#,##0\)"/>
    <numFmt numFmtId="178" formatCode="[$$-409]#,##0.00_);[Red]\([$$-409]#,##0.00\)"/>
    <numFmt numFmtId="179" formatCode="&quot;$&quot;#,##0.0_);[Red]\(&quot;$&quot;#,##0.0\)"/>
  </numFmts>
  <fonts count="39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sz val="10"/>
      <color indexed="39"/>
      <name val="Arial"/>
      <family val="2"/>
    </font>
    <font>
      <sz val="10"/>
      <color indexed="49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33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8"/>
      </bottom>
      <diagonal/>
    </border>
  </borders>
  <cellStyleXfs count="5">
    <xf numFmtId="0" fontId="0" fillId="2" borderId="0" applyBorder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" fontId="1" fillId="2" borderId="0"/>
    <xf numFmtId="9" fontId="2" fillId="0" borderId="0" applyFont="0" applyFill="0" applyBorder="0" applyAlignment="0" applyProtection="0"/>
  </cellStyleXfs>
  <cellXfs count="487">
    <xf numFmtId="0" fontId="0" fillId="2" borderId="0" xfId="0" applyNumberFormat="1"/>
    <xf numFmtId="0" fontId="4" fillId="2" borderId="0" xfId="0" applyNumberFormat="1" applyFont="1"/>
    <xf numFmtId="7" fontId="4" fillId="2" borderId="0" xfId="0" applyNumberFormat="1" applyFont="1"/>
    <xf numFmtId="2" fontId="5" fillId="2" borderId="0" xfId="3" applyNumberFormat="1" applyFont="1" applyProtection="1"/>
    <xf numFmtId="2" fontId="4" fillId="2" borderId="0" xfId="3" applyNumberFormat="1" applyFont="1" applyProtection="1"/>
    <xf numFmtId="2" fontId="5" fillId="2" borderId="0" xfId="3" applyNumberFormat="1" applyFont="1" applyAlignment="1" applyProtection="1">
      <alignment horizontal="center"/>
    </xf>
    <xf numFmtId="2" fontId="4" fillId="2" borderId="0" xfId="3" applyNumberFormat="1" applyFont="1" applyAlignment="1" applyProtection="1">
      <alignment horizontal="center"/>
    </xf>
    <xf numFmtId="2" fontId="4" fillId="2" borderId="0" xfId="3" applyNumberFormat="1" applyFont="1" applyAlignment="1" applyProtection="1">
      <alignment horizontal="right"/>
    </xf>
    <xf numFmtId="2" fontId="4" fillId="2" borderId="0" xfId="3" applyNumberFormat="1" applyFont="1" applyAlignment="1" applyProtection="1">
      <alignment horizontal="fill"/>
    </xf>
    <xf numFmtId="165" fontId="4" fillId="2" borderId="0" xfId="3" applyNumberFormat="1" applyFont="1" applyProtection="1"/>
    <xf numFmtId="166" fontId="4" fillId="2" borderId="0" xfId="3" applyNumberFormat="1" applyFont="1" applyProtection="1"/>
    <xf numFmtId="2" fontId="4" fillId="2" borderId="0" xfId="3" applyNumberFormat="1" applyFont="1" applyAlignment="1" applyProtection="1">
      <alignment horizontal="left"/>
    </xf>
    <xf numFmtId="1" fontId="4" fillId="2" borderId="0" xfId="3" applyNumberFormat="1" applyFont="1" applyProtection="1"/>
    <xf numFmtId="2" fontId="4" fillId="2" borderId="0" xfId="3" applyFont="1" applyProtection="1"/>
    <xf numFmtId="7" fontId="4" fillId="2" borderId="0" xfId="3" applyNumberFormat="1" applyFont="1" applyProtection="1"/>
    <xf numFmtId="1" fontId="4" fillId="2" borderId="0" xfId="3" applyNumberFormat="1" applyFont="1" applyAlignment="1" applyProtection="1">
      <alignment horizontal="fill"/>
    </xf>
    <xf numFmtId="171" fontId="4" fillId="2" borderId="0" xfId="0" applyNumberFormat="1" applyFont="1"/>
    <xf numFmtId="0" fontId="6" fillId="2" borderId="0" xfId="0" applyNumberFormat="1" applyFont="1"/>
    <xf numFmtId="173" fontId="4" fillId="2" borderId="0" xfId="0" applyNumberFormat="1" applyFont="1"/>
    <xf numFmtId="2" fontId="4" fillId="2" borderId="0" xfId="3" quotePrefix="1" applyNumberFormat="1" applyFont="1" applyProtection="1"/>
    <xf numFmtId="7" fontId="0" fillId="2" borderId="0" xfId="0" applyNumberFormat="1"/>
    <xf numFmtId="0" fontId="8" fillId="2" borderId="0" xfId="0" applyNumberFormat="1" applyFont="1"/>
    <xf numFmtId="2" fontId="7" fillId="2" borderId="0" xfId="3" applyNumberFormat="1" applyFont="1" applyAlignment="1" applyProtection="1">
      <alignment horizontal="center"/>
    </xf>
    <xf numFmtId="0" fontId="0" fillId="2" borderId="0" xfId="0"/>
    <xf numFmtId="0" fontId="6" fillId="2" borderId="0" xfId="0" applyFont="1"/>
    <xf numFmtId="0" fontId="12" fillId="2" borderId="0" xfId="0" applyFont="1"/>
    <xf numFmtId="7" fontId="0" fillId="2" borderId="0" xfId="0" applyNumberFormat="1" applyProtection="1"/>
    <xf numFmtId="7" fontId="14" fillId="2" borderId="0" xfId="0" applyNumberFormat="1" applyFont="1" applyProtection="1"/>
    <xf numFmtId="0" fontId="14" fillId="2" borderId="0" xfId="0" applyFont="1"/>
    <xf numFmtId="0" fontId="13" fillId="0" borderId="0" xfId="0" applyFont="1" applyFill="1" applyBorder="1"/>
    <xf numFmtId="3" fontId="0" fillId="2" borderId="0" xfId="0" applyNumberFormat="1"/>
    <xf numFmtId="6" fontId="0" fillId="2" borderId="0" xfId="0" applyNumberFormat="1"/>
    <xf numFmtId="0" fontId="0" fillId="0" borderId="0" xfId="0" applyFill="1" applyBorder="1"/>
    <xf numFmtId="0" fontId="0" fillId="0" borderId="0" xfId="0" applyFill="1"/>
    <xf numFmtId="0" fontId="17" fillId="0" borderId="0" xfId="0" applyFont="1" applyFill="1"/>
    <xf numFmtId="0" fontId="13" fillId="0" borderId="0" xfId="0" applyFont="1" applyFill="1"/>
    <xf numFmtId="0" fontId="15" fillId="0" borderId="0" xfId="0" applyFont="1" applyFill="1"/>
    <xf numFmtId="6" fontId="13" fillId="0" borderId="0" xfId="0" applyNumberFormat="1" applyFont="1" applyFill="1"/>
    <xf numFmtId="0" fontId="6" fillId="0" borderId="0" xfId="0" applyFont="1" applyFill="1"/>
    <xf numFmtId="0" fontId="12" fillId="0" borderId="0" xfId="0" applyFont="1" applyFill="1"/>
    <xf numFmtId="2" fontId="4" fillId="0" borderId="0" xfId="3" applyNumberFormat="1" applyFont="1" applyFill="1" applyProtection="1"/>
    <xf numFmtId="0" fontId="13" fillId="0" borderId="0" xfId="0" applyFont="1" applyFill="1" applyAlignment="1">
      <alignment horizontal="center"/>
    </xf>
    <xf numFmtId="2" fontId="4" fillId="0" borderId="0" xfId="3" applyNumberFormat="1" applyFont="1" applyFill="1" applyAlignment="1" applyProtection="1">
      <alignment horizontal="fill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/>
    <xf numFmtId="6" fontId="4" fillId="2" borderId="0" xfId="0" applyNumberFormat="1" applyFont="1"/>
    <xf numFmtId="0" fontId="1" fillId="0" borderId="0" xfId="0" applyFont="1" applyFill="1"/>
    <xf numFmtId="0" fontId="6" fillId="0" borderId="0" xfId="0" applyFont="1" applyFill="1" applyAlignment="1">
      <alignment horizontal="center"/>
    </xf>
    <xf numFmtId="37" fontId="6" fillId="0" borderId="0" xfId="0" applyNumberFormat="1" applyFont="1" applyFill="1" applyBorder="1" applyProtection="1"/>
    <xf numFmtId="7" fontId="11" fillId="0" borderId="1" xfId="0" applyNumberFormat="1" applyFont="1" applyFill="1" applyBorder="1" applyProtection="1">
      <protection locked="0"/>
    </xf>
    <xf numFmtId="37" fontId="11" fillId="0" borderId="1" xfId="0" applyNumberFormat="1" applyFont="1" applyFill="1" applyBorder="1" applyProtection="1">
      <protection locked="0"/>
    </xf>
    <xf numFmtId="7" fontId="10" fillId="0" borderId="0" xfId="0" applyNumberFormat="1" applyFont="1" applyFill="1" applyProtection="1"/>
    <xf numFmtId="169" fontId="6" fillId="0" borderId="0" xfId="0" applyNumberFormat="1" applyFont="1" applyFill="1"/>
    <xf numFmtId="0" fontId="15" fillId="0" borderId="0" xfId="0" applyFont="1" applyFill="1" applyProtection="1">
      <protection locked="0"/>
    </xf>
    <xf numFmtId="178" fontId="6" fillId="0" borderId="0" xfId="0" applyNumberFormat="1" applyFont="1" applyFill="1"/>
    <xf numFmtId="169" fontId="6" fillId="0" borderId="0" xfId="0" applyNumberFormat="1" applyFont="1" applyFill="1" applyProtection="1"/>
    <xf numFmtId="8" fontId="6" fillId="0" borderId="0" xfId="0" applyNumberFormat="1" applyFont="1" applyFill="1"/>
    <xf numFmtId="173" fontId="11" fillId="0" borderId="1" xfId="0" applyNumberFormat="1" applyFont="1" applyFill="1" applyBorder="1" applyProtection="1">
      <protection locked="0"/>
    </xf>
    <xf numFmtId="169" fontId="13" fillId="0" borderId="0" xfId="0" applyNumberFormat="1" applyFont="1" applyFill="1"/>
    <xf numFmtId="0" fontId="0" fillId="0" borderId="0" xfId="0" applyNumberFormat="1" applyFill="1"/>
    <xf numFmtId="37" fontId="6" fillId="0" borderId="1" xfId="0" applyNumberFormat="1" applyFont="1" applyFill="1" applyBorder="1" applyProtection="1"/>
    <xf numFmtId="0" fontId="6" fillId="0" borderId="0" xfId="0" applyNumberFormat="1" applyFont="1" applyFill="1"/>
    <xf numFmtId="170" fontId="12" fillId="0" borderId="0" xfId="0" applyNumberFormat="1" applyFont="1" applyFill="1"/>
    <xf numFmtId="168" fontId="13" fillId="0" borderId="0" xfId="0" applyNumberFormat="1" applyFont="1" applyFill="1"/>
    <xf numFmtId="170" fontId="13" fillId="0" borderId="0" xfId="0" applyNumberFormat="1" applyFont="1" applyFill="1"/>
    <xf numFmtId="8" fontId="13" fillId="0" borderId="0" xfId="0" applyNumberFormat="1" applyFont="1" applyFill="1" applyBorder="1" applyProtection="1"/>
    <xf numFmtId="170" fontId="0" fillId="0" borderId="0" xfId="0" applyNumberFormat="1" applyFill="1"/>
    <xf numFmtId="0" fontId="1" fillId="0" borderId="0" xfId="0" applyFont="1" applyFill="1" applyAlignment="1">
      <alignment horizontal="center"/>
    </xf>
    <xf numFmtId="38" fontId="16" fillId="0" borderId="0" xfId="0" applyNumberFormat="1" applyFont="1" applyFill="1" applyProtection="1">
      <protection locked="0"/>
    </xf>
    <xf numFmtId="8" fontId="16" fillId="0" borderId="0" xfId="0" applyNumberFormat="1" applyFont="1" applyFill="1" applyProtection="1">
      <protection locked="0"/>
    </xf>
    <xf numFmtId="1" fontId="4" fillId="0" borderId="0" xfId="3" applyNumberFormat="1" applyFont="1" applyFill="1" applyAlignment="1" applyProtection="1">
      <alignment horizontal="fill"/>
    </xf>
    <xf numFmtId="0" fontId="0" fillId="3" borderId="0" xfId="0" applyFill="1"/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5" fillId="3" borderId="0" xfId="0" applyFont="1" applyFill="1"/>
    <xf numFmtId="38" fontId="6" fillId="2" borderId="0" xfId="0" applyNumberFormat="1" applyFont="1" applyProtection="1"/>
    <xf numFmtId="169" fontId="0" fillId="2" borderId="0" xfId="0" applyNumberFormat="1"/>
    <xf numFmtId="8" fontId="6" fillId="0" borderId="2" xfId="0" applyNumberFormat="1" applyFont="1" applyFill="1" applyBorder="1" applyProtection="1"/>
    <xf numFmtId="7" fontId="11" fillId="0" borderId="3" xfId="0" applyNumberFormat="1" applyFont="1" applyFill="1" applyBorder="1" applyProtection="1">
      <protection locked="0"/>
    </xf>
    <xf numFmtId="173" fontId="11" fillId="0" borderId="0" xfId="0" applyNumberFormat="1" applyFont="1" applyFill="1" applyBorder="1" applyProtection="1">
      <protection locked="0"/>
    </xf>
    <xf numFmtId="173" fontId="6" fillId="0" borderId="0" xfId="0" applyNumberFormat="1" applyFont="1" applyFill="1" applyBorder="1" applyProtection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7" fontId="6" fillId="0" borderId="0" xfId="0" applyNumberFormat="1" applyFont="1" applyFill="1" applyBorder="1" applyProtection="1"/>
    <xf numFmtId="7" fontId="0" fillId="0" borderId="0" xfId="0" applyNumberFormat="1" applyFill="1" applyBorder="1" applyProtection="1"/>
    <xf numFmtId="37" fontId="11" fillId="0" borderId="0" xfId="0" applyNumberFormat="1" applyFont="1" applyFill="1" applyBorder="1" applyProtection="1">
      <protection locked="0"/>
    </xf>
    <xf numFmtId="7" fontId="11" fillId="0" borderId="0" xfId="0" applyNumberFormat="1" applyFont="1" applyFill="1" applyBorder="1" applyProtection="1">
      <protection locked="0"/>
    </xf>
    <xf numFmtId="0" fontId="13" fillId="0" borderId="0" xfId="0" applyFont="1" applyFill="1" applyBorder="1" applyAlignment="1">
      <alignment horizontal="center"/>
    </xf>
    <xf numFmtId="7" fontId="10" fillId="0" borderId="0" xfId="0" applyNumberFormat="1" applyFont="1" applyFill="1" applyBorder="1" applyProtection="1"/>
    <xf numFmtId="169" fontId="6" fillId="0" borderId="0" xfId="0" applyNumberFormat="1" applyFont="1" applyFill="1" applyBorder="1"/>
    <xf numFmtId="0" fontId="15" fillId="0" borderId="0" xfId="0" applyFont="1" applyFill="1" applyBorder="1" applyProtection="1">
      <protection locked="0"/>
    </xf>
    <xf numFmtId="178" fontId="6" fillId="0" borderId="0" xfId="0" applyNumberFormat="1" applyFont="1" applyFill="1" applyBorder="1"/>
    <xf numFmtId="169" fontId="6" fillId="0" borderId="0" xfId="0" applyNumberFormat="1" applyFont="1" applyFill="1" applyBorder="1" applyProtection="1"/>
    <xf numFmtId="8" fontId="6" fillId="0" borderId="0" xfId="0" applyNumberFormat="1" applyFont="1" applyFill="1" applyBorder="1"/>
    <xf numFmtId="0" fontId="12" fillId="0" borderId="0" xfId="0" applyFont="1" applyFill="1" applyBorder="1"/>
    <xf numFmtId="169" fontId="13" fillId="0" borderId="0" xfId="0" applyNumberFormat="1" applyFont="1" applyFill="1" applyBorder="1"/>
    <xf numFmtId="7" fontId="21" fillId="2" borderId="0" xfId="0" applyNumberFormat="1" applyFont="1" applyProtection="1"/>
    <xf numFmtId="0" fontId="13" fillId="4" borderId="0" xfId="0" applyFont="1" applyFill="1"/>
    <xf numFmtId="37" fontId="6" fillId="4" borderId="0" xfId="0" applyNumberFormat="1" applyFont="1" applyFill="1" applyBorder="1" applyProtection="1"/>
    <xf numFmtId="8" fontId="13" fillId="4" borderId="0" xfId="0" applyNumberFormat="1" applyFont="1" applyFill="1" applyBorder="1" applyProtection="1"/>
    <xf numFmtId="0" fontId="13" fillId="4" borderId="0" xfId="0" applyFont="1" applyFill="1" applyBorder="1" applyAlignment="1">
      <alignment horizontal="right"/>
    </xf>
    <xf numFmtId="8" fontId="1" fillId="4" borderId="0" xfId="0" applyNumberFormat="1" applyFont="1" applyFill="1"/>
    <xf numFmtId="0" fontId="6" fillId="4" borderId="0" xfId="0" applyFont="1" applyFill="1" applyAlignment="1">
      <alignment horizontal="center"/>
    </xf>
    <xf numFmtId="169" fontId="13" fillId="4" borderId="0" xfId="0" applyNumberFormat="1" applyFon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69" fontId="6" fillId="3" borderId="0" xfId="0" applyNumberFormat="1" applyFont="1" applyFill="1" applyProtection="1"/>
    <xf numFmtId="0" fontId="13" fillId="4" borderId="0" xfId="0" applyFont="1" applyFill="1" applyAlignment="1">
      <alignment horizontal="center"/>
    </xf>
    <xf numFmtId="0" fontId="0" fillId="2" borderId="0" xfId="0" applyBorder="1" applyProtection="1"/>
    <xf numFmtId="0" fontId="0" fillId="2" borderId="0" xfId="0" applyNumberFormat="1" applyBorder="1"/>
    <xf numFmtId="6" fontId="0" fillId="0" borderId="0" xfId="0" applyNumberFormat="1" applyFill="1" applyBorder="1" applyProtection="1"/>
    <xf numFmtId="0" fontId="0" fillId="2" borderId="0" xfId="0" applyBorder="1"/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0" fillId="0" borderId="0" xfId="0" applyNumberFormat="1" applyFill="1" applyBorder="1"/>
    <xf numFmtId="2" fontId="1" fillId="0" borderId="0" xfId="3" applyNumberFormat="1" applyFont="1" applyFill="1" applyProtection="1"/>
    <xf numFmtId="14" fontId="23" fillId="0" borderId="0" xfId="3" applyNumberFormat="1" applyFont="1" applyFill="1" applyAlignment="1" applyProtection="1">
      <alignment horizontal="left"/>
    </xf>
    <xf numFmtId="164" fontId="1" fillId="0" borderId="0" xfId="3" applyNumberFormat="1" applyFont="1" applyFill="1" applyProtection="1"/>
    <xf numFmtId="2" fontId="1" fillId="0" borderId="0" xfId="3" applyNumberFormat="1" applyFont="1" applyFill="1" applyAlignment="1" applyProtection="1">
      <alignment horizontal="fill"/>
    </xf>
    <xf numFmtId="2" fontId="10" fillId="0" borderId="0" xfId="3" applyNumberFormat="1" applyFont="1" applyFill="1" applyAlignment="1" applyProtection="1">
      <alignment horizontal="left"/>
    </xf>
    <xf numFmtId="2" fontId="2" fillId="0" borderId="0" xfId="3" quotePrefix="1" applyNumberFormat="1" applyFont="1" applyFill="1" applyAlignment="1" applyProtection="1">
      <alignment horizontal="left"/>
    </xf>
    <xf numFmtId="2" fontId="25" fillId="0" borderId="4" xfId="3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15" fontId="2" fillId="0" borderId="0" xfId="3" applyNumberFormat="1" applyFont="1" applyFill="1" applyProtection="1"/>
    <xf numFmtId="2" fontId="2" fillId="0" borderId="0" xfId="3" applyNumberFormat="1" applyFont="1" applyFill="1" applyProtection="1"/>
    <xf numFmtId="2" fontId="23" fillId="0" borderId="0" xfId="3" applyNumberFormat="1" applyFont="1" applyFill="1" applyAlignment="1" applyProtection="1">
      <alignment horizontal="center"/>
    </xf>
    <xf numFmtId="2" fontId="2" fillId="0" borderId="0" xfId="3" applyNumberFormat="1" applyFont="1" applyFill="1" applyAlignment="1" applyProtection="1">
      <alignment horizontal="center"/>
    </xf>
    <xf numFmtId="2" fontId="2" fillId="0" borderId="0" xfId="3" applyNumberFormat="1" applyFont="1" applyFill="1" applyAlignment="1" applyProtection="1">
      <alignment horizontal="fill"/>
    </xf>
    <xf numFmtId="2" fontId="2" fillId="0" borderId="0" xfId="3" quotePrefix="1" applyNumberFormat="1" applyFont="1" applyFill="1" applyAlignment="1" applyProtection="1">
      <alignment horizontal="center"/>
    </xf>
    <xf numFmtId="3" fontId="25" fillId="0" borderId="7" xfId="3" applyNumberFormat="1" applyFont="1" applyFill="1" applyBorder="1" applyProtection="1">
      <protection locked="0"/>
    </xf>
    <xf numFmtId="165" fontId="25" fillId="0" borderId="7" xfId="3" applyNumberFormat="1" applyFont="1" applyFill="1" applyBorder="1" applyProtection="1">
      <protection locked="0"/>
    </xf>
    <xf numFmtId="165" fontId="2" fillId="0" borderId="0" xfId="3" applyNumberFormat="1" applyFont="1" applyFill="1" applyProtection="1"/>
    <xf numFmtId="166" fontId="2" fillId="0" borderId="0" xfId="3" applyNumberFormat="1" applyFont="1" applyFill="1" applyProtection="1"/>
    <xf numFmtId="0" fontId="25" fillId="0" borderId="7" xfId="3" applyNumberFormat="1" applyFont="1" applyFill="1" applyBorder="1" applyProtection="1">
      <protection locked="0"/>
    </xf>
    <xf numFmtId="167" fontId="2" fillId="0" borderId="0" xfId="3" applyNumberFormat="1" applyFont="1" applyFill="1" applyProtection="1"/>
    <xf numFmtId="43" fontId="2" fillId="0" borderId="0" xfId="1" applyFont="1" applyFill="1" applyProtection="1"/>
    <xf numFmtId="0" fontId="25" fillId="0" borderId="7" xfId="3" applyNumberFormat="1" applyFont="1" applyFill="1" applyBorder="1" applyAlignment="1" applyProtection="1">
      <alignment horizontal="right"/>
      <protection locked="0"/>
    </xf>
    <xf numFmtId="176" fontId="25" fillId="0" borderId="7" xfId="1" applyNumberFormat="1" applyFont="1" applyFill="1" applyBorder="1" applyProtection="1">
      <protection locked="0"/>
    </xf>
    <xf numFmtId="8" fontId="2" fillId="0" borderId="0" xfId="3" applyNumberFormat="1" applyFont="1" applyFill="1" applyBorder="1" applyProtection="1"/>
    <xf numFmtId="170" fontId="25" fillId="0" borderId="7" xfId="3" applyNumberFormat="1" applyFont="1" applyFill="1" applyBorder="1" applyProtection="1">
      <protection locked="0"/>
    </xf>
    <xf numFmtId="2" fontId="25" fillId="0" borderId="7" xfId="3" applyNumberFormat="1" applyFont="1" applyFill="1" applyBorder="1" applyProtection="1">
      <protection locked="0"/>
    </xf>
    <xf numFmtId="0" fontId="26" fillId="0" borderId="0" xfId="3" applyNumberFormat="1" applyFont="1" applyFill="1" applyProtection="1">
      <protection locked="0"/>
    </xf>
    <xf numFmtId="2" fontId="23" fillId="0" borderId="0" xfId="3" applyNumberFormat="1" applyFont="1" applyFill="1" applyAlignment="1" applyProtection="1">
      <alignment horizontal="left"/>
    </xf>
    <xf numFmtId="2" fontId="2" fillId="0" borderId="0" xfId="3" applyNumberFormat="1" applyFont="1" applyFill="1" applyAlignment="1" applyProtection="1">
      <alignment horizontal="left"/>
    </xf>
    <xf numFmtId="1" fontId="2" fillId="0" borderId="0" xfId="3" applyNumberFormat="1" applyFont="1" applyFill="1" applyProtection="1"/>
    <xf numFmtId="2" fontId="2" fillId="0" borderId="0" xfId="3" applyNumberFormat="1" applyFont="1" applyFill="1" applyAlignment="1" applyProtection="1">
      <alignment horizontal="right"/>
    </xf>
    <xf numFmtId="2" fontId="12" fillId="0" borderId="0" xfId="3" applyNumberFormat="1" applyFont="1" applyFill="1" applyProtection="1"/>
    <xf numFmtId="2" fontId="2" fillId="0" borderId="0" xfId="3" applyFont="1" applyFill="1" applyAlignment="1" applyProtection="1">
      <alignment horizontal="center"/>
    </xf>
    <xf numFmtId="2" fontId="2" fillId="0" borderId="0" xfId="3" applyFont="1" applyFill="1" applyProtection="1"/>
    <xf numFmtId="169" fontId="2" fillId="0" borderId="0" xfId="3" applyNumberFormat="1" applyFont="1" applyFill="1" applyBorder="1" applyProtection="1"/>
    <xf numFmtId="7" fontId="2" fillId="0" borderId="0" xfId="3" applyNumberFormat="1" applyFont="1" applyFill="1" applyProtection="1"/>
    <xf numFmtId="5" fontId="2" fillId="0" borderId="0" xfId="3" applyNumberFormat="1" applyFont="1" applyFill="1" applyProtection="1"/>
    <xf numFmtId="171" fontId="2" fillId="0" borderId="0" xfId="4" applyNumberFormat="1" applyFont="1" applyFill="1" applyProtection="1"/>
    <xf numFmtId="2" fontId="2" fillId="2" borderId="0" xfId="3" applyNumberFormat="1" applyFont="1" applyProtection="1"/>
    <xf numFmtId="2" fontId="12" fillId="0" borderId="0" xfId="3" applyNumberFormat="1" applyFont="1" applyFill="1" applyAlignment="1" applyProtection="1">
      <alignment horizontal="center"/>
    </xf>
    <xf numFmtId="7" fontId="2" fillId="0" borderId="0" xfId="3" applyNumberFormat="1" applyFont="1" applyFill="1" applyAlignment="1" applyProtection="1">
      <alignment horizontal="fill"/>
    </xf>
    <xf numFmtId="2" fontId="12" fillId="5" borderId="0" xfId="3" applyNumberFormat="1" applyFont="1" applyFill="1" applyProtection="1"/>
    <xf numFmtId="2" fontId="2" fillId="5" borderId="0" xfId="3" applyNumberFormat="1" applyFont="1" applyFill="1" applyProtection="1"/>
    <xf numFmtId="7" fontId="12" fillId="5" borderId="0" xfId="3" applyNumberFormat="1" applyFont="1" applyFill="1" applyProtection="1"/>
    <xf numFmtId="5" fontId="12" fillId="5" borderId="0" xfId="3" applyNumberFormat="1" applyFont="1" applyFill="1" applyProtection="1"/>
    <xf numFmtId="7" fontId="12" fillId="0" borderId="0" xfId="3" applyNumberFormat="1" applyFont="1" applyFill="1" applyAlignment="1" applyProtection="1">
      <alignment horizontal="center"/>
    </xf>
    <xf numFmtId="2" fontId="25" fillId="0" borderId="0" xfId="3" applyFont="1" applyFill="1" applyProtection="1"/>
    <xf numFmtId="2" fontId="25" fillId="0" borderId="0" xfId="3" applyNumberFormat="1" applyFont="1" applyFill="1" applyProtection="1"/>
    <xf numFmtId="2" fontId="27" fillId="0" borderId="0" xfId="3" applyNumberFormat="1" applyFont="1" applyFill="1" applyProtection="1"/>
    <xf numFmtId="178" fontId="2" fillId="0" borderId="0" xfId="3" applyNumberFormat="1" applyFont="1" applyFill="1" applyProtection="1"/>
    <xf numFmtId="177" fontId="2" fillId="0" borderId="0" xfId="1" applyNumberFormat="1" applyFont="1" applyFill="1" applyProtection="1"/>
    <xf numFmtId="2" fontId="26" fillId="0" borderId="7" xfId="3" applyNumberFormat="1" applyFont="1" applyFill="1" applyBorder="1" applyProtection="1">
      <protection locked="0"/>
    </xf>
    <xf numFmtId="7" fontId="2" fillId="0" borderId="0" xfId="3" applyNumberFormat="1" applyFont="1" applyFill="1" applyBorder="1" applyProtection="1"/>
    <xf numFmtId="8" fontId="2" fillId="0" borderId="0" xfId="3" applyNumberFormat="1" applyFont="1" applyFill="1" applyProtection="1"/>
    <xf numFmtId="5" fontId="26" fillId="0" borderId="8" xfId="3" applyNumberFormat="1" applyFont="1" applyFill="1" applyBorder="1" applyProtection="1">
      <protection locked="0"/>
    </xf>
    <xf numFmtId="176" fontId="2" fillId="0" borderId="0" xfId="1" applyNumberFormat="1" applyFont="1" applyFill="1" applyBorder="1" applyProtection="1"/>
    <xf numFmtId="2" fontId="2" fillId="0" borderId="0" xfId="3" applyNumberFormat="1" applyFont="1" applyFill="1" applyBorder="1" applyProtection="1"/>
    <xf numFmtId="2" fontId="2" fillId="0" borderId="0" xfId="3" applyFont="1" applyFill="1" applyBorder="1" applyAlignment="1" applyProtection="1">
      <alignment horizontal="center"/>
    </xf>
    <xf numFmtId="177" fontId="2" fillId="0" borderId="0" xfId="3" applyNumberFormat="1" applyFont="1" applyFill="1" applyProtection="1"/>
    <xf numFmtId="2" fontId="12" fillId="0" borderId="0" xfId="3" applyNumberFormat="1" applyFont="1" applyFill="1" applyProtection="1">
      <protection locked="0"/>
    </xf>
    <xf numFmtId="2" fontId="25" fillId="0" borderId="9" xfId="3" applyNumberFormat="1" applyFont="1" applyFill="1" applyBorder="1" applyProtection="1">
      <protection locked="0"/>
    </xf>
    <xf numFmtId="178" fontId="2" fillId="0" borderId="0" xfId="1" applyNumberFormat="1" applyFont="1" applyFill="1" applyProtection="1"/>
    <xf numFmtId="2" fontId="25" fillId="0" borderId="6" xfId="3" applyNumberFormat="1" applyFont="1" applyFill="1" applyBorder="1" applyProtection="1">
      <protection locked="0"/>
    </xf>
    <xf numFmtId="178" fontId="28" fillId="0" borderId="0" xfId="1" applyNumberFormat="1" applyFont="1" applyFill="1" applyProtection="1"/>
    <xf numFmtId="177" fontId="28" fillId="0" borderId="0" xfId="3" applyNumberFormat="1" applyFont="1" applyFill="1" applyProtection="1"/>
    <xf numFmtId="2" fontId="25" fillId="0" borderId="10" xfId="3" applyNumberFormat="1" applyFont="1" applyFill="1" applyBorder="1" applyProtection="1">
      <protection locked="0"/>
    </xf>
    <xf numFmtId="1" fontId="25" fillId="0" borderId="7" xfId="3" applyNumberFormat="1" applyFont="1" applyFill="1" applyBorder="1" applyProtection="1">
      <protection locked="0"/>
    </xf>
    <xf numFmtId="2" fontId="25" fillId="0" borderId="0" xfId="3" applyNumberFormat="1" applyFont="1" applyFill="1" applyBorder="1" applyProtection="1">
      <protection locked="0"/>
    </xf>
    <xf numFmtId="2" fontId="28" fillId="0" borderId="0" xfId="3" applyNumberFormat="1" applyFont="1" applyFill="1" applyProtection="1"/>
    <xf numFmtId="178" fontId="28" fillId="0" borderId="0" xfId="3" applyNumberFormat="1" applyFont="1" applyFill="1" applyProtection="1"/>
    <xf numFmtId="2" fontId="12" fillId="4" borderId="0" xfId="3" applyNumberFormat="1" applyFont="1" applyFill="1" applyBorder="1" applyProtection="1">
      <protection locked="0"/>
    </xf>
    <xf numFmtId="2" fontId="25" fillId="4" borderId="0" xfId="3" applyNumberFormat="1" applyFont="1" applyFill="1" applyBorder="1" applyProtection="1">
      <protection locked="0"/>
    </xf>
    <xf numFmtId="2" fontId="2" fillId="4" borderId="0" xfId="3" applyFont="1" applyFill="1" applyAlignment="1" applyProtection="1">
      <alignment horizontal="center"/>
    </xf>
    <xf numFmtId="2" fontId="29" fillId="0" borderId="0" xfId="3" applyNumberFormat="1" applyFont="1" applyFill="1" applyProtection="1"/>
    <xf numFmtId="178" fontId="29" fillId="0" borderId="0" xfId="3" applyNumberFormat="1" applyFont="1" applyFill="1" applyProtection="1"/>
    <xf numFmtId="178" fontId="12" fillId="0" borderId="0" xfId="3" applyNumberFormat="1" applyFont="1" applyFill="1" applyProtection="1"/>
    <xf numFmtId="2" fontId="12" fillId="0" borderId="0" xfId="3" applyNumberFormat="1" applyFont="1" applyFill="1" applyBorder="1" applyProtection="1">
      <protection locked="0"/>
    </xf>
    <xf numFmtId="2" fontId="2" fillId="0" borderId="0" xfId="3" applyNumberFormat="1" applyFont="1" applyFill="1" applyBorder="1" applyProtection="1">
      <protection locked="0"/>
    </xf>
    <xf numFmtId="5" fontId="2" fillId="0" borderId="11" xfId="3" applyNumberFormat="1" applyFont="1" applyFill="1" applyBorder="1" applyProtection="1"/>
    <xf numFmtId="5" fontId="26" fillId="0" borderId="12" xfId="3" applyNumberFormat="1" applyFont="1" applyFill="1" applyBorder="1" applyProtection="1">
      <protection locked="0"/>
    </xf>
    <xf numFmtId="5" fontId="25" fillId="0" borderId="7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/>
    <xf numFmtId="2" fontId="14" fillId="0" borderId="0" xfId="3" applyNumberFormat="1" applyFont="1" applyFill="1" applyProtection="1"/>
    <xf numFmtId="178" fontId="14" fillId="0" borderId="0" xfId="3" applyNumberFormat="1" applyFont="1" applyFill="1" applyProtection="1"/>
    <xf numFmtId="177" fontId="14" fillId="0" borderId="0" xfId="1" applyNumberFormat="1" applyFont="1" applyFill="1" applyProtection="1"/>
    <xf numFmtId="8" fontId="25" fillId="0" borderId="7" xfId="3" applyNumberFormat="1" applyFont="1" applyFill="1" applyBorder="1" applyProtection="1">
      <protection locked="0"/>
    </xf>
    <xf numFmtId="177" fontId="14" fillId="0" borderId="0" xfId="3" applyNumberFormat="1" applyFont="1" applyFill="1" applyProtection="1"/>
    <xf numFmtId="2" fontId="25" fillId="0" borderId="13" xfId="3" applyNumberFormat="1" applyFont="1" applyFill="1" applyBorder="1" applyProtection="1">
      <protection locked="0"/>
    </xf>
    <xf numFmtId="169" fontId="2" fillId="0" borderId="0" xfId="3" applyNumberFormat="1" applyFont="1" applyFill="1" applyProtection="1"/>
    <xf numFmtId="2" fontId="12" fillId="4" borderId="7" xfId="3" applyNumberFormat="1" applyFont="1" applyFill="1" applyBorder="1" applyProtection="1">
      <protection locked="0"/>
    </xf>
    <xf numFmtId="170" fontId="2" fillId="0" borderId="0" xfId="3" applyNumberFormat="1" applyFont="1" applyFill="1" applyProtection="1"/>
    <xf numFmtId="7" fontId="12" fillId="0" borderId="0" xfId="3" applyNumberFormat="1" applyFont="1" applyFill="1" applyProtection="1"/>
    <xf numFmtId="5" fontId="12" fillId="0" borderId="0" xfId="3" applyNumberFormat="1" applyFont="1" applyFill="1" applyProtection="1"/>
    <xf numFmtId="2" fontId="12" fillId="0" borderId="7" xfId="3" applyNumberFormat="1" applyFont="1" applyFill="1" applyBorder="1" applyProtection="1">
      <protection locked="0"/>
    </xf>
    <xf numFmtId="7" fontId="2" fillId="4" borderId="0" xfId="3" applyNumberFormat="1" applyFont="1" applyFill="1" applyBorder="1" applyProtection="1"/>
    <xf numFmtId="2" fontId="12" fillId="0" borderId="0" xfId="3" applyFont="1" applyFill="1" applyAlignment="1" applyProtection="1">
      <alignment horizontal="center"/>
    </xf>
    <xf numFmtId="2" fontId="2" fillId="0" borderId="14" xfId="3" applyNumberFormat="1" applyFont="1" applyFill="1" applyBorder="1" applyProtection="1"/>
    <xf numFmtId="178" fontId="2" fillId="0" borderId="15" xfId="3" applyNumberFormat="1" applyFont="1" applyFill="1" applyBorder="1" applyProtection="1"/>
    <xf numFmtId="177" fontId="2" fillId="0" borderId="15" xfId="3" applyNumberFormat="1" applyFont="1" applyFill="1" applyBorder="1" applyProtection="1"/>
    <xf numFmtId="2" fontId="2" fillId="0" borderId="16" xfId="3" applyNumberFormat="1" applyFont="1" applyFill="1" applyBorder="1" applyProtection="1"/>
    <xf numFmtId="2" fontId="28" fillId="0" borderId="17" xfId="3" applyNumberFormat="1" applyFont="1" applyFill="1" applyBorder="1" applyProtection="1"/>
    <xf numFmtId="178" fontId="28" fillId="0" borderId="0" xfId="3" applyNumberFormat="1" applyFont="1" applyFill="1" applyBorder="1" applyProtection="1"/>
    <xf numFmtId="2" fontId="2" fillId="0" borderId="18" xfId="3" applyNumberFormat="1" applyFont="1" applyFill="1" applyBorder="1" applyProtection="1"/>
    <xf numFmtId="2" fontId="12" fillId="0" borderId="19" xfId="3" applyNumberFormat="1" applyFont="1" applyFill="1" applyBorder="1" applyProtection="1"/>
    <xf numFmtId="177" fontId="12" fillId="0" borderId="11" xfId="3" applyNumberFormat="1" applyFont="1" applyFill="1" applyBorder="1" applyProtection="1"/>
    <xf numFmtId="2" fontId="2" fillId="0" borderId="20" xfId="3" applyNumberFormat="1" applyFont="1" applyFill="1" applyBorder="1" applyProtection="1"/>
    <xf numFmtId="170" fontId="36" fillId="0" borderId="0" xfId="3" applyNumberFormat="1" applyFont="1" applyFill="1" applyProtection="1"/>
    <xf numFmtId="2" fontId="30" fillId="0" borderId="0" xfId="3" applyNumberFormat="1" applyFont="1" applyFill="1" applyProtection="1"/>
    <xf numFmtId="8" fontId="2" fillId="4" borderId="0" xfId="3" applyNumberFormat="1" applyFont="1" applyFill="1" applyProtection="1"/>
    <xf numFmtId="2" fontId="12" fillId="0" borderId="0" xfId="3" applyNumberFormat="1" applyFont="1" applyFill="1" applyAlignment="1" applyProtection="1">
      <alignment horizontal="fill"/>
    </xf>
    <xf numFmtId="7" fontId="2" fillId="5" borderId="0" xfId="3" applyNumberFormat="1" applyFont="1" applyFill="1" applyProtection="1"/>
    <xf numFmtId="2" fontId="23" fillId="5" borderId="0" xfId="3" applyNumberFormat="1" applyFont="1" applyFill="1" applyProtection="1"/>
    <xf numFmtId="7" fontId="23" fillId="5" borderId="0" xfId="3" applyNumberFormat="1" applyFont="1" applyFill="1" applyProtection="1"/>
    <xf numFmtId="5" fontId="23" fillId="5" borderId="0" xfId="3" applyNumberFormat="1" applyFont="1" applyFill="1" applyProtection="1"/>
    <xf numFmtId="9" fontId="2" fillId="0" borderId="0" xfId="4" applyFont="1" applyFill="1" applyProtection="1"/>
    <xf numFmtId="9" fontId="2" fillId="4" borderId="0" xfId="4" applyFont="1" applyFill="1" applyProtection="1"/>
    <xf numFmtId="2" fontId="2" fillId="0" borderId="0" xfId="3" quotePrefix="1" applyNumberFormat="1" applyFont="1" applyFill="1" applyProtection="1"/>
    <xf numFmtId="9" fontId="2" fillId="5" borderId="0" xfId="4" applyFont="1" applyFill="1" applyProtection="1"/>
    <xf numFmtId="5" fontId="2" fillId="5" borderId="0" xfId="3" applyNumberFormat="1" applyFont="1" applyFill="1" applyProtection="1"/>
    <xf numFmtId="169" fontId="12" fillId="0" borderId="0" xfId="3" applyNumberFormat="1" applyFont="1" applyFill="1" applyProtection="1"/>
    <xf numFmtId="169" fontId="14" fillId="0" borderId="0" xfId="1" applyNumberFormat="1" applyFont="1" applyFill="1" applyProtection="1"/>
    <xf numFmtId="169" fontId="12" fillId="0" borderId="0" xfId="1" applyNumberFormat="1" applyFont="1" applyFill="1" applyProtection="1"/>
    <xf numFmtId="8" fontId="12" fillId="0" borderId="0" xfId="3" applyNumberFormat="1" applyFont="1" applyFill="1" applyProtection="1"/>
    <xf numFmtId="2" fontId="23" fillId="4" borderId="0" xfId="3" quotePrefix="1" applyNumberFormat="1" applyFont="1" applyFill="1" applyAlignment="1" applyProtection="1">
      <alignment horizontal="left"/>
    </xf>
    <xf numFmtId="2" fontId="23" fillId="4" borderId="0" xfId="3" applyNumberFormat="1" applyFont="1" applyFill="1" applyAlignment="1" applyProtection="1">
      <alignment horizontal="center"/>
    </xf>
    <xf numFmtId="177" fontId="12" fillId="0" borderId="0" xfId="3" applyNumberFormat="1" applyFont="1" applyFill="1" applyProtection="1"/>
    <xf numFmtId="2" fontId="23" fillId="0" borderId="0" xfId="3" quotePrefix="1" applyNumberFormat="1" applyFont="1" applyFill="1" applyAlignment="1" applyProtection="1">
      <alignment horizontal="left"/>
    </xf>
    <xf numFmtId="7" fontId="23" fillId="0" borderId="0" xfId="3" applyNumberFormat="1" applyFont="1" applyFill="1" applyProtection="1"/>
    <xf numFmtId="178" fontId="2" fillId="2" borderId="0" xfId="3" applyNumberFormat="1" applyFont="1" applyProtection="1"/>
    <xf numFmtId="177" fontId="2" fillId="2" borderId="0" xfId="3" applyNumberFormat="1" applyFont="1" applyProtection="1"/>
    <xf numFmtId="177" fontId="2" fillId="2" borderId="0" xfId="1" applyNumberFormat="1" applyFont="1" applyFill="1" applyProtection="1"/>
    <xf numFmtId="2" fontId="28" fillId="2" borderId="0" xfId="3" applyNumberFormat="1" applyFont="1" applyProtection="1"/>
    <xf numFmtId="178" fontId="28" fillId="2" borderId="0" xfId="3" applyNumberFormat="1" applyFont="1" applyProtection="1"/>
    <xf numFmtId="177" fontId="28" fillId="2" borderId="0" xfId="3" applyNumberFormat="1" applyFont="1" applyProtection="1"/>
    <xf numFmtId="2" fontId="14" fillId="2" borderId="0" xfId="3" applyNumberFormat="1" applyFont="1" applyProtection="1"/>
    <xf numFmtId="7" fontId="2" fillId="0" borderId="0" xfId="3" applyNumberFormat="1" applyFont="1" applyFill="1" applyAlignment="1" applyProtection="1">
      <alignment horizontal="right"/>
    </xf>
    <xf numFmtId="2" fontId="2" fillId="4" borderId="0" xfId="3" applyNumberFormat="1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6" fontId="25" fillId="0" borderId="0" xfId="0" applyNumberFormat="1" applyFont="1" applyFill="1" applyProtection="1">
      <protection locked="0"/>
    </xf>
    <xf numFmtId="0" fontId="26" fillId="0" borderId="0" xfId="0" applyFont="1" applyFill="1"/>
    <xf numFmtId="6" fontId="2" fillId="0" borderId="0" xfId="0" applyNumberFormat="1" applyFont="1" applyFill="1"/>
    <xf numFmtId="6" fontId="12" fillId="0" borderId="0" xfId="0" applyNumberFormat="1" applyFont="1" applyFill="1"/>
    <xf numFmtId="0" fontId="2" fillId="0" borderId="0" xfId="0" applyFont="1" applyFill="1"/>
    <xf numFmtId="0" fontId="2" fillId="0" borderId="0" xfId="0" applyNumberFormat="1" applyFont="1" applyFill="1"/>
    <xf numFmtId="0" fontId="12" fillId="0" borderId="0" xfId="0" applyFont="1" applyFill="1" applyAlignment="1">
      <alignment horizontal="center"/>
    </xf>
    <xf numFmtId="2" fontId="1" fillId="0" borderId="0" xfId="0" applyNumberFormat="1" applyFont="1" applyFill="1"/>
    <xf numFmtId="2" fontId="9" fillId="0" borderId="0" xfId="0" applyNumberFormat="1" applyFont="1" applyFill="1"/>
    <xf numFmtId="0" fontId="2" fillId="0" borderId="0" xfId="0" applyFont="1" applyFill="1" applyBorder="1" applyProtection="1"/>
    <xf numFmtId="6" fontId="2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/>
    <xf numFmtId="3" fontId="2" fillId="0" borderId="0" xfId="0" applyNumberFormat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169" fontId="2" fillId="0" borderId="0" xfId="2" applyNumberFormat="1" applyFont="1" applyFill="1" applyBorder="1" applyProtection="1"/>
    <xf numFmtId="2" fontId="2" fillId="0" borderId="0" xfId="0" applyNumberFormat="1" applyFont="1" applyFill="1" applyBorder="1" applyProtection="1"/>
    <xf numFmtId="171" fontId="2" fillId="0" borderId="0" xfId="4" applyNumberFormat="1" applyFont="1" applyFill="1" applyBorder="1" applyProtection="1"/>
    <xf numFmtId="0" fontId="2" fillId="0" borderId="0" xfId="0" applyFont="1" applyFill="1" applyBorder="1" applyAlignment="1" applyProtection="1">
      <protection locked="0"/>
    </xf>
    <xf numFmtId="0" fontId="37" fillId="0" borderId="0" xfId="0" applyFont="1" applyFill="1" applyBorder="1" applyAlignment="1" applyProtection="1">
      <protection locked="0"/>
    </xf>
    <xf numFmtId="0" fontId="12" fillId="5" borderId="0" xfId="0" applyFont="1" applyFill="1" applyBorder="1" applyAlignment="1" applyProtection="1"/>
    <xf numFmtId="0" fontId="2" fillId="5" borderId="0" xfId="0" applyFont="1" applyFill="1" applyBorder="1" applyAlignment="1" applyProtection="1"/>
    <xf numFmtId="176" fontId="2" fillId="5" borderId="0" xfId="1" applyNumberFormat="1" applyFont="1" applyFill="1" applyBorder="1" applyAlignment="1" applyProtection="1"/>
    <xf numFmtId="178" fontId="2" fillId="5" borderId="0" xfId="0" applyNumberFormat="1" applyFont="1" applyFill="1" applyBorder="1" applyAlignment="1" applyProtection="1"/>
    <xf numFmtId="6" fontId="12" fillId="5" borderId="0" xfId="0" applyNumberFormat="1" applyFont="1" applyFill="1" applyBorder="1" applyProtection="1"/>
    <xf numFmtId="6" fontId="31" fillId="0" borderId="0" xfId="0" applyNumberFormat="1" applyFont="1" applyFill="1" applyBorder="1" applyProtection="1">
      <protection locked="0"/>
    </xf>
    <xf numFmtId="6" fontId="12" fillId="0" borderId="0" xfId="0" applyNumberFormat="1" applyFont="1" applyFill="1" applyBorder="1" applyProtection="1"/>
    <xf numFmtId="0" fontId="12" fillId="0" borderId="0" xfId="0" applyFont="1" applyFill="1" applyBorder="1" applyAlignment="1" applyProtection="1"/>
    <xf numFmtId="0" fontId="32" fillId="5" borderId="0" xfId="0" applyFont="1" applyFill="1" applyBorder="1" applyAlignment="1" applyProtection="1">
      <alignment horizontal="left"/>
    </xf>
    <xf numFmtId="171" fontId="12" fillId="5" borderId="0" xfId="4" applyNumberFormat="1" applyFont="1" applyFill="1" applyBorder="1" applyProtection="1"/>
    <xf numFmtId="6" fontId="12" fillId="5" borderId="0" xfId="0" applyNumberFormat="1" applyFont="1" applyFill="1" applyBorder="1" applyAlignment="1" applyProtection="1">
      <alignment horizontal="right"/>
    </xf>
    <xf numFmtId="171" fontId="2" fillId="5" borderId="0" xfId="4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6" fontId="12" fillId="5" borderId="0" xfId="0" applyNumberFormat="1" applyFont="1" applyFill="1" applyBorder="1" applyAlignment="1" applyProtection="1"/>
    <xf numFmtId="0" fontId="12" fillId="5" borderId="0" xfId="0" applyFont="1" applyFill="1" applyBorder="1" applyProtection="1"/>
    <xf numFmtId="177" fontId="12" fillId="5" borderId="0" xfId="0" applyNumberFormat="1" applyFont="1" applyFill="1" applyBorder="1" applyProtection="1"/>
    <xf numFmtId="0" fontId="2" fillId="0" borderId="0" xfId="0" applyFont="1" applyFill="1" applyBorder="1"/>
    <xf numFmtId="0" fontId="2" fillId="2" borderId="0" xfId="0" applyNumberFormat="1" applyFont="1"/>
    <xf numFmtId="6" fontId="2" fillId="0" borderId="0" xfId="0" applyNumberFormat="1" applyFont="1" applyFill="1" applyBorder="1"/>
    <xf numFmtId="6" fontId="12" fillId="0" borderId="0" xfId="0" applyNumberFormat="1" applyFont="1" applyFill="1" applyBorder="1"/>
    <xf numFmtId="10" fontId="2" fillId="0" borderId="0" xfId="0" applyNumberFormat="1" applyFont="1" applyFill="1"/>
    <xf numFmtId="171" fontId="2" fillId="0" borderId="0" xfId="0" applyNumberFormat="1" applyFont="1" applyFill="1" applyBorder="1"/>
    <xf numFmtId="177" fontId="2" fillId="0" borderId="0" xfId="0" applyNumberFormat="1" applyFont="1" applyFill="1" applyBorder="1"/>
    <xf numFmtId="0" fontId="2" fillId="0" borderId="0" xfId="0" applyNumberFormat="1" applyFont="1" applyFill="1" applyBorder="1"/>
    <xf numFmtId="0" fontId="2" fillId="2" borderId="0" xfId="0" applyNumberFormat="1" applyFont="1" applyBorder="1"/>
    <xf numFmtId="0" fontId="13" fillId="0" borderId="0" xfId="0" applyNumberFormat="1" applyFont="1" applyFill="1"/>
    <xf numFmtId="0" fontId="1" fillId="0" borderId="0" xfId="0" applyNumberFormat="1" applyFont="1" applyFill="1"/>
    <xf numFmtId="165" fontId="1" fillId="0" borderId="0" xfId="0" applyNumberFormat="1" applyFont="1" applyFill="1"/>
    <xf numFmtId="1" fontId="1" fillId="0" borderId="0" xfId="0" applyNumberFormat="1" applyFont="1" applyFill="1"/>
    <xf numFmtId="169" fontId="1" fillId="0" borderId="0" xfId="0" applyNumberFormat="1" applyFont="1" applyFill="1"/>
    <xf numFmtId="8" fontId="11" fillId="0" borderId="7" xfId="0" applyNumberFormat="1" applyFont="1" applyFill="1" applyBorder="1" applyProtection="1">
      <protection locked="0"/>
    </xf>
    <xf numFmtId="169" fontId="1" fillId="0" borderId="0" xfId="0" applyNumberFormat="1" applyFont="1" applyFill="1" applyProtection="1"/>
    <xf numFmtId="0" fontId="1" fillId="0" borderId="0" xfId="0" applyNumberFormat="1" applyFont="1" applyFill="1" applyProtection="1"/>
    <xf numFmtId="7" fontId="11" fillId="0" borderId="7" xfId="0" applyNumberFormat="1" applyFont="1" applyFill="1" applyBorder="1" applyProtection="1">
      <protection locked="0"/>
    </xf>
    <xf numFmtId="8" fontId="1" fillId="0" borderId="0" xfId="0" applyNumberFormat="1" applyFont="1" applyFill="1"/>
    <xf numFmtId="0" fontId="13" fillId="4" borderId="0" xfId="0" applyNumberFormat="1" applyFont="1" applyFill="1"/>
    <xf numFmtId="8" fontId="13" fillId="4" borderId="0" xfId="0" applyNumberFormat="1" applyFont="1" applyFill="1"/>
    <xf numFmtId="40" fontId="1" fillId="0" borderId="0" xfId="0" applyNumberFormat="1" applyFont="1" applyFill="1"/>
    <xf numFmtId="7" fontId="1" fillId="0" borderId="0" xfId="0" applyNumberFormat="1" applyFont="1" applyFill="1"/>
    <xf numFmtId="0" fontId="1" fillId="0" borderId="0" xfId="0" quotePrefix="1" applyNumberFormat="1" applyFont="1" applyFill="1" applyAlignment="1">
      <alignment horizontal="fill"/>
    </xf>
    <xf numFmtId="2" fontId="1" fillId="0" borderId="0" xfId="3" applyNumberFormat="1" applyFont="1" applyFill="1"/>
    <xf numFmtId="2" fontId="1" fillId="0" borderId="0" xfId="3" applyNumberFormat="1" applyFont="1" applyFill="1" applyAlignment="1">
      <alignment horizontal="right"/>
    </xf>
    <xf numFmtId="2" fontId="11" fillId="0" borderId="21" xfId="3" applyNumberFormat="1" applyFont="1" applyFill="1" applyBorder="1" applyProtection="1">
      <protection locked="0"/>
    </xf>
    <xf numFmtId="2" fontId="1" fillId="0" borderId="22" xfId="3" applyNumberFormat="1" applyFont="1" applyFill="1" applyBorder="1" applyProtection="1"/>
    <xf numFmtId="2" fontId="1" fillId="0" borderId="23" xfId="3" applyNumberFormat="1" applyFont="1" applyFill="1" applyBorder="1" applyProtection="1"/>
    <xf numFmtId="2" fontId="11" fillId="0" borderId="24" xfId="3" applyNumberFormat="1" applyFont="1" applyFill="1" applyBorder="1" applyProtection="1">
      <protection locked="0"/>
    </xf>
    <xf numFmtId="2" fontId="1" fillId="0" borderId="9" xfId="3" applyNumberFormat="1" applyFont="1" applyFill="1" applyBorder="1" applyProtection="1"/>
    <xf numFmtId="2" fontId="1" fillId="0" borderId="25" xfId="3" applyNumberFormat="1" applyFont="1" applyFill="1" applyBorder="1" applyProtection="1"/>
    <xf numFmtId="2" fontId="1" fillId="0" borderId="0" xfId="3" applyNumberFormat="1" applyFont="1" applyFill="1" applyAlignment="1">
      <alignment horizontal="fill"/>
    </xf>
    <xf numFmtId="2" fontId="10" fillId="0" borderId="0" xfId="3" applyNumberFormat="1" applyFont="1" applyFill="1"/>
    <xf numFmtId="1" fontId="10" fillId="0" borderId="0" xfId="3" applyNumberFormat="1" applyFont="1" applyFill="1"/>
    <xf numFmtId="2" fontId="2" fillId="0" borderId="0" xfId="3" applyNumberFormat="1" applyFont="1" applyFill="1"/>
    <xf numFmtId="2" fontId="2" fillId="0" borderId="0" xfId="3" applyNumberFormat="1" applyFont="1" applyFill="1" applyAlignment="1">
      <alignment horizontal="center"/>
    </xf>
    <xf numFmtId="39" fontId="25" fillId="0" borderId="7" xfId="3" applyNumberFormat="1" applyFont="1" applyFill="1" applyBorder="1" applyProtection="1">
      <protection locked="0"/>
    </xf>
    <xf numFmtId="2" fontId="2" fillId="0" borderId="0" xfId="3" applyFont="1" applyFill="1"/>
    <xf numFmtId="1" fontId="2" fillId="0" borderId="0" xfId="3" applyNumberFormat="1" applyFont="1" applyFill="1"/>
    <xf numFmtId="37" fontId="25" fillId="0" borderId="7" xfId="3" applyNumberFormat="1" applyFont="1" applyFill="1" applyBorder="1" applyProtection="1">
      <protection locked="0"/>
    </xf>
    <xf numFmtId="7" fontId="2" fillId="0" borderId="0" xfId="3" applyNumberFormat="1" applyFont="1" applyFill="1"/>
    <xf numFmtId="7" fontId="2" fillId="0" borderId="0" xfId="3" quotePrefix="1" applyNumberFormat="1" applyFont="1" applyFill="1" applyAlignment="1">
      <alignment horizontal="center"/>
    </xf>
    <xf numFmtId="7" fontId="25" fillId="0" borderId="7" xfId="3" applyNumberFormat="1" applyFont="1" applyFill="1" applyBorder="1" applyProtection="1">
      <protection locked="0"/>
    </xf>
    <xf numFmtId="165" fontId="2" fillId="0" borderId="0" xfId="3" applyNumberFormat="1" applyFont="1" applyFill="1"/>
    <xf numFmtId="2" fontId="2" fillId="0" borderId="0" xfId="3" applyNumberFormat="1" applyFont="1" applyFill="1" applyAlignment="1">
      <alignment horizontal="right"/>
    </xf>
    <xf numFmtId="10" fontId="2" fillId="0" borderId="0" xfId="3" applyNumberFormat="1" applyFont="1" applyFill="1"/>
    <xf numFmtId="2" fontId="2" fillId="0" borderId="0" xfId="3" applyNumberFormat="1" applyFont="1" applyFill="1" applyAlignment="1">
      <alignment horizontal="fill"/>
    </xf>
    <xf numFmtId="2" fontId="23" fillId="0" borderId="0" xfId="3" applyNumberFormat="1" applyFont="1" applyFill="1"/>
    <xf numFmtId="1" fontId="23" fillId="0" borderId="0" xfId="3" applyNumberFormat="1" applyFont="1" applyFill="1"/>
    <xf numFmtId="169" fontId="25" fillId="0" borderId="7" xfId="3" applyNumberFormat="1" applyFont="1" applyFill="1" applyBorder="1" applyProtection="1">
      <protection locked="0"/>
    </xf>
    <xf numFmtId="7" fontId="34" fillId="0" borderId="0" xfId="3" applyNumberFormat="1" applyFont="1" applyFill="1"/>
    <xf numFmtId="7" fontId="34" fillId="0" borderId="0" xfId="3" applyNumberFormat="1" applyFont="1" applyFill="1" applyAlignment="1">
      <alignment horizontal="right"/>
    </xf>
    <xf numFmtId="2" fontId="34" fillId="0" borderId="0" xfId="3" applyNumberFormat="1" applyFont="1" applyFill="1"/>
    <xf numFmtId="7" fontId="2" fillId="0" borderId="22" xfId="3" applyNumberFormat="1" applyFont="1" applyFill="1" applyBorder="1" applyProtection="1"/>
    <xf numFmtId="169" fontId="2" fillId="0" borderId="22" xfId="3" applyNumberFormat="1" applyFont="1" applyFill="1" applyBorder="1" applyProtection="1"/>
    <xf numFmtId="169" fontId="2" fillId="0" borderId="0" xfId="3" applyNumberFormat="1" applyFont="1" applyFill="1"/>
    <xf numFmtId="2" fontId="10" fillId="0" borderId="0" xfId="3" applyNumberFormat="1" applyFont="1" applyFill="1" applyProtection="1"/>
    <xf numFmtId="1" fontId="1" fillId="0" borderId="0" xfId="3" applyNumberFormat="1" applyFont="1" applyFill="1" applyAlignment="1" applyProtection="1">
      <alignment horizontal="fill"/>
    </xf>
    <xf numFmtId="165" fontId="1" fillId="0" borderId="0" xfId="3" applyNumberFormat="1" applyFont="1" applyFill="1" applyAlignment="1" applyProtection="1">
      <alignment horizontal="fill"/>
    </xf>
    <xf numFmtId="2" fontId="34" fillId="0" borderId="0" xfId="3" applyNumberFormat="1" applyFont="1" applyFill="1" applyProtection="1"/>
    <xf numFmtId="1" fontId="2" fillId="0" borderId="0" xfId="3" applyNumberFormat="1" applyFont="1" applyFill="1" applyBorder="1" applyProtection="1">
      <protection locked="0"/>
    </xf>
    <xf numFmtId="0" fontId="2" fillId="0" borderId="0" xfId="3" applyNumberFormat="1" applyFont="1" applyFill="1" applyBorder="1" applyProtection="1"/>
    <xf numFmtId="2" fontId="2" fillId="0" borderId="0" xfId="3" quotePrefix="1" applyNumberFormat="1" applyFont="1" applyFill="1" applyAlignment="1" applyProtection="1">
      <alignment horizontal="fill"/>
    </xf>
    <xf numFmtId="1" fontId="2" fillId="0" borderId="0" xfId="3" applyNumberFormat="1" applyFont="1" applyFill="1" applyAlignment="1" applyProtection="1">
      <alignment horizontal="fill"/>
    </xf>
    <xf numFmtId="0" fontId="1" fillId="2" borderId="0" xfId="0" applyNumberFormat="1" applyFont="1"/>
    <xf numFmtId="8" fontId="1" fillId="2" borderId="0" xfId="0" applyNumberFormat="1" applyFont="1" applyAlignment="1">
      <alignment horizontal="right"/>
    </xf>
    <xf numFmtId="8" fontId="1" fillId="2" borderId="0" xfId="0" applyNumberFormat="1" applyFont="1"/>
    <xf numFmtId="0" fontId="13" fillId="2" borderId="0" xfId="0" quotePrefix="1" applyNumberFormat="1" applyFont="1" applyAlignment="1">
      <alignment horizontal="left"/>
    </xf>
    <xf numFmtId="8" fontId="13" fillId="2" borderId="0" xfId="0" applyNumberFormat="1" applyFont="1"/>
    <xf numFmtId="0" fontId="1" fillId="2" borderId="0" xfId="0" quotePrefix="1" applyNumberFormat="1" applyFont="1" applyAlignment="1">
      <alignment horizontal="fill"/>
    </xf>
    <xf numFmtId="8" fontId="1" fillId="2" borderId="0" xfId="0" quotePrefix="1" applyNumberFormat="1" applyFont="1"/>
    <xf numFmtId="8" fontId="2" fillId="2" borderId="0" xfId="0" applyNumberFormat="1" applyFont="1"/>
    <xf numFmtId="7" fontId="1" fillId="2" borderId="0" xfId="0" applyNumberFormat="1" applyFont="1"/>
    <xf numFmtId="0" fontId="10" fillId="2" borderId="0" xfId="0" applyNumberFormat="1" applyFont="1" applyAlignment="1">
      <alignment horizontal="center"/>
    </xf>
    <xf numFmtId="14" fontId="23" fillId="2" borderId="0" xfId="0" applyNumberFormat="1" applyFont="1" applyAlignment="1">
      <alignment horizontal="left"/>
    </xf>
    <xf numFmtId="0" fontId="10" fillId="2" borderId="0" xfId="0" applyNumberFormat="1" applyFont="1"/>
    <xf numFmtId="15" fontId="1" fillId="2" borderId="0" xfId="0" applyNumberFormat="1" applyFont="1"/>
    <xf numFmtId="37" fontId="1" fillId="2" borderId="1" xfId="0" applyNumberFormat="1" applyFont="1" applyFill="1" applyBorder="1"/>
    <xf numFmtId="0" fontId="13" fillId="2" borderId="12" xfId="0" applyNumberFormat="1" applyFont="1" applyBorder="1" applyAlignment="1">
      <alignment horizontal="center"/>
    </xf>
    <xf numFmtId="0" fontId="13" fillId="2" borderId="26" xfId="0" applyNumberFormat="1" applyFont="1" applyBorder="1" applyAlignment="1">
      <alignment horizontal="center"/>
    </xf>
    <xf numFmtId="8" fontId="1" fillId="2" borderId="8" xfId="0" applyNumberFormat="1" applyFont="1" applyBorder="1"/>
    <xf numFmtId="5" fontId="11" fillId="2" borderId="27" xfId="0" applyNumberFormat="1" applyFont="1" applyFill="1" applyBorder="1"/>
    <xf numFmtId="0" fontId="13" fillId="2" borderId="0" xfId="0" applyNumberFormat="1" applyFont="1"/>
    <xf numFmtId="172" fontId="15" fillId="2" borderId="8" xfId="0" applyNumberFormat="1" applyFont="1" applyBorder="1" applyProtection="1">
      <protection locked="0"/>
    </xf>
    <xf numFmtId="0" fontId="10" fillId="2" borderId="27" xfId="0" applyNumberFormat="1" applyFont="1" applyBorder="1" applyAlignment="1">
      <alignment horizontal="center"/>
    </xf>
    <xf numFmtId="0" fontId="10" fillId="2" borderId="0" xfId="0" applyNumberFormat="1" applyFont="1" applyAlignment="1">
      <alignment horizontal="right"/>
    </xf>
    <xf numFmtId="175" fontId="1" fillId="2" borderId="1" xfId="0" applyNumberFormat="1" applyFont="1" applyFill="1" applyBorder="1" applyAlignment="1" applyProtection="1">
      <alignment horizontal="right"/>
    </xf>
    <xf numFmtId="7" fontId="1" fillId="2" borderId="1" xfId="0" applyNumberFormat="1" applyFont="1" applyFill="1" applyBorder="1"/>
    <xf numFmtId="7" fontId="33" fillId="2" borderId="0" xfId="0" applyNumberFormat="1" applyFont="1" applyFill="1"/>
    <xf numFmtId="5" fontId="1" fillId="2" borderId="0" xfId="0" applyNumberFormat="1" applyFont="1"/>
    <xf numFmtId="5" fontId="1" fillId="2" borderId="0" xfId="0" applyNumberFormat="1" applyFont="1" applyFill="1" applyBorder="1" applyProtection="1"/>
    <xf numFmtId="172" fontId="13" fillId="2" borderId="0" xfId="0" applyNumberFormat="1" applyFont="1"/>
    <xf numFmtId="0" fontId="10" fillId="2" borderId="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center"/>
    </xf>
    <xf numFmtId="7" fontId="1" fillId="2" borderId="0" xfId="0" applyNumberFormat="1" applyFont="1" applyBorder="1"/>
    <xf numFmtId="0" fontId="10" fillId="2" borderId="29" xfId="0" applyNumberFormat="1" applyFont="1" applyBorder="1"/>
    <xf numFmtId="0" fontId="1" fillId="2" borderId="29" xfId="0" applyNumberFormat="1" applyFont="1" applyBorder="1"/>
    <xf numFmtId="0" fontId="1" fillId="2" borderId="0" xfId="0" applyNumberFormat="1" applyFont="1" applyProtection="1"/>
    <xf numFmtId="0" fontId="13" fillId="2" borderId="0" xfId="0" applyNumberFormat="1" applyFont="1" applyProtection="1"/>
    <xf numFmtId="5" fontId="1" fillId="2" borderId="1" xfId="0" applyNumberFormat="1" applyFont="1" applyFill="1" applyBorder="1" applyProtection="1"/>
    <xf numFmtId="0" fontId="13" fillId="2" borderId="12" xfId="0" applyNumberFormat="1" applyFont="1" applyBorder="1" applyAlignment="1" applyProtection="1">
      <alignment horizontal="center"/>
    </xf>
    <xf numFmtId="0" fontId="1" fillId="2" borderId="0" xfId="0" applyNumberFormat="1" applyFont="1" applyBorder="1" applyProtection="1"/>
    <xf numFmtId="0" fontId="13" fillId="2" borderId="26" xfId="0" applyNumberFormat="1" applyFont="1" applyBorder="1" applyAlignment="1" applyProtection="1">
      <alignment horizontal="center"/>
    </xf>
    <xf numFmtId="5" fontId="1" fillId="2" borderId="27" xfId="0" applyNumberFormat="1" applyFont="1" applyFill="1" applyBorder="1" applyProtection="1"/>
    <xf numFmtId="174" fontId="1" fillId="2" borderId="0" xfId="0" applyNumberFormat="1" applyFont="1" applyFill="1" applyBorder="1" applyProtection="1"/>
    <xf numFmtId="8" fontId="1" fillId="2" borderId="8" xfId="0" applyNumberFormat="1" applyFont="1" applyBorder="1" applyProtection="1"/>
    <xf numFmtId="175" fontId="1" fillId="2" borderId="1" xfId="0" applyNumberFormat="1" applyFont="1" applyFill="1" applyBorder="1" applyProtection="1"/>
    <xf numFmtId="172" fontId="1" fillId="2" borderId="1" xfId="0" applyNumberFormat="1" applyFont="1" applyFill="1" applyBorder="1" applyProtection="1"/>
    <xf numFmtId="0" fontId="13" fillId="2" borderId="27" xfId="0" applyNumberFormat="1" applyFont="1" applyBorder="1" applyAlignment="1" applyProtection="1">
      <alignment horizontal="center"/>
    </xf>
    <xf numFmtId="0" fontId="13" fillId="2" borderId="0" xfId="0" applyNumberFormat="1" applyFont="1" applyAlignment="1" applyProtection="1">
      <alignment horizontal="right"/>
    </xf>
    <xf numFmtId="6" fontId="1" fillId="2" borderId="1" xfId="0" applyNumberFormat="1" applyFont="1" applyFill="1" applyBorder="1" applyProtection="1"/>
    <xf numFmtId="7" fontId="1" fillId="2" borderId="0" xfId="0" applyNumberFormat="1" applyFont="1" applyFill="1" applyProtection="1"/>
    <xf numFmtId="5" fontId="1" fillId="2" borderId="0" xfId="0" applyNumberFormat="1" applyFont="1" applyProtection="1"/>
    <xf numFmtId="172" fontId="1" fillId="2" borderId="0" xfId="0" applyNumberFormat="1" applyFont="1"/>
    <xf numFmtId="37" fontId="1" fillId="2" borderId="1" xfId="0" applyNumberFormat="1" applyFont="1" applyFill="1" applyBorder="1" applyProtection="1"/>
    <xf numFmtId="173" fontId="1" fillId="2" borderId="1" xfId="0" applyNumberFormat="1" applyFont="1" applyFill="1" applyBorder="1" applyProtection="1"/>
    <xf numFmtId="174" fontId="13" fillId="2" borderId="0" xfId="0" applyNumberFormat="1" applyFont="1" applyFill="1" applyBorder="1" applyAlignment="1" applyProtection="1">
      <alignment horizontal="left"/>
    </xf>
    <xf numFmtId="0" fontId="12" fillId="2" borderId="0" xfId="0" applyNumberFormat="1" applyFont="1"/>
    <xf numFmtId="0" fontId="35" fillId="2" borderId="0" xfId="0" applyNumberFormat="1" applyFont="1"/>
    <xf numFmtId="5" fontId="2" fillId="2" borderId="0" xfId="0" applyNumberFormat="1" applyFont="1"/>
    <xf numFmtId="172" fontId="2" fillId="2" borderId="0" xfId="0" applyNumberFormat="1" applyFont="1"/>
    <xf numFmtId="0" fontId="23" fillId="2" borderId="0" xfId="0" applyNumberFormat="1" applyFont="1"/>
    <xf numFmtId="0" fontId="12" fillId="2" borderId="0" xfId="0" applyNumberFormat="1" applyFont="1" applyBorder="1" applyAlignment="1">
      <alignment horizontal="center"/>
    </xf>
    <xf numFmtId="0" fontId="1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center"/>
    </xf>
    <xf numFmtId="0" fontId="35" fillId="2" borderId="0" xfId="0" applyNumberFormat="1" applyFont="1" applyAlignment="1">
      <alignment horizontal="center"/>
    </xf>
    <xf numFmtId="2" fontId="2" fillId="2" borderId="0" xfId="0" applyNumberFormat="1" applyFont="1"/>
    <xf numFmtId="0" fontId="2" fillId="2" borderId="11" xfId="0" applyNumberFormat="1" applyFont="1" applyBorder="1"/>
    <xf numFmtId="1" fontId="1" fillId="2" borderId="1" xfId="0" applyNumberFormat="1" applyFont="1" applyFill="1" applyBorder="1" applyProtection="1"/>
    <xf numFmtId="172" fontId="1" fillId="2" borderId="28" xfId="0" quotePrefix="1" applyNumberFormat="1" applyFont="1" applyFill="1" applyBorder="1"/>
    <xf numFmtId="0" fontId="12" fillId="0" borderId="0" xfId="0" applyNumberFormat="1" applyFont="1" applyFill="1"/>
    <xf numFmtId="7" fontId="2" fillId="0" borderId="7" xfId="3" applyNumberFormat="1" applyFont="1" applyFill="1" applyBorder="1" applyProtection="1"/>
    <xf numFmtId="169" fontId="2" fillId="0" borderId="7" xfId="3" applyNumberFormat="1" applyFont="1" applyFill="1" applyBorder="1" applyProtection="1"/>
    <xf numFmtId="37" fontId="2" fillId="0" borderId="7" xfId="3" applyNumberFormat="1" applyFont="1" applyFill="1" applyBorder="1" applyProtection="1"/>
    <xf numFmtId="0" fontId="26" fillId="0" borderId="0" xfId="0" applyFont="1" applyFill="1" applyProtection="1">
      <protection locked="0"/>
    </xf>
    <xf numFmtId="5" fontId="11" fillId="0" borderId="7" xfId="0" applyNumberFormat="1" applyFont="1" applyFill="1" applyBorder="1" applyProtection="1">
      <protection locked="0"/>
    </xf>
    <xf numFmtId="1" fontId="2" fillId="0" borderId="0" xfId="0" applyNumberFormat="1" applyFont="1" applyFill="1" applyBorder="1" applyAlignment="1" applyProtection="1"/>
    <xf numFmtId="43" fontId="36" fillId="0" borderId="0" xfId="1" applyFont="1" applyFill="1" applyProtection="1"/>
    <xf numFmtId="2" fontId="36" fillId="0" borderId="0" xfId="3" applyNumberFormat="1" applyFont="1" applyFill="1" applyProtection="1"/>
    <xf numFmtId="5" fontId="12" fillId="0" borderId="0" xfId="3" applyNumberFormat="1" applyFont="1" applyFill="1" applyBorder="1" applyProtection="1"/>
    <xf numFmtId="8" fontId="12" fillId="0" borderId="0" xfId="3" applyNumberFormat="1" applyFont="1" applyFill="1" applyBorder="1" applyProtection="1"/>
    <xf numFmtId="8" fontId="2" fillId="0" borderId="7" xfId="3" applyNumberFormat="1" applyFont="1" applyFill="1" applyBorder="1" applyProtection="1"/>
    <xf numFmtId="7" fontId="11" fillId="2" borderId="1" xfId="0" applyNumberFormat="1" applyFont="1" applyFill="1" applyBorder="1" applyProtection="1">
      <protection locked="0"/>
    </xf>
    <xf numFmtId="175" fontId="11" fillId="2" borderId="1" xfId="0" applyNumberFormat="1" applyFont="1" applyFill="1" applyBorder="1" applyAlignment="1" applyProtection="1">
      <alignment horizontal="right"/>
      <protection locked="0"/>
    </xf>
    <xf numFmtId="5" fontId="11" fillId="2" borderId="1" xfId="0" applyNumberFormat="1" applyFont="1" applyFill="1" applyBorder="1" applyProtection="1">
      <protection locked="0"/>
    </xf>
    <xf numFmtId="174" fontId="11" fillId="2" borderId="1" xfId="0" applyNumberFormat="1" applyFont="1" applyFill="1" applyBorder="1" applyProtection="1">
      <protection locked="0"/>
    </xf>
    <xf numFmtId="172" fontId="11" fillId="2" borderId="28" xfId="0" applyNumberFormat="1" applyFont="1" applyFill="1" applyBorder="1" applyProtection="1">
      <protection locked="0"/>
    </xf>
    <xf numFmtId="0" fontId="38" fillId="0" borderId="0" xfId="0" applyFont="1" applyFill="1"/>
    <xf numFmtId="0" fontId="38" fillId="0" borderId="0" xfId="0" applyFont="1" applyFill="1" applyProtection="1">
      <protection locked="0"/>
    </xf>
    <xf numFmtId="179" fontId="1" fillId="0" borderId="0" xfId="0" applyNumberFormat="1" applyFont="1" applyFill="1" applyBorder="1"/>
    <xf numFmtId="6" fontId="1" fillId="0" borderId="0" xfId="0" applyNumberFormat="1" applyFont="1" applyFill="1" applyBorder="1"/>
    <xf numFmtId="0" fontId="12" fillId="0" borderId="0" xfId="0" applyFont="1" applyFill="1" applyBorder="1" applyAlignment="1" applyProtection="1">
      <alignment horizontal="center"/>
    </xf>
    <xf numFmtId="8" fontId="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8" fontId="2" fillId="5" borderId="0" xfId="0" applyNumberFormat="1" applyFont="1" applyFill="1" applyBorder="1"/>
    <xf numFmtId="178" fontId="0" fillId="0" borderId="0" xfId="0" applyNumberFormat="1" applyFill="1" applyBorder="1" applyProtection="1"/>
    <xf numFmtId="176" fontId="12" fillId="0" borderId="0" xfId="1" applyNumberFormat="1" applyFont="1" applyFill="1" applyProtection="1"/>
    <xf numFmtId="2" fontId="12" fillId="0" borderId="0" xfId="3" applyNumberFormat="1" applyFont="1" applyFill="1" applyAlignment="1" applyProtection="1">
      <alignment horizontal="right"/>
    </xf>
    <xf numFmtId="1" fontId="12" fillId="0" borderId="0" xfId="3" applyNumberFormat="1" applyFont="1" applyFill="1" applyProtection="1"/>
    <xf numFmtId="0" fontId="4" fillId="2" borderId="0" xfId="0" applyNumberFormat="1" applyFont="1" applyAlignment="1">
      <alignment horizontal="left" vertical="center" indent="3"/>
    </xf>
    <xf numFmtId="177" fontId="2" fillId="5" borderId="0" xfId="3" applyNumberFormat="1" applyFont="1" applyFill="1" applyProtection="1"/>
    <xf numFmtId="1" fontId="1" fillId="0" borderId="0" xfId="3" applyNumberFormat="1" applyFont="1" applyFill="1" applyProtection="1"/>
    <xf numFmtId="178" fontId="2" fillId="0" borderId="0" xfId="0" applyNumberFormat="1" applyFont="1" applyFill="1"/>
    <xf numFmtId="8" fontId="2" fillId="0" borderId="0" xfId="3" applyNumberFormat="1" applyFont="1" applyFill="1" applyAlignment="1" applyProtection="1">
      <alignment horizontal="right"/>
    </xf>
    <xf numFmtId="2" fontId="23" fillId="0" borderId="0" xfId="3" applyNumberFormat="1" applyFont="1" applyFill="1" applyAlignment="1" applyProtection="1">
      <alignment horizontal="center"/>
    </xf>
    <xf numFmtId="2" fontId="25" fillId="0" borderId="4" xfId="3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2" fontId="22" fillId="0" borderId="0" xfId="3" applyNumberFormat="1" applyFont="1" applyFill="1" applyAlignment="1" applyProtection="1">
      <alignment horizontal="center"/>
    </xf>
    <xf numFmtId="0" fontId="1" fillId="2" borderId="0" xfId="0" applyNumberFormat="1" applyFont="1" applyAlignment="1"/>
    <xf numFmtId="0" fontId="9" fillId="0" borderId="0" xfId="0" applyFont="1" applyFill="1" applyAlignment="1">
      <alignment horizontal="center"/>
    </xf>
    <xf numFmtId="0" fontId="13" fillId="2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0" fillId="2" borderId="0" xfId="0" applyNumberFormat="1" applyAlignment="1"/>
    <xf numFmtId="2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Alignment="1">
      <alignment horizontal="center"/>
    </xf>
    <xf numFmtId="2" fontId="24" fillId="0" borderId="0" xfId="3" applyNumberFormat="1" applyFont="1" applyFill="1" applyAlignment="1">
      <alignment horizontal="center"/>
    </xf>
    <xf numFmtId="2" fontId="10" fillId="0" borderId="0" xfId="3" applyNumberFormat="1" applyFont="1" applyFill="1" applyAlignment="1">
      <alignment horizontal="center"/>
    </xf>
    <xf numFmtId="2" fontId="13" fillId="0" borderId="0" xfId="3" applyNumberFormat="1" applyFont="1" applyFill="1" applyAlignment="1">
      <alignment horizontal="center"/>
    </xf>
    <xf numFmtId="2" fontId="2" fillId="0" borderId="0" xfId="3" applyNumberFormat="1" applyFont="1" applyFill="1" applyAlignment="1" applyProtection="1">
      <alignment horizontal="center"/>
    </xf>
    <xf numFmtId="2" fontId="24" fillId="0" borderId="0" xfId="3" applyNumberFormat="1" applyFont="1" applyFill="1" applyAlignment="1" applyProtection="1">
      <alignment horizontal="center"/>
    </xf>
    <xf numFmtId="2" fontId="5" fillId="2" borderId="0" xfId="3" applyNumberFormat="1" applyFont="1" applyAlignment="1" applyProtection="1">
      <alignment horizontal="center"/>
    </xf>
    <xf numFmtId="2" fontId="9" fillId="0" borderId="0" xfId="3" applyNumberFormat="1" applyFont="1" applyFill="1" applyAlignment="1" applyProtection="1">
      <alignment horizontal="center"/>
    </xf>
    <xf numFmtId="2" fontId="2" fillId="0" borderId="0" xfId="3" quotePrefix="1" applyNumberFormat="1" applyFont="1" applyFill="1" applyAlignment="1" applyProtection="1">
      <alignment horizontal="center"/>
    </xf>
    <xf numFmtId="2" fontId="7" fillId="2" borderId="0" xfId="3" applyNumberFormat="1" applyFont="1" applyAlignment="1" applyProtection="1">
      <alignment horizontal="center"/>
    </xf>
    <xf numFmtId="0" fontId="24" fillId="2" borderId="0" xfId="0" applyNumberFormat="1" applyFont="1" applyAlignment="1">
      <alignment horizontal="center"/>
    </xf>
    <xf numFmtId="0" fontId="22" fillId="2" borderId="0" xfId="0" applyNumberFormat="1" applyFont="1" applyAlignment="1">
      <alignment horizontal="center"/>
    </xf>
    <xf numFmtId="0" fontId="9" fillId="2" borderId="0" xfId="0" applyNumberFormat="1" applyFont="1" applyAlignment="1">
      <alignment horizontal="center"/>
    </xf>
    <xf numFmtId="2" fontId="13" fillId="2" borderId="0" xfId="0" applyNumberFormat="1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Cow Calf Budget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dialogsheet" Target="dialogsheets/sheet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dialogsheet" Target="dialogsheets/sheet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attachedToolbars" Target="attachedToolbars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ialog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dialog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dialog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r6="http://schemas.microsoft.com/office/spreadsheetml/2016/revision6" mc:Ignorable="x14ac xr xr2 xr3 xr6" xr6:uid="{00000000-0001-0000-0A00-000000000000}">
  <sheetViews>
    <sheetView showRowColHeaders="0" showZeros="0" showOutlineSymbols="0" workbookViewId="0"/>
  </sheetViews>
  <sheetFormatPr defaultColWidth="0.875" defaultRowHeight="5.5" customHeight="1" x14ac:dyDescent="0.35"/>
  <sheetProtection sheet="1"/>
  <pageMargins left="0.75" right="0.75" top="1" bottom="1" header="0.5" footer="0.5"/>
  <pageSetup orientation="portrait" horizontalDpi="4294967295" verticalDpi="4294967295" r:id="rId1"/>
  <headerFooter alignWithMargins="0"/>
  <legacyDrawing r:id="rId2"/>
</dialogsheet>
</file>

<file path=xl/dialogsheets/sheet2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r6="http://schemas.microsoft.com/office/spreadsheetml/2016/revision6" mc:Ignorable="x14ac xr xr2 xr3 xr6" xr6:uid="{00000000-0001-0000-0B00-000000000000}">
  <sheetViews>
    <sheetView showRowColHeaders="0" showZeros="0" showOutlineSymbols="0" workbookViewId="0"/>
  </sheetViews>
  <sheetFormatPr defaultColWidth="0.875" defaultRowHeight="5.5" customHeight="1" x14ac:dyDescent="0.35"/>
  <sheetProtection sheet="1"/>
  <pageMargins left="0.75" right="0.75" top="1" bottom="1" header="0.5" footer="0.5"/>
  <headerFooter alignWithMargins="0"/>
  <legacyDrawing r:id="rId1"/>
</dialogsheet>
</file>

<file path=xl/dialogsheets/sheet3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r6="http://schemas.microsoft.com/office/spreadsheetml/2016/revision6" mc:Ignorable="x14ac xr xr2 xr3 xr6" xr6:uid="{00000000-0001-0000-0C00-000000000000}">
  <sheetViews>
    <sheetView showRowColHeaders="0" showZeros="0" showOutlineSymbols="0" workbookViewId="0"/>
  </sheetViews>
  <sheetFormatPr defaultColWidth="0.875" defaultRowHeight="5.5" customHeight="1" x14ac:dyDescent="0.35"/>
  <sheetProtection sheet="1"/>
  <pageMargins left="0.75" right="0.75" top="1" bottom="1" header="0.5" footer="0.5"/>
  <headerFooter alignWithMargins="0"/>
  <legacyDrawing r:id="rId1"/>
</dialog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18769</xdr:colOff>
      <xdr:row>1</xdr:row>
      <xdr:rowOff>212708</xdr:rowOff>
    </xdr:from>
    <xdr:to>
      <xdr:col>9</xdr:col>
      <xdr:colOff>738228</xdr:colOff>
      <xdr:row>5</xdr:row>
      <xdr:rowOff>95249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2267" y="437930"/>
          <a:ext cx="1495222" cy="6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sups\Cow%20Calf%20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w Calf Analysis"/>
    </sheetNames>
    <definedNames>
      <definedName name="Data_OK_1"/>
      <definedName name="Data_OK_2"/>
      <definedName name="Data_OK_3"/>
      <definedName name="Data_OK_4"/>
      <definedName name="Data_OK_5"/>
      <definedName name="Print_Ind_OK"/>
      <definedName name="Print_O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518"/>
  <sheetViews>
    <sheetView showOutlineSymbols="0" topLeftCell="A10" zoomScaleNormal="100" workbookViewId="0">
      <selection activeCell="F25" sqref="F25"/>
    </sheetView>
  </sheetViews>
  <sheetFormatPr defaultColWidth="10.6875" defaultRowHeight="15.45" x14ac:dyDescent="0.4"/>
  <cols>
    <col min="1" max="1" width="31" style="4" customWidth="1"/>
    <col min="2" max="2" width="9.6875" style="4" customWidth="1"/>
    <col min="3" max="3" width="7.875" style="4" customWidth="1"/>
    <col min="4" max="4" width="8.6875" style="4" customWidth="1"/>
    <col min="5" max="5" width="8.875" style="4" customWidth="1"/>
    <col min="6" max="6" width="12.6875" style="4" customWidth="1"/>
    <col min="7" max="7" width="13" style="4" customWidth="1"/>
    <col min="8" max="8" width="7.6875" style="4" customWidth="1"/>
    <col min="9" max="9" width="25.0625" style="4" customWidth="1"/>
    <col min="10" max="10" width="10.4375" style="4" customWidth="1"/>
    <col min="11" max="11" width="23.6875" style="4" customWidth="1"/>
    <col min="12" max="12" width="21" style="4" customWidth="1"/>
    <col min="13" max="16384" width="10.6875" style="4"/>
  </cols>
  <sheetData>
    <row r="1" spans="1:17" ht="20.149999999999999" x14ac:dyDescent="0.5">
      <c r="A1" s="462" t="s">
        <v>612</v>
      </c>
      <c r="B1" s="462"/>
      <c r="C1" s="462"/>
      <c r="D1" s="462"/>
      <c r="E1" s="462"/>
      <c r="F1" s="462"/>
      <c r="G1" s="463"/>
      <c r="H1" s="115"/>
      <c r="I1" s="115"/>
      <c r="J1" s="115"/>
      <c r="K1" s="115"/>
      <c r="L1" s="115"/>
      <c r="M1" s="115"/>
      <c r="N1" s="115"/>
      <c r="O1" s="115"/>
      <c r="P1" s="115"/>
      <c r="Q1" s="40"/>
    </row>
    <row r="2" spans="1:17" x14ac:dyDescent="0.4">
      <c r="B2" s="115"/>
      <c r="C2" s="115"/>
      <c r="D2" s="115"/>
      <c r="E2" s="115"/>
      <c r="F2" s="117"/>
      <c r="G2" s="115"/>
      <c r="H2" s="115"/>
      <c r="I2" s="116">
        <v>41710</v>
      </c>
      <c r="J2" s="115"/>
      <c r="K2" s="115"/>
      <c r="L2" s="115"/>
      <c r="M2" s="115"/>
      <c r="N2" s="115"/>
      <c r="O2" s="115"/>
      <c r="P2" s="115"/>
      <c r="Q2" s="40"/>
    </row>
    <row r="3" spans="1:17" x14ac:dyDescent="0.4">
      <c r="A3" s="120" t="s">
        <v>0</v>
      </c>
      <c r="B3" s="121" t="s">
        <v>632</v>
      </c>
      <c r="C3" s="122"/>
      <c r="D3" s="122"/>
      <c r="E3" s="123"/>
      <c r="F3" s="124">
        <f ca="1">NOW()</f>
        <v>43304.878365046294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40"/>
    </row>
    <row r="4" spans="1:17" x14ac:dyDescent="0.4">
      <c r="A4" s="125"/>
      <c r="B4" s="459" t="s">
        <v>642</v>
      </c>
      <c r="C4" s="460"/>
      <c r="D4" s="460"/>
      <c r="E4" s="461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40"/>
    </row>
    <row r="5" spans="1:17" x14ac:dyDescent="0.4">
      <c r="A5" s="126" t="s">
        <v>599</v>
      </c>
      <c r="B5" s="125" t="s">
        <v>1</v>
      </c>
      <c r="C5" s="125"/>
      <c r="D5" s="125"/>
      <c r="E5" s="155" t="s">
        <v>2</v>
      </c>
      <c r="F5" s="155" t="s">
        <v>3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40"/>
    </row>
    <row r="6" spans="1:17" x14ac:dyDescent="0.4">
      <c r="A6" s="128" t="s">
        <v>4</v>
      </c>
      <c r="B6" s="125"/>
      <c r="C6" s="125"/>
      <c r="D6" s="125"/>
      <c r="E6" s="129" t="s">
        <v>251</v>
      </c>
      <c r="F6" s="128" t="s">
        <v>48</v>
      </c>
      <c r="G6" s="125"/>
      <c r="H6" s="125" t="s">
        <v>619</v>
      </c>
      <c r="I6" s="125"/>
      <c r="J6" s="125"/>
      <c r="K6" s="125"/>
      <c r="L6" s="125"/>
      <c r="M6" s="125"/>
      <c r="N6" s="125"/>
      <c r="O6" s="125"/>
      <c r="P6" s="125"/>
      <c r="Q6" s="40"/>
    </row>
    <row r="7" spans="1:17" x14ac:dyDescent="0.4">
      <c r="A7" s="125" t="s">
        <v>433</v>
      </c>
      <c r="B7" s="125"/>
      <c r="C7" s="125"/>
      <c r="D7" s="125"/>
      <c r="E7" s="127" t="s">
        <v>5</v>
      </c>
      <c r="F7" s="130">
        <v>455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40"/>
    </row>
    <row r="8" spans="1:17" x14ac:dyDescent="0.4">
      <c r="A8" s="125" t="s">
        <v>434</v>
      </c>
      <c r="B8" s="125"/>
      <c r="C8" s="125"/>
      <c r="D8" s="125"/>
      <c r="E8" s="127" t="s">
        <v>6</v>
      </c>
      <c r="F8" s="131">
        <v>88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40"/>
    </row>
    <row r="9" spans="1:17" x14ac:dyDescent="0.4">
      <c r="A9" s="125" t="s">
        <v>586</v>
      </c>
      <c r="B9" s="125"/>
      <c r="C9" s="125"/>
      <c r="D9" s="125" t="s">
        <v>624</v>
      </c>
      <c r="E9" s="127" t="s">
        <v>459</v>
      </c>
      <c r="F9" s="130">
        <v>400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40"/>
    </row>
    <row r="10" spans="1:17" x14ac:dyDescent="0.4">
      <c r="A10" s="125" t="s">
        <v>435</v>
      </c>
      <c r="B10" s="125"/>
      <c r="C10" s="125"/>
      <c r="D10" s="145">
        <f>F9*F10*0.01</f>
        <v>340</v>
      </c>
      <c r="E10" s="127" t="s">
        <v>6</v>
      </c>
      <c r="F10" s="131">
        <v>85</v>
      </c>
      <c r="G10" s="125"/>
      <c r="H10" s="125"/>
      <c r="I10" s="125"/>
      <c r="J10" s="125"/>
      <c r="K10" s="125" t="s">
        <v>436</v>
      </c>
      <c r="L10" s="125"/>
      <c r="M10" s="125"/>
      <c r="N10" s="125"/>
      <c r="O10" s="125"/>
      <c r="P10" s="125"/>
      <c r="Q10" s="40"/>
    </row>
    <row r="11" spans="1:17" x14ac:dyDescent="0.4">
      <c r="A11" s="125" t="s">
        <v>7</v>
      </c>
      <c r="B11" s="125"/>
      <c r="C11" s="125"/>
      <c r="D11" s="145">
        <f>F11*F7*0.01</f>
        <v>54.6</v>
      </c>
      <c r="E11" s="127" t="s">
        <v>6</v>
      </c>
      <c r="F11" s="131">
        <v>12</v>
      </c>
      <c r="G11" s="125"/>
      <c r="H11" s="125">
        <f>F11*F7*0.01</f>
        <v>54.6</v>
      </c>
      <c r="I11" s="125"/>
      <c r="J11" s="125"/>
      <c r="K11" s="125"/>
      <c r="L11" s="125"/>
      <c r="M11" s="125"/>
      <c r="N11" s="125"/>
      <c r="O11" s="125"/>
      <c r="P11" s="125"/>
      <c r="Q11" s="40"/>
    </row>
    <row r="12" spans="1:17" x14ac:dyDescent="0.4">
      <c r="A12" s="125" t="s">
        <v>8</v>
      </c>
      <c r="B12" s="125"/>
      <c r="C12" s="125"/>
      <c r="D12" s="125"/>
      <c r="E12" s="125"/>
      <c r="F12" s="132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40"/>
    </row>
    <row r="13" spans="1:17" x14ac:dyDescent="0.4">
      <c r="A13" s="125" t="s">
        <v>9</v>
      </c>
      <c r="B13" s="125"/>
      <c r="C13" s="125"/>
      <c r="D13" s="145">
        <f>F13*D11*0.01</f>
        <v>5.46</v>
      </c>
      <c r="E13" s="127" t="s">
        <v>6</v>
      </c>
      <c r="F13" s="131">
        <v>10</v>
      </c>
      <c r="G13" s="125"/>
      <c r="H13" s="125">
        <f>F13*H11*0.01</f>
        <v>5.46</v>
      </c>
      <c r="I13" s="125"/>
      <c r="J13" s="125"/>
      <c r="K13" s="127" t="s">
        <v>10</v>
      </c>
      <c r="L13" s="125"/>
      <c r="M13" s="125"/>
      <c r="N13" s="125"/>
      <c r="O13" s="125"/>
      <c r="P13" s="125"/>
      <c r="Q13" s="40"/>
    </row>
    <row r="14" spans="1:17" x14ac:dyDescent="0.4">
      <c r="A14" s="125" t="s">
        <v>11</v>
      </c>
      <c r="B14" s="125"/>
      <c r="C14" s="125"/>
      <c r="D14" s="125"/>
      <c r="E14" s="127" t="s">
        <v>6</v>
      </c>
      <c r="F14" s="131">
        <v>0</v>
      </c>
      <c r="G14" s="125"/>
      <c r="H14" s="125"/>
      <c r="I14" s="125"/>
      <c r="J14" s="125" t="s">
        <v>560</v>
      </c>
      <c r="K14" s="127" t="s">
        <v>12</v>
      </c>
      <c r="L14" s="125"/>
      <c r="M14" s="125"/>
      <c r="N14" s="125"/>
      <c r="O14" s="125"/>
      <c r="P14" s="125"/>
      <c r="Q14" s="40"/>
    </row>
    <row r="15" spans="1:17" x14ac:dyDescent="0.4">
      <c r="A15" s="125" t="s">
        <v>13</v>
      </c>
      <c r="B15" s="125"/>
      <c r="C15" s="125"/>
      <c r="D15" s="145">
        <f>F15*F7*0.01</f>
        <v>4.55</v>
      </c>
      <c r="E15" s="127" t="s">
        <v>6</v>
      </c>
      <c r="F15" s="131">
        <v>1</v>
      </c>
      <c r="G15" s="125"/>
      <c r="H15" s="125"/>
      <c r="I15" s="125"/>
      <c r="J15" s="125">
        <f>N15*$F$9</f>
        <v>48</v>
      </c>
      <c r="K15" s="125" t="s">
        <v>14</v>
      </c>
      <c r="L15" s="125"/>
      <c r="M15" s="125" t="s">
        <v>15</v>
      </c>
      <c r="N15" s="133">
        <f>((F11*0.01)*(1-(F14*0.01)))</f>
        <v>0.12</v>
      </c>
      <c r="O15" s="125"/>
      <c r="P15" s="125"/>
      <c r="Q15" s="40"/>
    </row>
    <row r="16" spans="1:17" x14ac:dyDescent="0.4">
      <c r="A16" s="125" t="s">
        <v>16</v>
      </c>
      <c r="B16" s="125"/>
      <c r="C16" s="125"/>
      <c r="D16" s="125"/>
      <c r="E16" s="127" t="s">
        <v>17</v>
      </c>
      <c r="F16" s="132"/>
      <c r="G16" s="125"/>
      <c r="H16" s="125"/>
      <c r="I16" s="125"/>
      <c r="J16" s="125">
        <f t="shared" ref="J16:J24" si="0">N16*$F$9</f>
        <v>52.800000000000004</v>
      </c>
      <c r="K16" s="125" t="s">
        <v>18</v>
      </c>
      <c r="L16" s="125"/>
      <c r="M16" s="125" t="s">
        <v>15</v>
      </c>
      <c r="N16" s="133">
        <f>(((1+(F17*0.01))+(F13*0.01))*N15)</f>
        <v>0.13200000000000001</v>
      </c>
      <c r="O16" s="125"/>
      <c r="P16" s="125"/>
      <c r="Q16" s="40"/>
    </row>
    <row r="17" spans="1:17" x14ac:dyDescent="0.4">
      <c r="A17" s="125" t="s">
        <v>9</v>
      </c>
      <c r="B17" s="125"/>
      <c r="C17" s="125"/>
      <c r="D17" s="132">
        <f>D11*F17*0.01</f>
        <v>0</v>
      </c>
      <c r="E17" s="127" t="s">
        <v>6</v>
      </c>
      <c r="F17" s="131">
        <v>0</v>
      </c>
      <c r="G17" s="125"/>
      <c r="H17" s="125">
        <f>H11*F17*0.01</f>
        <v>0</v>
      </c>
      <c r="I17" s="125"/>
      <c r="J17" s="125">
        <f t="shared" si="0"/>
        <v>4.8</v>
      </c>
      <c r="K17" s="125" t="s">
        <v>19</v>
      </c>
      <c r="L17" s="125"/>
      <c r="M17" s="125" t="s">
        <v>15</v>
      </c>
      <c r="N17" s="133">
        <f>(N15*(F13*0.01))</f>
        <v>1.2E-2</v>
      </c>
      <c r="O17" s="125"/>
      <c r="P17" s="125"/>
      <c r="Q17" s="40"/>
    </row>
    <row r="18" spans="1:17" x14ac:dyDescent="0.4">
      <c r="A18" s="125" t="s">
        <v>20</v>
      </c>
      <c r="B18" s="125"/>
      <c r="C18" s="125"/>
      <c r="D18" s="125"/>
      <c r="E18" s="127" t="s">
        <v>21</v>
      </c>
      <c r="F18" s="134">
        <v>7</v>
      </c>
      <c r="G18" s="125"/>
      <c r="H18" s="125"/>
      <c r="I18" s="125"/>
      <c r="J18" s="125">
        <f t="shared" si="0"/>
        <v>44</v>
      </c>
      <c r="K18" s="125" t="s">
        <v>22</v>
      </c>
      <c r="L18" s="125"/>
      <c r="M18" s="125" t="s">
        <v>15</v>
      </c>
      <c r="N18" s="133">
        <f>(F11*0.01)-(F15*0.01)</f>
        <v>0.11</v>
      </c>
      <c r="O18" s="125"/>
      <c r="P18" s="125"/>
      <c r="Q18" s="40"/>
    </row>
    <row r="19" spans="1:17" x14ac:dyDescent="0.4">
      <c r="A19" s="125" t="s">
        <v>23</v>
      </c>
      <c r="B19" s="125"/>
      <c r="C19" s="125"/>
      <c r="D19" s="125"/>
      <c r="E19" s="127" t="s">
        <v>21</v>
      </c>
      <c r="F19" s="134">
        <v>24</v>
      </c>
      <c r="G19" s="125"/>
      <c r="H19" s="125"/>
      <c r="I19" s="125"/>
      <c r="J19" s="125">
        <f t="shared" si="0"/>
        <v>166.66666666666669</v>
      </c>
      <c r="K19" s="125" t="s">
        <v>24</v>
      </c>
      <c r="L19" s="125"/>
      <c r="M19" s="125" t="s">
        <v>25</v>
      </c>
      <c r="N19" s="133">
        <f>(12-F18)/12</f>
        <v>0.41666666666666669</v>
      </c>
      <c r="O19" s="125"/>
      <c r="P19" s="125"/>
      <c r="Q19" s="40"/>
    </row>
    <row r="20" spans="1:17" x14ac:dyDescent="0.4">
      <c r="A20" s="125" t="s">
        <v>26</v>
      </c>
      <c r="B20" s="125"/>
      <c r="C20" s="125"/>
      <c r="D20" s="145">
        <f>F7/F20</f>
        <v>18.2</v>
      </c>
      <c r="E20" s="127" t="s">
        <v>5</v>
      </c>
      <c r="F20" s="134">
        <v>25</v>
      </c>
      <c r="G20" s="125"/>
      <c r="H20" s="125"/>
      <c r="I20" s="125"/>
      <c r="J20" s="125"/>
      <c r="K20" s="125" t="s">
        <v>27</v>
      </c>
      <c r="L20" s="125"/>
      <c r="M20" s="125" t="s">
        <v>25</v>
      </c>
      <c r="N20" s="135">
        <f>(F19-12)/12</f>
        <v>1</v>
      </c>
      <c r="O20" s="125"/>
      <c r="P20" s="125"/>
      <c r="Q20" s="40"/>
    </row>
    <row r="21" spans="1:17" x14ac:dyDescent="0.4">
      <c r="A21" s="125" t="s">
        <v>28</v>
      </c>
      <c r="B21" s="125"/>
      <c r="C21" s="125"/>
      <c r="D21" s="125"/>
      <c r="E21" s="127" t="s">
        <v>29</v>
      </c>
      <c r="F21" s="134">
        <v>4</v>
      </c>
      <c r="G21" s="125"/>
      <c r="H21" s="125"/>
      <c r="I21" s="125"/>
      <c r="J21" s="136">
        <f t="shared" si="0"/>
        <v>418239.99999999994</v>
      </c>
      <c r="K21" s="125" t="s">
        <v>30</v>
      </c>
      <c r="L21" s="125"/>
      <c r="M21" s="125" t="s">
        <v>31</v>
      </c>
      <c r="N21" s="125">
        <f>((F32+C68*E68*0.01)/2)</f>
        <v>1045.5999999999999</v>
      </c>
      <c r="O21" s="125"/>
      <c r="P21" s="125"/>
      <c r="Q21" s="40"/>
    </row>
    <row r="22" spans="1:17" x14ac:dyDescent="0.4">
      <c r="A22" s="125" t="s">
        <v>32</v>
      </c>
      <c r="B22" s="125"/>
      <c r="C22" s="125"/>
      <c r="D22" s="145">
        <f>F7/F22</f>
        <v>1.1375</v>
      </c>
      <c r="E22" s="127" t="s">
        <v>5</v>
      </c>
      <c r="F22" s="134">
        <v>400</v>
      </c>
      <c r="G22" s="125"/>
      <c r="H22" s="125"/>
      <c r="I22" s="125"/>
      <c r="J22" s="136">
        <f t="shared" si="0"/>
        <v>47059.199999999997</v>
      </c>
      <c r="K22" s="125" t="s">
        <v>33</v>
      </c>
      <c r="L22" s="125"/>
      <c r="M22" s="125" t="s">
        <v>31</v>
      </c>
      <c r="N22" s="125">
        <f>IF(F20=0,0,(F34+(F24*F25*0.01))/2/F20)</f>
        <v>117.648</v>
      </c>
      <c r="O22" s="125"/>
      <c r="P22" s="125"/>
      <c r="Q22" s="40"/>
    </row>
    <row r="23" spans="1:17" x14ac:dyDescent="0.4">
      <c r="A23" s="125" t="s">
        <v>34</v>
      </c>
      <c r="B23" s="125"/>
      <c r="C23" s="125"/>
      <c r="D23" s="125"/>
      <c r="E23" s="127" t="s">
        <v>29</v>
      </c>
      <c r="F23" s="137">
        <v>8</v>
      </c>
      <c r="G23" s="125"/>
      <c r="H23" s="125"/>
      <c r="I23" s="125"/>
      <c r="J23" s="136">
        <f t="shared" si="0"/>
        <v>1500</v>
      </c>
      <c r="K23" s="125" t="s">
        <v>35</v>
      </c>
      <c r="L23" s="125"/>
      <c r="M23" s="125" t="s">
        <v>31</v>
      </c>
      <c r="N23" s="125">
        <f>IF(F22=0,0,(F35+F26)/2/F22)</f>
        <v>3.75</v>
      </c>
      <c r="O23" s="125"/>
      <c r="P23" s="125"/>
      <c r="Q23" s="40"/>
    </row>
    <row r="24" spans="1:17" x14ac:dyDescent="0.4">
      <c r="A24" s="125" t="s">
        <v>36</v>
      </c>
      <c r="B24" s="125"/>
      <c r="C24" s="125"/>
      <c r="D24" s="125"/>
      <c r="E24" s="127" t="s">
        <v>639</v>
      </c>
      <c r="F24" s="138">
        <f>C69</f>
        <v>1800</v>
      </c>
      <c r="G24" s="125"/>
      <c r="H24" s="125"/>
      <c r="I24" s="125"/>
      <c r="J24" s="136">
        <f t="shared" si="0"/>
        <v>551199.19999999995</v>
      </c>
      <c r="K24" s="125" t="s">
        <v>37</v>
      </c>
      <c r="L24" s="125"/>
      <c r="M24" s="125" t="s">
        <v>31</v>
      </c>
      <c r="N24" s="125">
        <f>N21+(F30*N19*N16)+(F31*N15*N20)+N22+N23</f>
        <v>1377.9979999999998</v>
      </c>
      <c r="O24" s="125"/>
      <c r="P24" s="125"/>
      <c r="Q24" s="40"/>
    </row>
    <row r="25" spans="1:17" x14ac:dyDescent="0.4">
      <c r="A25" s="125" t="s">
        <v>423</v>
      </c>
      <c r="B25" s="125"/>
      <c r="C25" s="125"/>
      <c r="D25" s="125"/>
      <c r="E25" s="127" t="s">
        <v>38</v>
      </c>
      <c r="F25" s="139">
        <f>'3. Cattle Pricing'!D71</f>
        <v>76.8</v>
      </c>
      <c r="G25" s="125"/>
      <c r="H25" s="125"/>
      <c r="I25" s="125"/>
      <c r="J25" s="125"/>
      <c r="K25" s="125" t="s">
        <v>39</v>
      </c>
      <c r="L25" s="125"/>
      <c r="M25" s="125" t="s">
        <v>40</v>
      </c>
      <c r="N25" s="125">
        <f>IF(F20=0,0,F44/F20)</f>
        <v>6.4000000000000001E-2</v>
      </c>
      <c r="O25" s="125"/>
      <c r="P25" s="125"/>
      <c r="Q25" s="40"/>
    </row>
    <row r="26" spans="1:17" x14ac:dyDescent="0.4">
      <c r="A26" s="125" t="s">
        <v>41</v>
      </c>
      <c r="B26" s="125"/>
      <c r="C26" s="125"/>
      <c r="D26" s="125"/>
      <c r="E26" s="127" t="s">
        <v>42</v>
      </c>
      <c r="F26" s="140">
        <v>0</v>
      </c>
      <c r="G26" s="125"/>
      <c r="H26" s="125"/>
      <c r="I26" s="125"/>
      <c r="J26" s="125"/>
      <c r="K26" s="125" t="s">
        <v>43</v>
      </c>
      <c r="L26" s="125"/>
      <c r="M26" s="125" t="s">
        <v>40</v>
      </c>
      <c r="N26" s="125">
        <f>IF(F22=0,0,F45/F22)</f>
        <v>3.7499999999999999E-3</v>
      </c>
      <c r="O26" s="125"/>
      <c r="P26" s="125"/>
      <c r="Q26" s="40"/>
    </row>
    <row r="27" spans="1:17" x14ac:dyDescent="0.4">
      <c r="A27" s="125"/>
      <c r="B27" s="125"/>
      <c r="C27" s="125"/>
      <c r="D27" s="125"/>
      <c r="E27" s="125"/>
      <c r="F27" s="125"/>
      <c r="G27" s="125"/>
      <c r="H27" s="125">
        <f>SUM(H11:H17)</f>
        <v>60.06</v>
      </c>
      <c r="I27" s="125"/>
      <c r="J27" s="136">
        <f>N27*$F$9</f>
        <v>597.26</v>
      </c>
      <c r="K27" s="125" t="s">
        <v>44</v>
      </c>
      <c r="L27" s="125"/>
      <c r="M27" s="125" t="s">
        <v>40</v>
      </c>
      <c r="N27" s="135">
        <f>F43+(F41*N19*N16)+(N16*N20*F42)+N25+N26</f>
        <v>1.49315</v>
      </c>
      <c r="O27" s="125"/>
      <c r="P27" s="125"/>
      <c r="Q27" s="40"/>
    </row>
    <row r="28" spans="1:17" x14ac:dyDescent="0.4">
      <c r="A28" s="155" t="s">
        <v>598</v>
      </c>
      <c r="B28" s="125"/>
      <c r="C28" s="125"/>
      <c r="D28" s="125"/>
      <c r="E28" s="125"/>
      <c r="F28" s="155" t="s">
        <v>45</v>
      </c>
      <c r="G28" s="125"/>
      <c r="H28" s="125"/>
      <c r="I28" s="125"/>
      <c r="J28" s="431">
        <f>N28*$F$9</f>
        <v>18375</v>
      </c>
      <c r="K28" s="432" t="s">
        <v>46</v>
      </c>
      <c r="L28" s="432"/>
      <c r="M28" s="432" t="s">
        <v>31</v>
      </c>
      <c r="N28" s="432">
        <f>(IF(OR(F22=0,F23=0),0,(F35-F26)/F23/F22)+IF(OR(F21=0,F20=0),0,(F34))/F21/F20)</f>
        <v>45.9375</v>
      </c>
      <c r="O28" s="125" t="s">
        <v>625</v>
      </c>
      <c r="P28" s="125"/>
      <c r="Q28" s="40"/>
    </row>
    <row r="29" spans="1:17" x14ac:dyDescent="0.4">
      <c r="A29" s="127" t="s">
        <v>47</v>
      </c>
      <c r="B29" s="125"/>
      <c r="C29" s="125"/>
      <c r="D29" s="125"/>
      <c r="E29" s="125"/>
      <c r="F29" s="128" t="s">
        <v>48</v>
      </c>
      <c r="G29" s="125"/>
      <c r="H29" s="125"/>
      <c r="I29" s="125"/>
      <c r="J29" s="431">
        <f>N29*$F$9</f>
        <v>0</v>
      </c>
      <c r="K29" s="432" t="s">
        <v>49</v>
      </c>
      <c r="L29" s="432"/>
      <c r="M29" s="432" t="s">
        <v>31</v>
      </c>
      <c r="N29" s="432">
        <f>IF(F11=0,0,((F11*F14*0.0001)*(F33))/(1/(F11*0.01)))</f>
        <v>0</v>
      </c>
      <c r="O29" s="125" t="s">
        <v>626</v>
      </c>
      <c r="P29" s="125"/>
      <c r="Q29" s="40"/>
    </row>
    <row r="30" spans="1:17" x14ac:dyDescent="0.4">
      <c r="A30" s="125" t="s">
        <v>50</v>
      </c>
      <c r="B30" s="125"/>
      <c r="C30" s="125"/>
      <c r="D30" s="145">
        <f>H27</f>
        <v>60.06</v>
      </c>
      <c r="E30" s="127" t="s">
        <v>42</v>
      </c>
      <c r="F30" s="138">
        <v>1000</v>
      </c>
      <c r="G30" s="125"/>
      <c r="H30" s="125"/>
      <c r="I30" s="125"/>
      <c r="J30" s="136">
        <f>N30*$F$9</f>
        <v>18375</v>
      </c>
      <c r="K30" s="125" t="s">
        <v>51</v>
      </c>
      <c r="L30" s="125"/>
      <c r="M30" s="125" t="s">
        <v>31</v>
      </c>
      <c r="N30" s="125">
        <f>(N28+(F33*F11*F14*0.0001))</f>
        <v>45.9375</v>
      </c>
      <c r="O30" s="125"/>
      <c r="P30" s="125"/>
      <c r="Q30" s="40"/>
    </row>
    <row r="31" spans="1:17" x14ac:dyDescent="0.4">
      <c r="A31" s="125" t="s">
        <v>52</v>
      </c>
      <c r="B31" s="125"/>
      <c r="C31" s="125"/>
      <c r="D31" s="125"/>
      <c r="E31" s="127" t="s">
        <v>42</v>
      </c>
      <c r="F31" s="138">
        <v>1300</v>
      </c>
      <c r="G31" s="125"/>
      <c r="H31" s="125"/>
      <c r="I31" s="125"/>
      <c r="J31" s="136">
        <f>N31*$F$9</f>
        <v>34905.599999999999</v>
      </c>
      <c r="K31" s="125" t="s">
        <v>53</v>
      </c>
      <c r="L31" s="125"/>
      <c r="M31" s="125" t="s">
        <v>31</v>
      </c>
      <c r="N31" s="125">
        <f>(F68+F72)</f>
        <v>87.263999999999996</v>
      </c>
      <c r="O31" s="125"/>
      <c r="P31" s="125"/>
      <c r="Q31" s="40"/>
    </row>
    <row r="32" spans="1:17" x14ac:dyDescent="0.4">
      <c r="A32" s="125" t="s">
        <v>54</v>
      </c>
      <c r="B32" s="125"/>
      <c r="C32" s="125"/>
      <c r="D32" s="125"/>
      <c r="E32" s="127" t="s">
        <v>42</v>
      </c>
      <c r="F32" s="138">
        <v>1400</v>
      </c>
      <c r="G32" s="125"/>
      <c r="H32" s="125"/>
      <c r="I32" s="125"/>
      <c r="J32" s="125"/>
      <c r="K32" s="125" t="s">
        <v>55</v>
      </c>
      <c r="L32" s="125"/>
      <c r="M32" s="125" t="s">
        <v>56</v>
      </c>
      <c r="N32" s="125">
        <f>(E70-E71)</f>
        <v>14.625</v>
      </c>
      <c r="O32" s="125"/>
      <c r="P32" s="125"/>
      <c r="Q32" s="40"/>
    </row>
    <row r="33" spans="1:17" x14ac:dyDescent="0.4">
      <c r="A33" s="125" t="s">
        <v>57</v>
      </c>
      <c r="B33" s="125"/>
      <c r="C33" s="125"/>
      <c r="D33" s="125"/>
      <c r="E33" s="127" t="s">
        <v>42</v>
      </c>
      <c r="F33" s="138">
        <v>1400</v>
      </c>
      <c r="G33" s="125"/>
      <c r="H33" s="125"/>
      <c r="I33" s="125"/>
      <c r="J33" s="125"/>
      <c r="K33" s="125" t="s">
        <v>58</v>
      </c>
      <c r="L33" s="125"/>
      <c r="M33" s="125" t="s">
        <v>31</v>
      </c>
      <c r="N33" s="125">
        <f>(F120+F137+F188+F99)</f>
        <v>7.5</v>
      </c>
      <c r="O33" s="125"/>
      <c r="P33" s="125"/>
      <c r="Q33" s="40"/>
    </row>
    <row r="34" spans="1:17" x14ac:dyDescent="0.4">
      <c r="A34" s="125" t="s">
        <v>59</v>
      </c>
      <c r="B34" s="125"/>
      <c r="C34" s="125"/>
      <c r="D34" s="125"/>
      <c r="E34" s="127" t="s">
        <v>42</v>
      </c>
      <c r="F34" s="138">
        <v>4500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40"/>
    </row>
    <row r="35" spans="1:17" x14ac:dyDescent="0.4">
      <c r="A35" s="125" t="s">
        <v>60</v>
      </c>
      <c r="B35" s="125"/>
      <c r="C35" s="125"/>
      <c r="D35" s="125"/>
      <c r="E35" s="127" t="s">
        <v>42</v>
      </c>
      <c r="F35" s="138">
        <v>3000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40"/>
    </row>
    <row r="36" spans="1:17" x14ac:dyDescent="0.4">
      <c r="A36" s="125" t="s">
        <v>61</v>
      </c>
      <c r="B36" s="125"/>
      <c r="C36" s="125"/>
      <c r="D36" s="125"/>
      <c r="E36" s="127" t="s">
        <v>6</v>
      </c>
      <c r="F36" s="131">
        <v>10</v>
      </c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40"/>
    </row>
    <row r="37" spans="1:17" x14ac:dyDescent="0.4">
      <c r="A37" s="125" t="s">
        <v>62</v>
      </c>
      <c r="B37" s="125"/>
      <c r="C37" s="125"/>
      <c r="D37" s="125"/>
      <c r="E37" s="127" t="s">
        <v>6</v>
      </c>
      <c r="F37" s="141">
        <v>5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40"/>
    </row>
    <row r="38" spans="1:17" x14ac:dyDescent="0.4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40"/>
    </row>
    <row r="39" spans="1:17" x14ac:dyDescent="0.4">
      <c r="A39" s="155" t="s">
        <v>607</v>
      </c>
      <c r="B39" s="125"/>
      <c r="C39" s="125"/>
      <c r="D39" s="125"/>
      <c r="E39" s="125"/>
      <c r="F39" s="155" t="s">
        <v>63</v>
      </c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40"/>
    </row>
    <row r="40" spans="1:17" x14ac:dyDescent="0.4">
      <c r="A40" s="127" t="s">
        <v>64</v>
      </c>
      <c r="B40" s="125"/>
      <c r="C40" s="125"/>
      <c r="D40" s="125"/>
      <c r="E40" s="125"/>
      <c r="F40" s="128" t="s">
        <v>48</v>
      </c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40"/>
    </row>
    <row r="41" spans="1:17" x14ac:dyDescent="0.4">
      <c r="A41" s="125" t="s">
        <v>50</v>
      </c>
      <c r="B41" s="125"/>
      <c r="C41" s="125"/>
      <c r="D41" s="125"/>
      <c r="E41" s="127" t="s">
        <v>40</v>
      </c>
      <c r="F41" s="141">
        <v>0.6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40"/>
    </row>
    <row r="42" spans="1:17" x14ac:dyDescent="0.4">
      <c r="A42" s="125" t="s">
        <v>65</v>
      </c>
      <c r="B42" s="125"/>
      <c r="C42" s="125"/>
      <c r="D42" s="125"/>
      <c r="E42" s="127" t="s">
        <v>40</v>
      </c>
      <c r="F42" s="141">
        <v>0.7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40"/>
    </row>
    <row r="43" spans="1:17" x14ac:dyDescent="0.4">
      <c r="A43" s="125" t="s">
        <v>66</v>
      </c>
      <c r="B43" s="125"/>
      <c r="C43" s="125"/>
      <c r="D43" s="125"/>
      <c r="E43" s="127" t="s">
        <v>40</v>
      </c>
      <c r="F43" s="141">
        <v>1.3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40"/>
    </row>
    <row r="44" spans="1:17" x14ac:dyDescent="0.4">
      <c r="A44" s="125" t="s">
        <v>67</v>
      </c>
      <c r="B44" s="125"/>
      <c r="C44" s="125" t="s">
        <v>68</v>
      </c>
      <c r="D44" s="125"/>
      <c r="E44" s="127" t="s">
        <v>40</v>
      </c>
      <c r="F44" s="141">
        <v>1.6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40"/>
    </row>
    <row r="45" spans="1:17" x14ac:dyDescent="0.4">
      <c r="A45" s="125" t="s">
        <v>69</v>
      </c>
      <c r="B45" s="125"/>
      <c r="C45" s="125"/>
      <c r="D45" s="125"/>
      <c r="E45" s="127" t="s">
        <v>40</v>
      </c>
      <c r="F45" s="141">
        <v>1.5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40"/>
    </row>
    <row r="46" spans="1:17" x14ac:dyDescent="0.4">
      <c r="A46" s="125" t="s">
        <v>70</v>
      </c>
      <c r="B46" s="125"/>
      <c r="C46" s="125"/>
      <c r="D46" s="125"/>
      <c r="E46" s="127" t="s">
        <v>63</v>
      </c>
      <c r="F46" s="125">
        <f>N27</f>
        <v>1.49315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40"/>
    </row>
    <row r="47" spans="1:17" x14ac:dyDescent="0.4">
      <c r="A47" s="125" t="s">
        <v>371</v>
      </c>
      <c r="B47" s="125"/>
      <c r="C47" s="125"/>
      <c r="D47" s="125"/>
      <c r="E47" s="127" t="s">
        <v>40</v>
      </c>
      <c r="F47" s="450">
        <f>F46*F9</f>
        <v>597.26</v>
      </c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40"/>
    </row>
    <row r="48" spans="1:17" x14ac:dyDescent="0.4">
      <c r="A48" s="155" t="s">
        <v>597</v>
      </c>
      <c r="B48" s="125"/>
      <c r="C48" s="125"/>
      <c r="D48" s="125"/>
      <c r="E48" s="127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40"/>
    </row>
    <row r="49" spans="1:17" x14ac:dyDescent="0.4">
      <c r="A49" s="127" t="s">
        <v>64</v>
      </c>
      <c r="B49" s="125"/>
      <c r="C49" s="125"/>
      <c r="D49" s="155" t="s">
        <v>346</v>
      </c>
      <c r="E49" s="155" t="s">
        <v>347</v>
      </c>
      <c r="F49" s="155" t="s">
        <v>348</v>
      </c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40"/>
    </row>
    <row r="50" spans="1:17" x14ac:dyDescent="0.4">
      <c r="A50" s="125" t="s">
        <v>345</v>
      </c>
      <c r="B50" s="125"/>
      <c r="C50" s="125"/>
      <c r="D50" s="138">
        <f>12*400</f>
        <v>4800</v>
      </c>
      <c r="E50" s="125">
        <f>D50/$F$9</f>
        <v>12</v>
      </c>
      <c r="F50" s="125">
        <f>D50/$F$47</f>
        <v>8.0367009342664844</v>
      </c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40"/>
    </row>
    <row r="51" spans="1:17" x14ac:dyDescent="0.4">
      <c r="A51" s="125" t="s">
        <v>431</v>
      </c>
      <c r="B51" s="125"/>
      <c r="C51" s="125"/>
      <c r="D51" s="138">
        <v>0</v>
      </c>
      <c r="E51" s="125">
        <f>D51/$F$9</f>
        <v>0</v>
      </c>
      <c r="F51" s="125">
        <f>D51/$F$47</f>
        <v>0</v>
      </c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40"/>
    </row>
    <row r="52" spans="1:17" x14ac:dyDescent="0.4">
      <c r="A52" s="142" t="s">
        <v>440</v>
      </c>
      <c r="B52" s="125"/>
      <c r="C52" s="125"/>
      <c r="D52" s="138">
        <v>0</v>
      </c>
      <c r="E52" s="125">
        <f>D52/$F$9</f>
        <v>0</v>
      </c>
      <c r="F52" s="125">
        <f>D52/$F$47</f>
        <v>0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40"/>
    </row>
    <row r="53" spans="1:17" x14ac:dyDescent="0.4">
      <c r="A53" s="147" t="s">
        <v>641</v>
      </c>
      <c r="B53" s="451" t="s">
        <v>40</v>
      </c>
      <c r="C53" s="452">
        <f>F47</f>
        <v>597.26</v>
      </c>
      <c r="D53" s="450">
        <f>SUM(D50:D52)</f>
        <v>4800</v>
      </c>
      <c r="E53" s="147">
        <f>D53/$F$9</f>
        <v>12</v>
      </c>
      <c r="F53" s="147">
        <f>D53/$F$47</f>
        <v>8.0367009342664844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40"/>
    </row>
    <row r="54" spans="1:17" x14ac:dyDescent="0.4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40"/>
    </row>
    <row r="55" spans="1:17" x14ac:dyDescent="0.4">
      <c r="A55" s="143" t="s">
        <v>596</v>
      </c>
      <c r="B55" s="144"/>
      <c r="C55" s="144"/>
      <c r="D55" s="14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40"/>
    </row>
    <row r="56" spans="1:17" x14ac:dyDescent="0.4">
      <c r="A56" s="127" t="s">
        <v>72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40"/>
    </row>
    <row r="57" spans="1:17" x14ac:dyDescent="0.4">
      <c r="A57" s="125" t="s">
        <v>73</v>
      </c>
      <c r="B57" s="125"/>
      <c r="C57" s="125"/>
      <c r="D57" s="125"/>
      <c r="E57" s="127" t="s">
        <v>6</v>
      </c>
      <c r="F57" s="125">
        <f>F10</f>
        <v>85</v>
      </c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40"/>
    </row>
    <row r="58" spans="1:17" x14ac:dyDescent="0.4">
      <c r="A58" s="125" t="s">
        <v>74</v>
      </c>
      <c r="B58" s="125"/>
      <c r="C58" s="125"/>
      <c r="D58" s="125"/>
      <c r="E58" s="127" t="s">
        <v>75</v>
      </c>
      <c r="F58" s="145">
        <f>((C70+C71)*0.5)</f>
        <v>540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40"/>
    </row>
    <row r="59" spans="1:17" x14ac:dyDescent="0.4">
      <c r="A59" s="125" t="s">
        <v>76</v>
      </c>
      <c r="B59" s="125"/>
      <c r="C59" s="125"/>
      <c r="D59" s="125"/>
      <c r="E59" s="146" t="s">
        <v>77</v>
      </c>
      <c r="F59" s="145">
        <f>(F57*F58*0.01)</f>
        <v>459</v>
      </c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40"/>
    </row>
    <row r="60" spans="1:17" x14ac:dyDescent="0.4">
      <c r="A60" s="125" t="s">
        <v>379</v>
      </c>
      <c r="B60" s="125"/>
      <c r="C60" s="125"/>
      <c r="D60" s="125"/>
      <c r="E60" s="125" t="s">
        <v>349</v>
      </c>
      <c r="F60" s="145">
        <f>F59/E50</f>
        <v>38.25</v>
      </c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40"/>
    </row>
    <row r="61" spans="1:17" x14ac:dyDescent="0.4">
      <c r="A61" s="125" t="s">
        <v>350</v>
      </c>
      <c r="B61" s="125"/>
      <c r="C61" s="125"/>
      <c r="D61" s="125"/>
      <c r="E61" s="125" t="s">
        <v>349</v>
      </c>
      <c r="F61" s="145">
        <f>F59/E53</f>
        <v>38.25</v>
      </c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40"/>
    </row>
    <row r="62" spans="1:17" x14ac:dyDescent="0.4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40"/>
    </row>
    <row r="63" spans="1:17" x14ac:dyDescent="0.4">
      <c r="A63" s="458" t="s">
        <v>589</v>
      </c>
      <c r="B63" s="458"/>
      <c r="C63" s="458"/>
      <c r="D63" s="458"/>
      <c r="E63" s="458"/>
      <c r="F63" s="458"/>
      <c r="G63" s="458"/>
      <c r="H63" s="125"/>
      <c r="I63" s="125"/>
      <c r="J63" s="125"/>
      <c r="K63" s="125"/>
      <c r="L63" s="125"/>
      <c r="M63" s="125"/>
      <c r="N63" s="125"/>
      <c r="O63" s="125"/>
      <c r="P63" s="125"/>
      <c r="Q63" s="40"/>
    </row>
    <row r="64" spans="1:17" x14ac:dyDescent="0.4">
      <c r="A64" s="128" t="s">
        <v>48</v>
      </c>
      <c r="B64" s="128"/>
      <c r="C64" s="128"/>
      <c r="D64" s="128"/>
      <c r="E64" s="128"/>
      <c r="F64" s="128"/>
      <c r="G64" s="128"/>
      <c r="H64" s="125"/>
      <c r="I64" s="125"/>
      <c r="J64" s="125"/>
      <c r="K64" s="125"/>
      <c r="L64" s="125"/>
      <c r="M64" s="125"/>
      <c r="N64" s="125"/>
      <c r="O64" s="125"/>
      <c r="P64" s="125"/>
      <c r="Q64" s="40"/>
    </row>
    <row r="65" spans="1:17" x14ac:dyDescent="0.4">
      <c r="A65" s="147" t="s">
        <v>442</v>
      </c>
      <c r="B65" s="125" t="s">
        <v>78</v>
      </c>
      <c r="C65" s="125" t="s">
        <v>1</v>
      </c>
      <c r="D65" s="127"/>
      <c r="E65" s="127" t="s">
        <v>80</v>
      </c>
      <c r="F65" s="127" t="s">
        <v>81</v>
      </c>
      <c r="G65" s="127" t="s">
        <v>82</v>
      </c>
      <c r="H65" s="125"/>
      <c r="I65" s="125"/>
      <c r="J65" s="125"/>
      <c r="K65" s="125"/>
      <c r="L65" s="125"/>
      <c r="M65" s="125"/>
      <c r="N65" s="125"/>
      <c r="O65" s="125"/>
      <c r="P65" s="125"/>
      <c r="Q65" s="40"/>
    </row>
    <row r="66" spans="1:17" x14ac:dyDescent="0.4">
      <c r="A66" s="125" t="s">
        <v>426</v>
      </c>
      <c r="B66" s="125"/>
      <c r="C66" s="127" t="s">
        <v>425</v>
      </c>
      <c r="D66" s="127" t="s">
        <v>82</v>
      </c>
      <c r="E66" s="127" t="s">
        <v>343</v>
      </c>
      <c r="F66" s="148" t="s">
        <v>96</v>
      </c>
      <c r="G66" s="127" t="s">
        <v>438</v>
      </c>
      <c r="H66" s="125"/>
      <c r="I66" s="125"/>
      <c r="J66" s="125"/>
      <c r="K66" s="125"/>
      <c r="L66" s="125"/>
      <c r="M66" s="125"/>
      <c r="N66" s="125"/>
      <c r="O66" s="125"/>
      <c r="P66" s="125"/>
      <c r="Q66" s="40"/>
    </row>
    <row r="67" spans="1:17" x14ac:dyDescent="0.4">
      <c r="A67" s="125" t="s">
        <v>321</v>
      </c>
      <c r="B67" s="127" t="s">
        <v>427</v>
      </c>
      <c r="C67" s="127" t="s">
        <v>83</v>
      </c>
      <c r="D67" s="125" t="s">
        <v>561</v>
      </c>
      <c r="E67" s="125"/>
      <c r="F67" s="149" t="s">
        <v>1</v>
      </c>
      <c r="G67" s="127" t="s">
        <v>84</v>
      </c>
      <c r="H67" s="125" t="s">
        <v>561</v>
      </c>
      <c r="I67" s="125"/>
      <c r="J67" s="125" t="s">
        <v>559</v>
      </c>
      <c r="K67" s="125"/>
      <c r="L67" s="125"/>
      <c r="M67" s="125"/>
      <c r="N67" s="125"/>
      <c r="O67" s="125"/>
      <c r="P67" s="125"/>
      <c r="Q67" s="40"/>
    </row>
    <row r="68" spans="1:17" x14ac:dyDescent="0.4">
      <c r="A68" s="125" t="s">
        <v>85</v>
      </c>
      <c r="B68" s="133">
        <f>N18</f>
        <v>0.11</v>
      </c>
      <c r="C68" s="138">
        <v>1200</v>
      </c>
      <c r="D68" s="145">
        <f>ROUND(B68*$F$9,0)</f>
        <v>44</v>
      </c>
      <c r="E68" s="150">
        <f>'3. Cattle Pricing'!D67</f>
        <v>57.599999999999994</v>
      </c>
      <c r="F68" s="151">
        <f>(B68*C68*E68*0.01)</f>
        <v>76.031999999999996</v>
      </c>
      <c r="G68" s="152">
        <f>(F68*$F$9)</f>
        <v>30412.799999999999</v>
      </c>
      <c r="I68" s="153">
        <f>G68/$G$74</f>
        <v>0.10513119699514928</v>
      </c>
      <c r="J68" s="125" t="s">
        <v>85</v>
      </c>
      <c r="K68" s="125" t="s">
        <v>640</v>
      </c>
      <c r="L68" s="125"/>
      <c r="M68" s="125"/>
      <c r="N68" s="125"/>
      <c r="O68" s="125"/>
      <c r="P68" s="125"/>
      <c r="Q68" s="40"/>
    </row>
    <row r="69" spans="1:17" x14ac:dyDescent="0.4">
      <c r="A69" s="125" t="s">
        <v>623</v>
      </c>
      <c r="B69" s="133">
        <f>1/F21/F20</f>
        <v>0.01</v>
      </c>
      <c r="C69" s="138">
        <v>1800</v>
      </c>
      <c r="D69" s="145">
        <f>B69*$F$9</f>
        <v>4</v>
      </c>
      <c r="E69" s="150">
        <f>'3. Cattle Pricing'!D71</f>
        <v>76.8</v>
      </c>
      <c r="F69" s="151">
        <f>B69*C69*0.01*E69</f>
        <v>13.824</v>
      </c>
      <c r="G69" s="152">
        <f>(F69*$F$9)</f>
        <v>5529.6</v>
      </c>
      <c r="I69" s="153">
        <f>G69/$G$74</f>
        <v>1.9114763090027145E-2</v>
      </c>
      <c r="J69" s="125" t="s">
        <v>205</v>
      </c>
      <c r="K69" s="153">
        <f>((C69*E69)/F34)*0.01</f>
        <v>0.30719999999999997</v>
      </c>
      <c r="L69" s="125"/>
      <c r="M69" s="125"/>
      <c r="N69" s="125"/>
      <c r="O69" s="125"/>
      <c r="P69" s="125"/>
      <c r="Q69" s="40"/>
    </row>
    <row r="70" spans="1:17" x14ac:dyDescent="0.4">
      <c r="A70" s="125" t="s">
        <v>87</v>
      </c>
      <c r="B70" s="133">
        <f>(F10*0.5*0.01)</f>
        <v>0.42499999999999999</v>
      </c>
      <c r="C70" s="134">
        <v>550</v>
      </c>
      <c r="D70" s="145">
        <f>ROUND(B70*$F$9,0)</f>
        <v>170</v>
      </c>
      <c r="E70" s="150">
        <f>'3. Cattle Pricing'!D61</f>
        <v>165.75</v>
      </c>
      <c r="F70" s="151">
        <f>(B70*C70*E70)/100</f>
        <v>387.44062500000001</v>
      </c>
      <c r="G70" s="152">
        <f>(F70*$F$9)</f>
        <v>154976.25</v>
      </c>
      <c r="I70" s="153">
        <f>G70/$G$74</f>
        <v>0.53572307279564868</v>
      </c>
      <c r="J70" s="125" t="s">
        <v>87</v>
      </c>
      <c r="K70" s="125"/>
      <c r="L70" s="125"/>
      <c r="M70" s="125"/>
      <c r="N70" s="125"/>
      <c r="O70" s="125"/>
      <c r="P70" s="125"/>
      <c r="Q70" s="40"/>
    </row>
    <row r="71" spans="1:17" x14ac:dyDescent="0.4">
      <c r="A71" s="125" t="s">
        <v>88</v>
      </c>
      <c r="B71" s="133">
        <f>(F10*0.5*0.01-N16)</f>
        <v>0.29299999999999998</v>
      </c>
      <c r="C71" s="134">
        <v>530</v>
      </c>
      <c r="D71" s="145">
        <f>ROUND(B71*$F$9,0)</f>
        <v>117</v>
      </c>
      <c r="E71" s="150">
        <f>'3. Cattle Pricing'!D63</f>
        <v>151.125</v>
      </c>
      <c r="F71" s="151">
        <f>(B71*C71*E71)/100</f>
        <v>234.68201249999998</v>
      </c>
      <c r="G71" s="152">
        <f>(F71*$F$9)</f>
        <v>93872.804999999993</v>
      </c>
      <c r="I71" s="153">
        <f>G71/$G$74</f>
        <v>0.3245002221085278</v>
      </c>
      <c r="J71" s="125" t="s">
        <v>88</v>
      </c>
      <c r="K71" s="125"/>
      <c r="L71" s="125"/>
      <c r="M71" s="125"/>
      <c r="N71" s="125"/>
      <c r="O71" s="125"/>
      <c r="P71" s="125"/>
      <c r="Q71" s="40"/>
    </row>
    <row r="72" spans="1:17" x14ac:dyDescent="0.4">
      <c r="A72" s="125" t="s">
        <v>89</v>
      </c>
      <c r="B72" s="133">
        <f>N17</f>
        <v>1.2E-2</v>
      </c>
      <c r="C72" s="134">
        <v>750</v>
      </c>
      <c r="D72" s="145">
        <f>ROUND(B72*$F$9,0)</f>
        <v>5</v>
      </c>
      <c r="E72" s="150">
        <f>'3. Cattle Pricing'!D75</f>
        <v>124.8</v>
      </c>
      <c r="F72" s="151">
        <f>(B72*C72*E72)/100</f>
        <v>11.232000000000001</v>
      </c>
      <c r="G72" s="152">
        <f>(F72*$F$9)</f>
        <v>4492.8</v>
      </c>
      <c r="I72" s="153">
        <f>G72/$G$74</f>
        <v>1.5530745010647055E-2</v>
      </c>
      <c r="J72" s="125" t="s">
        <v>89</v>
      </c>
      <c r="K72" s="125"/>
      <c r="L72" s="125"/>
      <c r="M72" s="125"/>
      <c r="N72" s="125"/>
      <c r="O72" s="125"/>
      <c r="P72" s="125"/>
      <c r="Q72" s="40"/>
    </row>
    <row r="73" spans="1:17" x14ac:dyDescent="0.4">
      <c r="A73" s="125"/>
      <c r="B73" s="125"/>
      <c r="C73" s="125"/>
      <c r="D73" s="154"/>
      <c r="E73" s="155" t="s">
        <v>571</v>
      </c>
      <c r="F73" s="156" t="s">
        <v>4</v>
      </c>
      <c r="G73" s="156" t="s">
        <v>4</v>
      </c>
      <c r="H73" s="125"/>
      <c r="I73" s="125"/>
      <c r="J73" s="125"/>
      <c r="K73" s="125"/>
      <c r="L73" s="125"/>
      <c r="M73" s="125"/>
      <c r="N73" s="125"/>
      <c r="O73" s="125"/>
      <c r="P73" s="125"/>
      <c r="Q73" s="40"/>
    </row>
    <row r="74" spans="1:17" x14ac:dyDescent="0.4">
      <c r="A74" s="157" t="s">
        <v>443</v>
      </c>
      <c r="B74" s="158"/>
      <c r="C74" s="158"/>
      <c r="D74" s="158"/>
      <c r="E74" s="159">
        <f>(G74/$D$53)</f>
        <v>60.267553124999999</v>
      </c>
      <c r="F74" s="159">
        <f>SUM(F68:F73)</f>
        <v>723.21063749999996</v>
      </c>
      <c r="G74" s="160">
        <f>(F74*$F$9)</f>
        <v>289284.255</v>
      </c>
      <c r="H74" s="125"/>
      <c r="I74" s="125"/>
      <c r="J74" s="125"/>
      <c r="K74" s="125"/>
      <c r="L74" s="125"/>
      <c r="M74" s="125"/>
      <c r="N74" s="125"/>
      <c r="O74" s="125"/>
      <c r="P74" s="125"/>
      <c r="Q74" s="40"/>
    </row>
    <row r="75" spans="1:17" x14ac:dyDescent="0.4">
      <c r="A75" s="128" t="s">
        <v>48</v>
      </c>
      <c r="B75" s="128"/>
      <c r="C75" s="128"/>
      <c r="D75" s="128"/>
      <c r="E75" s="128"/>
      <c r="F75" s="128"/>
      <c r="G75" s="128"/>
      <c r="H75" s="125"/>
      <c r="I75" s="125"/>
      <c r="J75" s="125"/>
      <c r="K75" s="125"/>
      <c r="L75" s="125"/>
      <c r="M75" s="125"/>
      <c r="N75" s="125"/>
      <c r="O75" s="125"/>
      <c r="P75" s="125"/>
      <c r="Q75" s="40"/>
    </row>
    <row r="76" spans="1:17" x14ac:dyDescent="0.4">
      <c r="A76" s="147" t="s">
        <v>444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40"/>
    </row>
    <row r="77" spans="1:17" x14ac:dyDescent="0.4">
      <c r="A77" s="147" t="s">
        <v>445</v>
      </c>
      <c r="B77" s="155" t="s">
        <v>92</v>
      </c>
      <c r="C77" s="147"/>
      <c r="D77" s="155" t="s">
        <v>79</v>
      </c>
      <c r="E77" s="155" t="s">
        <v>93</v>
      </c>
      <c r="F77" s="161" t="s">
        <v>94</v>
      </c>
      <c r="G77" s="161" t="s">
        <v>95</v>
      </c>
      <c r="H77" s="125"/>
      <c r="I77" s="125"/>
      <c r="J77" s="125"/>
      <c r="K77" s="125"/>
      <c r="L77" s="125"/>
      <c r="M77" s="125"/>
      <c r="N77" s="125"/>
      <c r="O77" s="125"/>
      <c r="P77" s="125"/>
      <c r="Q77" s="40"/>
    </row>
    <row r="78" spans="1:17" x14ac:dyDescent="0.4">
      <c r="A78" s="147" t="s">
        <v>322</v>
      </c>
      <c r="B78" s="162"/>
      <c r="C78" s="125"/>
      <c r="D78" s="148"/>
      <c r="E78" s="163"/>
      <c r="F78" s="151"/>
      <c r="G78" s="125"/>
      <c r="H78" s="125" t="s">
        <v>631</v>
      </c>
      <c r="I78" s="125"/>
      <c r="J78" s="125"/>
      <c r="K78" s="125"/>
      <c r="L78" s="125"/>
      <c r="M78" s="125"/>
      <c r="N78" s="125"/>
      <c r="O78" s="125"/>
      <c r="P78" s="125"/>
      <c r="Q78" s="40"/>
    </row>
    <row r="79" spans="1:17" x14ac:dyDescent="0.4">
      <c r="A79" s="125" t="s">
        <v>364</v>
      </c>
      <c r="B79" s="138">
        <v>0</v>
      </c>
      <c r="C79" s="125" t="s">
        <v>368</v>
      </c>
      <c r="D79" s="148" t="s">
        <v>367</v>
      </c>
      <c r="E79" s="141">
        <v>0</v>
      </c>
      <c r="F79" s="151">
        <f>B79*E79</f>
        <v>0</v>
      </c>
      <c r="G79" s="152">
        <f t="shared" ref="G79:G98" si="1">(F79*$F$9)</f>
        <v>0</v>
      </c>
      <c r="H79" s="125">
        <f>E79*2000</f>
        <v>0</v>
      </c>
      <c r="I79" s="164" t="s">
        <v>461</v>
      </c>
      <c r="J79" s="165">
        <f t="shared" ref="J79:K83" si="2">F79</f>
        <v>0</v>
      </c>
      <c r="K79" s="166">
        <f t="shared" si="2"/>
        <v>0</v>
      </c>
      <c r="L79" s="125"/>
      <c r="M79" s="125"/>
      <c r="N79" s="125"/>
      <c r="O79" s="125"/>
      <c r="P79" s="125"/>
      <c r="Q79" s="40"/>
    </row>
    <row r="80" spans="1:17" x14ac:dyDescent="0.4">
      <c r="A80" s="125" t="s">
        <v>365</v>
      </c>
      <c r="B80" s="138"/>
      <c r="C80" s="125" t="s">
        <v>368</v>
      </c>
      <c r="D80" s="148" t="s">
        <v>367</v>
      </c>
      <c r="E80" s="141">
        <v>0</v>
      </c>
      <c r="F80" s="151">
        <f>B80*E80</f>
        <v>0</v>
      </c>
      <c r="G80" s="152">
        <f t="shared" si="1"/>
        <v>0</v>
      </c>
      <c r="H80" s="125"/>
      <c r="I80" s="164" t="s">
        <v>461</v>
      </c>
      <c r="J80" s="165">
        <f t="shared" si="2"/>
        <v>0</v>
      </c>
      <c r="K80" s="166">
        <f t="shared" si="2"/>
        <v>0</v>
      </c>
      <c r="L80" s="125"/>
      <c r="M80" s="125"/>
      <c r="N80" s="125"/>
      <c r="O80" s="125"/>
      <c r="P80" s="125"/>
      <c r="Q80" s="40"/>
    </row>
    <row r="81" spans="1:17" x14ac:dyDescent="0.4">
      <c r="A81" s="125" t="s">
        <v>366</v>
      </c>
      <c r="B81" s="138">
        <v>30</v>
      </c>
      <c r="C81" s="125" t="s">
        <v>368</v>
      </c>
      <c r="D81" s="148" t="s">
        <v>367</v>
      </c>
      <c r="E81" s="141">
        <v>0.22</v>
      </c>
      <c r="F81" s="151">
        <f>B81*E81</f>
        <v>6.6</v>
      </c>
      <c r="G81" s="152">
        <f t="shared" si="1"/>
        <v>2640</v>
      </c>
      <c r="H81" s="125"/>
      <c r="I81" s="164" t="s">
        <v>461</v>
      </c>
      <c r="J81" s="165">
        <f t="shared" si="2"/>
        <v>6.6</v>
      </c>
      <c r="K81" s="166">
        <f t="shared" si="2"/>
        <v>2640</v>
      </c>
      <c r="L81" s="125"/>
      <c r="M81" s="125"/>
      <c r="N81" s="125"/>
      <c r="O81" s="125"/>
      <c r="P81" s="125"/>
      <c r="Q81" s="40"/>
    </row>
    <row r="82" spans="1:17" x14ac:dyDescent="0.4">
      <c r="A82" s="125" t="s">
        <v>363</v>
      </c>
      <c r="B82" s="138">
        <v>500</v>
      </c>
      <c r="C82" s="125" t="s">
        <v>368</v>
      </c>
      <c r="D82" s="148" t="s">
        <v>367</v>
      </c>
      <c r="E82" s="141">
        <v>0.18</v>
      </c>
      <c r="F82" s="151">
        <f>B82*E82</f>
        <v>90</v>
      </c>
      <c r="G82" s="152">
        <f t="shared" si="1"/>
        <v>36000</v>
      </c>
      <c r="H82" s="125">
        <f>E82*2000</f>
        <v>360</v>
      </c>
      <c r="I82" s="164" t="s">
        <v>461</v>
      </c>
      <c r="J82" s="165">
        <f t="shared" si="2"/>
        <v>90</v>
      </c>
      <c r="K82" s="166">
        <f t="shared" si="2"/>
        <v>36000</v>
      </c>
      <c r="L82" s="125"/>
      <c r="M82" s="125"/>
      <c r="N82" s="125"/>
      <c r="O82" s="125"/>
      <c r="P82" s="125"/>
      <c r="Q82" s="40"/>
    </row>
    <row r="83" spans="1:17" x14ac:dyDescent="0.4">
      <c r="A83" s="167" t="s">
        <v>523</v>
      </c>
      <c r="B83" s="138">
        <v>0</v>
      </c>
      <c r="C83" s="125"/>
      <c r="D83" s="148" t="s">
        <v>96</v>
      </c>
      <c r="E83" s="141">
        <v>0</v>
      </c>
      <c r="F83" s="151">
        <f>B83*E83</f>
        <v>0</v>
      </c>
      <c r="G83" s="152">
        <f t="shared" si="1"/>
        <v>0</v>
      </c>
      <c r="H83" s="125"/>
      <c r="I83" s="164" t="s">
        <v>461</v>
      </c>
      <c r="J83" s="165">
        <f t="shared" si="2"/>
        <v>0</v>
      </c>
      <c r="K83" s="166">
        <f t="shared" si="2"/>
        <v>0</v>
      </c>
      <c r="L83" s="125"/>
      <c r="M83" s="125"/>
      <c r="N83" s="125"/>
      <c r="O83" s="125"/>
      <c r="P83" s="125"/>
      <c r="Q83" s="40"/>
    </row>
    <row r="84" spans="1:17" x14ac:dyDescent="0.4">
      <c r="A84" s="147" t="s">
        <v>429</v>
      </c>
      <c r="B84" s="148"/>
      <c r="C84" s="125"/>
      <c r="D84" s="148"/>
      <c r="E84" s="151"/>
      <c r="F84" s="151"/>
      <c r="G84" s="152"/>
      <c r="H84" s="125"/>
      <c r="I84" s="164"/>
      <c r="J84" s="165"/>
      <c r="K84" s="166"/>
      <c r="L84" s="125"/>
      <c r="M84" s="125"/>
      <c r="N84" s="125"/>
      <c r="O84" s="125"/>
      <c r="P84" s="125"/>
      <c r="Q84" s="40"/>
    </row>
    <row r="85" spans="1:17" x14ac:dyDescent="0.4">
      <c r="A85" s="141" t="s">
        <v>462</v>
      </c>
      <c r="B85" s="141">
        <v>1</v>
      </c>
      <c r="C85" s="125"/>
      <c r="D85" s="148" t="s">
        <v>96</v>
      </c>
      <c r="E85" s="141">
        <v>0</v>
      </c>
      <c r="F85" s="151">
        <f>B85*E85</f>
        <v>0</v>
      </c>
      <c r="G85" s="152">
        <f t="shared" si="1"/>
        <v>0</v>
      </c>
      <c r="H85" s="125"/>
      <c r="I85" s="164" t="s">
        <v>461</v>
      </c>
      <c r="J85" s="165">
        <f t="shared" ref="J85:K91" si="3">F85</f>
        <v>0</v>
      </c>
      <c r="K85" s="166">
        <f t="shared" si="3"/>
        <v>0</v>
      </c>
      <c r="L85" s="125"/>
      <c r="M85" s="125"/>
      <c r="N85" s="125"/>
      <c r="O85" s="125"/>
      <c r="P85" s="125"/>
      <c r="Q85" s="40"/>
    </row>
    <row r="86" spans="1:17" x14ac:dyDescent="0.4">
      <c r="A86" s="141" t="s">
        <v>462</v>
      </c>
      <c r="B86" s="141">
        <v>1</v>
      </c>
      <c r="C86" s="125"/>
      <c r="D86" s="148" t="s">
        <v>96</v>
      </c>
      <c r="E86" s="141">
        <v>0</v>
      </c>
      <c r="F86" s="151">
        <f>B86*E86</f>
        <v>0</v>
      </c>
      <c r="G86" s="152">
        <f t="shared" si="1"/>
        <v>0</v>
      </c>
      <c r="H86" s="125"/>
      <c r="I86" s="164" t="s">
        <v>461</v>
      </c>
      <c r="J86" s="165">
        <f t="shared" si="3"/>
        <v>0</v>
      </c>
      <c r="K86" s="166">
        <f t="shared" si="3"/>
        <v>0</v>
      </c>
      <c r="L86" s="125"/>
      <c r="M86" s="125"/>
      <c r="N86" s="125"/>
      <c r="O86" s="125"/>
      <c r="P86" s="125"/>
      <c r="Q86" s="40"/>
    </row>
    <row r="87" spans="1:17" x14ac:dyDescent="0.4">
      <c r="A87" s="141" t="s">
        <v>462</v>
      </c>
      <c r="B87" s="141">
        <v>1</v>
      </c>
      <c r="C87" s="125"/>
      <c r="D87" s="148" t="s">
        <v>96</v>
      </c>
      <c r="E87" s="141">
        <v>0</v>
      </c>
      <c r="F87" s="151">
        <f>B87*E87</f>
        <v>0</v>
      </c>
      <c r="G87" s="152">
        <f t="shared" si="1"/>
        <v>0</v>
      </c>
      <c r="H87" s="125"/>
      <c r="I87" s="164" t="s">
        <v>461</v>
      </c>
      <c r="J87" s="165">
        <f t="shared" si="3"/>
        <v>0</v>
      </c>
      <c r="K87" s="166">
        <f t="shared" si="3"/>
        <v>0</v>
      </c>
      <c r="L87" s="125"/>
      <c r="M87" s="125"/>
      <c r="N87" s="125"/>
      <c r="O87" s="125"/>
      <c r="P87" s="125"/>
      <c r="Q87" s="40"/>
    </row>
    <row r="88" spans="1:17" x14ac:dyDescent="0.4">
      <c r="A88" s="141" t="s">
        <v>462</v>
      </c>
      <c r="B88" s="141">
        <v>1</v>
      </c>
      <c r="C88" s="125"/>
      <c r="D88" s="148" t="s">
        <v>96</v>
      </c>
      <c r="E88" s="141">
        <v>0</v>
      </c>
      <c r="F88" s="151">
        <f>B88*E88</f>
        <v>0</v>
      </c>
      <c r="G88" s="152">
        <f t="shared" si="1"/>
        <v>0</v>
      </c>
      <c r="H88" s="125"/>
      <c r="I88" s="164" t="s">
        <v>461</v>
      </c>
      <c r="J88" s="165">
        <f t="shared" si="3"/>
        <v>0</v>
      </c>
      <c r="K88" s="166">
        <f t="shared" si="3"/>
        <v>0</v>
      </c>
      <c r="L88" s="125"/>
      <c r="M88" s="125"/>
      <c r="N88" s="125"/>
      <c r="O88" s="125"/>
      <c r="P88" s="125"/>
      <c r="Q88" s="40"/>
    </row>
    <row r="89" spans="1:17" x14ac:dyDescent="0.4">
      <c r="A89" s="141" t="s">
        <v>462</v>
      </c>
      <c r="B89" s="141">
        <v>1</v>
      </c>
      <c r="C89" s="125"/>
      <c r="D89" s="148" t="s">
        <v>96</v>
      </c>
      <c r="E89" s="168">
        <f>G89/$F$9</f>
        <v>0</v>
      </c>
      <c r="F89" s="169">
        <f>E89</f>
        <v>0</v>
      </c>
      <c r="G89" s="170">
        <v>0</v>
      </c>
      <c r="H89" s="125"/>
      <c r="I89" s="164" t="s">
        <v>461</v>
      </c>
      <c r="J89" s="165">
        <f t="shared" si="3"/>
        <v>0</v>
      </c>
      <c r="K89" s="166">
        <f t="shared" si="3"/>
        <v>0</v>
      </c>
      <c r="L89" s="125"/>
      <c r="M89" s="125"/>
      <c r="N89" s="125"/>
      <c r="O89" s="125"/>
      <c r="P89" s="125"/>
      <c r="Q89" s="40"/>
    </row>
    <row r="90" spans="1:17" x14ac:dyDescent="0.4">
      <c r="A90" s="141" t="s">
        <v>462</v>
      </c>
      <c r="B90" s="141">
        <v>1</v>
      </c>
      <c r="C90" s="125"/>
      <c r="D90" s="148" t="s">
        <v>96</v>
      </c>
      <c r="E90" s="168">
        <f>G90/$F$9</f>
        <v>0</v>
      </c>
      <c r="F90" s="169">
        <f>E90</f>
        <v>0</v>
      </c>
      <c r="G90" s="170">
        <v>0</v>
      </c>
      <c r="H90" s="125"/>
      <c r="I90" s="164" t="s">
        <v>461</v>
      </c>
      <c r="J90" s="165">
        <f t="shared" si="3"/>
        <v>0</v>
      </c>
      <c r="K90" s="166">
        <f t="shared" si="3"/>
        <v>0</v>
      </c>
      <c r="L90" s="125"/>
      <c r="M90" s="125"/>
      <c r="N90" s="125"/>
      <c r="O90" s="125"/>
      <c r="P90" s="125"/>
      <c r="Q90" s="40"/>
    </row>
    <row r="91" spans="1:17" x14ac:dyDescent="0.4">
      <c r="A91" s="125" t="s">
        <v>463</v>
      </c>
      <c r="B91" s="171"/>
      <c r="C91" s="172"/>
      <c r="D91" s="173"/>
      <c r="E91" s="139"/>
      <c r="F91" s="139">
        <f>G91/$F$9</f>
        <v>0</v>
      </c>
      <c r="G91" s="170">
        <v>0</v>
      </c>
      <c r="H91" s="125"/>
      <c r="I91" s="164" t="s">
        <v>461</v>
      </c>
      <c r="J91" s="165">
        <f t="shared" si="3"/>
        <v>0</v>
      </c>
      <c r="K91" s="174">
        <f t="shared" si="3"/>
        <v>0</v>
      </c>
      <c r="L91" s="174"/>
      <c r="M91" s="125"/>
      <c r="N91" s="125"/>
      <c r="O91" s="125"/>
      <c r="P91" s="125"/>
      <c r="Q91" s="40"/>
    </row>
    <row r="92" spans="1:17" x14ac:dyDescent="0.4">
      <c r="A92" s="175" t="s">
        <v>369</v>
      </c>
      <c r="B92" s="176"/>
      <c r="C92" s="125"/>
      <c r="D92" s="148"/>
      <c r="E92" s="141"/>
      <c r="F92" s="151"/>
      <c r="G92" s="152"/>
      <c r="H92" s="125"/>
      <c r="I92" s="125" t="s">
        <v>358</v>
      </c>
      <c r="J92" s="177">
        <f>SUM(F85:F91)</f>
        <v>0</v>
      </c>
      <c r="K92" s="166">
        <f>SUM(G85:G91)</f>
        <v>0</v>
      </c>
      <c r="L92" s="125"/>
      <c r="M92" s="125"/>
      <c r="N92" s="125"/>
      <c r="O92" s="125"/>
      <c r="P92" s="125"/>
      <c r="Q92" s="40"/>
    </row>
    <row r="93" spans="1:17" x14ac:dyDescent="0.4">
      <c r="A93" s="141" t="s">
        <v>360</v>
      </c>
      <c r="B93" s="178">
        <v>1</v>
      </c>
      <c r="C93" s="125"/>
      <c r="D93" s="148" t="s">
        <v>96</v>
      </c>
      <c r="E93" s="141">
        <v>5</v>
      </c>
      <c r="F93" s="151">
        <f t="shared" ref="F93:F98" si="4">B93*E93</f>
        <v>5</v>
      </c>
      <c r="G93" s="152">
        <f t="shared" si="1"/>
        <v>2000</v>
      </c>
      <c r="H93" s="125"/>
      <c r="I93" s="164" t="s">
        <v>461</v>
      </c>
      <c r="J93" s="179">
        <f>F93</f>
        <v>5</v>
      </c>
      <c r="K93" s="180">
        <f>G93</f>
        <v>2000</v>
      </c>
      <c r="L93" s="125"/>
      <c r="M93" s="125"/>
      <c r="N93" s="125"/>
      <c r="O93" s="125"/>
      <c r="P93" s="125"/>
      <c r="Q93" s="40"/>
    </row>
    <row r="94" spans="1:17" x14ac:dyDescent="0.4">
      <c r="A94" s="141" t="s">
        <v>361</v>
      </c>
      <c r="B94" s="178">
        <v>1</v>
      </c>
      <c r="C94" s="125"/>
      <c r="D94" s="148" t="s">
        <v>96</v>
      </c>
      <c r="E94" s="141">
        <v>35</v>
      </c>
      <c r="F94" s="151">
        <f t="shared" si="4"/>
        <v>35</v>
      </c>
      <c r="G94" s="152">
        <f t="shared" si="1"/>
        <v>14000</v>
      </c>
      <c r="H94" s="125"/>
      <c r="I94" s="164" t="s">
        <v>461</v>
      </c>
      <c r="J94" s="179">
        <f t="shared" ref="J94:J99" si="5">F94</f>
        <v>35</v>
      </c>
      <c r="K94" s="180">
        <f t="shared" ref="K94:K99" si="6">G94</f>
        <v>14000</v>
      </c>
      <c r="L94" s="125"/>
      <c r="M94" s="125"/>
      <c r="N94" s="125"/>
      <c r="O94" s="125"/>
      <c r="P94" s="125"/>
      <c r="Q94" s="40"/>
    </row>
    <row r="95" spans="1:17" x14ac:dyDescent="0.4">
      <c r="A95" s="141" t="s">
        <v>362</v>
      </c>
      <c r="B95" s="178">
        <v>1</v>
      </c>
      <c r="C95" s="125"/>
      <c r="D95" s="148" t="s">
        <v>96</v>
      </c>
      <c r="E95" s="141">
        <v>5</v>
      </c>
      <c r="F95" s="151">
        <f t="shared" si="4"/>
        <v>5</v>
      </c>
      <c r="G95" s="152">
        <f t="shared" si="1"/>
        <v>2000</v>
      </c>
      <c r="H95" s="125"/>
      <c r="I95" s="164" t="s">
        <v>461</v>
      </c>
      <c r="J95" s="179">
        <f t="shared" si="5"/>
        <v>5</v>
      </c>
      <c r="K95" s="180">
        <f t="shared" si="6"/>
        <v>2000</v>
      </c>
      <c r="L95" s="125"/>
      <c r="M95" s="125"/>
      <c r="N95" s="125"/>
      <c r="O95" s="125"/>
      <c r="P95" s="125"/>
      <c r="Q95" s="40"/>
    </row>
    <row r="96" spans="1:17" x14ac:dyDescent="0.4">
      <c r="A96" s="141" t="s">
        <v>480</v>
      </c>
      <c r="B96" s="178">
        <v>1</v>
      </c>
      <c r="C96" s="125"/>
      <c r="D96" s="148" t="s">
        <v>96</v>
      </c>
      <c r="E96" s="181">
        <v>0</v>
      </c>
      <c r="F96" s="151">
        <f t="shared" si="4"/>
        <v>0</v>
      </c>
      <c r="G96" s="152">
        <f t="shared" si="1"/>
        <v>0</v>
      </c>
      <c r="H96" s="125"/>
      <c r="I96" s="164" t="s">
        <v>461</v>
      </c>
      <c r="J96" s="179">
        <f t="shared" si="5"/>
        <v>0</v>
      </c>
      <c r="K96" s="180">
        <f t="shared" si="6"/>
        <v>0</v>
      </c>
      <c r="L96" s="125"/>
      <c r="M96" s="125"/>
      <c r="N96" s="125"/>
      <c r="O96" s="125"/>
      <c r="P96" s="125"/>
      <c r="Q96" s="40"/>
    </row>
    <row r="97" spans="1:17" x14ac:dyDescent="0.4">
      <c r="A97" s="141" t="s">
        <v>480</v>
      </c>
      <c r="B97" s="178">
        <v>1</v>
      </c>
      <c r="C97" s="125"/>
      <c r="D97" s="148" t="s">
        <v>96</v>
      </c>
      <c r="E97" s="181">
        <v>0</v>
      </c>
      <c r="F97" s="151">
        <f t="shared" si="4"/>
        <v>0</v>
      </c>
      <c r="G97" s="152">
        <f t="shared" si="1"/>
        <v>0</v>
      </c>
      <c r="H97" s="125"/>
      <c r="I97" s="164" t="s">
        <v>461</v>
      </c>
      <c r="J97" s="179">
        <f t="shared" si="5"/>
        <v>0</v>
      </c>
      <c r="K97" s="180">
        <f t="shared" si="6"/>
        <v>0</v>
      </c>
      <c r="L97" s="125"/>
      <c r="M97" s="125"/>
      <c r="N97" s="125"/>
      <c r="O97" s="125"/>
      <c r="P97" s="125"/>
      <c r="Q97" s="40"/>
    </row>
    <row r="98" spans="1:17" x14ac:dyDescent="0.4">
      <c r="A98" s="141" t="s">
        <v>480</v>
      </c>
      <c r="B98" s="178">
        <v>1</v>
      </c>
      <c r="C98" s="125"/>
      <c r="D98" s="148" t="s">
        <v>96</v>
      </c>
      <c r="E98" s="181">
        <v>0</v>
      </c>
      <c r="F98" s="151">
        <f t="shared" si="4"/>
        <v>0</v>
      </c>
      <c r="G98" s="152">
        <f t="shared" si="1"/>
        <v>0</v>
      </c>
      <c r="H98" s="125"/>
      <c r="I98" s="164" t="s">
        <v>461</v>
      </c>
      <c r="J98" s="179">
        <f t="shared" si="5"/>
        <v>0</v>
      </c>
      <c r="K98" s="180">
        <f t="shared" si="6"/>
        <v>0</v>
      </c>
      <c r="L98" s="125"/>
      <c r="M98" s="125"/>
      <c r="N98" s="125"/>
      <c r="O98" s="125"/>
      <c r="P98" s="125"/>
      <c r="Q98" s="40"/>
    </row>
    <row r="99" spans="1:17" x14ac:dyDescent="0.4">
      <c r="A99" s="125" t="s">
        <v>103</v>
      </c>
      <c r="B99" s="182">
        <v>20</v>
      </c>
      <c r="C99" s="125" t="s">
        <v>353</v>
      </c>
      <c r="D99" s="148" t="s">
        <v>352</v>
      </c>
      <c r="E99" s="141">
        <v>150</v>
      </c>
      <c r="F99" s="139">
        <f>G99/$F$9</f>
        <v>7.5</v>
      </c>
      <c r="G99" s="152">
        <f>(B99*E99)</f>
        <v>3000</v>
      </c>
      <c r="H99" s="125"/>
      <c r="I99" s="164" t="s">
        <v>461</v>
      </c>
      <c r="J99" s="179">
        <f t="shared" si="5"/>
        <v>7.5</v>
      </c>
      <c r="K99" s="180">
        <f t="shared" si="6"/>
        <v>3000</v>
      </c>
      <c r="L99" s="125"/>
      <c r="M99" s="125"/>
      <c r="N99" s="125"/>
      <c r="O99" s="125"/>
      <c r="P99" s="125"/>
      <c r="Q99" s="40"/>
    </row>
    <row r="100" spans="1:17" x14ac:dyDescent="0.4">
      <c r="A100" s="183"/>
      <c r="B100" s="183"/>
      <c r="C100" s="183"/>
      <c r="D100" s="183"/>
      <c r="E100" s="183"/>
      <c r="F100" s="156" t="s">
        <v>4</v>
      </c>
      <c r="G100" s="156" t="s">
        <v>4</v>
      </c>
      <c r="H100" s="125"/>
      <c r="I100" s="184"/>
      <c r="J100" s="185"/>
      <c r="K100" s="180"/>
      <c r="L100" s="125"/>
      <c r="M100" s="125"/>
      <c r="N100" s="125"/>
      <c r="O100" s="125"/>
      <c r="P100" s="125"/>
      <c r="Q100" s="40"/>
    </row>
    <row r="101" spans="1:17" x14ac:dyDescent="0.4">
      <c r="A101" s="186" t="s">
        <v>448</v>
      </c>
      <c r="B101" s="187"/>
      <c r="C101" s="158"/>
      <c r="D101" s="188"/>
      <c r="E101" s="188"/>
      <c r="F101" s="159">
        <f>SUM(F79:F100)</f>
        <v>149.1</v>
      </c>
      <c r="G101" s="159">
        <f>SUM(G79:G100)</f>
        <v>59640</v>
      </c>
      <c r="H101" s="125"/>
      <c r="I101" s="189" t="s">
        <v>470</v>
      </c>
      <c r="J101" s="190">
        <f>SUM(J79:J99)-J92</f>
        <v>149.1</v>
      </c>
      <c r="K101" s="191">
        <f>SUM(K79:K99)-K92</f>
        <v>59640</v>
      </c>
      <c r="L101" s="125" t="s">
        <v>385</v>
      </c>
      <c r="M101" s="125"/>
      <c r="N101" s="125"/>
      <c r="O101" s="125"/>
      <c r="P101" s="125"/>
      <c r="Q101" s="40"/>
    </row>
    <row r="102" spans="1:17" x14ac:dyDescent="0.4">
      <c r="A102" s="151"/>
      <c r="B102" s="151"/>
      <c r="C102" s="151"/>
      <c r="D102" s="151"/>
      <c r="E102" s="151"/>
      <c r="F102" s="151"/>
      <c r="G102" s="152"/>
      <c r="H102" s="125"/>
      <c r="I102" s="184"/>
      <c r="J102" s="185"/>
      <c r="K102" s="180"/>
      <c r="L102" s="125"/>
      <c r="M102" s="125"/>
      <c r="N102" s="125"/>
      <c r="O102" s="125"/>
      <c r="P102" s="125"/>
      <c r="Q102" s="40"/>
    </row>
    <row r="103" spans="1:17" x14ac:dyDescent="0.4">
      <c r="A103" s="192" t="s">
        <v>447</v>
      </c>
      <c r="B103" s="183"/>
      <c r="C103" s="172"/>
      <c r="D103" s="173"/>
      <c r="E103" s="183"/>
      <c r="F103" s="168"/>
      <c r="G103" s="152"/>
      <c r="H103" s="125"/>
      <c r="I103" s="184"/>
      <c r="J103" s="185"/>
      <c r="K103" s="180"/>
      <c r="L103" s="125"/>
      <c r="M103" s="125"/>
      <c r="N103" s="125"/>
      <c r="O103" s="125"/>
      <c r="P103" s="125"/>
      <c r="Q103" s="40"/>
    </row>
    <row r="104" spans="1:17" x14ac:dyDescent="0.4">
      <c r="A104" s="193" t="s">
        <v>636</v>
      </c>
      <c r="B104" s="125"/>
      <c r="C104" s="125"/>
      <c r="D104" s="148" t="s">
        <v>96</v>
      </c>
      <c r="E104" s="168">
        <f>G104/$F$9</f>
        <v>19</v>
      </c>
      <c r="F104" s="169">
        <f>E104</f>
        <v>19</v>
      </c>
      <c r="G104" s="194">
        <f>'2. Vehicles,Mach.,Equipt.'!I38</f>
        <v>7600</v>
      </c>
      <c r="H104" s="125"/>
      <c r="I104" s="125" t="s">
        <v>464</v>
      </c>
      <c r="J104" s="165">
        <f t="shared" ref="J104:K111" si="7">F104</f>
        <v>19</v>
      </c>
      <c r="K104" s="166">
        <f t="shared" si="7"/>
        <v>7600</v>
      </c>
      <c r="L104" s="125"/>
      <c r="M104" s="125"/>
      <c r="N104" s="125"/>
      <c r="O104" s="125"/>
      <c r="P104" s="125"/>
      <c r="Q104" s="40"/>
    </row>
    <row r="105" spans="1:17" x14ac:dyDescent="0.4">
      <c r="A105" s="193" t="s">
        <v>494</v>
      </c>
      <c r="B105" s="125"/>
      <c r="C105" s="125"/>
      <c r="D105" s="148" t="s">
        <v>96</v>
      </c>
      <c r="E105" s="168">
        <f>G105/$F$9</f>
        <v>10</v>
      </c>
      <c r="F105" s="169">
        <f>E105</f>
        <v>10</v>
      </c>
      <c r="G105" s="195">
        <v>4000</v>
      </c>
      <c r="H105" s="125"/>
      <c r="I105" s="125" t="s">
        <v>464</v>
      </c>
      <c r="J105" s="165">
        <f t="shared" si="7"/>
        <v>10</v>
      </c>
      <c r="K105" s="166">
        <f t="shared" si="7"/>
        <v>4000</v>
      </c>
      <c r="L105" s="125"/>
      <c r="M105" s="125"/>
      <c r="N105" s="125"/>
      <c r="O105" s="125"/>
      <c r="P105" s="125"/>
      <c r="Q105" s="40"/>
    </row>
    <row r="106" spans="1:17" x14ac:dyDescent="0.4">
      <c r="A106" s="125" t="s">
        <v>450</v>
      </c>
      <c r="B106" s="171">
        <f>D$53</f>
        <v>4800</v>
      </c>
      <c r="C106" s="172" t="s">
        <v>356</v>
      </c>
      <c r="D106" s="173" t="s">
        <v>355</v>
      </c>
      <c r="E106" s="139">
        <f>G106/B106</f>
        <v>0.41666666666666669</v>
      </c>
      <c r="F106" s="139">
        <f>G106/$F$9</f>
        <v>5</v>
      </c>
      <c r="G106" s="196">
        <v>2000</v>
      </c>
      <c r="H106" s="125"/>
      <c r="I106" s="125" t="s">
        <v>464</v>
      </c>
      <c r="J106" s="165">
        <f t="shared" si="7"/>
        <v>5</v>
      </c>
      <c r="K106" s="174">
        <f t="shared" si="7"/>
        <v>2000</v>
      </c>
      <c r="L106" s="174"/>
      <c r="M106" s="125"/>
      <c r="N106" s="125"/>
      <c r="O106" s="125"/>
      <c r="P106" s="125"/>
      <c r="Q106" s="40"/>
    </row>
    <row r="107" spans="1:17" x14ac:dyDescent="0.4">
      <c r="A107" s="141" t="s">
        <v>359</v>
      </c>
      <c r="B107" s="125"/>
      <c r="C107" s="125"/>
      <c r="D107" s="148" t="s">
        <v>96</v>
      </c>
      <c r="E107" s="168">
        <f>G107/$F$9</f>
        <v>30</v>
      </c>
      <c r="F107" s="169">
        <f>E107</f>
        <v>30</v>
      </c>
      <c r="G107" s="170">
        <v>12000</v>
      </c>
      <c r="H107" s="125"/>
      <c r="I107" s="125" t="s">
        <v>464</v>
      </c>
      <c r="J107" s="165">
        <f t="shared" si="7"/>
        <v>30</v>
      </c>
      <c r="K107" s="174">
        <f t="shared" si="7"/>
        <v>12000</v>
      </c>
      <c r="L107" s="125"/>
      <c r="M107" s="125"/>
      <c r="N107" s="125"/>
      <c r="O107" s="125"/>
      <c r="P107" s="125"/>
      <c r="Q107" s="40"/>
    </row>
    <row r="108" spans="1:17" x14ac:dyDescent="0.4">
      <c r="A108" s="141" t="s">
        <v>465</v>
      </c>
      <c r="B108" s="125"/>
      <c r="C108" s="125"/>
      <c r="D108" s="148" t="s">
        <v>96</v>
      </c>
      <c r="E108" s="168">
        <f>G108/$F$9</f>
        <v>0</v>
      </c>
      <c r="F108" s="169">
        <f>E108</f>
        <v>0</v>
      </c>
      <c r="G108" s="170">
        <v>0</v>
      </c>
      <c r="H108" s="125"/>
      <c r="I108" s="125" t="s">
        <v>464</v>
      </c>
      <c r="J108" s="165">
        <f t="shared" ref="J108:K110" si="8">F108</f>
        <v>0</v>
      </c>
      <c r="K108" s="174">
        <f t="shared" si="8"/>
        <v>0</v>
      </c>
      <c r="L108" s="125"/>
      <c r="M108" s="125"/>
      <c r="N108" s="125"/>
      <c r="O108" s="125"/>
      <c r="P108" s="125"/>
      <c r="Q108" s="40"/>
    </row>
    <row r="109" spans="1:17" x14ac:dyDescent="0.4">
      <c r="A109" s="125" t="s">
        <v>380</v>
      </c>
      <c r="B109" s="141">
        <v>1</v>
      </c>
      <c r="C109" s="148" t="s">
        <v>354</v>
      </c>
      <c r="D109" s="125"/>
      <c r="E109" s="196">
        <v>40000</v>
      </c>
      <c r="F109" s="139">
        <f>G109/$F$9</f>
        <v>100</v>
      </c>
      <c r="G109" s="197">
        <f>E109*B109</f>
        <v>40000</v>
      </c>
      <c r="H109" s="125"/>
      <c r="I109" s="125" t="s">
        <v>464</v>
      </c>
      <c r="J109" s="165">
        <f t="shared" si="8"/>
        <v>100</v>
      </c>
      <c r="K109" s="174">
        <f t="shared" si="8"/>
        <v>40000</v>
      </c>
      <c r="L109" s="125"/>
      <c r="M109" s="125"/>
      <c r="N109" s="125"/>
      <c r="O109" s="125"/>
      <c r="P109" s="125"/>
      <c r="Q109" s="40"/>
    </row>
    <row r="110" spans="1:17" x14ac:dyDescent="0.4">
      <c r="A110" s="125" t="s">
        <v>351</v>
      </c>
      <c r="B110" s="141">
        <v>1</v>
      </c>
      <c r="C110" s="148" t="s">
        <v>354</v>
      </c>
      <c r="D110" s="125"/>
      <c r="E110" s="196">
        <v>70000</v>
      </c>
      <c r="F110" s="139">
        <f>G110/$F$9</f>
        <v>175</v>
      </c>
      <c r="G110" s="197">
        <f>E110*B110</f>
        <v>70000</v>
      </c>
      <c r="H110" s="125"/>
      <c r="I110" s="125" t="s">
        <v>464</v>
      </c>
      <c r="J110" s="165">
        <f t="shared" si="8"/>
        <v>175</v>
      </c>
      <c r="K110" s="174">
        <f t="shared" si="8"/>
        <v>70000</v>
      </c>
      <c r="L110" s="125"/>
      <c r="M110" s="125"/>
      <c r="N110" s="125"/>
      <c r="O110" s="125"/>
      <c r="P110" s="125"/>
      <c r="Q110" s="40"/>
    </row>
    <row r="111" spans="1:17" x14ac:dyDescent="0.4">
      <c r="A111" s="141" t="s">
        <v>465</v>
      </c>
      <c r="B111" s="125"/>
      <c r="C111" s="125"/>
      <c r="D111" s="148" t="s">
        <v>96</v>
      </c>
      <c r="E111" s="168">
        <f>G111/$F$9</f>
        <v>0</v>
      </c>
      <c r="F111" s="169">
        <f>E111</f>
        <v>0</v>
      </c>
      <c r="G111" s="170">
        <v>0</v>
      </c>
      <c r="H111" s="125"/>
      <c r="I111" s="125" t="s">
        <v>464</v>
      </c>
      <c r="J111" s="165">
        <f t="shared" si="7"/>
        <v>0</v>
      </c>
      <c r="K111" s="174">
        <f t="shared" si="7"/>
        <v>0</v>
      </c>
      <c r="L111" s="125"/>
      <c r="M111" s="125"/>
      <c r="N111" s="125"/>
      <c r="O111" s="125"/>
      <c r="P111" s="125"/>
      <c r="Q111" s="40"/>
    </row>
    <row r="112" spans="1:17" x14ac:dyDescent="0.4">
      <c r="A112" s="125" t="s">
        <v>344</v>
      </c>
      <c r="B112" s="125"/>
      <c r="C112" s="125"/>
      <c r="D112" s="125"/>
      <c r="E112" s="125"/>
      <c r="F112" s="151"/>
      <c r="G112" s="125"/>
      <c r="H112" s="125"/>
      <c r="I112" s="125"/>
      <c r="J112" s="165"/>
      <c r="K112" s="174"/>
      <c r="L112" s="125"/>
      <c r="M112" s="125"/>
      <c r="N112" s="125"/>
      <c r="O112" s="125"/>
      <c r="P112" s="125"/>
      <c r="Q112" s="40"/>
    </row>
    <row r="113" spans="1:17" x14ac:dyDescent="0.4">
      <c r="A113" s="125" t="s">
        <v>643</v>
      </c>
      <c r="B113" s="125"/>
      <c r="C113" s="125"/>
      <c r="D113" s="148" t="s">
        <v>96</v>
      </c>
      <c r="E113" s="125"/>
      <c r="F113" s="139">
        <f>G113/$F$9</f>
        <v>54.5</v>
      </c>
      <c r="G113" s="197">
        <f>'2. Vehicles,Mach.,Equipt.'!E38</f>
        <v>21800</v>
      </c>
      <c r="H113" s="125"/>
      <c r="I113" s="198" t="s">
        <v>466</v>
      </c>
      <c r="J113" s="199">
        <f t="shared" ref="J113:K115" si="9">F113</f>
        <v>54.5</v>
      </c>
      <c r="K113" s="200">
        <f t="shared" si="9"/>
        <v>21800</v>
      </c>
      <c r="L113" s="125"/>
      <c r="M113" s="125"/>
      <c r="N113" s="125"/>
      <c r="O113" s="125"/>
      <c r="P113" s="125"/>
      <c r="Q113" s="40"/>
    </row>
    <row r="114" spans="1:17" x14ac:dyDescent="0.4">
      <c r="A114" s="125" t="s">
        <v>637</v>
      </c>
      <c r="B114" s="171">
        <f>B106</f>
        <v>4800</v>
      </c>
      <c r="C114" s="172" t="s">
        <v>356</v>
      </c>
      <c r="D114" s="173" t="s">
        <v>355</v>
      </c>
      <c r="E114" s="201">
        <v>1</v>
      </c>
      <c r="F114" s="139">
        <f>G114/$F$9</f>
        <v>12</v>
      </c>
      <c r="G114" s="152">
        <f>B114*E114</f>
        <v>4800</v>
      </c>
      <c r="H114" s="125"/>
      <c r="I114" s="198" t="s">
        <v>466</v>
      </c>
      <c r="J114" s="199">
        <f>F114</f>
        <v>12</v>
      </c>
      <c r="K114" s="200">
        <f>G114</f>
        <v>4800</v>
      </c>
      <c r="L114" s="125"/>
      <c r="M114" s="125"/>
      <c r="N114" s="125"/>
      <c r="O114" s="125"/>
      <c r="P114" s="125"/>
      <c r="Q114" s="40"/>
    </row>
    <row r="115" spans="1:17" x14ac:dyDescent="0.4">
      <c r="A115" s="125" t="s">
        <v>102</v>
      </c>
      <c r="B115" s="125"/>
      <c r="C115" s="125"/>
      <c r="D115" s="148" t="s">
        <v>96</v>
      </c>
      <c r="E115" s="125"/>
      <c r="F115" s="151">
        <f>N28+N29</f>
        <v>45.9375</v>
      </c>
      <c r="G115" s="152">
        <f>(F115*$F$9)</f>
        <v>18375</v>
      </c>
      <c r="H115" s="125"/>
      <c r="I115" s="198" t="s">
        <v>466</v>
      </c>
      <c r="J115" s="199">
        <f t="shared" si="9"/>
        <v>45.9375</v>
      </c>
      <c r="K115" s="202">
        <f t="shared" si="9"/>
        <v>18375</v>
      </c>
      <c r="L115" s="125"/>
      <c r="M115" s="154"/>
      <c r="N115" s="125"/>
      <c r="O115" s="125"/>
      <c r="P115" s="125"/>
      <c r="Q115" s="40"/>
    </row>
    <row r="116" spans="1:17" x14ac:dyDescent="0.4">
      <c r="A116" s="141" t="s">
        <v>565</v>
      </c>
      <c r="B116" s="203"/>
      <c r="C116" s="125"/>
      <c r="D116" s="148" t="s">
        <v>96</v>
      </c>
      <c r="E116" s="168">
        <f>G116/$F$9</f>
        <v>0</v>
      </c>
      <c r="F116" s="169">
        <f>E116</f>
        <v>0</v>
      </c>
      <c r="G116" s="170">
        <v>0</v>
      </c>
      <c r="H116" s="125"/>
      <c r="I116" s="198" t="s">
        <v>466</v>
      </c>
      <c r="J116" s="165">
        <f>F116</f>
        <v>0</v>
      </c>
      <c r="K116" s="174">
        <f>G116</f>
        <v>0</v>
      </c>
      <c r="L116" s="125"/>
      <c r="M116" s="204"/>
      <c r="N116" s="198"/>
      <c r="O116" s="125"/>
      <c r="P116" s="125"/>
      <c r="Q116" s="40"/>
    </row>
    <row r="117" spans="1:17" x14ac:dyDescent="0.4">
      <c r="A117" s="125" t="s">
        <v>627</v>
      </c>
      <c r="B117" s="183"/>
      <c r="C117" s="125"/>
      <c r="D117" s="148"/>
      <c r="E117" s="168"/>
      <c r="F117" s="434">
        <f>G117/$F$9</f>
        <v>112.4375</v>
      </c>
      <c r="G117" s="433">
        <f>SUM(G113:G116)</f>
        <v>44975</v>
      </c>
      <c r="H117" s="125"/>
      <c r="I117" s="198"/>
      <c r="J117" s="165"/>
      <c r="K117" s="174"/>
      <c r="L117" s="125"/>
      <c r="M117" s="204"/>
      <c r="N117" s="198"/>
      <c r="O117" s="125"/>
      <c r="P117" s="125"/>
      <c r="Q117" s="40"/>
    </row>
    <row r="118" spans="1:17" x14ac:dyDescent="0.4">
      <c r="A118" s="125"/>
      <c r="B118" s="125"/>
      <c r="C118" s="125"/>
      <c r="D118" s="125"/>
      <c r="E118" s="125"/>
      <c r="F118" s="156" t="s">
        <v>4</v>
      </c>
      <c r="G118" s="156" t="s">
        <v>4</v>
      </c>
      <c r="H118" s="125"/>
      <c r="I118" s="125"/>
      <c r="J118" s="165"/>
      <c r="K118" s="125"/>
      <c r="L118" s="125"/>
      <c r="M118" s="125"/>
      <c r="N118" s="125" t="s">
        <v>475</v>
      </c>
      <c r="O118" s="125" t="s">
        <v>375</v>
      </c>
      <c r="P118" s="125" t="s">
        <v>439</v>
      </c>
      <c r="Q118" s="40"/>
    </row>
    <row r="119" spans="1:17" x14ac:dyDescent="0.4">
      <c r="A119" s="205" t="s">
        <v>449</v>
      </c>
      <c r="B119" s="158"/>
      <c r="C119" s="158"/>
      <c r="D119" s="158"/>
      <c r="E119" s="158"/>
      <c r="F119" s="159">
        <f>SUM(F104:F116)</f>
        <v>451.4375</v>
      </c>
      <c r="G119" s="159">
        <f>SUM(G104:G116)</f>
        <v>180575</v>
      </c>
      <c r="H119" s="125"/>
      <c r="I119" s="125" t="s">
        <v>464</v>
      </c>
      <c r="J119" s="125">
        <f>(SUM(J104:J116)-(SUM(J113:J115)))</f>
        <v>339</v>
      </c>
      <c r="K119" s="206">
        <f>(SUM(K104:K116)-(SUM(K113:K116)))</f>
        <v>135600</v>
      </c>
      <c r="L119" s="125" t="s">
        <v>385</v>
      </c>
      <c r="M119" s="204">
        <f>G119</f>
        <v>180575</v>
      </c>
      <c r="N119" s="204">
        <f>M119-K119</f>
        <v>44975</v>
      </c>
      <c r="O119" s="204">
        <f>SUM(K113:K115)</f>
        <v>44975</v>
      </c>
      <c r="P119" s="125">
        <f>N119-O119</f>
        <v>0</v>
      </c>
      <c r="Q119" s="40"/>
    </row>
    <row r="120" spans="1:17" x14ac:dyDescent="0.4">
      <c r="A120" s="147"/>
      <c r="B120" s="125"/>
      <c r="C120" s="125"/>
      <c r="D120" s="125"/>
      <c r="E120" s="125"/>
      <c r="F120" s="207"/>
      <c r="G120" s="208"/>
      <c r="H120" s="125"/>
      <c r="I120" s="125"/>
      <c r="J120" s="125"/>
      <c r="K120" s="125"/>
      <c r="L120" s="125"/>
      <c r="M120" s="125"/>
      <c r="N120" s="125"/>
      <c r="O120" s="125"/>
      <c r="P120" s="125"/>
      <c r="Q120" s="40"/>
    </row>
    <row r="121" spans="1:17" x14ac:dyDescent="0.4">
      <c r="A121" s="209" t="s">
        <v>575</v>
      </c>
      <c r="B121" s="128"/>
      <c r="C121" s="128"/>
      <c r="D121" s="128"/>
      <c r="E121" s="128"/>
      <c r="F121" s="128"/>
      <c r="G121" s="128"/>
      <c r="H121" s="125"/>
      <c r="I121" s="125"/>
      <c r="J121" s="204"/>
      <c r="K121" s="206"/>
      <c r="L121" s="153"/>
      <c r="M121" s="125"/>
      <c r="N121" s="125"/>
      <c r="O121" s="125"/>
      <c r="P121" s="125"/>
      <c r="Q121" s="40"/>
    </row>
    <row r="122" spans="1:17" x14ac:dyDescent="0.4">
      <c r="A122" s="125" t="s">
        <v>587</v>
      </c>
      <c r="B122" s="125"/>
      <c r="C122" s="125"/>
      <c r="D122" s="148" t="s">
        <v>96</v>
      </c>
      <c r="E122" s="168">
        <f t="shared" ref="E122:E128" si="10">G122/$F$9</f>
        <v>6.25</v>
      </c>
      <c r="F122" s="169">
        <f t="shared" ref="F122:F128" si="11">E122</f>
        <v>6.25</v>
      </c>
      <c r="G122" s="170">
        <v>2500</v>
      </c>
      <c r="H122" s="125"/>
      <c r="I122" s="125" t="s">
        <v>471</v>
      </c>
      <c r="J122" s="165">
        <f t="shared" ref="J122:J128" si="12">F122</f>
        <v>6.25</v>
      </c>
      <c r="K122" s="174">
        <f t="shared" ref="K122:K128" si="13">G122</f>
        <v>2500</v>
      </c>
      <c r="L122" s="125"/>
      <c r="M122" s="125"/>
      <c r="N122" s="125"/>
      <c r="O122" s="125"/>
      <c r="P122" s="125"/>
      <c r="Q122" s="40"/>
    </row>
    <row r="123" spans="1:17" x14ac:dyDescent="0.4">
      <c r="A123" s="141" t="s">
        <v>451</v>
      </c>
      <c r="B123" s="125"/>
      <c r="C123" s="125"/>
      <c r="D123" s="148" t="s">
        <v>96</v>
      </c>
      <c r="E123" s="168">
        <f t="shared" si="10"/>
        <v>10</v>
      </c>
      <c r="F123" s="169">
        <f t="shared" si="11"/>
        <v>10</v>
      </c>
      <c r="G123" s="170">
        <v>4000</v>
      </c>
      <c r="H123" s="125"/>
      <c r="I123" s="125" t="s">
        <v>471</v>
      </c>
      <c r="J123" s="165">
        <f t="shared" si="12"/>
        <v>10</v>
      </c>
      <c r="K123" s="174">
        <f t="shared" si="13"/>
        <v>4000</v>
      </c>
      <c r="L123" s="125"/>
      <c r="M123" s="125"/>
      <c r="N123" s="125"/>
      <c r="O123" s="125"/>
      <c r="P123" s="125"/>
      <c r="Q123" s="40"/>
    </row>
    <row r="124" spans="1:17" x14ac:dyDescent="0.4">
      <c r="A124" s="141" t="s">
        <v>452</v>
      </c>
      <c r="B124" s="125"/>
      <c r="C124" s="125"/>
      <c r="D124" s="148" t="s">
        <v>96</v>
      </c>
      <c r="E124" s="168">
        <f t="shared" si="10"/>
        <v>3.75</v>
      </c>
      <c r="F124" s="169">
        <f t="shared" si="11"/>
        <v>3.75</v>
      </c>
      <c r="G124" s="170">
        <v>1500</v>
      </c>
      <c r="H124" s="125"/>
      <c r="I124" s="125" t="s">
        <v>471</v>
      </c>
      <c r="J124" s="165">
        <f t="shared" si="12"/>
        <v>3.75</v>
      </c>
      <c r="K124" s="174">
        <f t="shared" si="13"/>
        <v>1500</v>
      </c>
      <c r="L124" s="125"/>
      <c r="M124" s="125"/>
      <c r="N124" s="125"/>
      <c r="O124" s="125"/>
      <c r="P124" s="125"/>
      <c r="Q124" s="40"/>
    </row>
    <row r="125" spans="1:17" x14ac:dyDescent="0.4">
      <c r="A125" s="141" t="s">
        <v>617</v>
      </c>
      <c r="B125" s="125"/>
      <c r="C125" s="125"/>
      <c r="D125" s="148" t="s">
        <v>96</v>
      </c>
      <c r="E125" s="168">
        <f t="shared" si="10"/>
        <v>1.25</v>
      </c>
      <c r="F125" s="169">
        <f t="shared" si="11"/>
        <v>1.25</v>
      </c>
      <c r="G125" s="170">
        <v>500</v>
      </c>
      <c r="H125" s="125"/>
      <c r="I125" s="125" t="s">
        <v>471</v>
      </c>
      <c r="J125" s="165">
        <f t="shared" si="12"/>
        <v>1.25</v>
      </c>
      <c r="K125" s="174">
        <f t="shared" si="13"/>
        <v>500</v>
      </c>
      <c r="L125" s="125"/>
      <c r="M125" s="125"/>
      <c r="N125" s="125"/>
      <c r="O125" s="125"/>
      <c r="P125" s="125"/>
      <c r="Q125" s="40"/>
    </row>
    <row r="126" spans="1:17" x14ac:dyDescent="0.4">
      <c r="A126" s="141" t="s">
        <v>618</v>
      </c>
      <c r="B126" s="125"/>
      <c r="C126" s="125"/>
      <c r="D126" s="148" t="s">
        <v>96</v>
      </c>
      <c r="E126" s="168">
        <f t="shared" si="10"/>
        <v>37.5</v>
      </c>
      <c r="F126" s="169">
        <f t="shared" si="11"/>
        <v>37.5</v>
      </c>
      <c r="G126" s="170">
        <v>15000</v>
      </c>
      <c r="H126" s="125"/>
      <c r="I126" s="125" t="s">
        <v>471</v>
      </c>
      <c r="J126" s="165">
        <f t="shared" si="12"/>
        <v>37.5</v>
      </c>
      <c r="K126" s="174">
        <f t="shared" si="13"/>
        <v>15000</v>
      </c>
      <c r="L126" s="125"/>
      <c r="M126" s="125"/>
      <c r="N126" s="125"/>
      <c r="O126" s="125"/>
      <c r="P126" s="125"/>
      <c r="Q126" s="40"/>
    </row>
    <row r="127" spans="1:17" x14ac:dyDescent="0.4">
      <c r="A127" s="141" t="s">
        <v>432</v>
      </c>
      <c r="B127" s="125"/>
      <c r="C127" s="125"/>
      <c r="D127" s="148" t="s">
        <v>96</v>
      </c>
      <c r="E127" s="168">
        <f t="shared" si="10"/>
        <v>17.5</v>
      </c>
      <c r="F127" s="169">
        <f t="shared" si="11"/>
        <v>17.5</v>
      </c>
      <c r="G127" s="170">
        <v>7000</v>
      </c>
      <c r="H127" s="125"/>
      <c r="I127" s="125" t="s">
        <v>471</v>
      </c>
      <c r="J127" s="165">
        <f t="shared" si="12"/>
        <v>17.5</v>
      </c>
      <c r="K127" s="174">
        <f t="shared" si="13"/>
        <v>7000</v>
      </c>
      <c r="L127" s="125"/>
      <c r="M127" s="125"/>
      <c r="N127" s="125"/>
      <c r="O127" s="125"/>
      <c r="P127" s="125"/>
      <c r="Q127" s="40"/>
    </row>
    <row r="128" spans="1:17" x14ac:dyDescent="0.4">
      <c r="A128" s="141" t="s">
        <v>453</v>
      </c>
      <c r="B128" s="125"/>
      <c r="C128" s="125"/>
      <c r="D128" s="148" t="s">
        <v>96</v>
      </c>
      <c r="E128" s="168">
        <f t="shared" si="10"/>
        <v>0</v>
      </c>
      <c r="F128" s="169">
        <f t="shared" si="11"/>
        <v>0</v>
      </c>
      <c r="G128" s="170">
        <v>0</v>
      </c>
      <c r="H128" s="125"/>
      <c r="I128" s="125" t="s">
        <v>471</v>
      </c>
      <c r="J128" s="165">
        <f t="shared" si="12"/>
        <v>0</v>
      </c>
      <c r="K128" s="174">
        <f t="shared" si="13"/>
        <v>0</v>
      </c>
      <c r="L128" s="125"/>
      <c r="M128" s="125"/>
      <c r="N128" s="125"/>
      <c r="O128" s="125"/>
      <c r="P128" s="125"/>
      <c r="Q128" s="40"/>
    </row>
    <row r="129" spans="1:17" x14ac:dyDescent="0.4">
      <c r="A129" s="125"/>
      <c r="B129" s="125"/>
      <c r="C129" s="125"/>
      <c r="D129" s="148"/>
      <c r="E129" s="168"/>
      <c r="F129" s="169"/>
      <c r="G129" s="156" t="s">
        <v>4</v>
      </c>
      <c r="H129" s="125"/>
      <c r="I129" s="125"/>
      <c r="J129" s="185"/>
      <c r="K129" s="206"/>
      <c r="L129" s="153"/>
      <c r="M129" s="125"/>
      <c r="N129" s="125"/>
      <c r="O129" s="125"/>
      <c r="P129" s="125"/>
      <c r="Q129" s="40"/>
    </row>
    <row r="130" spans="1:17" x14ac:dyDescent="0.4">
      <c r="A130" s="205" t="s">
        <v>454</v>
      </c>
      <c r="B130" s="158"/>
      <c r="C130" s="158"/>
      <c r="D130" s="188"/>
      <c r="E130" s="210"/>
      <c r="F130" s="159">
        <f>SUM(F122:F128)</f>
        <v>76.25</v>
      </c>
      <c r="G130" s="159">
        <f>SUM(G122:G128)</f>
        <v>30500</v>
      </c>
      <c r="H130" s="125"/>
      <c r="I130" s="125" t="s">
        <v>471</v>
      </c>
      <c r="J130" s="207">
        <f>SUM(J122:J128)</f>
        <v>76.25</v>
      </c>
      <c r="K130" s="208">
        <f>SUM(K122:K128)</f>
        <v>30500</v>
      </c>
      <c r="L130" s="153"/>
      <c r="M130" s="125"/>
      <c r="N130" s="125"/>
      <c r="O130" s="125"/>
      <c r="P130" s="125"/>
      <c r="Q130" s="40"/>
    </row>
    <row r="131" spans="1:17" x14ac:dyDescent="0.4">
      <c r="A131" s="154"/>
      <c r="B131" s="148"/>
      <c r="C131" s="125"/>
      <c r="D131" s="125"/>
      <c r="E131" s="148"/>
      <c r="F131" s="125"/>
      <c r="G131" s="125"/>
      <c r="H131" s="154"/>
      <c r="I131" s="154"/>
      <c r="J131" s="154"/>
      <c r="K131" s="154"/>
      <c r="L131" s="154"/>
      <c r="M131" s="154"/>
      <c r="N131" s="154"/>
      <c r="O131" s="154"/>
      <c r="P131" s="154"/>
    </row>
    <row r="132" spans="1:17" x14ac:dyDescent="0.4">
      <c r="A132" s="147" t="s">
        <v>446</v>
      </c>
      <c r="B132" s="211" t="s">
        <v>97</v>
      </c>
      <c r="C132" s="147"/>
      <c r="D132" s="211" t="s">
        <v>79</v>
      </c>
      <c r="E132" s="211" t="s">
        <v>578</v>
      </c>
      <c r="F132" s="161" t="s">
        <v>628</v>
      </c>
      <c r="G132" s="161" t="s">
        <v>95</v>
      </c>
      <c r="H132" s="154"/>
      <c r="I132" s="154"/>
      <c r="J132" s="154"/>
      <c r="K132" s="154"/>
      <c r="L132" s="154"/>
      <c r="M132" s="154"/>
      <c r="N132" s="154"/>
      <c r="O132" s="154"/>
      <c r="P132" s="154"/>
    </row>
    <row r="133" spans="1:17" x14ac:dyDescent="0.4">
      <c r="A133" s="125" t="s">
        <v>323</v>
      </c>
      <c r="B133" s="125"/>
      <c r="C133" s="125"/>
      <c r="D133" s="125"/>
      <c r="E133" s="127" t="s">
        <v>579</v>
      </c>
      <c r="F133" s="151"/>
      <c r="G133" s="125"/>
      <c r="H133" s="125"/>
      <c r="I133" s="212" t="s">
        <v>481</v>
      </c>
      <c r="J133" s="213">
        <f>J130+J119</f>
        <v>415.25</v>
      </c>
      <c r="K133" s="214">
        <f>K130+K119</f>
        <v>166100</v>
      </c>
      <c r="L133" s="215"/>
      <c r="M133" s="125" t="s">
        <v>633</v>
      </c>
      <c r="N133" s="125" t="s">
        <v>577</v>
      </c>
      <c r="O133" s="125"/>
      <c r="P133" s="125"/>
      <c r="Q133" s="40"/>
    </row>
    <row r="134" spans="1:17" x14ac:dyDescent="0.4">
      <c r="A134" s="125" t="s">
        <v>98</v>
      </c>
      <c r="B134" s="169">
        <f>(N24*F36*0.01)</f>
        <v>137.79979999999998</v>
      </c>
      <c r="C134" s="125"/>
      <c r="D134" s="148" t="s">
        <v>99</v>
      </c>
      <c r="E134" s="149">
        <f>F37</f>
        <v>5</v>
      </c>
      <c r="F134" s="151">
        <f>ROUND((+B134*(E134*0.01)),2)</f>
        <v>6.89</v>
      </c>
      <c r="G134" s="152">
        <f>(F134*$F$9)</f>
        <v>2756</v>
      </c>
      <c r="H134" s="125"/>
      <c r="I134" s="216" t="s">
        <v>472</v>
      </c>
      <c r="J134" s="217">
        <f>J101</f>
        <v>149.1</v>
      </c>
      <c r="K134" s="217">
        <f>K101</f>
        <v>59640</v>
      </c>
      <c r="L134" s="218"/>
      <c r="M134" s="125">
        <f>B134</f>
        <v>137.79979999999998</v>
      </c>
      <c r="N134" s="206">
        <f>M134*F9</f>
        <v>55119.919999999991</v>
      </c>
      <c r="O134" s="125"/>
      <c r="P134" s="125"/>
      <c r="Q134" s="40"/>
    </row>
    <row r="135" spans="1:17" x14ac:dyDescent="0.4">
      <c r="A135" s="125" t="s">
        <v>495</v>
      </c>
      <c r="B135" s="201">
        <v>0</v>
      </c>
      <c r="C135" s="125" t="s">
        <v>1</v>
      </c>
      <c r="D135" s="148" t="s">
        <v>99</v>
      </c>
      <c r="E135" s="141">
        <v>0</v>
      </c>
      <c r="F135" s="151">
        <f>ROUND((+B135*E135*0.01)/F9,2)</f>
        <v>0</v>
      </c>
      <c r="G135" s="152">
        <f>(F135*$F$9)</f>
        <v>0</v>
      </c>
      <c r="H135" s="125"/>
      <c r="I135" s="125" t="s">
        <v>576</v>
      </c>
      <c r="J135" s="125">
        <f>J115</f>
        <v>45.9375</v>
      </c>
      <c r="K135" s="206">
        <f>K115</f>
        <v>18375</v>
      </c>
      <c r="L135" s="125"/>
      <c r="M135" s="125"/>
      <c r="N135" s="125" t="s">
        <v>577</v>
      </c>
      <c r="O135" s="125"/>
      <c r="P135" s="125"/>
      <c r="Q135" s="40"/>
    </row>
    <row r="136" spans="1:17" x14ac:dyDescent="0.4">
      <c r="A136" s="125" t="s">
        <v>372</v>
      </c>
      <c r="B136" s="201">
        <v>0</v>
      </c>
      <c r="C136" s="125" t="s">
        <v>1</v>
      </c>
      <c r="D136" s="148" t="s">
        <v>96</v>
      </c>
      <c r="E136" s="141">
        <v>0</v>
      </c>
      <c r="F136" s="151">
        <f>(+B136*(E136*0.01))/F9</f>
        <v>0</v>
      </c>
      <c r="G136" s="152">
        <f>(F136*$F$9)</f>
        <v>0</v>
      </c>
      <c r="H136" s="125"/>
      <c r="I136" s="219" t="s">
        <v>158</v>
      </c>
      <c r="J136" s="220">
        <f>J133+J134+J135</f>
        <v>610.28750000000002</v>
      </c>
      <c r="K136" s="220">
        <f>K133+K134+K135</f>
        <v>244115</v>
      </c>
      <c r="L136" s="221" t="s">
        <v>385</v>
      </c>
      <c r="M136" s="125">
        <f>K136/F9</f>
        <v>610.28750000000002</v>
      </c>
      <c r="N136" s="222">
        <f>K136</f>
        <v>244115</v>
      </c>
      <c r="O136" s="125">
        <f>N136-K136</f>
        <v>0</v>
      </c>
      <c r="P136" s="125"/>
      <c r="Q136" s="40"/>
    </row>
    <row r="137" spans="1:17" x14ac:dyDescent="0.4">
      <c r="A137" s="125" t="s">
        <v>249</v>
      </c>
      <c r="B137" s="201">
        <v>0</v>
      </c>
      <c r="C137" s="125"/>
      <c r="D137" s="148" t="s">
        <v>99</v>
      </c>
      <c r="E137" s="141">
        <v>0</v>
      </c>
      <c r="F137" s="151">
        <f>(+B137*(E137*0.01))/F9</f>
        <v>0</v>
      </c>
      <c r="G137" s="152">
        <f>(F137*$F$9)</f>
        <v>0</v>
      </c>
      <c r="H137" s="125"/>
      <c r="I137" s="223" t="s">
        <v>467</v>
      </c>
      <c r="J137" s="190">
        <f t="shared" ref="J137:K140" si="14">F134</f>
        <v>6.89</v>
      </c>
      <c r="K137" s="190">
        <f t="shared" si="14"/>
        <v>2756</v>
      </c>
      <c r="L137" s="125"/>
      <c r="M137" s="125"/>
      <c r="N137" s="125"/>
      <c r="O137" s="125"/>
      <c r="P137" s="125"/>
      <c r="Q137" s="40"/>
    </row>
    <row r="138" spans="1:17" x14ac:dyDescent="0.4">
      <c r="A138" s="125"/>
      <c r="B138" s="169"/>
      <c r="C138" s="125"/>
      <c r="D138" s="125"/>
      <c r="E138" s="125"/>
      <c r="F138" s="156" t="s">
        <v>4</v>
      </c>
      <c r="G138" s="156" t="s">
        <v>4</v>
      </c>
      <c r="H138" s="125"/>
      <c r="I138" s="223" t="s">
        <v>467</v>
      </c>
      <c r="J138" s="165">
        <f t="shared" si="14"/>
        <v>0</v>
      </c>
      <c r="K138" s="165">
        <f t="shared" si="14"/>
        <v>0</v>
      </c>
      <c r="L138" s="125"/>
      <c r="M138" s="125"/>
      <c r="N138" s="125"/>
      <c r="O138" s="125"/>
      <c r="P138" s="125"/>
      <c r="Q138" s="40"/>
    </row>
    <row r="139" spans="1:17" x14ac:dyDescent="0.4">
      <c r="A139" s="157" t="s">
        <v>455</v>
      </c>
      <c r="B139" s="224"/>
      <c r="C139" s="158"/>
      <c r="D139" s="158"/>
      <c r="E139" s="158"/>
      <c r="F139" s="159">
        <f>SUM(F134:F137)</f>
        <v>6.89</v>
      </c>
      <c r="G139" s="160">
        <f>(F139*$F$9)</f>
        <v>2756</v>
      </c>
      <c r="H139" s="125"/>
      <c r="I139" s="223" t="s">
        <v>467</v>
      </c>
      <c r="J139" s="165">
        <f t="shared" si="14"/>
        <v>0</v>
      </c>
      <c r="K139" s="165">
        <f t="shared" si="14"/>
        <v>0</v>
      </c>
      <c r="L139" s="125"/>
      <c r="M139" s="125"/>
      <c r="N139" s="125"/>
      <c r="O139" s="125"/>
      <c r="P139" s="125"/>
      <c r="Q139" s="40"/>
    </row>
    <row r="140" spans="1:17" x14ac:dyDescent="0.4">
      <c r="A140" s="128" t="s">
        <v>48</v>
      </c>
      <c r="B140" s="128"/>
      <c r="C140" s="128"/>
      <c r="D140" s="128"/>
      <c r="E140" s="128"/>
      <c r="F140" s="128"/>
      <c r="G140" s="128"/>
      <c r="H140" s="125"/>
      <c r="I140" s="223" t="s">
        <v>467</v>
      </c>
      <c r="J140" s="165">
        <f t="shared" si="14"/>
        <v>0</v>
      </c>
      <c r="K140" s="165">
        <f t="shared" si="14"/>
        <v>0</v>
      </c>
      <c r="L140" s="125"/>
      <c r="M140" s="125"/>
      <c r="N140" s="125"/>
      <c r="O140" s="125"/>
      <c r="P140" s="125"/>
      <c r="Q140" s="40"/>
    </row>
    <row r="141" spans="1:17" x14ac:dyDescent="0.4">
      <c r="A141" s="147" t="s">
        <v>584</v>
      </c>
      <c r="B141" s="125"/>
      <c r="C141" s="125"/>
      <c r="D141" s="125"/>
      <c r="E141" s="155" t="s">
        <v>571</v>
      </c>
      <c r="F141" s="155" t="s">
        <v>377</v>
      </c>
      <c r="G141" s="225" t="s">
        <v>376</v>
      </c>
      <c r="H141" s="125"/>
      <c r="I141" s="223" t="s">
        <v>467</v>
      </c>
      <c r="J141" s="191">
        <f>SUM(J137:J140)</f>
        <v>6.89</v>
      </c>
      <c r="K141" s="191">
        <f>SUM(K137:K140)</f>
        <v>2756</v>
      </c>
      <c r="L141" s="125"/>
      <c r="M141" s="125"/>
      <c r="N141" s="125"/>
      <c r="O141" s="125"/>
      <c r="P141" s="125"/>
      <c r="Q141" s="40"/>
    </row>
    <row r="142" spans="1:17" x14ac:dyDescent="0.4">
      <c r="A142" s="157" t="s">
        <v>443</v>
      </c>
      <c r="B142" s="158"/>
      <c r="C142" s="158"/>
      <c r="D142" s="158"/>
      <c r="E142" s="226">
        <f>G142/$D$53</f>
        <v>60.267553124999999</v>
      </c>
      <c r="F142" s="159">
        <f>F74</f>
        <v>723.21063749999996</v>
      </c>
      <c r="G142" s="160">
        <f>(F142*$F$9)</f>
        <v>289284.255</v>
      </c>
      <c r="H142" s="125"/>
      <c r="I142" s="125" t="s">
        <v>106</v>
      </c>
      <c r="J142" s="204">
        <f>J141+J136</f>
        <v>617.17750000000001</v>
      </c>
      <c r="K142" s="206">
        <f>K141+K136</f>
        <v>246871</v>
      </c>
      <c r="L142" s="125"/>
      <c r="M142" s="125"/>
      <c r="N142" s="125"/>
      <c r="O142" s="125"/>
      <c r="P142" s="125"/>
      <c r="Q142" s="40"/>
    </row>
    <row r="143" spans="1:17" x14ac:dyDescent="0.4">
      <c r="A143" s="125"/>
      <c r="B143" s="125"/>
      <c r="C143" s="125"/>
      <c r="D143" s="125"/>
      <c r="E143" s="125"/>
      <c r="F143" s="151"/>
      <c r="G143" s="125"/>
      <c r="H143" s="125"/>
      <c r="I143" s="125" t="s">
        <v>473</v>
      </c>
      <c r="J143" s="125">
        <f>SUM(J113:J115)</f>
        <v>112.4375</v>
      </c>
      <c r="K143" s="206">
        <f>SUM(K113:K115)</f>
        <v>44975</v>
      </c>
      <c r="L143" s="125"/>
      <c r="M143" s="125"/>
      <c r="N143" s="125"/>
      <c r="O143" s="125"/>
      <c r="P143" s="125"/>
      <c r="Q143" s="40"/>
    </row>
    <row r="144" spans="1:17" x14ac:dyDescent="0.4">
      <c r="A144" s="125"/>
      <c r="B144" s="125"/>
      <c r="C144" s="125"/>
      <c r="D144" s="125"/>
      <c r="E144" s="125"/>
      <c r="F144" s="125"/>
      <c r="G144" s="125"/>
      <c r="H144" s="125"/>
      <c r="I144" s="125" t="s">
        <v>474</v>
      </c>
      <c r="J144" s="125">
        <f>J142+J143</f>
        <v>729.61500000000001</v>
      </c>
      <c r="K144" s="204">
        <f>K142+K143</f>
        <v>291846</v>
      </c>
      <c r="L144" s="174">
        <f>G145-K144+K160</f>
        <v>0</v>
      </c>
      <c r="M144" s="125" t="s">
        <v>439</v>
      </c>
      <c r="N144" s="125"/>
      <c r="O144" s="125"/>
      <c r="P144" s="125"/>
      <c r="Q144" s="40"/>
    </row>
    <row r="145" spans="1:17" x14ac:dyDescent="0.4">
      <c r="A145" s="227" t="s">
        <v>574</v>
      </c>
      <c r="B145" s="158"/>
      <c r="C145" s="158"/>
      <c r="D145" s="158"/>
      <c r="E145" s="159">
        <f>G145/$D$53</f>
        <v>56.973125000000003</v>
      </c>
      <c r="F145" s="228">
        <f>G145/F9</f>
        <v>683.67750000000001</v>
      </c>
      <c r="G145" s="229">
        <f>G101+G119+G130+G139</f>
        <v>273471</v>
      </c>
      <c r="H145" s="125"/>
      <c r="I145" s="154"/>
      <c r="J145" s="154"/>
      <c r="K145" s="154"/>
      <c r="L145" s="154"/>
      <c r="M145" s="154"/>
      <c r="N145" s="125"/>
      <c r="O145" s="125"/>
      <c r="P145" s="125"/>
      <c r="Q145" s="40"/>
    </row>
    <row r="146" spans="1:17" x14ac:dyDescent="0.4">
      <c r="A146" s="125"/>
      <c r="B146" s="125"/>
      <c r="C146" s="125"/>
      <c r="D146" s="125"/>
      <c r="E146" s="127"/>
      <c r="F146" s="151"/>
      <c r="G146" s="125"/>
      <c r="H146" s="125"/>
      <c r="I146" s="154"/>
      <c r="J146" s="154"/>
      <c r="K146" s="154"/>
      <c r="L146" s="154"/>
      <c r="M146" s="154"/>
      <c r="N146" s="125"/>
      <c r="O146" s="125"/>
      <c r="P146" s="125"/>
      <c r="Q146" s="40"/>
    </row>
    <row r="147" spans="1:17" x14ac:dyDescent="0.4">
      <c r="A147" s="125"/>
      <c r="B147" s="125"/>
      <c r="C147" s="125"/>
      <c r="D147" s="125"/>
      <c r="E147" s="155" t="s">
        <v>572</v>
      </c>
      <c r="F147" s="155" t="s">
        <v>377</v>
      </c>
      <c r="G147" s="225" t="s">
        <v>376</v>
      </c>
      <c r="H147" s="125"/>
      <c r="I147" s="125"/>
      <c r="J147" s="125"/>
      <c r="K147" s="174"/>
      <c r="L147" s="125"/>
      <c r="M147" s="125"/>
      <c r="N147" s="125"/>
      <c r="O147" s="125"/>
      <c r="P147" s="125"/>
      <c r="Q147" s="40"/>
    </row>
    <row r="148" spans="1:17" x14ac:dyDescent="0.4">
      <c r="A148" s="125" t="s">
        <v>444</v>
      </c>
      <c r="B148" s="125"/>
      <c r="C148" s="125"/>
      <c r="D148" s="125"/>
      <c r="E148" s="230">
        <f>F148/$F$145</f>
        <v>0.21808528143751987</v>
      </c>
      <c r="F148" s="151">
        <f>F101</f>
        <v>149.1</v>
      </c>
      <c r="G148" s="152">
        <f>F148*$F$9</f>
        <v>59640</v>
      </c>
      <c r="H148" s="125"/>
      <c r="I148" s="169">
        <v>177774</v>
      </c>
      <c r="J148" s="125">
        <f>G145-I148</f>
        <v>95697</v>
      </c>
      <c r="K148" s="125"/>
      <c r="L148" s="125"/>
      <c r="M148" s="125"/>
      <c r="N148" s="125"/>
      <c r="O148" s="125"/>
      <c r="P148" s="125"/>
      <c r="Q148" s="40"/>
    </row>
    <row r="149" spans="1:17" x14ac:dyDescent="0.4">
      <c r="A149" s="125" t="s">
        <v>456</v>
      </c>
      <c r="B149" s="125"/>
      <c r="C149" s="125"/>
      <c r="D149" s="125"/>
      <c r="E149" s="230">
        <f>F149/$F$145</f>
        <v>0.66030767430550219</v>
      </c>
      <c r="F149" s="151">
        <f>F119</f>
        <v>451.4375</v>
      </c>
      <c r="G149" s="152">
        <f>F149*$F$9</f>
        <v>180575</v>
      </c>
      <c r="H149" s="125"/>
      <c r="I149" s="125"/>
      <c r="J149" s="125"/>
      <c r="K149" s="174"/>
      <c r="L149" s="125"/>
      <c r="M149" s="125"/>
      <c r="N149" s="125"/>
      <c r="O149" s="125"/>
      <c r="P149" s="125"/>
      <c r="Q149" s="40"/>
    </row>
    <row r="150" spans="1:17" x14ac:dyDescent="0.4">
      <c r="A150" s="125" t="s">
        <v>457</v>
      </c>
      <c r="B150" s="125"/>
      <c r="C150" s="125"/>
      <c r="D150" s="125"/>
      <c r="E150" s="230">
        <f>F150/$F$145</f>
        <v>0.11152919322341308</v>
      </c>
      <c r="F150" s="151">
        <f>F130</f>
        <v>76.25</v>
      </c>
      <c r="G150" s="152">
        <f>F150*$F$9</f>
        <v>30500</v>
      </c>
      <c r="H150" s="125"/>
      <c r="I150" s="125"/>
      <c r="J150" s="125"/>
      <c r="K150" s="174"/>
      <c r="L150" s="125"/>
      <c r="M150" s="125"/>
      <c r="N150" s="125"/>
      <c r="O150" s="125"/>
      <c r="P150" s="125"/>
      <c r="Q150" s="40"/>
    </row>
    <row r="151" spans="1:17" x14ac:dyDescent="0.4">
      <c r="A151" s="125" t="s">
        <v>446</v>
      </c>
      <c r="B151" s="125"/>
      <c r="C151" s="125"/>
      <c r="D151" s="125"/>
      <c r="E151" s="230">
        <f>F151/$F$145</f>
        <v>1.0077851033564801E-2</v>
      </c>
      <c r="F151" s="151">
        <f>F139</f>
        <v>6.89</v>
      </c>
      <c r="G151" s="152">
        <f>F151*$F$9</f>
        <v>2756</v>
      </c>
      <c r="H151" s="125"/>
      <c r="I151" s="125"/>
      <c r="J151" s="125"/>
      <c r="K151" s="174"/>
      <c r="L151" s="125"/>
      <c r="M151" s="125"/>
      <c r="N151" s="125"/>
      <c r="O151" s="125"/>
      <c r="P151" s="125"/>
      <c r="Q151" s="40"/>
    </row>
    <row r="152" spans="1:17" x14ac:dyDescent="0.4">
      <c r="A152" s="157" t="s">
        <v>582</v>
      </c>
      <c r="B152" s="158"/>
      <c r="C152" s="158"/>
      <c r="D152" s="158"/>
      <c r="E152" s="231"/>
      <c r="F152" s="159">
        <f>SUM(F148:F151)</f>
        <v>683.67750000000001</v>
      </c>
      <c r="G152" s="160">
        <f>SUM(G148:G151)</f>
        <v>273471</v>
      </c>
      <c r="H152" s="125"/>
      <c r="I152" s="125"/>
      <c r="J152" s="125"/>
      <c r="K152" s="174"/>
      <c r="L152" s="125"/>
      <c r="M152" s="125"/>
      <c r="N152" s="125"/>
      <c r="O152" s="125"/>
      <c r="P152" s="125"/>
      <c r="Q152" s="40"/>
    </row>
    <row r="153" spans="1:17" x14ac:dyDescent="0.4">
      <c r="A153" s="125"/>
      <c r="B153" s="125"/>
      <c r="C153" s="125"/>
      <c r="D153" s="125"/>
      <c r="E153" s="155" t="s">
        <v>571</v>
      </c>
      <c r="F153" s="151"/>
      <c r="G153" s="125"/>
      <c r="H153" s="125"/>
      <c r="I153" s="125"/>
      <c r="J153" s="125"/>
      <c r="K153" s="174"/>
      <c r="L153" s="125"/>
      <c r="M153" s="125"/>
      <c r="N153" s="125"/>
      <c r="O153" s="125"/>
      <c r="P153" s="125"/>
      <c r="Q153" s="40"/>
    </row>
    <row r="154" spans="1:17" x14ac:dyDescent="0.4">
      <c r="A154" s="227" t="s">
        <v>458</v>
      </c>
      <c r="B154" s="158"/>
      <c r="C154" s="158"/>
      <c r="D154" s="158"/>
      <c r="E154" s="226">
        <f>G154/$D$53</f>
        <v>3.2944281250000009</v>
      </c>
      <c r="F154" s="228">
        <f>F142-F145</f>
        <v>39.533137499999953</v>
      </c>
      <c r="G154" s="229">
        <f>G142-G145</f>
        <v>15813.255000000005</v>
      </c>
      <c r="H154" s="125"/>
      <c r="I154" s="125"/>
      <c r="J154" s="125"/>
      <c r="K154" s="174"/>
      <c r="L154" s="125"/>
      <c r="M154" s="125"/>
      <c r="N154" s="125"/>
      <c r="O154" s="125"/>
      <c r="P154" s="125"/>
      <c r="Q154" s="40"/>
    </row>
    <row r="155" spans="1:17" x14ac:dyDescent="0.4">
      <c r="A155" s="125"/>
      <c r="B155" s="125"/>
      <c r="C155" s="125"/>
      <c r="D155" s="125"/>
      <c r="E155" s="125"/>
      <c r="F155" s="151"/>
      <c r="G155" s="125"/>
      <c r="H155" s="125"/>
      <c r="I155" s="125"/>
      <c r="J155" s="125"/>
      <c r="K155" s="174"/>
      <c r="L155" s="125"/>
      <c r="M155" s="125"/>
      <c r="N155" s="125"/>
      <c r="O155" s="125"/>
      <c r="P155" s="125"/>
      <c r="Q155" s="40"/>
    </row>
    <row r="156" spans="1:17" x14ac:dyDescent="0.4">
      <c r="A156" s="232" t="s">
        <v>384</v>
      </c>
      <c r="B156" s="125"/>
      <c r="C156" s="125"/>
      <c r="D156" s="144" t="s">
        <v>460</v>
      </c>
      <c r="E156" s="125"/>
      <c r="F156" s="127" t="s">
        <v>377</v>
      </c>
      <c r="G156" s="125"/>
      <c r="H156" s="125"/>
      <c r="I156" s="125"/>
      <c r="J156" s="125"/>
      <c r="K156" s="174"/>
      <c r="L156" s="125"/>
      <c r="M156" s="125"/>
      <c r="N156" s="125"/>
      <c r="O156" s="125"/>
      <c r="P156" s="125"/>
      <c r="Q156" s="40"/>
    </row>
    <row r="157" spans="1:17" x14ac:dyDescent="0.4">
      <c r="A157" s="158" t="s">
        <v>583</v>
      </c>
      <c r="B157" s="158"/>
      <c r="C157" s="158"/>
      <c r="D157" s="233">
        <f>G157/G145</f>
        <v>0.16445985131878701</v>
      </c>
      <c r="E157" s="226">
        <f>G157/$D$53</f>
        <v>9.3697916666666661</v>
      </c>
      <c r="F157" s="226">
        <f>G157/$F$9</f>
        <v>112.4375</v>
      </c>
      <c r="G157" s="234">
        <f>SUM(G113:G115)</f>
        <v>44975</v>
      </c>
      <c r="H157" s="125"/>
      <c r="I157" s="147" t="s">
        <v>468</v>
      </c>
      <c r="J157" s="235">
        <f>J133</f>
        <v>415.25</v>
      </c>
      <c r="K157" s="235">
        <f>K133</f>
        <v>166100</v>
      </c>
      <c r="L157" s="125" t="s">
        <v>385</v>
      </c>
      <c r="M157" s="125"/>
      <c r="N157" s="125"/>
      <c r="O157" s="125"/>
      <c r="P157" s="125"/>
      <c r="Q157" s="40"/>
    </row>
    <row r="158" spans="1:17" x14ac:dyDescent="0.4">
      <c r="A158" s="128" t="s">
        <v>48</v>
      </c>
      <c r="B158" s="128"/>
      <c r="C158" s="128"/>
      <c r="D158" s="128"/>
      <c r="E158" s="128"/>
      <c r="F158" s="128"/>
      <c r="G158" s="128"/>
      <c r="H158" s="125"/>
      <c r="I158" s="125" t="s">
        <v>469</v>
      </c>
      <c r="J158" s="204">
        <f>J134</f>
        <v>149.1</v>
      </c>
      <c r="K158" s="204">
        <f>K134</f>
        <v>59640</v>
      </c>
      <c r="L158" s="125"/>
      <c r="M158" s="125"/>
      <c r="N158" s="125"/>
      <c r="O158" s="125"/>
      <c r="P158" s="125"/>
      <c r="Q158" s="40"/>
    </row>
    <row r="159" spans="1:17" x14ac:dyDescent="0.4">
      <c r="A159" s="128"/>
      <c r="B159" s="128"/>
      <c r="C159" s="128"/>
      <c r="D159" s="128"/>
      <c r="E159" s="127" t="s">
        <v>573</v>
      </c>
      <c r="F159" s="127" t="s">
        <v>377</v>
      </c>
      <c r="G159" s="128" t="s">
        <v>376</v>
      </c>
      <c r="H159" s="125"/>
      <c r="I159" s="235" t="s">
        <v>477</v>
      </c>
      <c r="J159" s="235">
        <f>J157+J158</f>
        <v>564.35</v>
      </c>
      <c r="K159" s="235">
        <f>K157+K158</f>
        <v>225740</v>
      </c>
      <c r="L159" s="125"/>
      <c r="M159" s="125"/>
      <c r="N159" s="125"/>
      <c r="O159" s="125"/>
      <c r="P159" s="125"/>
      <c r="Q159" s="40"/>
    </row>
    <row r="160" spans="1:17" x14ac:dyDescent="0.4">
      <c r="A160" s="157" t="s">
        <v>106</v>
      </c>
      <c r="B160" s="157"/>
      <c r="C160" s="157"/>
      <c r="D160" s="157"/>
      <c r="E160" s="159">
        <f>G160/$D$53</f>
        <v>50.857291666666669</v>
      </c>
      <c r="F160" s="159">
        <f>J162</f>
        <v>610.28750000000002</v>
      </c>
      <c r="G160" s="160">
        <f>K162</f>
        <v>244115</v>
      </c>
      <c r="H160" s="125"/>
      <c r="I160" s="125" t="s">
        <v>585</v>
      </c>
      <c r="J160" s="204">
        <f>N28+N29</f>
        <v>45.9375</v>
      </c>
      <c r="K160" s="236">
        <f>J160*F9</f>
        <v>18375</v>
      </c>
      <c r="L160" s="125" t="s">
        <v>629</v>
      </c>
      <c r="M160" s="125"/>
      <c r="N160" s="125"/>
      <c r="O160" s="125"/>
      <c r="P160" s="125"/>
      <c r="Q160" s="40"/>
    </row>
    <row r="161" spans="1:17" x14ac:dyDescent="0.4">
      <c r="A161" s="125"/>
      <c r="B161" s="125"/>
      <c r="C161" s="125"/>
      <c r="D161" s="125"/>
      <c r="E161" s="127"/>
      <c r="F161" s="151"/>
      <c r="G161" s="151"/>
      <c r="H161" s="125"/>
      <c r="I161" s="125"/>
      <c r="J161" s="125"/>
      <c r="K161" s="125"/>
      <c r="L161" s="125"/>
      <c r="M161" s="125"/>
      <c r="N161" s="154"/>
      <c r="O161" s="125"/>
      <c r="P161" s="125"/>
      <c r="Q161" s="40"/>
    </row>
    <row r="162" spans="1:17" x14ac:dyDescent="0.4">
      <c r="A162" s="125" t="s">
        <v>382</v>
      </c>
      <c r="B162" s="125"/>
      <c r="C162" s="125"/>
      <c r="D162" s="125"/>
      <c r="E162" s="151">
        <f>G162/$D$53</f>
        <v>9.4102614583333288</v>
      </c>
      <c r="F162" s="151">
        <f>(F74-F160)</f>
        <v>112.92313749999994</v>
      </c>
      <c r="G162" s="152">
        <f>(F162*$F$9)</f>
        <v>45169.254999999976</v>
      </c>
      <c r="H162" s="125"/>
      <c r="I162" s="147" t="s">
        <v>387</v>
      </c>
      <c r="J162" s="237">
        <f>J159+J160</f>
        <v>610.28750000000002</v>
      </c>
      <c r="K162" s="237">
        <f>K159+K160</f>
        <v>244115</v>
      </c>
      <c r="L162" s="125"/>
      <c r="M162" s="125" t="s">
        <v>385</v>
      </c>
      <c r="N162" s="125"/>
      <c r="O162" s="125"/>
      <c r="P162" s="125"/>
      <c r="Q162" s="40"/>
    </row>
    <row r="163" spans="1:17" x14ac:dyDescent="0.4">
      <c r="A163" s="125" t="s">
        <v>107</v>
      </c>
      <c r="B163" s="127" t="s">
        <v>99</v>
      </c>
      <c r="C163" s="151">
        <f>(F74/F160)</f>
        <v>1.185032689511091</v>
      </c>
      <c r="D163" s="125"/>
      <c r="E163" s="127"/>
      <c r="F163" s="151"/>
      <c r="G163" s="151"/>
      <c r="H163" s="125"/>
      <c r="I163" s="147" t="s">
        <v>478</v>
      </c>
      <c r="J163" s="191">
        <f>J143</f>
        <v>112.4375</v>
      </c>
      <c r="K163" s="191">
        <f>K143</f>
        <v>44975</v>
      </c>
      <c r="L163" s="125"/>
      <c r="M163" s="125"/>
      <c r="N163" s="125"/>
      <c r="O163" s="125"/>
      <c r="P163" s="125"/>
      <c r="Q163" s="40"/>
    </row>
    <row r="164" spans="1:17" x14ac:dyDescent="0.4">
      <c r="A164" s="125" t="s">
        <v>383</v>
      </c>
      <c r="B164" s="125"/>
      <c r="C164" s="125"/>
      <c r="D164" s="125"/>
      <c r="E164" s="127"/>
      <c r="F164" s="151"/>
      <c r="G164" s="207"/>
      <c r="H164" s="125"/>
      <c r="I164" s="147" t="s">
        <v>608</v>
      </c>
      <c r="J164" s="238">
        <f>J162+J163</f>
        <v>722.72500000000002</v>
      </c>
      <c r="K164" s="238">
        <f>K162+K163</f>
        <v>289090</v>
      </c>
      <c r="L164" s="125"/>
      <c r="M164" s="125"/>
      <c r="N164" s="125"/>
      <c r="O164" s="125"/>
      <c r="P164" s="125"/>
      <c r="Q164" s="40"/>
    </row>
    <row r="165" spans="1:17" x14ac:dyDescent="0.4">
      <c r="A165" s="125" t="s">
        <v>479</v>
      </c>
      <c r="B165" s="125" t="s">
        <v>570</v>
      </c>
      <c r="C165" s="125"/>
      <c r="D165" s="230">
        <f>K157/G160</f>
        <v>0.68041701657005915</v>
      </c>
      <c r="E165" s="151">
        <f>G165/$D$53</f>
        <v>34.604166666666664</v>
      </c>
      <c r="F165" s="151">
        <f>J157</f>
        <v>415.25</v>
      </c>
      <c r="G165" s="152">
        <f>K157</f>
        <v>166100</v>
      </c>
      <c r="H165" s="125"/>
      <c r="I165" s="125"/>
      <c r="J165" s="125"/>
      <c r="K165" s="125"/>
      <c r="L165" s="125"/>
      <c r="M165" s="125"/>
      <c r="N165" s="125"/>
      <c r="O165" s="125"/>
      <c r="P165" s="125"/>
      <c r="Q165" s="40"/>
    </row>
    <row r="166" spans="1:17" x14ac:dyDescent="0.4">
      <c r="A166" s="125" t="s">
        <v>383</v>
      </c>
      <c r="B166" s="128"/>
      <c r="C166" s="128"/>
      <c r="D166" s="128"/>
      <c r="E166" s="128"/>
      <c r="F166" s="128"/>
      <c r="G166" s="128"/>
      <c r="H166" s="125"/>
      <c r="I166" s="154"/>
      <c r="J166" s="154"/>
      <c r="K166" s="154"/>
      <c r="L166" s="154"/>
      <c r="M166" s="154"/>
      <c r="N166" s="125"/>
      <c r="O166" s="125"/>
      <c r="P166" s="125"/>
      <c r="Q166" s="40"/>
    </row>
    <row r="167" spans="1:17" x14ac:dyDescent="0.4">
      <c r="A167" s="147" t="s">
        <v>588</v>
      </c>
      <c r="B167" s="125"/>
      <c r="C167" s="125"/>
      <c r="D167" s="125"/>
      <c r="E167" s="125"/>
      <c r="F167" s="151"/>
      <c r="G167" s="125"/>
      <c r="H167" s="125"/>
      <c r="I167" s="147" t="s">
        <v>378</v>
      </c>
      <c r="J167" s="125"/>
      <c r="K167" s="174"/>
      <c r="L167" s="125" t="s">
        <v>476</v>
      </c>
      <c r="M167" s="125"/>
      <c r="N167" s="125"/>
      <c r="O167" s="125"/>
      <c r="P167" s="125"/>
      <c r="Q167" s="40"/>
    </row>
    <row r="168" spans="1:17" x14ac:dyDescent="0.4">
      <c r="A168" s="125" t="s">
        <v>108</v>
      </c>
      <c r="B168" s="125"/>
      <c r="C168" s="125"/>
      <c r="D168" s="125"/>
      <c r="E168" s="127" t="s">
        <v>109</v>
      </c>
      <c r="F168" s="151">
        <f>(F169+N32)</f>
        <v>159.14164674583591</v>
      </c>
      <c r="G168" s="125"/>
      <c r="H168" s="125"/>
      <c r="I168" s="125" t="s">
        <v>580</v>
      </c>
      <c r="J168" s="169">
        <f>J115</f>
        <v>45.9375</v>
      </c>
      <c r="K168" s="174">
        <f>K115</f>
        <v>18375</v>
      </c>
      <c r="L168" s="230">
        <f>K168/$K$164</f>
        <v>6.356152063371269E-2</v>
      </c>
      <c r="M168" s="125"/>
      <c r="N168" s="125"/>
      <c r="O168" s="125"/>
      <c r="P168" s="125"/>
      <c r="Q168" s="40"/>
    </row>
    <row r="169" spans="1:17" x14ac:dyDescent="0.4">
      <c r="A169" s="125" t="s">
        <v>110</v>
      </c>
      <c r="B169" s="125"/>
      <c r="C169" s="125"/>
      <c r="D169" s="125"/>
      <c r="E169" s="127" t="s">
        <v>109</v>
      </c>
      <c r="F169" s="151">
        <f>(F145-N31-(N32*C70*F10*0.00005))/((C70*F10*0.00005)+((F10*0.005-N16)*C71*0.01))</f>
        <v>144.51664674583591</v>
      </c>
      <c r="G169" s="125"/>
      <c r="H169" s="125"/>
      <c r="I169" s="125" t="s">
        <v>581</v>
      </c>
      <c r="J169" s="169">
        <f>J113</f>
        <v>54.5</v>
      </c>
      <c r="K169" s="174">
        <f>K113</f>
        <v>21800</v>
      </c>
      <c r="L169" s="230">
        <f>K169/$K$164</f>
        <v>7.5409042166799264E-2</v>
      </c>
      <c r="M169" s="125"/>
      <c r="N169" s="125"/>
      <c r="O169" s="125"/>
      <c r="P169" s="125"/>
      <c r="Q169" s="40"/>
    </row>
    <row r="170" spans="1:17" x14ac:dyDescent="0.4">
      <c r="A170" s="125"/>
      <c r="B170" s="125"/>
      <c r="C170" s="125"/>
      <c r="D170" s="125"/>
      <c r="E170" s="125"/>
      <c r="F170" s="125"/>
      <c r="G170" s="125"/>
      <c r="H170" s="125"/>
      <c r="I170" s="125" t="s">
        <v>638</v>
      </c>
      <c r="J170" s="169">
        <f>F114</f>
        <v>12</v>
      </c>
      <c r="K170" s="169">
        <f>G114</f>
        <v>4800</v>
      </c>
      <c r="L170" s="230">
        <f>K170/$K$164</f>
        <v>1.6603825798194333E-2</v>
      </c>
      <c r="M170" s="125"/>
      <c r="N170" s="125"/>
      <c r="O170" s="125"/>
      <c r="P170" s="125"/>
      <c r="Q170" s="40"/>
    </row>
    <row r="171" spans="1:17" x14ac:dyDescent="0.4">
      <c r="A171" s="239" t="s">
        <v>111</v>
      </c>
      <c r="B171" s="158"/>
      <c r="C171" s="158"/>
      <c r="D171" s="158"/>
      <c r="E171" s="240" t="s">
        <v>109</v>
      </c>
      <c r="F171" s="228">
        <f>(($F$145-$N$31)/$F$59)*100</f>
        <v>129.93758169934642</v>
      </c>
      <c r="G171" s="125"/>
      <c r="H171" s="125"/>
      <c r="I171" s="147" t="s">
        <v>381</v>
      </c>
      <c r="J171" s="238">
        <f>SUM(J168:J170)</f>
        <v>112.4375</v>
      </c>
      <c r="K171" s="241">
        <f>SUM(K168:K170)</f>
        <v>44975</v>
      </c>
      <c r="L171" s="230">
        <f>K171/$K$164</f>
        <v>0.15557438859870629</v>
      </c>
      <c r="M171" s="125"/>
      <c r="N171" s="125"/>
      <c r="O171" s="125"/>
      <c r="P171" s="125"/>
      <c r="Q171" s="40"/>
    </row>
    <row r="172" spans="1:17" x14ac:dyDescent="0.4">
      <c r="A172" s="242"/>
      <c r="B172" s="125"/>
      <c r="C172" s="125"/>
      <c r="D172" s="125"/>
      <c r="E172" s="126"/>
      <c r="F172" s="243"/>
      <c r="G172" s="125"/>
      <c r="H172" s="125"/>
      <c r="I172" s="147"/>
      <c r="J172" s="238"/>
      <c r="K172" s="241"/>
      <c r="L172" s="230"/>
      <c r="M172" s="125"/>
      <c r="N172" s="125"/>
      <c r="O172" s="125"/>
      <c r="P172" s="125"/>
      <c r="Q172" s="40"/>
    </row>
    <row r="173" spans="1:17" x14ac:dyDescent="0.4">
      <c r="A173" s="125" t="s">
        <v>112</v>
      </c>
      <c r="B173" s="125"/>
      <c r="C173" s="125"/>
      <c r="D173" s="125"/>
      <c r="E173" s="127" t="s">
        <v>109</v>
      </c>
      <c r="F173" s="151">
        <f>(F174+N32)</f>
        <v>140.27726262081021</v>
      </c>
      <c r="G173" s="125"/>
      <c r="H173" s="125"/>
      <c r="I173" s="125"/>
      <c r="J173" s="125"/>
      <c r="K173" s="174"/>
      <c r="L173" s="125"/>
      <c r="M173" s="125"/>
      <c r="N173" s="125"/>
      <c r="O173" s="125"/>
      <c r="P173" s="125"/>
      <c r="Q173" s="40"/>
    </row>
    <row r="174" spans="1:17" x14ac:dyDescent="0.4">
      <c r="A174" s="125" t="s">
        <v>113</v>
      </c>
      <c r="B174" s="125"/>
      <c r="C174" s="125"/>
      <c r="D174" s="125"/>
      <c r="E174" s="127" t="s">
        <v>109</v>
      </c>
      <c r="F174" s="151">
        <f>(F160-N31-(N32*C70*F10*0.00005))/((C70*F10*0.00005)+((F10*0.005-N16)*C71*0.01))</f>
        <v>125.65226262081021</v>
      </c>
      <c r="G174" s="125"/>
      <c r="H174" s="125"/>
      <c r="I174" s="125"/>
      <c r="J174" s="125"/>
      <c r="K174" s="174"/>
      <c r="L174" s="125"/>
      <c r="M174" s="125"/>
      <c r="N174" s="125"/>
      <c r="O174" s="125"/>
      <c r="P174" s="125"/>
      <c r="Q174" s="40"/>
    </row>
    <row r="175" spans="1:17" x14ac:dyDescent="0.4">
      <c r="A175" s="128" t="s">
        <v>48</v>
      </c>
      <c r="B175" s="128"/>
      <c r="C175" s="128"/>
      <c r="D175" s="128"/>
      <c r="E175" s="128"/>
      <c r="F175" s="128"/>
      <c r="G175" s="128"/>
      <c r="H175" s="125"/>
      <c r="I175" s="125"/>
      <c r="J175" s="125"/>
      <c r="K175" s="174"/>
      <c r="L175" s="125"/>
      <c r="M175" s="125"/>
      <c r="N175" s="125"/>
      <c r="O175" s="125"/>
      <c r="P175" s="125"/>
      <c r="Q175" s="40"/>
    </row>
    <row r="176" spans="1:17" x14ac:dyDescent="0.4">
      <c r="A176" s="125" t="s">
        <v>114</v>
      </c>
      <c r="B176" s="125"/>
      <c r="C176" s="125"/>
      <c r="D176" s="125"/>
      <c r="E176" s="125"/>
      <c r="F176" s="151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40"/>
    </row>
    <row r="177" spans="1:17" x14ac:dyDescent="0.4">
      <c r="A177" s="125" t="s">
        <v>115</v>
      </c>
      <c r="B177" s="125"/>
      <c r="C177" s="125"/>
      <c r="D177" s="125"/>
      <c r="E177" s="125"/>
      <c r="F177" s="151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40"/>
    </row>
    <row r="178" spans="1:17" x14ac:dyDescent="0.4">
      <c r="A178" s="125" t="s">
        <v>116</v>
      </c>
      <c r="B178" s="125"/>
      <c r="C178" s="125"/>
      <c r="D178" s="125"/>
      <c r="E178" s="125"/>
      <c r="F178" s="151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40"/>
    </row>
    <row r="179" spans="1:17" x14ac:dyDescent="0.4">
      <c r="A179" s="154"/>
      <c r="B179" s="125"/>
      <c r="C179" s="125"/>
      <c r="D179" s="125"/>
      <c r="E179" s="125"/>
      <c r="F179" s="151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40"/>
    </row>
    <row r="180" spans="1:17" x14ac:dyDescent="0.4">
      <c r="A180" s="128" t="s">
        <v>48</v>
      </c>
      <c r="B180" s="128"/>
      <c r="C180" s="128"/>
      <c r="D180" s="128"/>
      <c r="E180" s="128"/>
      <c r="F180" s="128"/>
      <c r="G180" s="128"/>
      <c r="H180" s="125"/>
      <c r="I180" s="154"/>
      <c r="J180" s="154"/>
      <c r="K180" s="154"/>
      <c r="L180" s="154"/>
      <c r="M180" s="154"/>
      <c r="N180" s="154"/>
      <c r="O180" s="154"/>
      <c r="P180" s="154"/>
    </row>
    <row r="181" spans="1:17" x14ac:dyDescent="0.4">
      <c r="A181" s="125"/>
      <c r="B181" s="125"/>
      <c r="C181" s="125"/>
      <c r="D181" s="125"/>
      <c r="E181" s="125"/>
      <c r="F181" s="151"/>
      <c r="G181" s="125"/>
      <c r="H181" s="125"/>
      <c r="I181" s="154"/>
      <c r="J181" s="154"/>
      <c r="K181" s="154"/>
      <c r="L181" s="154"/>
      <c r="M181" s="154"/>
      <c r="N181" s="154"/>
      <c r="O181" s="154"/>
      <c r="P181" s="154"/>
    </row>
    <row r="182" spans="1:17" x14ac:dyDescent="0.4">
      <c r="A182" s="125" t="s">
        <v>600</v>
      </c>
      <c r="B182" s="125"/>
      <c r="C182" s="125"/>
      <c r="D182" s="149"/>
      <c r="E182" s="125"/>
      <c r="F182" s="151"/>
      <c r="G182" s="125"/>
      <c r="H182" s="125"/>
      <c r="I182" s="154"/>
      <c r="J182" s="154"/>
      <c r="K182" s="154"/>
      <c r="L182" s="154"/>
      <c r="M182" s="154"/>
      <c r="N182" s="154"/>
      <c r="O182" s="154"/>
      <c r="P182" s="154"/>
    </row>
    <row r="183" spans="1:17" x14ac:dyDescent="0.4">
      <c r="A183" s="125" t="s">
        <v>357</v>
      </c>
      <c r="B183" s="171">
        <f>D$50</f>
        <v>4800</v>
      </c>
      <c r="C183" s="172" t="s">
        <v>356</v>
      </c>
      <c r="D183" s="173" t="s">
        <v>355</v>
      </c>
      <c r="E183" s="201">
        <v>15</v>
      </c>
      <c r="F183" s="139">
        <f>G183/$F$9</f>
        <v>180</v>
      </c>
      <c r="G183" s="152">
        <f>B183*E183</f>
        <v>72000</v>
      </c>
      <c r="H183" s="125"/>
      <c r="I183" s="154" t="s">
        <v>483</v>
      </c>
      <c r="J183" s="244">
        <f>F183</f>
        <v>180</v>
      </c>
      <c r="K183" s="245">
        <f>G183</f>
        <v>72000</v>
      </c>
      <c r="L183" s="154"/>
      <c r="M183" s="154"/>
      <c r="N183" s="154"/>
      <c r="O183" s="154"/>
      <c r="P183" s="154"/>
    </row>
    <row r="184" spans="1:17" x14ac:dyDescent="0.4">
      <c r="A184" s="125"/>
      <c r="B184" s="125"/>
      <c r="C184" s="125"/>
      <c r="D184" s="125"/>
      <c r="E184" s="125"/>
      <c r="F184" s="125"/>
      <c r="G184" s="125"/>
      <c r="H184" s="125"/>
      <c r="I184" s="154"/>
      <c r="J184" s="154"/>
      <c r="K184" s="154"/>
      <c r="L184" s="154"/>
      <c r="M184" s="154"/>
      <c r="N184" s="154"/>
      <c r="O184" s="154"/>
      <c r="P184" s="154"/>
    </row>
    <row r="185" spans="1:17" x14ac:dyDescent="0.4">
      <c r="A185" s="125" t="s">
        <v>601</v>
      </c>
      <c r="B185" s="169"/>
      <c r="C185" s="125"/>
      <c r="D185" s="125"/>
      <c r="E185" s="127" t="s">
        <v>507</v>
      </c>
      <c r="F185" s="151"/>
      <c r="G185" s="125"/>
      <c r="H185" s="125"/>
      <c r="I185" s="154"/>
      <c r="J185" s="244"/>
      <c r="K185" s="246"/>
      <c r="L185" s="154"/>
      <c r="M185" s="154"/>
      <c r="N185" s="154"/>
      <c r="O185" s="154"/>
      <c r="P185" s="154"/>
    </row>
    <row r="186" spans="1:17" x14ac:dyDescent="0.4">
      <c r="A186" s="125" t="s">
        <v>98</v>
      </c>
      <c r="B186" s="169">
        <f>(N24*(1-F36*0.01))</f>
        <v>1240.1981999999998</v>
      </c>
      <c r="C186" s="125"/>
      <c r="D186" s="148" t="s">
        <v>99</v>
      </c>
      <c r="E186" s="141">
        <v>5</v>
      </c>
      <c r="F186" s="151">
        <f>(+B186*(E186*0.01))</f>
        <v>62.009909999999991</v>
      </c>
      <c r="G186" s="152">
        <f>(F186*$F$9)</f>
        <v>24803.963999999996</v>
      </c>
      <c r="H186" s="125"/>
      <c r="I186" s="247" t="s">
        <v>386</v>
      </c>
      <c r="J186" s="248">
        <f>F186</f>
        <v>62.009909999999991</v>
      </c>
      <c r="K186" s="249">
        <f>G134+G186</f>
        <v>27559.963999999996</v>
      </c>
      <c r="L186" s="154"/>
      <c r="M186" s="154"/>
      <c r="N186" s="154"/>
      <c r="O186" s="154"/>
      <c r="P186" s="154"/>
    </row>
    <row r="187" spans="1:17" x14ac:dyDescent="0.4">
      <c r="A187" s="125" t="s">
        <v>100</v>
      </c>
      <c r="B187" s="435">
        <f>'2. Vehicles,Mach.,Equipt.'!G38/F9</f>
        <v>212.5</v>
      </c>
      <c r="C187" s="125" t="s">
        <v>1</v>
      </c>
      <c r="D187" s="148" t="s">
        <v>99</v>
      </c>
      <c r="E187" s="141">
        <v>5</v>
      </c>
      <c r="F187" s="151">
        <f>(+B187*(E187*0.01))/F9</f>
        <v>2.6562499999999999E-2</v>
      </c>
      <c r="G187" s="152">
        <f>(F187*$F$9)</f>
        <v>10.625</v>
      </c>
      <c r="H187" s="125"/>
      <c r="I187" s="154" t="s">
        <v>373</v>
      </c>
      <c r="J187" s="244">
        <f>F187</f>
        <v>2.6562499999999999E-2</v>
      </c>
      <c r="K187" s="245">
        <f>G187</f>
        <v>10.625</v>
      </c>
      <c r="L187" s="154"/>
      <c r="M187" s="154"/>
      <c r="N187" s="154"/>
      <c r="O187" s="154"/>
      <c r="P187" s="154"/>
    </row>
    <row r="188" spans="1:17" x14ac:dyDescent="0.4">
      <c r="A188" s="125" t="s">
        <v>101</v>
      </c>
      <c r="B188" s="201">
        <v>0</v>
      </c>
      <c r="C188" s="125"/>
      <c r="D188" s="148" t="s">
        <v>99</v>
      </c>
      <c r="E188" s="141">
        <v>5</v>
      </c>
      <c r="F188" s="151">
        <f>(+B188*(E188*0.01))/F10</f>
        <v>0</v>
      </c>
      <c r="G188" s="152">
        <f>(F188*$F$9)</f>
        <v>0</v>
      </c>
      <c r="H188" s="125"/>
      <c r="I188" s="154" t="s">
        <v>374</v>
      </c>
      <c r="J188" s="244">
        <f>F188</f>
        <v>0</v>
      </c>
      <c r="K188" s="244">
        <f>G188</f>
        <v>0</v>
      </c>
      <c r="L188" s="154"/>
      <c r="M188" s="154"/>
      <c r="N188" s="154"/>
      <c r="O188" s="154"/>
      <c r="P188" s="154"/>
    </row>
    <row r="189" spans="1:17" x14ac:dyDescent="0.4">
      <c r="A189" s="125"/>
      <c r="B189" s="125"/>
      <c r="C189" s="125"/>
      <c r="D189" s="125"/>
      <c r="E189" s="125"/>
      <c r="F189" s="156" t="s">
        <v>4</v>
      </c>
      <c r="G189" s="156" t="s">
        <v>4</v>
      </c>
      <c r="H189" s="125"/>
      <c r="I189" s="250"/>
      <c r="J189" s="154"/>
      <c r="K189" s="154"/>
      <c r="L189" s="154"/>
      <c r="M189" s="154"/>
      <c r="N189" s="154"/>
      <c r="O189" s="154"/>
      <c r="P189" s="154"/>
    </row>
    <row r="190" spans="1:17" x14ac:dyDescent="0.4">
      <c r="A190" s="125" t="s">
        <v>602</v>
      </c>
      <c r="B190" s="125"/>
      <c r="C190" s="125"/>
      <c r="D190" s="125"/>
      <c r="E190" s="125"/>
      <c r="F190" s="151">
        <f>SUM(F186:F188)</f>
        <v>62.036472499999988</v>
      </c>
      <c r="G190" s="152">
        <f>(F190*$F$9)</f>
        <v>24814.588999999996</v>
      </c>
      <c r="H190" s="125"/>
      <c r="I190" s="154"/>
      <c r="J190" s="244"/>
      <c r="K190" s="245">
        <f>K188+K186+K187+K188</f>
        <v>27570.588999999996</v>
      </c>
      <c r="L190" s="154" t="s">
        <v>385</v>
      </c>
      <c r="M190" s="154"/>
      <c r="N190" s="154"/>
      <c r="O190" s="154"/>
      <c r="P190" s="154"/>
    </row>
    <row r="191" spans="1:17" x14ac:dyDescent="0.4">
      <c r="A191" s="125"/>
      <c r="B191" s="125"/>
      <c r="C191" s="125"/>
      <c r="D191" s="125"/>
      <c r="E191" s="125"/>
      <c r="F191" s="125"/>
      <c r="G191" s="125"/>
      <c r="H191" s="125"/>
      <c r="I191" s="154"/>
      <c r="J191" s="154"/>
      <c r="K191" s="154"/>
      <c r="L191" s="154"/>
      <c r="M191" s="154"/>
      <c r="N191" s="154"/>
      <c r="O191" s="154"/>
      <c r="P191" s="154"/>
    </row>
    <row r="192" spans="1:17" x14ac:dyDescent="0.4">
      <c r="A192" s="147" t="s">
        <v>603</v>
      </c>
      <c r="B192" s="125"/>
      <c r="C192" s="125"/>
      <c r="D192" s="125"/>
      <c r="E192" s="125"/>
      <c r="F192" s="125"/>
      <c r="G192" s="251" t="s">
        <v>82</v>
      </c>
      <c r="H192" s="125"/>
      <c r="I192" s="154"/>
      <c r="J192" s="154"/>
      <c r="K192" s="154"/>
      <c r="L192" s="154"/>
      <c r="M192" s="154"/>
      <c r="N192" s="154"/>
      <c r="O192" s="154"/>
      <c r="P192" s="154"/>
    </row>
    <row r="193" spans="1:16" x14ac:dyDescent="0.4">
      <c r="A193" s="125" t="s">
        <v>604</v>
      </c>
      <c r="B193" s="125"/>
      <c r="C193" s="125"/>
      <c r="D193" s="125"/>
      <c r="E193" s="127" t="s">
        <v>90</v>
      </c>
      <c r="F193" s="151">
        <f>(F145+F190+F183)</f>
        <v>925.71397249999995</v>
      </c>
      <c r="G193" s="152">
        <f>F193*$F$9</f>
        <v>370285.58899999998</v>
      </c>
      <c r="H193" s="125"/>
      <c r="I193" s="154"/>
      <c r="J193" s="154"/>
      <c r="K193" s="154"/>
      <c r="L193" s="154"/>
      <c r="M193" s="154"/>
      <c r="N193" s="154"/>
      <c r="O193" s="154"/>
      <c r="P193" s="154"/>
    </row>
    <row r="194" spans="1:16" x14ac:dyDescent="0.4">
      <c r="A194" s="125"/>
      <c r="B194" s="125"/>
      <c r="C194" s="125"/>
      <c r="D194" s="125"/>
      <c r="E194" s="127" t="s">
        <v>370</v>
      </c>
      <c r="F194" s="151"/>
      <c r="G194" s="151">
        <f>G193/$D$53</f>
        <v>77.142831041666668</v>
      </c>
      <c r="H194" s="125"/>
      <c r="I194" s="154"/>
      <c r="J194" s="154"/>
      <c r="K194" s="154"/>
      <c r="L194" s="154"/>
      <c r="M194" s="154"/>
      <c r="N194" s="154"/>
      <c r="O194" s="154"/>
      <c r="P194" s="154"/>
    </row>
    <row r="195" spans="1:16" x14ac:dyDescent="0.4">
      <c r="A195" s="125"/>
      <c r="B195" s="125"/>
      <c r="C195" s="125"/>
      <c r="D195" s="125"/>
      <c r="E195" s="125"/>
      <c r="F195" s="151"/>
      <c r="G195" s="151"/>
      <c r="H195" s="125"/>
      <c r="I195" s="154"/>
      <c r="J195" s="154"/>
      <c r="K195" s="154"/>
      <c r="L195" s="154"/>
      <c r="M195" s="154"/>
      <c r="N195" s="154"/>
      <c r="O195" s="154"/>
      <c r="P195" s="154"/>
    </row>
    <row r="196" spans="1:16" x14ac:dyDescent="0.4">
      <c r="A196" s="158" t="s">
        <v>605</v>
      </c>
      <c r="B196" s="158"/>
      <c r="C196" s="158"/>
      <c r="D196" s="158"/>
      <c r="E196" s="252" t="s">
        <v>90</v>
      </c>
      <c r="F196" s="454">
        <f>(F142-F193)</f>
        <v>-202.50333499999999</v>
      </c>
      <c r="G196" s="454">
        <f>F196*$F$9</f>
        <v>-81001.334000000003</v>
      </c>
      <c r="H196" s="125"/>
      <c r="I196" s="154"/>
      <c r="J196" s="154"/>
      <c r="K196" s="154"/>
      <c r="L196" s="154"/>
      <c r="M196" s="154"/>
      <c r="N196" s="154"/>
      <c r="O196" s="154"/>
      <c r="P196" s="154"/>
    </row>
    <row r="197" spans="1:16" x14ac:dyDescent="0.4">
      <c r="A197" s="125"/>
      <c r="B197" s="125"/>
      <c r="C197" s="125"/>
      <c r="D197" s="125"/>
      <c r="E197" s="127" t="s">
        <v>370</v>
      </c>
      <c r="F197" s="165"/>
      <c r="G197" s="165">
        <f>G196/$D$53</f>
        <v>-16.875277916666668</v>
      </c>
      <c r="H197" s="125"/>
      <c r="I197" s="154"/>
      <c r="J197" s="154"/>
      <c r="K197" s="154"/>
      <c r="L197" s="154"/>
      <c r="M197" s="154"/>
      <c r="N197" s="154"/>
      <c r="O197" s="154"/>
      <c r="P197" s="154"/>
    </row>
    <row r="198" spans="1:16" x14ac:dyDescent="0.4">
      <c r="A198" s="125"/>
      <c r="B198" s="125"/>
      <c r="C198" s="125"/>
      <c r="D198" s="125"/>
      <c r="E198" s="125"/>
      <c r="F198" s="151"/>
      <c r="G198" s="151"/>
      <c r="H198" s="125"/>
      <c r="I198" s="154"/>
      <c r="J198" s="154"/>
      <c r="K198" s="154"/>
      <c r="L198" s="154"/>
      <c r="M198" s="154"/>
      <c r="N198" s="154"/>
      <c r="O198" s="154"/>
      <c r="P198" s="154"/>
    </row>
    <row r="199" spans="1:16" x14ac:dyDescent="0.4">
      <c r="A199" s="147" t="s">
        <v>606</v>
      </c>
      <c r="B199" s="147"/>
      <c r="C199" s="147"/>
      <c r="D199" s="147"/>
      <c r="E199" s="155" t="s">
        <v>109</v>
      </c>
      <c r="F199" s="207">
        <f>(($F$193-$N$31)/$F$59)*100</f>
        <v>182.66883932461872</v>
      </c>
      <c r="G199" s="125"/>
      <c r="H199" s="125"/>
      <c r="I199" s="154"/>
      <c r="J199" s="154"/>
      <c r="K199" s="154"/>
      <c r="L199" s="154"/>
      <c r="M199" s="154"/>
      <c r="N199" s="154"/>
      <c r="O199" s="154"/>
      <c r="P199" s="154"/>
    </row>
    <row r="200" spans="1:16" x14ac:dyDescent="0.4">
      <c r="A200" s="125"/>
      <c r="B200" s="125"/>
      <c r="C200" s="125"/>
      <c r="D200" s="125"/>
      <c r="E200" s="125"/>
      <c r="F200" s="125"/>
      <c r="G200" s="125"/>
      <c r="H200" s="125"/>
      <c r="I200" s="154"/>
      <c r="J200" s="154"/>
      <c r="K200" s="154"/>
      <c r="L200" s="154"/>
      <c r="M200" s="154"/>
      <c r="N200" s="154"/>
      <c r="O200" s="154"/>
      <c r="P200" s="154"/>
    </row>
    <row r="201" spans="1:16" x14ac:dyDescent="0.4">
      <c r="A201" s="125" t="s">
        <v>117</v>
      </c>
      <c r="B201" s="125"/>
      <c r="C201" s="125"/>
      <c r="D201" s="125"/>
      <c r="E201" s="125"/>
      <c r="F201" s="125"/>
      <c r="G201" s="125"/>
      <c r="H201" s="125"/>
      <c r="I201" s="154"/>
      <c r="J201" s="154"/>
      <c r="K201" s="154"/>
      <c r="L201" s="154"/>
      <c r="M201" s="154"/>
      <c r="N201" s="154"/>
      <c r="O201" s="154"/>
      <c r="P201" s="154"/>
    </row>
    <row r="202" spans="1:16" x14ac:dyDescent="0.4">
      <c r="A202" s="40"/>
      <c r="B202" s="40"/>
      <c r="C202" s="40"/>
      <c r="D202" s="40"/>
      <c r="E202" s="40"/>
      <c r="F202" s="40"/>
      <c r="G202" s="40"/>
      <c r="H202" s="40"/>
    </row>
    <row r="203" spans="1:16" x14ac:dyDescent="0.4">
      <c r="A203" s="40"/>
      <c r="B203" s="40"/>
      <c r="C203" s="40"/>
      <c r="D203" s="40"/>
      <c r="E203" s="40"/>
      <c r="F203" s="40"/>
      <c r="G203" s="40"/>
      <c r="H203" s="40"/>
    </row>
    <row r="317" spans="11:12" x14ac:dyDescent="0.4">
      <c r="K317" s="14" t="s">
        <v>151</v>
      </c>
    </row>
    <row r="318" spans="11:12" x14ac:dyDescent="0.4">
      <c r="K318" s="14">
        <f>IF(('6. Prod Practice Eval'!$F$41&gt;('6. Prod Practice Eval'!$F$45+'6. Prod Practice Eval'!$F$46)),(-'6. Prod Practice Eval'!$F$48*0.01*('6. Prod Practice Eval'!$F$41-'6. Prod Practice Eval'!$F$45)),0)</f>
        <v>-2.1</v>
      </c>
      <c r="L318" s="4" t="s">
        <v>152</v>
      </c>
    </row>
    <row r="319" spans="11:12" x14ac:dyDescent="0.4">
      <c r="K319" s="14">
        <f>IF(('6. Prod Practice Eval'!$F$41&lt;'6. Prod Practice Eval'!$F$45-'6. Prod Practice Eval'!$F$47),('6. Prod Practice Eval'!$F$48*0.01*('6. Prod Practice Eval'!$F$45-'6. Prod Practice Eval'!$F$41)),0)</f>
        <v>0</v>
      </c>
      <c r="L319" s="4" t="s">
        <v>153</v>
      </c>
    </row>
    <row r="320" spans="11:12" x14ac:dyDescent="0.4">
      <c r="K320" s="14">
        <f>(K318+K319)</f>
        <v>-2.1</v>
      </c>
      <c r="L320" s="4" t="s">
        <v>154</v>
      </c>
    </row>
    <row r="321" spans="5:12" x14ac:dyDescent="0.4">
      <c r="K321" s="14"/>
    </row>
    <row r="323" spans="5:12" x14ac:dyDescent="0.4">
      <c r="K323" s="14" t="s">
        <v>151</v>
      </c>
    </row>
    <row r="324" spans="5:12" x14ac:dyDescent="0.4">
      <c r="K324" s="14">
        <f>IF(('6. Prod Practice Eval'!$G$41&gt;('6. Prod Practice Eval'!$G$45+'6. Prod Practice Eval'!$G$46)),(-'6. Prod Practice Eval'!$G$48*0.01*('6. Prod Practice Eval'!$G$41-'6. Prod Practice Eval'!$G$45)),0)</f>
        <v>-1.7500000000000002</v>
      </c>
      <c r="L324" s="4" t="s">
        <v>152</v>
      </c>
    </row>
    <row r="325" spans="5:12" x14ac:dyDescent="0.4">
      <c r="K325" s="14">
        <f>IF(('6. Prod Practice Eval'!$G$41&lt;'6. Prod Practice Eval'!$G$45-'6. Prod Practice Eval'!$G$47),('6. Prod Practice Eval'!$G$48*0.01*('6. Prod Practice Eval'!$G$45-'6. Prod Practice Eval'!$G$41)),0)</f>
        <v>0</v>
      </c>
      <c r="L325" s="4" t="s">
        <v>153</v>
      </c>
    </row>
    <row r="326" spans="5:12" x14ac:dyDescent="0.4">
      <c r="K326" s="14">
        <f>(K324+K325)</f>
        <v>-1.7500000000000002</v>
      </c>
      <c r="L326" s="4" t="s">
        <v>154</v>
      </c>
    </row>
    <row r="332" spans="5:12" x14ac:dyDescent="0.4">
      <c r="F332" s="14"/>
    </row>
    <row r="333" spans="5:12" x14ac:dyDescent="0.4">
      <c r="E333" s="14"/>
      <c r="F333" s="14"/>
    </row>
    <row r="336" spans="5:12" x14ac:dyDescent="0.4">
      <c r="E336" s="13"/>
      <c r="F336" s="13"/>
    </row>
    <row r="337" spans="5:6" x14ac:dyDescent="0.4">
      <c r="E337" s="13"/>
      <c r="F337" s="13"/>
    </row>
    <row r="367" spans="5:6" x14ac:dyDescent="0.4">
      <c r="E367" s="14"/>
      <c r="F367" s="14"/>
    </row>
    <row r="368" spans="5:6" x14ac:dyDescent="0.4">
      <c r="E368" s="14"/>
      <c r="F368" s="14"/>
    </row>
    <row r="369" spans="5:10" x14ac:dyDescent="0.4">
      <c r="E369" s="14"/>
      <c r="F369" s="14"/>
    </row>
    <row r="372" spans="5:10" x14ac:dyDescent="0.4">
      <c r="E372" s="14"/>
      <c r="F372" s="14"/>
    </row>
    <row r="373" spans="5:10" x14ac:dyDescent="0.4">
      <c r="E373" s="14"/>
      <c r="F373" s="14"/>
    </row>
    <row r="374" spans="5:10" x14ac:dyDescent="0.4">
      <c r="E374" s="14"/>
      <c r="F374" s="14"/>
    </row>
    <row r="377" spans="5:10" x14ac:dyDescent="0.4">
      <c r="E377" s="13"/>
      <c r="F377" s="13"/>
    </row>
    <row r="378" spans="5:10" x14ac:dyDescent="0.4">
      <c r="E378" s="13"/>
      <c r="F378" s="13"/>
    </row>
    <row r="380" spans="5:10" x14ac:dyDescent="0.4">
      <c r="E380" s="13"/>
      <c r="F380" s="13"/>
    </row>
    <row r="381" spans="5:10" x14ac:dyDescent="0.4">
      <c r="E381" s="13"/>
      <c r="F381" s="13"/>
    </row>
    <row r="383" spans="5:10" x14ac:dyDescent="0.4">
      <c r="H383" s="12"/>
      <c r="I383" s="12"/>
      <c r="J383" s="12"/>
    </row>
    <row r="384" spans="5:10" x14ac:dyDescent="0.4">
      <c r="E384" s="13"/>
      <c r="F384" s="13"/>
      <c r="H384" s="12"/>
      <c r="I384" s="12"/>
      <c r="J384" s="12"/>
    </row>
    <row r="385" spans="5:6" x14ac:dyDescent="0.4">
      <c r="E385" s="14"/>
      <c r="F385" s="14"/>
    </row>
    <row r="387" spans="5:6" x14ac:dyDescent="0.4">
      <c r="E387" s="12"/>
      <c r="F387" s="12"/>
    </row>
    <row r="389" spans="5:6" x14ac:dyDescent="0.4">
      <c r="E389" s="13"/>
      <c r="F389" s="13"/>
    </row>
    <row r="390" spans="5:6" x14ac:dyDescent="0.4">
      <c r="E390" s="14"/>
      <c r="F390" s="14"/>
    </row>
    <row r="391" spans="5:6" x14ac:dyDescent="0.4">
      <c r="E391" s="14"/>
      <c r="F391" s="14"/>
    </row>
    <row r="392" spans="5:6" x14ac:dyDescent="0.4">
      <c r="E392" s="14"/>
      <c r="F392" s="14"/>
    </row>
    <row r="393" spans="5:6" x14ac:dyDescent="0.4">
      <c r="E393" s="14"/>
      <c r="F393" s="14"/>
    </row>
    <row r="395" spans="5:6" x14ac:dyDescent="0.4">
      <c r="E395" s="13"/>
      <c r="F395" s="13"/>
    </row>
    <row r="407" spans="5:6" x14ac:dyDescent="0.4">
      <c r="E407" s="14"/>
      <c r="F407" s="14"/>
    </row>
    <row r="412" spans="5:6" x14ac:dyDescent="0.4">
      <c r="E412" s="14"/>
      <c r="F412" s="14"/>
    </row>
    <row r="416" spans="5:6" x14ac:dyDescent="0.4">
      <c r="E416" s="14"/>
      <c r="F416" s="14"/>
    </row>
    <row r="417" spans="5:6" x14ac:dyDescent="0.4">
      <c r="E417" s="13"/>
      <c r="F417" s="13"/>
    </row>
    <row r="419" spans="5:6" x14ac:dyDescent="0.4">
      <c r="E419" s="14"/>
      <c r="F419" s="14"/>
    </row>
    <row r="420" spans="5:6" x14ac:dyDescent="0.4">
      <c r="E420" s="14"/>
      <c r="F420" s="14"/>
    </row>
    <row r="423" spans="5:6" x14ac:dyDescent="0.4">
      <c r="E423" s="14"/>
      <c r="F423" s="14"/>
    </row>
    <row r="424" spans="5:6" x14ac:dyDescent="0.4">
      <c r="E424" s="14"/>
      <c r="F424" s="14"/>
    </row>
    <row r="425" spans="5:6" x14ac:dyDescent="0.4">
      <c r="E425" s="14"/>
      <c r="F425" s="14"/>
    </row>
    <row r="428" spans="5:6" x14ac:dyDescent="0.4">
      <c r="E428" s="13"/>
      <c r="F428" s="13"/>
    </row>
    <row r="429" spans="5:6" x14ac:dyDescent="0.4">
      <c r="E429" s="13"/>
      <c r="F429" s="13"/>
    </row>
    <row r="431" spans="5:6" x14ac:dyDescent="0.4">
      <c r="E431" s="13"/>
      <c r="F431" s="13"/>
    </row>
    <row r="432" spans="5:6" x14ac:dyDescent="0.4">
      <c r="E432" s="13"/>
      <c r="F432" s="13"/>
    </row>
    <row r="435" spans="5:12" x14ac:dyDescent="0.4">
      <c r="E435" s="13"/>
      <c r="F435" s="13"/>
    </row>
    <row r="436" spans="5:12" x14ac:dyDescent="0.4">
      <c r="E436" s="14"/>
      <c r="F436" s="14"/>
    </row>
    <row r="446" spans="5:12" x14ac:dyDescent="0.4">
      <c r="L446" s="14"/>
    </row>
    <row r="447" spans="5:12" x14ac:dyDescent="0.4">
      <c r="E447" s="10"/>
      <c r="F447" s="10"/>
      <c r="L447" s="14"/>
    </row>
    <row r="448" spans="5:12" x14ac:dyDescent="0.4">
      <c r="E448" s="10"/>
      <c r="F448" s="10"/>
      <c r="L448" s="14"/>
    </row>
    <row r="449" spans="5:19" x14ac:dyDescent="0.4">
      <c r="L449" s="14"/>
    </row>
    <row r="450" spans="5:19" x14ac:dyDescent="0.4">
      <c r="E450" s="14"/>
      <c r="F450" s="14"/>
      <c r="L450" s="14"/>
    </row>
    <row r="451" spans="5:19" x14ac:dyDescent="0.4">
      <c r="E451" s="14"/>
      <c r="F451" s="14"/>
      <c r="L451" s="14"/>
    </row>
    <row r="452" spans="5:19" x14ac:dyDescent="0.4">
      <c r="E452" s="14"/>
      <c r="F452" s="14"/>
      <c r="L452" s="14"/>
    </row>
    <row r="453" spans="5:19" x14ac:dyDescent="0.4">
      <c r="L453" s="14"/>
    </row>
    <row r="454" spans="5:19" x14ac:dyDescent="0.4">
      <c r="E454" s="14"/>
      <c r="F454" s="14"/>
    </row>
    <row r="455" spans="5:19" x14ac:dyDescent="0.4">
      <c r="E455" s="13"/>
      <c r="F455" s="13"/>
    </row>
    <row r="456" spans="5:19" x14ac:dyDescent="0.4">
      <c r="L456" s="14"/>
    </row>
    <row r="457" spans="5:19" x14ac:dyDescent="0.4">
      <c r="L457" s="14"/>
    </row>
    <row r="458" spans="5:19" x14ac:dyDescent="0.4">
      <c r="E458" s="10"/>
      <c r="F458" s="10"/>
      <c r="L458" s="14"/>
    </row>
    <row r="459" spans="5:19" x14ac:dyDescent="0.4">
      <c r="E459" s="10"/>
      <c r="F459" s="10"/>
      <c r="L459" s="14"/>
      <c r="S459" s="6"/>
    </row>
    <row r="461" spans="5:19" x14ac:dyDescent="0.4">
      <c r="L461" s="14"/>
    </row>
    <row r="462" spans="5:19" x14ac:dyDescent="0.4">
      <c r="L462" s="14"/>
    </row>
    <row r="463" spans="5:19" x14ac:dyDescent="0.4">
      <c r="E463" s="14"/>
      <c r="F463" s="14"/>
      <c r="L463" s="14"/>
    </row>
    <row r="464" spans="5:19" x14ac:dyDescent="0.4">
      <c r="E464" s="14"/>
      <c r="F464" s="14"/>
      <c r="L464" s="14"/>
    </row>
    <row r="465" spans="5:12" x14ac:dyDescent="0.4">
      <c r="E465" s="13"/>
      <c r="F465" s="13"/>
      <c r="L465" s="14"/>
    </row>
    <row r="466" spans="5:12" x14ac:dyDescent="0.4">
      <c r="L466" s="14"/>
    </row>
    <row r="467" spans="5:12" x14ac:dyDescent="0.4">
      <c r="E467" s="14"/>
      <c r="F467" s="14"/>
      <c r="L467" s="14"/>
    </row>
    <row r="468" spans="5:12" x14ac:dyDescent="0.4">
      <c r="E468" s="14"/>
      <c r="F468" s="14"/>
      <c r="L468" s="14"/>
    </row>
    <row r="469" spans="5:12" x14ac:dyDescent="0.4">
      <c r="E469" s="14"/>
      <c r="F469" s="14"/>
      <c r="L469" s="14"/>
    </row>
    <row r="470" spans="5:12" x14ac:dyDescent="0.4">
      <c r="E470" s="14"/>
      <c r="F470" s="14"/>
      <c r="L470" s="14"/>
    </row>
    <row r="471" spans="5:12" x14ac:dyDescent="0.4">
      <c r="L471" s="14"/>
    </row>
    <row r="472" spans="5:12" x14ac:dyDescent="0.4">
      <c r="E472" s="14"/>
      <c r="F472" s="14"/>
      <c r="L472" s="14"/>
    </row>
    <row r="473" spans="5:12" x14ac:dyDescent="0.4">
      <c r="L473" s="14"/>
    </row>
    <row r="474" spans="5:12" x14ac:dyDescent="0.4">
      <c r="L474" s="14"/>
    </row>
    <row r="475" spans="5:12" x14ac:dyDescent="0.4">
      <c r="E475" s="13"/>
      <c r="F475" s="13"/>
      <c r="L475" s="14"/>
    </row>
    <row r="476" spans="5:12" x14ac:dyDescent="0.4">
      <c r="E476" s="14"/>
      <c r="F476" s="14"/>
      <c r="L476" s="14"/>
    </row>
    <row r="477" spans="5:12" x14ac:dyDescent="0.4">
      <c r="E477" s="13"/>
      <c r="F477" s="13"/>
      <c r="L477" s="14"/>
    </row>
    <row r="478" spans="5:12" x14ac:dyDescent="0.4">
      <c r="E478" s="14"/>
      <c r="F478" s="14"/>
      <c r="L478" s="14"/>
    </row>
    <row r="479" spans="5:12" x14ac:dyDescent="0.4">
      <c r="E479" s="14"/>
      <c r="F479" s="14"/>
      <c r="L479" s="14"/>
    </row>
    <row r="480" spans="5:12" x14ac:dyDescent="0.4">
      <c r="E480" s="14"/>
      <c r="F480" s="14"/>
      <c r="L480" s="14"/>
    </row>
    <row r="481" spans="5:12" x14ac:dyDescent="0.4">
      <c r="L481" s="14"/>
    </row>
    <row r="482" spans="5:12" x14ac:dyDescent="0.4">
      <c r="L482" s="14"/>
    </row>
    <row r="483" spans="5:12" x14ac:dyDescent="0.4">
      <c r="L483" s="14"/>
    </row>
    <row r="484" spans="5:12" x14ac:dyDescent="0.4">
      <c r="L484" s="14"/>
    </row>
    <row r="486" spans="5:12" x14ac:dyDescent="0.4">
      <c r="L486" s="14"/>
    </row>
    <row r="487" spans="5:12" x14ac:dyDescent="0.4">
      <c r="L487" s="14"/>
    </row>
    <row r="488" spans="5:12" x14ac:dyDescent="0.4">
      <c r="E488" s="14"/>
      <c r="F488" s="14"/>
      <c r="L488" s="14"/>
    </row>
    <row r="489" spans="5:12" x14ac:dyDescent="0.4">
      <c r="E489" s="14"/>
      <c r="F489" s="14"/>
      <c r="L489" s="14"/>
    </row>
    <row r="490" spans="5:12" x14ac:dyDescent="0.4">
      <c r="E490" s="13"/>
      <c r="F490" s="13"/>
      <c r="L490" s="14"/>
    </row>
    <row r="491" spans="5:12" x14ac:dyDescent="0.4">
      <c r="L491" s="14"/>
    </row>
    <row r="492" spans="5:12" x14ac:dyDescent="0.4">
      <c r="E492" s="14"/>
      <c r="F492" s="14"/>
      <c r="L492" s="14"/>
    </row>
    <row r="493" spans="5:12" x14ac:dyDescent="0.4">
      <c r="E493" s="14"/>
      <c r="F493" s="14"/>
      <c r="L493" s="14"/>
    </row>
    <row r="494" spans="5:12" x14ac:dyDescent="0.4">
      <c r="E494" s="14"/>
      <c r="F494" s="14"/>
      <c r="L494" s="14"/>
    </row>
    <row r="495" spans="5:12" x14ac:dyDescent="0.4">
      <c r="E495" s="14"/>
      <c r="F495" s="14"/>
      <c r="L495" s="14"/>
    </row>
    <row r="496" spans="5:12" x14ac:dyDescent="0.4">
      <c r="L496" s="14"/>
    </row>
    <row r="497" spans="5:16" x14ac:dyDescent="0.4">
      <c r="E497" s="14"/>
      <c r="F497" s="14"/>
      <c r="L497" s="14"/>
    </row>
    <row r="498" spans="5:16" x14ac:dyDescent="0.4">
      <c r="L498" s="14"/>
      <c r="O498" s="4" t="s">
        <v>155</v>
      </c>
      <c r="P498" s="4">
        <f>((E496*0.01*E498)+(F496*0.01*F498))</f>
        <v>0</v>
      </c>
    </row>
    <row r="499" spans="5:16" x14ac:dyDescent="0.4">
      <c r="L499" s="14"/>
      <c r="O499" s="4" t="s">
        <v>156</v>
      </c>
      <c r="P499" s="4">
        <f>(E496*0.01*E498)</f>
        <v>0</v>
      </c>
    </row>
    <row r="500" spans="5:16" x14ac:dyDescent="0.4">
      <c r="E500" s="13"/>
      <c r="F500" s="13"/>
      <c r="L500" s="14"/>
      <c r="O500" s="4" t="s">
        <v>157</v>
      </c>
      <c r="P500" s="4">
        <f>(F496*0.01*F498)</f>
        <v>0</v>
      </c>
    </row>
    <row r="501" spans="5:16" x14ac:dyDescent="0.4">
      <c r="E501" s="14"/>
      <c r="F501" s="14"/>
      <c r="L501" s="14"/>
    </row>
    <row r="502" spans="5:16" x14ac:dyDescent="0.4">
      <c r="E502" s="13"/>
      <c r="F502" s="13"/>
      <c r="L502" s="14"/>
    </row>
    <row r="503" spans="5:16" x14ac:dyDescent="0.4">
      <c r="E503" s="14"/>
      <c r="F503" s="14"/>
      <c r="L503" s="14"/>
    </row>
    <row r="504" spans="5:16" x14ac:dyDescent="0.4">
      <c r="E504" s="13"/>
      <c r="F504" s="13"/>
      <c r="L504" s="14"/>
    </row>
    <row r="505" spans="5:16" x14ac:dyDescent="0.4">
      <c r="E505" s="14"/>
      <c r="F505" s="14"/>
      <c r="L505" s="14"/>
    </row>
    <row r="506" spans="5:16" x14ac:dyDescent="0.4">
      <c r="E506" s="13"/>
      <c r="F506" s="13"/>
      <c r="G506" s="13"/>
      <c r="H506" s="13"/>
      <c r="I506" s="13"/>
      <c r="J506" s="13"/>
      <c r="K506" s="13"/>
      <c r="L506" s="14"/>
    </row>
    <row r="507" spans="5:16" x14ac:dyDescent="0.4">
      <c r="L507" s="14"/>
    </row>
    <row r="508" spans="5:16" x14ac:dyDescent="0.4">
      <c r="E508" s="13"/>
      <c r="F508" s="13"/>
      <c r="L508" s="14"/>
    </row>
    <row r="509" spans="5:16" x14ac:dyDescent="0.4">
      <c r="E509" s="13"/>
      <c r="F509" s="13"/>
      <c r="L509" s="14"/>
    </row>
    <row r="510" spans="5:16" x14ac:dyDescent="0.4">
      <c r="E510" s="13"/>
      <c r="F510" s="13"/>
      <c r="L510" s="14"/>
      <c r="P510" s="4">
        <f>(P451+P473+P498)</f>
        <v>0</v>
      </c>
    </row>
    <row r="511" spans="5:16" x14ac:dyDescent="0.4">
      <c r="L511" s="14"/>
    </row>
    <row r="512" spans="5:16" x14ac:dyDescent="0.4">
      <c r="E512" s="13"/>
      <c r="F512" s="13"/>
      <c r="L512" s="14"/>
    </row>
    <row r="513" spans="5:12" x14ac:dyDescent="0.4">
      <c r="L513" s="14"/>
    </row>
    <row r="514" spans="5:12" x14ac:dyDescent="0.4">
      <c r="L514" s="14"/>
    </row>
    <row r="515" spans="5:12" x14ac:dyDescent="0.4">
      <c r="E515" s="13"/>
      <c r="F515" s="13"/>
      <c r="L515" s="14"/>
    </row>
    <row r="516" spans="5:12" x14ac:dyDescent="0.4">
      <c r="L516" s="14"/>
    </row>
    <row r="517" spans="5:12" x14ac:dyDescent="0.4">
      <c r="E517" s="13"/>
      <c r="F517" s="13"/>
      <c r="G517" s="13"/>
      <c r="H517" s="13"/>
      <c r="I517" s="13"/>
      <c r="J517" s="13"/>
      <c r="K517" s="13"/>
      <c r="L517" s="14"/>
    </row>
    <row r="518" spans="5:12" x14ac:dyDescent="0.4">
      <c r="L518" s="14"/>
    </row>
  </sheetData>
  <sheetProtection sheet="1" objects="1" scenarios="1"/>
  <mergeCells count="3">
    <mergeCell ref="A63:G63"/>
    <mergeCell ref="B4:E4"/>
    <mergeCell ref="A1:G1"/>
  </mergeCells>
  <phoneticPr fontId="0" type="noConversion"/>
  <printOptions horizontalCentered="1"/>
  <pageMargins left="0.5" right="0.5" top="0.5" bottom="0.7" header="0.5" footer="0.5"/>
  <pageSetup scale="75" orientation="portrait" r:id="rId1"/>
  <headerFooter alignWithMargins="0">
    <oddFooter>&amp;L&amp;10&amp;F&amp;R&amp;10Page &amp;P of &amp;N</oddFooter>
  </headerFooter>
  <rowBreaks count="4" manualBreakCount="4">
    <brk id="61" max="6" man="1"/>
    <brk id="119" max="6" man="1"/>
    <brk id="313" max="65535" man="1"/>
    <brk id="374" max="65535" man="1"/>
  </rowBreaks>
  <ignoredErrors>
    <ignoredError sqref="E106:F106 D6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pageSetUpPr fitToPage="1"/>
  </sheetPr>
  <dimension ref="A1:G16"/>
  <sheetViews>
    <sheetView topLeftCell="A16" zoomScale="87" workbookViewId="0">
      <selection activeCell="E23" sqref="E23"/>
    </sheetView>
  </sheetViews>
  <sheetFormatPr defaultColWidth="8.875" defaultRowHeight="15.45" x14ac:dyDescent="0.4"/>
  <cols>
    <col min="1" max="1" width="29.25" style="1" customWidth="1"/>
    <col min="2" max="2" width="8.875" style="1"/>
    <col min="3" max="3" width="12" style="1" customWidth="1"/>
    <col min="4" max="6" width="8.875" style="1"/>
    <col min="7" max="7" width="10.3125" style="1" bestFit="1" customWidth="1"/>
    <col min="8" max="16384" width="8.875" style="1"/>
  </cols>
  <sheetData>
    <row r="1" spans="1:7" x14ac:dyDescent="0.4">
      <c r="A1" s="465" t="s">
        <v>242</v>
      </c>
      <c r="B1" s="465"/>
      <c r="C1" s="465"/>
      <c r="D1" s="465"/>
    </row>
    <row r="2" spans="1:7" x14ac:dyDescent="0.4">
      <c r="A2" s="486" t="str">
        <f>'1. Cow Calf Budget'!B3</f>
        <v>400 Cow-Calf Case Ranch Budget</v>
      </c>
      <c r="B2" s="486"/>
      <c r="C2" s="486"/>
      <c r="D2" s="486"/>
    </row>
    <row r="3" spans="1:7" x14ac:dyDescent="0.4">
      <c r="A3" s="358"/>
      <c r="B3" s="358"/>
      <c r="C3" s="358"/>
      <c r="D3" s="358"/>
    </row>
    <row r="4" spans="1:7" x14ac:dyDescent="0.4">
      <c r="A4" s="358"/>
      <c r="B4" s="358"/>
      <c r="C4" s="358" t="s">
        <v>145</v>
      </c>
      <c r="D4" s="358"/>
    </row>
    <row r="5" spans="1:7" x14ac:dyDescent="0.4">
      <c r="A5" s="358"/>
      <c r="B5" s="358"/>
      <c r="C5" s="358"/>
      <c r="D5" s="358"/>
    </row>
    <row r="6" spans="1:7" x14ac:dyDescent="0.4">
      <c r="A6" s="358" t="s">
        <v>243</v>
      </c>
      <c r="B6" s="358"/>
      <c r="C6" s="359">
        <f>'5. SPA Measures'!E44</f>
        <v>610.28750000000002</v>
      </c>
      <c r="D6" s="358"/>
    </row>
    <row r="7" spans="1:7" x14ac:dyDescent="0.4">
      <c r="A7" s="358"/>
      <c r="B7" s="358"/>
      <c r="C7" s="358"/>
      <c r="D7" s="358"/>
    </row>
    <row r="8" spans="1:7" x14ac:dyDescent="0.4">
      <c r="A8" s="358" t="s">
        <v>244</v>
      </c>
      <c r="B8" s="358"/>
      <c r="C8" s="360">
        <f>'5. SPA Measures'!E45</f>
        <v>73.389999999999986</v>
      </c>
      <c r="D8" s="358"/>
    </row>
    <row r="9" spans="1:7" x14ac:dyDescent="0.4">
      <c r="A9" s="358"/>
      <c r="B9" s="358"/>
      <c r="C9" s="358"/>
      <c r="D9" s="358"/>
    </row>
    <row r="10" spans="1:7" x14ac:dyDescent="0.4">
      <c r="A10" s="358" t="s">
        <v>245</v>
      </c>
      <c r="B10" s="358"/>
      <c r="C10" s="360">
        <f>-'1. Cow Calf Budget'!N29</f>
        <v>0</v>
      </c>
      <c r="D10" s="358"/>
    </row>
    <row r="11" spans="1:7" x14ac:dyDescent="0.4">
      <c r="A11" s="358" t="s">
        <v>246</v>
      </c>
      <c r="B11" s="358"/>
      <c r="C11" s="366">
        <f>-'1. Cow Calf Budget'!F134</f>
        <v>-6.89</v>
      </c>
      <c r="D11" s="358"/>
      <c r="G11" s="364"/>
    </row>
    <row r="12" spans="1:7" x14ac:dyDescent="0.4">
      <c r="A12" s="358"/>
      <c r="B12" s="358"/>
      <c r="C12" s="358"/>
      <c r="D12" s="358"/>
    </row>
    <row r="13" spans="1:7" x14ac:dyDescent="0.4">
      <c r="A13" s="361" t="s">
        <v>247</v>
      </c>
      <c r="B13" s="358"/>
      <c r="C13" s="362">
        <f>SUM(C6:C10)</f>
        <v>683.67750000000001</v>
      </c>
      <c r="D13" s="358"/>
    </row>
    <row r="14" spans="1:7" x14ac:dyDescent="0.4">
      <c r="A14" s="358"/>
      <c r="B14" s="358"/>
      <c r="C14" s="358"/>
      <c r="D14" s="358"/>
    </row>
    <row r="15" spans="1:7" x14ac:dyDescent="0.4">
      <c r="A15" s="363" t="s">
        <v>48</v>
      </c>
      <c r="B15" s="363"/>
      <c r="C15" s="363"/>
      <c r="D15" s="363"/>
    </row>
    <row r="16" spans="1:7" x14ac:dyDescent="0.4">
      <c r="A16" s="358" t="s">
        <v>248</v>
      </c>
      <c r="B16" s="358"/>
      <c r="C16" s="358"/>
      <c r="D16" s="358"/>
    </row>
  </sheetData>
  <mergeCells count="2">
    <mergeCell ref="A1:D1"/>
    <mergeCell ref="A2:D2"/>
  </mergeCells>
  <phoneticPr fontId="0" type="noConversion"/>
  <printOptions horizontalCentered="1"/>
  <pageMargins left="0.5" right="0.5" top="0.5" bottom="0.7" header="0.5" footer="0.5"/>
  <pageSetup orientation="portrait" r:id="rId1"/>
  <headerFooter alignWithMargins="0">
    <oddFooter>&amp;L&amp;10&amp;F&amp;R&amp;10&amp;A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workbookViewId="0">
      <selection activeCell="C8" sqref="C8"/>
    </sheetView>
  </sheetViews>
  <sheetFormatPr defaultRowHeight="15" x14ac:dyDescent="0.35"/>
  <cols>
    <col min="1" max="1" width="4.5625" customWidth="1"/>
    <col min="2" max="2" width="19.5625" customWidth="1"/>
    <col min="3" max="3" width="10.75" customWidth="1"/>
    <col min="4" max="4" width="11.4375" customWidth="1"/>
    <col min="5" max="5" width="9" customWidth="1"/>
    <col min="6" max="7" width="10.4375" bestFit="1" customWidth="1"/>
    <col min="9" max="9" width="9.4375" bestFit="1" customWidth="1"/>
    <col min="10" max="10" width="10.3125" customWidth="1"/>
  </cols>
  <sheetData>
    <row r="1" spans="1:15" ht="17.600000000000001" x14ac:dyDescent="0.4">
      <c r="A1" s="33"/>
      <c r="B1" s="464" t="s">
        <v>512</v>
      </c>
      <c r="C1" s="465"/>
      <c r="D1" s="465"/>
      <c r="E1" s="465"/>
      <c r="F1" s="465"/>
      <c r="G1" s="465"/>
      <c r="H1" s="465"/>
      <c r="I1" s="465"/>
      <c r="J1" s="71"/>
      <c r="K1" s="71"/>
      <c r="L1" s="71"/>
      <c r="M1" s="23"/>
      <c r="N1" s="23"/>
      <c r="O1" s="23"/>
    </row>
    <row r="2" spans="1:15" ht="17.600000000000001" x14ac:dyDescent="0.4">
      <c r="A2" s="33"/>
      <c r="B2" s="34"/>
      <c r="C2" s="33"/>
      <c r="D2" s="263" t="str">
        <f>'1. Cow Calf Budget'!B3</f>
        <v>400 Cow-Calf Case Ranch Budget</v>
      </c>
      <c r="E2" s="33"/>
      <c r="F2" s="33"/>
      <c r="G2" s="33"/>
      <c r="H2" s="33"/>
      <c r="I2" s="33"/>
      <c r="J2" s="71"/>
      <c r="K2" s="71"/>
      <c r="L2" s="71"/>
      <c r="M2" s="23"/>
      <c r="N2" s="23"/>
      <c r="O2" s="23"/>
    </row>
    <row r="3" spans="1:15" x14ac:dyDescent="0.35">
      <c r="A3" s="33"/>
      <c r="B3" s="33"/>
      <c r="C3" s="33"/>
      <c r="D3" s="33"/>
      <c r="E3" s="33"/>
      <c r="F3" s="33"/>
      <c r="G3" s="33"/>
      <c r="H3" s="33"/>
      <c r="I3" s="33"/>
      <c r="J3" s="71"/>
      <c r="K3" s="71"/>
      <c r="L3" s="71"/>
      <c r="M3" s="23"/>
      <c r="N3" s="23"/>
      <c r="O3" s="23"/>
    </row>
    <row r="4" spans="1:15" ht="15.45" x14ac:dyDescent="0.4">
      <c r="A4" s="33"/>
      <c r="B4" s="35" t="s">
        <v>488</v>
      </c>
      <c r="C4" s="33"/>
      <c r="D4" s="33"/>
      <c r="E4" s="33"/>
      <c r="F4" s="33"/>
      <c r="G4" s="33"/>
      <c r="H4" s="33"/>
      <c r="I4" s="33"/>
      <c r="J4" s="71"/>
      <c r="K4" s="71"/>
      <c r="L4" s="71"/>
      <c r="M4" s="23"/>
      <c r="N4" s="23"/>
      <c r="O4" s="23"/>
    </row>
    <row r="5" spans="1:15" x14ac:dyDescent="0.35">
      <c r="A5" s="33"/>
      <c r="B5" s="39"/>
      <c r="C5" s="253" t="s">
        <v>482</v>
      </c>
      <c r="D5" s="253" t="s">
        <v>499</v>
      </c>
      <c r="E5" s="253" t="s">
        <v>498</v>
      </c>
      <c r="F5" s="253" t="s">
        <v>487</v>
      </c>
      <c r="G5" s="253" t="s">
        <v>299</v>
      </c>
      <c r="H5" s="253" t="s">
        <v>486</v>
      </c>
      <c r="I5" s="254" t="s">
        <v>491</v>
      </c>
      <c r="J5" s="72"/>
      <c r="K5" s="73"/>
      <c r="L5" s="71"/>
      <c r="M5" s="23"/>
      <c r="N5" s="23"/>
      <c r="O5" s="23"/>
    </row>
    <row r="6" spans="1:15" x14ac:dyDescent="0.35">
      <c r="A6" s="33"/>
      <c r="B6" s="39"/>
      <c r="C6" s="253" t="s">
        <v>94</v>
      </c>
      <c r="D6" s="253" t="s">
        <v>500</v>
      </c>
      <c r="E6" s="253" t="s">
        <v>501</v>
      </c>
      <c r="F6" s="253" t="s">
        <v>492</v>
      </c>
      <c r="G6" s="253" t="s">
        <v>45</v>
      </c>
      <c r="H6" s="254" t="s">
        <v>490</v>
      </c>
      <c r="I6" s="253" t="s">
        <v>513</v>
      </c>
      <c r="J6" s="73"/>
      <c r="K6" s="73"/>
      <c r="L6" s="71"/>
      <c r="M6" s="23"/>
      <c r="N6" s="23"/>
      <c r="O6" s="23"/>
    </row>
    <row r="7" spans="1:15" x14ac:dyDescent="0.35">
      <c r="A7" s="33"/>
      <c r="B7" s="441" t="s">
        <v>503</v>
      </c>
      <c r="C7" s="255">
        <v>80000</v>
      </c>
      <c r="D7" s="428">
        <v>5</v>
      </c>
      <c r="E7" s="428">
        <v>10</v>
      </c>
      <c r="F7" s="257">
        <f>ROUND(IF(D7=0,0,((C7-(E7*0.01*C7))/D7)),0)</f>
        <v>14400</v>
      </c>
      <c r="G7" s="257">
        <f>ROUND(((C7+(E7*0.01*C7)))/2,0)</f>
        <v>44000</v>
      </c>
      <c r="H7" s="256">
        <v>5</v>
      </c>
      <c r="I7" s="257">
        <f>ROUND(C7*H7*0.01,0)</f>
        <v>4000</v>
      </c>
      <c r="J7" s="74"/>
      <c r="K7" s="71"/>
      <c r="L7" s="71"/>
      <c r="M7" s="24"/>
      <c r="N7" s="23"/>
      <c r="O7" s="23"/>
    </row>
    <row r="8" spans="1:15" x14ac:dyDescent="0.35">
      <c r="A8" s="33"/>
      <c r="B8" s="441" t="s">
        <v>504</v>
      </c>
      <c r="C8" s="255">
        <v>10000</v>
      </c>
      <c r="D8" s="428">
        <v>10</v>
      </c>
      <c r="E8" s="428">
        <v>0</v>
      </c>
      <c r="F8" s="257">
        <f t="shared" ref="F8:F17" si="0">ROUND(IF(D8=0,0,((C8-(E8*0.01*C8))/D8)),0)</f>
        <v>1000</v>
      </c>
      <c r="G8" s="257">
        <f t="shared" ref="G8:G17" si="1">ROUND(((C8+(E8*0.01*C8)))/2,0)</f>
        <v>5000</v>
      </c>
      <c r="H8" s="256">
        <v>2</v>
      </c>
      <c r="I8" s="257">
        <f t="shared" ref="I8:I17" si="2">ROUND(C8*H8*0.01,0)</f>
        <v>200</v>
      </c>
      <c r="J8" s="74"/>
      <c r="K8" s="71"/>
      <c r="L8" s="71"/>
      <c r="M8" s="24"/>
      <c r="N8" s="23"/>
      <c r="O8" s="23"/>
    </row>
    <row r="9" spans="1:15" x14ac:dyDescent="0.35">
      <c r="A9" s="33"/>
      <c r="B9" s="441" t="s">
        <v>505</v>
      </c>
      <c r="C9" s="255">
        <v>40000</v>
      </c>
      <c r="D9" s="428">
        <v>10</v>
      </c>
      <c r="E9" s="428">
        <v>10</v>
      </c>
      <c r="F9" s="257">
        <f t="shared" si="0"/>
        <v>3600</v>
      </c>
      <c r="G9" s="257">
        <f t="shared" si="1"/>
        <v>22000</v>
      </c>
      <c r="H9" s="256">
        <v>5</v>
      </c>
      <c r="I9" s="257">
        <f t="shared" si="2"/>
        <v>2000</v>
      </c>
      <c r="J9" s="74"/>
      <c r="K9" s="71"/>
      <c r="L9" s="71"/>
      <c r="M9" s="24"/>
      <c r="N9" s="23"/>
      <c r="O9" s="23"/>
    </row>
    <row r="10" spans="1:15" x14ac:dyDescent="0.35">
      <c r="A10" s="33"/>
      <c r="B10" s="442" t="s">
        <v>502</v>
      </c>
      <c r="C10" s="255">
        <v>8000</v>
      </c>
      <c r="D10" s="428">
        <v>10</v>
      </c>
      <c r="E10" s="428">
        <v>0</v>
      </c>
      <c r="F10" s="257">
        <f t="shared" si="0"/>
        <v>800</v>
      </c>
      <c r="G10" s="257">
        <f t="shared" si="1"/>
        <v>4000</v>
      </c>
      <c r="H10" s="256">
        <v>5</v>
      </c>
      <c r="I10" s="257">
        <f t="shared" si="2"/>
        <v>400</v>
      </c>
      <c r="J10" s="74"/>
      <c r="K10" s="71"/>
      <c r="L10" s="71"/>
      <c r="M10" s="24"/>
      <c r="N10" s="23"/>
      <c r="O10" s="23"/>
    </row>
    <row r="11" spans="1:15" x14ac:dyDescent="0.35">
      <c r="A11" s="33"/>
      <c r="B11" s="442" t="s">
        <v>485</v>
      </c>
      <c r="C11" s="255">
        <v>20000</v>
      </c>
      <c r="D11" s="428">
        <v>10</v>
      </c>
      <c r="E11" s="428">
        <v>0</v>
      </c>
      <c r="F11" s="257">
        <f t="shared" si="0"/>
        <v>2000</v>
      </c>
      <c r="G11" s="257">
        <f t="shared" si="1"/>
        <v>10000</v>
      </c>
      <c r="H11" s="256">
        <v>5</v>
      </c>
      <c r="I11" s="257">
        <f t="shared" si="2"/>
        <v>1000</v>
      </c>
      <c r="J11" s="74"/>
      <c r="K11" s="71"/>
      <c r="L11" s="71"/>
      <c r="M11" s="24"/>
      <c r="N11" s="23"/>
      <c r="O11" s="23"/>
    </row>
    <row r="12" spans="1:15" x14ac:dyDescent="0.35">
      <c r="A12" s="33"/>
      <c r="B12" s="442" t="s">
        <v>489</v>
      </c>
      <c r="C12" s="255">
        <v>0</v>
      </c>
      <c r="D12" s="428">
        <v>0</v>
      </c>
      <c r="E12" s="428">
        <v>0</v>
      </c>
      <c r="F12" s="257">
        <f t="shared" si="0"/>
        <v>0</v>
      </c>
      <c r="G12" s="257">
        <f t="shared" si="1"/>
        <v>0</v>
      </c>
      <c r="H12" s="256">
        <v>0</v>
      </c>
      <c r="I12" s="257">
        <f t="shared" si="2"/>
        <v>0</v>
      </c>
      <c r="J12" s="74"/>
      <c r="K12" s="71"/>
      <c r="L12" s="71"/>
      <c r="M12" s="24"/>
      <c r="N12" s="23"/>
      <c r="O12" s="23"/>
    </row>
    <row r="13" spans="1:15" x14ac:dyDescent="0.35">
      <c r="A13" s="33"/>
      <c r="B13" s="442" t="s">
        <v>489</v>
      </c>
      <c r="C13" s="255">
        <v>0</v>
      </c>
      <c r="D13" s="428">
        <v>0</v>
      </c>
      <c r="E13" s="428">
        <v>0</v>
      </c>
      <c r="F13" s="257">
        <f t="shared" si="0"/>
        <v>0</v>
      </c>
      <c r="G13" s="257">
        <f t="shared" si="1"/>
        <v>0</v>
      </c>
      <c r="H13" s="256">
        <v>0</v>
      </c>
      <c r="I13" s="257">
        <f t="shared" si="2"/>
        <v>0</v>
      </c>
      <c r="J13" s="74"/>
      <c r="K13" s="71"/>
      <c r="L13" s="71"/>
      <c r="M13" s="24"/>
      <c r="N13" s="23"/>
      <c r="O13" s="23"/>
    </row>
    <row r="14" spans="1:15" x14ac:dyDescent="0.35">
      <c r="A14" s="33"/>
      <c r="B14" s="442" t="s">
        <v>489</v>
      </c>
      <c r="C14" s="255">
        <v>0</v>
      </c>
      <c r="D14" s="428">
        <v>0</v>
      </c>
      <c r="E14" s="428">
        <v>0</v>
      </c>
      <c r="F14" s="257">
        <f t="shared" si="0"/>
        <v>0</v>
      </c>
      <c r="G14" s="257">
        <f t="shared" si="1"/>
        <v>0</v>
      </c>
      <c r="H14" s="256">
        <v>0</v>
      </c>
      <c r="I14" s="257">
        <f t="shared" si="2"/>
        <v>0</v>
      </c>
      <c r="J14" s="74"/>
      <c r="K14" s="71"/>
      <c r="L14" s="71"/>
      <c r="M14" s="24"/>
      <c r="N14" s="23"/>
      <c r="O14" s="23"/>
    </row>
    <row r="15" spans="1:15" x14ac:dyDescent="0.35">
      <c r="A15" s="33"/>
      <c r="B15" s="442" t="s">
        <v>489</v>
      </c>
      <c r="C15" s="255">
        <v>0</v>
      </c>
      <c r="D15" s="428">
        <v>0</v>
      </c>
      <c r="E15" s="428">
        <v>0</v>
      </c>
      <c r="F15" s="257">
        <f t="shared" si="0"/>
        <v>0</v>
      </c>
      <c r="G15" s="257">
        <f t="shared" si="1"/>
        <v>0</v>
      </c>
      <c r="H15" s="256">
        <v>0</v>
      </c>
      <c r="I15" s="257">
        <f t="shared" si="2"/>
        <v>0</v>
      </c>
      <c r="J15" s="74"/>
      <c r="K15" s="71"/>
      <c r="L15" s="71"/>
      <c r="M15" s="24"/>
      <c r="N15" s="23"/>
      <c r="O15" s="23"/>
    </row>
    <row r="16" spans="1:15" x14ac:dyDescent="0.35">
      <c r="A16" s="33"/>
      <c r="B16" s="442" t="s">
        <v>489</v>
      </c>
      <c r="C16" s="255">
        <v>0</v>
      </c>
      <c r="D16" s="428">
        <v>0</v>
      </c>
      <c r="E16" s="428">
        <v>0</v>
      </c>
      <c r="F16" s="257">
        <f t="shared" si="0"/>
        <v>0</v>
      </c>
      <c r="G16" s="257">
        <f t="shared" si="1"/>
        <v>0</v>
      </c>
      <c r="H16" s="256">
        <v>0</v>
      </c>
      <c r="I16" s="257">
        <f t="shared" si="2"/>
        <v>0</v>
      </c>
      <c r="J16" s="74"/>
      <c r="K16" s="71"/>
      <c r="L16" s="71"/>
      <c r="M16" s="24"/>
      <c r="N16" s="23"/>
      <c r="O16" s="23"/>
    </row>
    <row r="17" spans="1:15" x14ac:dyDescent="0.35">
      <c r="A17" s="33"/>
      <c r="B17" s="442" t="s">
        <v>489</v>
      </c>
      <c r="C17" s="255">
        <v>0</v>
      </c>
      <c r="D17" s="428">
        <v>0</v>
      </c>
      <c r="E17" s="428">
        <v>0</v>
      </c>
      <c r="F17" s="257">
        <f t="shared" si="0"/>
        <v>0</v>
      </c>
      <c r="G17" s="257">
        <f t="shared" si="1"/>
        <v>0</v>
      </c>
      <c r="H17" s="256">
        <v>0</v>
      </c>
      <c r="I17" s="257">
        <f t="shared" si="2"/>
        <v>0</v>
      </c>
      <c r="J17" s="74"/>
      <c r="K17" s="71"/>
      <c r="L17" s="71"/>
      <c r="M17" s="24"/>
      <c r="N17" s="23"/>
      <c r="O17" s="23"/>
    </row>
    <row r="18" spans="1:15" x14ac:dyDescent="0.35">
      <c r="A18" s="33"/>
      <c r="B18" s="39" t="s">
        <v>484</v>
      </c>
      <c r="C18" s="258">
        <f>SUM(C7:C17)</f>
        <v>158000</v>
      </c>
      <c r="D18" s="259"/>
      <c r="E18" s="259"/>
      <c r="F18" s="258">
        <f>SUM(F7:F17)</f>
        <v>21800</v>
      </c>
      <c r="G18" s="258">
        <f>SUM(G7:G17)</f>
        <v>85000</v>
      </c>
      <c r="H18" s="259"/>
      <c r="I18" s="258">
        <f>SUM(I7:I17)</f>
        <v>7600</v>
      </c>
      <c r="J18" s="71"/>
      <c r="K18" s="71"/>
      <c r="L18" s="71"/>
      <c r="M18" s="24"/>
      <c r="N18" s="23"/>
      <c r="O18" s="23"/>
    </row>
    <row r="19" spans="1:15" ht="15.45" x14ac:dyDescent="0.4">
      <c r="A19" s="33"/>
      <c r="B19" s="39"/>
      <c r="C19" s="259"/>
      <c r="D19" s="39"/>
      <c r="E19" s="35"/>
      <c r="F19" s="37"/>
      <c r="G19" s="37"/>
      <c r="H19" s="46"/>
      <c r="I19" s="37"/>
      <c r="J19" s="71"/>
      <c r="K19" s="71"/>
      <c r="L19" s="71"/>
      <c r="M19" s="24"/>
      <c r="N19" s="23"/>
      <c r="O19" s="23"/>
    </row>
    <row r="20" spans="1:15" ht="15.45" x14ac:dyDescent="0.4">
      <c r="A20" s="33"/>
      <c r="B20" s="35"/>
      <c r="C20" s="33"/>
      <c r="D20" s="35"/>
      <c r="E20" s="35"/>
      <c r="F20" s="59"/>
      <c r="G20" s="33"/>
      <c r="H20" s="33"/>
      <c r="I20" s="59"/>
      <c r="J20" s="71"/>
      <c r="K20" s="71"/>
      <c r="L20" s="71"/>
      <c r="M20" s="24"/>
      <c r="N20" s="23"/>
      <c r="O20" s="23"/>
    </row>
    <row r="21" spans="1:15" ht="15.45" x14ac:dyDescent="0.4">
      <c r="A21" s="33"/>
      <c r="B21" s="39" t="s">
        <v>514</v>
      </c>
      <c r="C21" s="33"/>
      <c r="D21" s="36"/>
      <c r="E21" s="35"/>
      <c r="F21" s="37"/>
      <c r="G21" s="33"/>
      <c r="H21" s="33"/>
      <c r="I21" s="37"/>
      <c r="J21" s="23"/>
      <c r="K21" s="23"/>
      <c r="L21" s="23"/>
      <c r="M21" s="24"/>
      <c r="N21" s="23"/>
      <c r="O21" s="23"/>
    </row>
    <row r="22" spans="1:15" ht="15.45" x14ac:dyDescent="0.4">
      <c r="A22" s="33"/>
      <c r="B22" s="39"/>
      <c r="C22" s="33"/>
      <c r="D22" s="36"/>
      <c r="E22" s="33"/>
      <c r="F22" s="33"/>
      <c r="G22" s="37"/>
      <c r="H22" s="33"/>
      <c r="I22" s="33"/>
      <c r="J22" s="23"/>
      <c r="K22" s="23"/>
      <c r="L22" s="23"/>
      <c r="M22" s="24"/>
      <c r="N22" s="23"/>
      <c r="O22" s="23"/>
    </row>
    <row r="23" spans="1:15" ht="15.45" x14ac:dyDescent="0.4">
      <c r="A23" s="33"/>
      <c r="B23" s="35" t="s">
        <v>511</v>
      </c>
      <c r="C23" s="59"/>
      <c r="D23" s="59"/>
      <c r="E23" s="59"/>
      <c r="F23" s="59"/>
      <c r="G23" s="59"/>
      <c r="H23" s="59"/>
      <c r="I23" s="59"/>
      <c r="J23" s="23"/>
      <c r="K23" s="23"/>
      <c r="L23" s="23"/>
      <c r="M23" s="23"/>
      <c r="N23" s="23"/>
      <c r="O23" s="23"/>
    </row>
    <row r="24" spans="1:15" ht="15.45" x14ac:dyDescent="0.4">
      <c r="A24" s="33"/>
      <c r="B24" s="35"/>
      <c r="C24" s="33"/>
      <c r="D24" s="33"/>
      <c r="E24" s="59"/>
      <c r="F24" s="37"/>
      <c r="G24" s="253" t="s">
        <v>45</v>
      </c>
      <c r="H24" s="33"/>
      <c r="I24" s="253" t="s">
        <v>513</v>
      </c>
      <c r="J24" s="23"/>
      <c r="K24" s="23"/>
      <c r="L24" s="23"/>
      <c r="M24" s="23"/>
      <c r="N24" s="23"/>
      <c r="O24" s="23"/>
    </row>
    <row r="25" spans="1:15" x14ac:dyDescent="0.35">
      <c r="A25" s="33"/>
      <c r="B25" s="259"/>
      <c r="C25" s="253" t="s">
        <v>487</v>
      </c>
      <c r="D25" s="253" t="s">
        <v>509</v>
      </c>
      <c r="E25" s="253" t="s">
        <v>492</v>
      </c>
      <c r="F25" s="253" t="s">
        <v>299</v>
      </c>
      <c r="G25" s="253" t="s">
        <v>510</v>
      </c>
      <c r="H25" s="254" t="s">
        <v>491</v>
      </c>
      <c r="I25" s="253" t="s">
        <v>510</v>
      </c>
      <c r="J25" s="23"/>
      <c r="K25" s="23"/>
      <c r="L25" s="23"/>
      <c r="M25" s="23"/>
      <c r="N25" s="23"/>
      <c r="O25" s="23"/>
    </row>
    <row r="26" spans="1:15" x14ac:dyDescent="0.35">
      <c r="A26" s="33"/>
      <c r="B26" s="259"/>
      <c r="C26" s="253" t="s">
        <v>492</v>
      </c>
      <c r="D26" s="261" t="s">
        <v>508</v>
      </c>
      <c r="E26" s="253" t="s">
        <v>487</v>
      </c>
      <c r="F26" s="253" t="s">
        <v>45</v>
      </c>
      <c r="G26" s="261" t="s">
        <v>508</v>
      </c>
      <c r="H26" s="253" t="s">
        <v>513</v>
      </c>
      <c r="I26" s="261" t="s">
        <v>508</v>
      </c>
      <c r="J26" s="23"/>
      <c r="K26" s="23"/>
      <c r="L26" s="23"/>
      <c r="M26" s="23"/>
      <c r="N26" s="23"/>
      <c r="O26" s="23"/>
    </row>
    <row r="27" spans="1:15" x14ac:dyDescent="0.35">
      <c r="A27" s="23"/>
      <c r="B27" s="259" t="str">
        <f t="shared" ref="B27:B37" si="3">B7</f>
        <v>Pickups (2)</v>
      </c>
      <c r="C27" s="257">
        <f>F7</f>
        <v>14400</v>
      </c>
      <c r="D27" s="428">
        <v>100</v>
      </c>
      <c r="E27" s="257">
        <f>ROUND(C27*D27*0.01,0)</f>
        <v>14400</v>
      </c>
      <c r="F27" s="257">
        <f>G7</f>
        <v>44000</v>
      </c>
      <c r="G27" s="257">
        <f>ROUND(F27*D27*0.01,0)</f>
        <v>44000</v>
      </c>
      <c r="H27" s="257">
        <f>I7</f>
        <v>4000</v>
      </c>
      <c r="I27" s="257">
        <f>ROUND(H27*D27*0.01,0)</f>
        <v>4000</v>
      </c>
      <c r="J27" s="23"/>
      <c r="K27" s="23"/>
      <c r="L27" s="23"/>
      <c r="M27" s="23"/>
      <c r="N27" s="23"/>
      <c r="O27" s="23"/>
    </row>
    <row r="28" spans="1:15" x14ac:dyDescent="0.35">
      <c r="B28" s="259" t="str">
        <f t="shared" si="3"/>
        <v>Trailers (2)</v>
      </c>
      <c r="C28" s="257">
        <f t="shared" ref="C28:C37" si="4">F8</f>
        <v>1000</v>
      </c>
      <c r="D28" s="428">
        <v>100</v>
      </c>
      <c r="E28" s="257">
        <f t="shared" ref="E28:E37" si="5">ROUND(C28*D28*0.01,0)</f>
        <v>1000</v>
      </c>
      <c r="F28" s="257">
        <f t="shared" ref="F28:F37" si="6">G8</f>
        <v>5000</v>
      </c>
      <c r="G28" s="257">
        <f t="shared" ref="G28:G37" si="7">ROUND(F28*D28*0.01,0)</f>
        <v>5000</v>
      </c>
      <c r="H28" s="257">
        <f t="shared" ref="H28:H37" si="8">I8</f>
        <v>200</v>
      </c>
      <c r="I28" s="257">
        <f t="shared" ref="I28:I37" si="9">H28*D28*0.01</f>
        <v>200</v>
      </c>
    </row>
    <row r="29" spans="1:15" x14ac:dyDescent="0.35">
      <c r="B29" s="259" t="str">
        <f t="shared" si="3"/>
        <v>Tractor</v>
      </c>
      <c r="C29" s="257">
        <f t="shared" si="4"/>
        <v>3600</v>
      </c>
      <c r="D29" s="428">
        <v>100</v>
      </c>
      <c r="E29" s="257">
        <f t="shared" si="5"/>
        <v>3600</v>
      </c>
      <c r="F29" s="257">
        <f t="shared" si="6"/>
        <v>22000</v>
      </c>
      <c r="G29" s="257">
        <f t="shared" si="7"/>
        <v>22000</v>
      </c>
      <c r="H29" s="257">
        <f t="shared" si="8"/>
        <v>2000</v>
      </c>
      <c r="I29" s="257">
        <f t="shared" si="9"/>
        <v>2000</v>
      </c>
    </row>
    <row r="30" spans="1:15" x14ac:dyDescent="0.35">
      <c r="B30" s="259" t="str">
        <f t="shared" si="3"/>
        <v>Feeders</v>
      </c>
      <c r="C30" s="257">
        <f t="shared" si="4"/>
        <v>800</v>
      </c>
      <c r="D30" s="428">
        <v>100</v>
      </c>
      <c r="E30" s="257">
        <f t="shared" si="5"/>
        <v>800</v>
      </c>
      <c r="F30" s="257">
        <f t="shared" si="6"/>
        <v>4000</v>
      </c>
      <c r="G30" s="257">
        <f t="shared" si="7"/>
        <v>4000</v>
      </c>
      <c r="H30" s="257">
        <f t="shared" si="8"/>
        <v>400</v>
      </c>
      <c r="I30" s="257">
        <f t="shared" si="9"/>
        <v>400</v>
      </c>
    </row>
    <row r="31" spans="1:15" x14ac:dyDescent="0.35">
      <c r="B31" s="259" t="str">
        <f t="shared" si="3"/>
        <v>Cattle equipment</v>
      </c>
      <c r="C31" s="257">
        <f t="shared" si="4"/>
        <v>2000</v>
      </c>
      <c r="D31" s="428">
        <v>100</v>
      </c>
      <c r="E31" s="257">
        <f t="shared" si="5"/>
        <v>2000</v>
      </c>
      <c r="F31" s="257">
        <f t="shared" si="6"/>
        <v>10000</v>
      </c>
      <c r="G31" s="257">
        <f t="shared" si="7"/>
        <v>10000</v>
      </c>
      <c r="H31" s="257">
        <f t="shared" si="8"/>
        <v>1000</v>
      </c>
      <c r="I31" s="257">
        <f t="shared" si="9"/>
        <v>1000</v>
      </c>
    </row>
    <row r="32" spans="1:15" x14ac:dyDescent="0.35">
      <c r="B32" s="259" t="str">
        <f t="shared" si="3"/>
        <v>Other</v>
      </c>
      <c r="C32" s="257">
        <f t="shared" si="4"/>
        <v>0</v>
      </c>
      <c r="D32" s="428">
        <v>0</v>
      </c>
      <c r="E32" s="257">
        <f t="shared" si="5"/>
        <v>0</v>
      </c>
      <c r="F32" s="257">
        <f t="shared" si="6"/>
        <v>0</v>
      </c>
      <c r="G32" s="257">
        <f t="shared" si="7"/>
        <v>0</v>
      </c>
      <c r="H32" s="257">
        <f t="shared" si="8"/>
        <v>0</v>
      </c>
      <c r="I32" s="257">
        <f t="shared" si="9"/>
        <v>0</v>
      </c>
    </row>
    <row r="33" spans="2:9" x14ac:dyDescent="0.35">
      <c r="B33" s="259" t="str">
        <f t="shared" si="3"/>
        <v>Other</v>
      </c>
      <c r="C33" s="257">
        <f t="shared" si="4"/>
        <v>0</v>
      </c>
      <c r="D33" s="428">
        <v>0</v>
      </c>
      <c r="E33" s="257">
        <f t="shared" si="5"/>
        <v>0</v>
      </c>
      <c r="F33" s="257">
        <f t="shared" si="6"/>
        <v>0</v>
      </c>
      <c r="G33" s="257">
        <f t="shared" si="7"/>
        <v>0</v>
      </c>
      <c r="H33" s="257">
        <f t="shared" si="8"/>
        <v>0</v>
      </c>
      <c r="I33" s="257">
        <f t="shared" si="9"/>
        <v>0</v>
      </c>
    </row>
    <row r="34" spans="2:9" x14ac:dyDescent="0.35">
      <c r="B34" s="259" t="str">
        <f t="shared" si="3"/>
        <v>Other</v>
      </c>
      <c r="C34" s="257">
        <f t="shared" si="4"/>
        <v>0</v>
      </c>
      <c r="D34" s="428">
        <v>0</v>
      </c>
      <c r="E34" s="257">
        <f t="shared" si="5"/>
        <v>0</v>
      </c>
      <c r="F34" s="257">
        <f t="shared" si="6"/>
        <v>0</v>
      </c>
      <c r="G34" s="257">
        <f t="shared" si="7"/>
        <v>0</v>
      </c>
      <c r="H34" s="257">
        <f t="shared" si="8"/>
        <v>0</v>
      </c>
      <c r="I34" s="257">
        <f t="shared" si="9"/>
        <v>0</v>
      </c>
    </row>
    <row r="35" spans="2:9" x14ac:dyDescent="0.35">
      <c r="B35" s="259" t="str">
        <f t="shared" si="3"/>
        <v>Other</v>
      </c>
      <c r="C35" s="257">
        <f t="shared" si="4"/>
        <v>0</v>
      </c>
      <c r="D35" s="428">
        <v>0</v>
      </c>
      <c r="E35" s="257">
        <f t="shared" si="5"/>
        <v>0</v>
      </c>
      <c r="F35" s="257">
        <f t="shared" si="6"/>
        <v>0</v>
      </c>
      <c r="G35" s="257">
        <f t="shared" si="7"/>
        <v>0</v>
      </c>
      <c r="H35" s="257">
        <f t="shared" si="8"/>
        <v>0</v>
      </c>
      <c r="I35" s="257">
        <f t="shared" si="9"/>
        <v>0</v>
      </c>
    </row>
    <row r="36" spans="2:9" x14ac:dyDescent="0.35">
      <c r="B36" s="259" t="str">
        <f t="shared" si="3"/>
        <v>Other</v>
      </c>
      <c r="C36" s="257">
        <f t="shared" si="4"/>
        <v>0</v>
      </c>
      <c r="D36" s="428">
        <v>0</v>
      </c>
      <c r="E36" s="257">
        <f t="shared" si="5"/>
        <v>0</v>
      </c>
      <c r="F36" s="257">
        <f t="shared" si="6"/>
        <v>0</v>
      </c>
      <c r="G36" s="257">
        <f t="shared" si="7"/>
        <v>0</v>
      </c>
      <c r="H36" s="257">
        <f t="shared" si="8"/>
        <v>0</v>
      </c>
      <c r="I36" s="257">
        <f t="shared" si="9"/>
        <v>0</v>
      </c>
    </row>
    <row r="37" spans="2:9" x14ac:dyDescent="0.35">
      <c r="B37" s="259" t="str">
        <f t="shared" si="3"/>
        <v>Other</v>
      </c>
      <c r="C37" s="257">
        <f t="shared" si="4"/>
        <v>0</v>
      </c>
      <c r="D37" s="428">
        <v>0</v>
      </c>
      <c r="E37" s="257">
        <f t="shared" si="5"/>
        <v>0</v>
      </c>
      <c r="F37" s="257">
        <f t="shared" si="6"/>
        <v>0</v>
      </c>
      <c r="G37" s="257">
        <f t="shared" si="7"/>
        <v>0</v>
      </c>
      <c r="H37" s="257">
        <f t="shared" si="8"/>
        <v>0</v>
      </c>
      <c r="I37" s="257">
        <f t="shared" si="9"/>
        <v>0</v>
      </c>
    </row>
    <row r="38" spans="2:9" ht="15.45" x14ac:dyDescent="0.4">
      <c r="B38" s="39" t="s">
        <v>493</v>
      </c>
      <c r="C38" s="259"/>
      <c r="D38" s="259"/>
      <c r="E38" s="37">
        <f>SUM(E27:E37)</f>
        <v>21800</v>
      </c>
      <c r="F38" s="260"/>
      <c r="G38" s="258">
        <f>SUM(G27:G37)</f>
        <v>85000</v>
      </c>
      <c r="H38" s="259"/>
      <c r="I38" s="258">
        <f>SUM(I27:I37)</f>
        <v>7600</v>
      </c>
    </row>
    <row r="39" spans="2:9" ht="15.45" x14ac:dyDescent="0.4">
      <c r="B39" s="59"/>
      <c r="C39" s="59"/>
      <c r="D39" s="35" t="s">
        <v>90</v>
      </c>
      <c r="E39" s="37">
        <f>E38/'1. Cow Calf Budget'!$F$9</f>
        <v>54.5</v>
      </c>
      <c r="F39" s="59"/>
      <c r="G39" s="37">
        <f>G38/'1. Cow Calf Budget'!$F$9</f>
        <v>212.5</v>
      </c>
      <c r="H39" s="46"/>
      <c r="I39" s="37">
        <f>I38/'1. Cow Calf Budget'!$F$9</f>
        <v>19</v>
      </c>
    </row>
    <row r="40" spans="2:9" x14ac:dyDescent="0.35">
      <c r="B40" s="59"/>
      <c r="C40" s="59"/>
      <c r="D40" s="59"/>
      <c r="E40" s="59"/>
      <c r="F40" s="59"/>
      <c r="G40" s="59"/>
      <c r="H40" s="59"/>
      <c r="I40" s="59"/>
    </row>
  </sheetData>
  <sheetProtection sheet="1" objects="1" scenarios="1"/>
  <mergeCells count="1">
    <mergeCell ref="B1:I1"/>
  </mergeCells>
  <phoneticPr fontId="20" type="noConversion"/>
  <pageMargins left="0.95" right="0.45" top="0.75" bottom="0.75" header="0.3" footer="0.3"/>
  <pageSetup scale="84" orientation="portrait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A1:S196"/>
  <sheetViews>
    <sheetView workbookViewId="0">
      <selection activeCell="E3" sqref="E3"/>
    </sheetView>
  </sheetViews>
  <sheetFormatPr defaultRowHeight="15" x14ac:dyDescent="0.35"/>
  <cols>
    <col min="1" max="1" width="3.875" customWidth="1"/>
    <col min="2" max="2" width="38" customWidth="1"/>
    <col min="3" max="3" width="13.25" customWidth="1"/>
    <col min="4" max="4" width="13.5625" customWidth="1"/>
    <col min="5" max="5" width="11.3125" customWidth="1"/>
    <col min="8" max="8" width="10.3125" customWidth="1"/>
    <col min="11" max="11" width="39.25" customWidth="1"/>
    <col min="12" max="12" width="11.25" customWidth="1"/>
  </cols>
  <sheetData>
    <row r="1" spans="1:19" ht="17.600000000000001" x14ac:dyDescent="0.4">
      <c r="A1" s="32"/>
      <c r="B1" s="464" t="s">
        <v>611</v>
      </c>
      <c r="C1" s="464"/>
      <c r="D1" s="464"/>
      <c r="E1" s="3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7.600000000000001" x14ac:dyDescent="0.4">
      <c r="A2" s="32"/>
      <c r="B2" s="468" t="str">
        <f>'1. Cow Calf Budget'!B3</f>
        <v>400 Cow-Calf Case Ranch Budget</v>
      </c>
      <c r="C2" s="468"/>
      <c r="D2" s="468"/>
      <c r="E2" s="3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35">
      <c r="A3" s="33"/>
      <c r="B3" s="33"/>
      <c r="C3" s="33"/>
      <c r="D3" s="33"/>
      <c r="E3" s="3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.45" x14ac:dyDescent="0.4">
      <c r="A4" s="33"/>
      <c r="B4" s="467" t="s">
        <v>388</v>
      </c>
      <c r="C4" s="467"/>
      <c r="D4" s="467"/>
      <c r="E4" s="33"/>
      <c r="F4" s="23"/>
      <c r="G4" s="3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35">
      <c r="A5" s="33"/>
      <c r="B5" s="46" t="s">
        <v>421</v>
      </c>
      <c r="C5" s="38"/>
      <c r="D5" s="33"/>
      <c r="E5" s="3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x14ac:dyDescent="0.35">
      <c r="A6" s="33"/>
      <c r="B6" s="38" t="s">
        <v>184</v>
      </c>
      <c r="C6" s="47" t="s">
        <v>75</v>
      </c>
      <c r="D6" s="48">
        <f>'1. Cow Calf Budget'!C70</f>
        <v>550</v>
      </c>
      <c r="E6" s="3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x14ac:dyDescent="0.35">
      <c r="A7" s="33"/>
      <c r="B7" s="38" t="s">
        <v>1</v>
      </c>
      <c r="C7" s="38"/>
      <c r="D7" s="38"/>
      <c r="E7" s="3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x14ac:dyDescent="0.35">
      <c r="A8" s="33"/>
      <c r="B8" s="38" t="s">
        <v>185</v>
      </c>
      <c r="C8" s="38"/>
      <c r="D8" s="38"/>
      <c r="E8" s="3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x14ac:dyDescent="0.35">
      <c r="A9" s="33"/>
      <c r="B9" s="46" t="s">
        <v>630</v>
      </c>
      <c r="C9" s="47" t="s">
        <v>80</v>
      </c>
      <c r="D9" s="49">
        <v>170</v>
      </c>
      <c r="E9" s="33"/>
      <c r="F9" s="23"/>
      <c r="G9" s="23"/>
      <c r="H9" s="25" t="s">
        <v>389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x14ac:dyDescent="0.35">
      <c r="A10" s="33"/>
      <c r="B10" s="38" t="s">
        <v>187</v>
      </c>
      <c r="C10" s="47" t="s">
        <v>75</v>
      </c>
      <c r="D10" s="50">
        <v>550</v>
      </c>
      <c r="E10" s="3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x14ac:dyDescent="0.35">
      <c r="A11" s="33"/>
      <c r="B11" s="38" t="s">
        <v>188</v>
      </c>
      <c r="C11" s="47" t="s">
        <v>75</v>
      </c>
      <c r="D11" s="50">
        <v>0</v>
      </c>
      <c r="E11" s="3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x14ac:dyDescent="0.35">
      <c r="A12" s="33"/>
      <c r="B12" s="38" t="s">
        <v>189</v>
      </c>
      <c r="C12" s="47" t="s">
        <v>75</v>
      </c>
      <c r="D12" s="50">
        <v>0</v>
      </c>
      <c r="E12" s="3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x14ac:dyDescent="0.35">
      <c r="A13" s="33"/>
      <c r="B13" s="38" t="s">
        <v>190</v>
      </c>
      <c r="C13" s="47" t="s">
        <v>80</v>
      </c>
      <c r="D13" s="49">
        <v>0</v>
      </c>
      <c r="E13" s="33"/>
      <c r="F13" s="23"/>
      <c r="G13" s="23"/>
      <c r="H13" s="26" t="s">
        <v>151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5.45" x14ac:dyDescent="0.4">
      <c r="A14" s="33"/>
      <c r="B14" s="35" t="s">
        <v>191</v>
      </c>
      <c r="C14" s="41" t="s">
        <v>80</v>
      </c>
      <c r="D14" s="51">
        <f>H16</f>
        <v>0</v>
      </c>
      <c r="E14" s="33"/>
      <c r="F14" s="23"/>
      <c r="G14" s="23"/>
      <c r="H14" s="26">
        <f>IF((D6&gt;(D10+D11)),(-D13*0.01*(D6-D10)),0)</f>
        <v>0</v>
      </c>
      <c r="I14" s="23" t="s">
        <v>152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x14ac:dyDescent="0.35">
      <c r="A15" s="33"/>
      <c r="B15" s="38"/>
      <c r="C15" s="38"/>
      <c r="D15" s="52"/>
      <c r="E15" s="33"/>
      <c r="F15" s="23"/>
      <c r="G15" s="23"/>
      <c r="H15" s="27">
        <f>IF((D6&lt;D10-D12),(D13*0.01*(D10-D6)),0)</f>
        <v>0</v>
      </c>
      <c r="I15" s="28" t="s">
        <v>390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x14ac:dyDescent="0.35">
      <c r="A16" s="33"/>
      <c r="B16" s="38" t="s">
        <v>192</v>
      </c>
      <c r="C16" s="47" t="s">
        <v>80</v>
      </c>
      <c r="D16" s="49">
        <v>0</v>
      </c>
      <c r="E16" s="33"/>
      <c r="F16" s="23"/>
      <c r="G16" s="23"/>
      <c r="H16" s="26">
        <f>(H14+H15)</f>
        <v>0</v>
      </c>
      <c r="I16" s="23" t="s">
        <v>154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x14ac:dyDescent="0.35">
      <c r="A17" s="33"/>
      <c r="B17" s="38" t="s">
        <v>391</v>
      </c>
      <c r="C17" s="38"/>
      <c r="D17" s="52"/>
      <c r="E17" s="3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x14ac:dyDescent="0.35">
      <c r="A18" s="33"/>
      <c r="B18" s="38" t="s">
        <v>194</v>
      </c>
      <c r="C18" s="47" t="s">
        <v>80</v>
      </c>
      <c r="D18" s="49">
        <v>0</v>
      </c>
      <c r="E18" s="33"/>
      <c r="F18" s="26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x14ac:dyDescent="0.35">
      <c r="A19" s="33"/>
      <c r="B19" s="38" t="s">
        <v>195</v>
      </c>
      <c r="C19" s="47" t="s">
        <v>80</v>
      </c>
      <c r="D19" s="49">
        <v>0</v>
      </c>
      <c r="E19" s="33"/>
      <c r="F19" s="26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x14ac:dyDescent="0.35">
      <c r="A20" s="33"/>
      <c r="B20" s="38" t="s">
        <v>196</v>
      </c>
      <c r="C20" s="47" t="s">
        <v>80</v>
      </c>
      <c r="D20" s="49">
        <v>0</v>
      </c>
      <c r="E20" s="33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x14ac:dyDescent="0.35">
      <c r="A21" s="33"/>
      <c r="B21" s="38" t="s">
        <v>197</v>
      </c>
      <c r="C21" s="47" t="s">
        <v>80</v>
      </c>
      <c r="D21" s="49">
        <v>0</v>
      </c>
      <c r="E21" s="33"/>
      <c r="F21" s="26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x14ac:dyDescent="0.35">
      <c r="A22" s="33"/>
      <c r="B22" s="53" t="s">
        <v>392</v>
      </c>
      <c r="C22" s="47" t="s">
        <v>80</v>
      </c>
      <c r="D22" s="49">
        <v>0</v>
      </c>
      <c r="E22" s="3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x14ac:dyDescent="0.35">
      <c r="A23" s="33"/>
      <c r="B23" s="38" t="s">
        <v>393</v>
      </c>
      <c r="C23" s="47" t="s">
        <v>80</v>
      </c>
      <c r="D23" s="54">
        <f>SUM(D18:D22)</f>
        <v>0</v>
      </c>
      <c r="E23" s="3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x14ac:dyDescent="0.35">
      <c r="A24" s="33"/>
      <c r="B24" s="38"/>
      <c r="C24" s="38"/>
      <c r="D24" s="52"/>
      <c r="E24" s="3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x14ac:dyDescent="0.35">
      <c r="A25" s="33"/>
      <c r="B25" s="38" t="s">
        <v>394</v>
      </c>
      <c r="C25" s="47" t="s">
        <v>80</v>
      </c>
      <c r="D25" s="55">
        <f>(D9+D16+D14+D23)</f>
        <v>170</v>
      </c>
      <c r="E25" s="3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x14ac:dyDescent="0.35">
      <c r="A26" s="33"/>
      <c r="B26" s="38" t="s">
        <v>395</v>
      </c>
      <c r="C26" s="38"/>
      <c r="D26" s="56">
        <f>D6*D25*0.01</f>
        <v>935</v>
      </c>
      <c r="E26" s="3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5.45" x14ac:dyDescent="0.4">
      <c r="A27" s="33"/>
      <c r="B27" s="35" t="s">
        <v>396</v>
      </c>
      <c r="C27" s="39" t="s">
        <v>105</v>
      </c>
      <c r="D27" s="57">
        <v>2.5</v>
      </c>
      <c r="E27" s="3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x14ac:dyDescent="0.35">
      <c r="A28" s="33"/>
      <c r="B28" s="33"/>
      <c r="C28" s="33"/>
      <c r="D28" s="33"/>
      <c r="E28" s="3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5.45" x14ac:dyDescent="0.4">
      <c r="A29" s="33"/>
      <c r="B29" s="97" t="s">
        <v>397</v>
      </c>
      <c r="C29" s="107" t="s">
        <v>80</v>
      </c>
      <c r="D29" s="103">
        <f>(D25*(1-$D$27*0.01))</f>
        <v>165.75</v>
      </c>
      <c r="E29" s="3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5.45" x14ac:dyDescent="0.4">
      <c r="A30" s="33"/>
      <c r="B30" s="35" t="s">
        <v>398</v>
      </c>
      <c r="C30" s="41" t="s">
        <v>303</v>
      </c>
      <c r="D30" s="58">
        <f>(D26*(1-$D$27*0.01))</f>
        <v>911.625</v>
      </c>
      <c r="E30" s="3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x14ac:dyDescent="0.35">
      <c r="A31" s="33"/>
      <c r="B31" s="38" t="s">
        <v>399</v>
      </c>
      <c r="C31" s="33"/>
      <c r="D31" s="33"/>
      <c r="E31" s="33"/>
      <c r="F31" s="23"/>
      <c r="G31" s="23"/>
      <c r="H31" s="23"/>
      <c r="I31" s="23"/>
      <c r="J31" s="32"/>
      <c r="K31" s="32"/>
      <c r="L31" s="32"/>
      <c r="M31" s="32"/>
      <c r="N31" s="32"/>
      <c r="O31" s="32"/>
      <c r="P31" s="32"/>
      <c r="Q31" s="32"/>
      <c r="R31" s="32"/>
      <c r="S31" s="23"/>
    </row>
    <row r="32" spans="1:19" ht="15.45" x14ac:dyDescent="0.4">
      <c r="A32" s="33"/>
      <c r="B32" s="467" t="s">
        <v>400</v>
      </c>
      <c r="C32" s="467"/>
      <c r="D32" s="467"/>
      <c r="E32" s="33"/>
      <c r="F32" s="23"/>
      <c r="G32" s="23"/>
      <c r="H32" s="23"/>
      <c r="I32" s="23"/>
      <c r="J32" s="32"/>
      <c r="K32" s="466"/>
      <c r="L32" s="466"/>
      <c r="M32" s="466"/>
      <c r="N32" s="32"/>
      <c r="O32" s="32"/>
      <c r="P32" s="32"/>
      <c r="Q32" s="32"/>
      <c r="R32" s="32"/>
      <c r="S32" s="23"/>
    </row>
    <row r="33" spans="1:19" x14ac:dyDescent="0.35">
      <c r="A33" s="33"/>
      <c r="B33" s="46" t="s">
        <v>422</v>
      </c>
      <c r="C33" s="38"/>
      <c r="D33" s="33"/>
      <c r="E33" s="33"/>
      <c r="F33" s="23"/>
      <c r="G33" s="23"/>
      <c r="H33" s="23"/>
      <c r="I33" s="23"/>
      <c r="J33" s="32"/>
      <c r="K33" s="81"/>
      <c r="L33" s="81"/>
      <c r="M33" s="79"/>
      <c r="N33" s="32"/>
      <c r="O33" s="32"/>
      <c r="P33" s="32"/>
      <c r="Q33" s="32"/>
      <c r="R33" s="32"/>
      <c r="S33" s="23"/>
    </row>
    <row r="34" spans="1:19" x14ac:dyDescent="0.35">
      <c r="A34" s="33"/>
      <c r="B34" s="59"/>
      <c r="C34" s="59"/>
      <c r="D34" s="59"/>
      <c r="E34" s="33"/>
      <c r="F34" s="23"/>
      <c r="G34" s="23"/>
      <c r="H34" s="23"/>
      <c r="I34" s="23"/>
      <c r="J34" s="32"/>
      <c r="K34" s="81"/>
      <c r="L34" s="82"/>
      <c r="M34" s="48"/>
      <c r="N34" s="32"/>
      <c r="O34" s="32"/>
      <c r="P34" s="32"/>
      <c r="Q34" s="32"/>
      <c r="R34" s="32"/>
      <c r="S34" s="23"/>
    </row>
    <row r="35" spans="1:19" x14ac:dyDescent="0.35">
      <c r="A35" s="33"/>
      <c r="B35" s="38" t="s">
        <v>184</v>
      </c>
      <c r="C35" s="47" t="s">
        <v>75</v>
      </c>
      <c r="D35" s="48">
        <f>'1. Cow Calf Budget'!C71</f>
        <v>530</v>
      </c>
      <c r="E35" s="33"/>
      <c r="F35" s="23"/>
      <c r="G35" s="23"/>
      <c r="H35" s="23"/>
      <c r="I35" s="23"/>
      <c r="J35" s="32"/>
      <c r="K35" s="81"/>
      <c r="L35" s="81"/>
      <c r="M35" s="81"/>
      <c r="N35" s="32"/>
      <c r="O35" s="32"/>
      <c r="P35" s="32"/>
      <c r="Q35" s="32"/>
      <c r="R35" s="32"/>
      <c r="S35" s="23"/>
    </row>
    <row r="36" spans="1:19" x14ac:dyDescent="0.35">
      <c r="A36" s="33"/>
      <c r="B36" s="38" t="s">
        <v>185</v>
      </c>
      <c r="C36" s="38"/>
      <c r="D36" s="38"/>
      <c r="E36" s="33"/>
      <c r="F36" s="23"/>
      <c r="G36" s="23"/>
      <c r="H36" s="23"/>
      <c r="I36" s="23"/>
      <c r="J36" s="32"/>
      <c r="K36" s="81"/>
      <c r="L36" s="81"/>
      <c r="M36" s="81"/>
      <c r="N36" s="32"/>
      <c r="O36" s="32"/>
      <c r="P36" s="32"/>
      <c r="Q36" s="32"/>
      <c r="R36" s="32"/>
      <c r="S36" s="23"/>
    </row>
    <row r="37" spans="1:19" x14ac:dyDescent="0.35">
      <c r="A37" s="33"/>
      <c r="B37" s="46" t="s">
        <v>630</v>
      </c>
      <c r="C37" s="47" t="s">
        <v>80</v>
      </c>
      <c r="D37" s="49">
        <v>155</v>
      </c>
      <c r="E37" s="33"/>
      <c r="F37" s="26" t="s">
        <v>401</v>
      </c>
      <c r="G37" s="23"/>
      <c r="H37" s="23"/>
      <c r="I37" s="23"/>
      <c r="J37" s="32"/>
      <c r="K37" s="81"/>
      <c r="L37" s="82"/>
      <c r="M37" s="83"/>
      <c r="N37" s="32"/>
      <c r="O37" s="84"/>
      <c r="P37" s="32"/>
      <c r="Q37" s="32"/>
      <c r="R37" s="32"/>
      <c r="S37" s="23"/>
    </row>
    <row r="38" spans="1:19" x14ac:dyDescent="0.35">
      <c r="A38" s="33"/>
      <c r="B38" s="38" t="s">
        <v>187</v>
      </c>
      <c r="C38" s="47" t="s">
        <v>75</v>
      </c>
      <c r="D38" s="60">
        <f>+D10</f>
        <v>550</v>
      </c>
      <c r="E38" s="33"/>
      <c r="F38" s="23" t="s">
        <v>402</v>
      </c>
      <c r="G38" s="23"/>
      <c r="H38" s="23"/>
      <c r="I38" s="23"/>
      <c r="J38" s="32"/>
      <c r="K38" s="81"/>
      <c r="L38" s="82"/>
      <c r="M38" s="48"/>
      <c r="N38" s="32"/>
      <c r="O38" s="32"/>
      <c r="P38" s="32"/>
      <c r="Q38" s="32"/>
      <c r="R38" s="32"/>
      <c r="S38" s="23"/>
    </row>
    <row r="39" spans="1:19" x14ac:dyDescent="0.35">
      <c r="A39" s="33"/>
      <c r="B39" s="38" t="s">
        <v>188</v>
      </c>
      <c r="C39" s="47" t="s">
        <v>75</v>
      </c>
      <c r="D39" s="50">
        <v>0</v>
      </c>
      <c r="E39" s="33"/>
      <c r="F39" s="23"/>
      <c r="G39" s="23"/>
      <c r="H39" s="23"/>
      <c r="I39" s="23"/>
      <c r="J39" s="32"/>
      <c r="K39" s="81"/>
      <c r="L39" s="82"/>
      <c r="M39" s="85"/>
      <c r="N39" s="32"/>
      <c r="O39" s="32"/>
      <c r="P39" s="32"/>
      <c r="Q39" s="32"/>
      <c r="R39" s="32"/>
      <c r="S39" s="23"/>
    </row>
    <row r="40" spans="1:19" x14ac:dyDescent="0.35">
      <c r="A40" s="33"/>
      <c r="B40" s="38" t="s">
        <v>189</v>
      </c>
      <c r="C40" s="47" t="s">
        <v>75</v>
      </c>
      <c r="D40" s="50">
        <v>0</v>
      </c>
      <c r="E40" s="33"/>
      <c r="F40" s="23"/>
      <c r="G40" s="23"/>
      <c r="H40" s="23"/>
      <c r="I40" s="23"/>
      <c r="J40" s="32"/>
      <c r="K40" s="81"/>
      <c r="L40" s="82"/>
      <c r="M40" s="85"/>
      <c r="N40" s="32"/>
      <c r="O40" s="32"/>
      <c r="P40" s="32"/>
      <c r="Q40" s="32"/>
      <c r="R40" s="32"/>
      <c r="S40" s="23"/>
    </row>
    <row r="41" spans="1:19" x14ac:dyDescent="0.35">
      <c r="A41" s="33"/>
      <c r="B41" s="38" t="s">
        <v>190</v>
      </c>
      <c r="C41" s="47" t="s">
        <v>80</v>
      </c>
      <c r="D41" s="49">
        <v>0</v>
      </c>
      <c r="E41" s="33"/>
      <c r="F41" s="26" t="s">
        <v>151</v>
      </c>
      <c r="G41" s="23"/>
      <c r="H41" s="23"/>
      <c r="I41" s="23"/>
      <c r="J41" s="32"/>
      <c r="K41" s="81"/>
      <c r="L41" s="82"/>
      <c r="M41" s="86"/>
      <c r="N41" s="32"/>
      <c r="O41" s="84"/>
      <c r="P41" s="32"/>
      <c r="Q41" s="32"/>
      <c r="R41" s="32"/>
      <c r="S41" s="23"/>
    </row>
    <row r="42" spans="1:19" ht="15.45" x14ac:dyDescent="0.4">
      <c r="A42" s="33"/>
      <c r="B42" s="35" t="s">
        <v>191</v>
      </c>
      <c r="C42" s="41" t="s">
        <v>80</v>
      </c>
      <c r="D42" s="51">
        <f>F44</f>
        <v>0</v>
      </c>
      <c r="E42" s="33"/>
      <c r="F42" s="26">
        <f>IF((D35&gt;(D38+D39)),(-D41*0.01*(D35-D38)),0)</f>
        <v>0</v>
      </c>
      <c r="G42" s="23" t="s">
        <v>152</v>
      </c>
      <c r="H42" s="23"/>
      <c r="I42" s="23"/>
      <c r="J42" s="32"/>
      <c r="K42" s="29"/>
      <c r="L42" s="87"/>
      <c r="M42" s="88"/>
      <c r="N42" s="32"/>
      <c r="O42" s="84"/>
      <c r="P42" s="32"/>
      <c r="Q42" s="32"/>
      <c r="R42" s="32"/>
      <c r="S42" s="23"/>
    </row>
    <row r="43" spans="1:19" x14ac:dyDescent="0.35">
      <c r="A43" s="33"/>
      <c r="B43" s="38" t="s">
        <v>192</v>
      </c>
      <c r="C43" s="47" t="s">
        <v>80</v>
      </c>
      <c r="D43" s="49">
        <v>0</v>
      </c>
      <c r="E43" s="33"/>
      <c r="F43" s="96">
        <f>IF((D35&lt;D38-D40),(D41*0.01*(D38-D35)),0)</f>
        <v>0</v>
      </c>
      <c r="G43" s="28" t="s">
        <v>390</v>
      </c>
      <c r="H43" s="23"/>
      <c r="I43" s="23"/>
      <c r="J43" s="32"/>
      <c r="K43" s="81"/>
      <c r="L43" s="82"/>
      <c r="M43" s="86"/>
      <c r="N43" s="32"/>
      <c r="O43" s="84"/>
      <c r="P43" s="32"/>
      <c r="Q43" s="32"/>
      <c r="R43" s="32"/>
      <c r="S43" s="23"/>
    </row>
    <row r="44" spans="1:19" x14ac:dyDescent="0.35">
      <c r="A44" s="33"/>
      <c r="B44" s="61"/>
      <c r="C44" s="47" t="s">
        <v>80</v>
      </c>
      <c r="D44" s="77"/>
      <c r="E44" s="33"/>
      <c r="F44" s="26">
        <f>(F42+F43)</f>
        <v>0</v>
      </c>
      <c r="G44" s="23" t="s">
        <v>154</v>
      </c>
      <c r="H44" s="23"/>
      <c r="I44" s="23"/>
      <c r="J44" s="32"/>
      <c r="K44" s="81"/>
      <c r="L44" s="81"/>
      <c r="M44" s="89"/>
      <c r="N44" s="32"/>
      <c r="O44" s="32"/>
      <c r="P44" s="32"/>
      <c r="Q44" s="32"/>
      <c r="R44" s="32"/>
      <c r="S44" s="23"/>
    </row>
    <row r="45" spans="1:19" x14ac:dyDescent="0.35">
      <c r="A45" s="33"/>
      <c r="B45" s="38" t="s">
        <v>391</v>
      </c>
      <c r="C45" s="38"/>
      <c r="D45" s="52"/>
      <c r="E45" s="33"/>
      <c r="F45" s="23"/>
      <c r="G45" s="23"/>
      <c r="H45" s="23"/>
      <c r="I45" s="23"/>
      <c r="J45" s="32"/>
      <c r="K45" s="81"/>
      <c r="L45" s="81"/>
      <c r="M45" s="89"/>
      <c r="N45" s="32"/>
      <c r="O45" s="32"/>
      <c r="P45" s="32"/>
      <c r="Q45" s="32"/>
      <c r="R45" s="32"/>
      <c r="S45" s="23"/>
    </row>
    <row r="46" spans="1:19" x14ac:dyDescent="0.35">
      <c r="A46" s="33"/>
      <c r="B46" s="38" t="s">
        <v>194</v>
      </c>
      <c r="C46" s="47" t="s">
        <v>80</v>
      </c>
      <c r="D46" s="49">
        <v>0</v>
      </c>
      <c r="E46" s="33"/>
      <c r="F46" s="26"/>
      <c r="G46" s="23"/>
      <c r="H46" s="23"/>
      <c r="I46" s="23"/>
      <c r="J46" s="32"/>
      <c r="K46" s="81"/>
      <c r="L46" s="82"/>
      <c r="M46" s="86"/>
      <c r="N46" s="32"/>
      <c r="O46" s="84"/>
      <c r="P46" s="32"/>
      <c r="Q46" s="32"/>
      <c r="R46" s="32"/>
      <c r="S46" s="23"/>
    </row>
    <row r="47" spans="1:19" x14ac:dyDescent="0.35">
      <c r="A47" s="33"/>
      <c r="B47" s="38" t="s">
        <v>195</v>
      </c>
      <c r="C47" s="47" t="s">
        <v>80</v>
      </c>
      <c r="D47" s="49">
        <v>0</v>
      </c>
      <c r="E47" s="33"/>
      <c r="F47" s="26"/>
      <c r="G47" s="23"/>
      <c r="H47" s="23"/>
      <c r="I47" s="23"/>
      <c r="J47" s="32"/>
      <c r="K47" s="81"/>
      <c r="L47" s="82"/>
      <c r="M47" s="86"/>
      <c r="N47" s="32"/>
      <c r="O47" s="84"/>
      <c r="P47" s="32"/>
      <c r="Q47" s="32"/>
      <c r="R47" s="32"/>
      <c r="S47" s="23"/>
    </row>
    <row r="48" spans="1:19" x14ac:dyDescent="0.35">
      <c r="A48" s="33"/>
      <c r="B48" s="38" t="s">
        <v>196</v>
      </c>
      <c r="C48" s="47" t="s">
        <v>80</v>
      </c>
      <c r="D48" s="49">
        <v>0</v>
      </c>
      <c r="E48" s="33"/>
      <c r="F48" s="26"/>
      <c r="G48" s="23"/>
      <c r="H48" s="23"/>
      <c r="I48" s="23"/>
      <c r="J48" s="32"/>
      <c r="K48" s="81"/>
      <c r="L48" s="82"/>
      <c r="M48" s="86"/>
      <c r="N48" s="32"/>
      <c r="O48" s="84"/>
      <c r="P48" s="32"/>
      <c r="Q48" s="32"/>
      <c r="R48" s="32"/>
      <c r="S48" s="23"/>
    </row>
    <row r="49" spans="1:19" x14ac:dyDescent="0.35">
      <c r="A49" s="33"/>
      <c r="B49" s="53" t="s">
        <v>392</v>
      </c>
      <c r="C49" s="47" t="s">
        <v>80</v>
      </c>
      <c r="D49" s="49">
        <v>0</v>
      </c>
      <c r="E49" s="33"/>
      <c r="F49" s="23"/>
      <c r="G49" s="23"/>
      <c r="H49" s="23"/>
      <c r="I49" s="23"/>
      <c r="J49" s="32"/>
      <c r="K49" s="90"/>
      <c r="L49" s="82"/>
      <c r="M49" s="86"/>
      <c r="N49" s="32"/>
      <c r="O49" s="32"/>
      <c r="P49" s="32"/>
      <c r="Q49" s="32"/>
      <c r="R49" s="32"/>
      <c r="S49" s="23"/>
    </row>
    <row r="50" spans="1:19" x14ac:dyDescent="0.35">
      <c r="A50" s="33"/>
      <c r="B50" s="38" t="s">
        <v>393</v>
      </c>
      <c r="C50" s="47" t="s">
        <v>80</v>
      </c>
      <c r="D50" s="54">
        <f>(SUM(D43:D49)-D44)</f>
        <v>0</v>
      </c>
      <c r="E50" s="33"/>
      <c r="F50" s="23"/>
      <c r="G50" s="23"/>
      <c r="H50" s="23"/>
      <c r="I50" s="23"/>
      <c r="J50" s="32"/>
      <c r="K50" s="81"/>
      <c r="L50" s="82"/>
      <c r="M50" s="91"/>
      <c r="N50" s="32"/>
      <c r="O50" s="32"/>
      <c r="P50" s="32"/>
      <c r="Q50" s="32"/>
      <c r="R50" s="32"/>
      <c r="S50" s="23"/>
    </row>
    <row r="51" spans="1:19" x14ac:dyDescent="0.35">
      <c r="A51" s="33"/>
      <c r="B51" s="38"/>
      <c r="C51" s="38"/>
      <c r="D51" s="52"/>
      <c r="E51" s="33"/>
      <c r="F51" s="23"/>
      <c r="G51" s="23"/>
      <c r="H51" s="23"/>
      <c r="I51" s="23"/>
      <c r="J51" s="32"/>
      <c r="K51" s="81"/>
      <c r="L51" s="81"/>
      <c r="M51" s="89"/>
      <c r="N51" s="32"/>
      <c r="O51" s="32"/>
      <c r="P51" s="32"/>
      <c r="Q51" s="32"/>
      <c r="R51" s="32"/>
      <c r="S51" s="23"/>
    </row>
    <row r="52" spans="1:19" x14ac:dyDescent="0.35">
      <c r="A52" s="33"/>
      <c r="B52" s="104" t="s">
        <v>394</v>
      </c>
      <c r="C52" s="105" t="s">
        <v>80</v>
      </c>
      <c r="D52" s="106">
        <f>(D37+D43+D42+D50)</f>
        <v>155</v>
      </c>
      <c r="E52" s="33"/>
      <c r="F52" s="23"/>
      <c r="G52" s="23"/>
      <c r="H52" s="23"/>
      <c r="I52" s="23"/>
      <c r="J52" s="32"/>
      <c r="K52" s="81"/>
      <c r="L52" s="82"/>
      <c r="M52" s="92"/>
      <c r="N52" s="32"/>
      <c r="O52" s="32"/>
      <c r="P52" s="32"/>
      <c r="Q52" s="32"/>
      <c r="R52" s="32"/>
      <c r="S52" s="23"/>
    </row>
    <row r="53" spans="1:19" x14ac:dyDescent="0.35">
      <c r="A53" s="33"/>
      <c r="B53" s="38" t="s">
        <v>395</v>
      </c>
      <c r="C53" s="47" t="s">
        <v>303</v>
      </c>
      <c r="D53" s="56">
        <f>D35*D52*0.01</f>
        <v>821.5</v>
      </c>
      <c r="E53" s="33"/>
      <c r="F53" s="23"/>
      <c r="G53" s="23"/>
      <c r="H53" s="23"/>
      <c r="I53" s="23"/>
      <c r="J53" s="32"/>
      <c r="K53" s="81"/>
      <c r="L53" s="82"/>
      <c r="M53" s="93"/>
      <c r="N53" s="32"/>
      <c r="O53" s="32"/>
      <c r="P53" s="32"/>
      <c r="Q53" s="32"/>
      <c r="R53" s="32"/>
      <c r="S53" s="23"/>
    </row>
    <row r="54" spans="1:19" ht="15.45" x14ac:dyDescent="0.4">
      <c r="A54" s="33"/>
      <c r="B54" s="35" t="s">
        <v>396</v>
      </c>
      <c r="C54" s="39" t="s">
        <v>105</v>
      </c>
      <c r="D54" s="57">
        <v>2.5</v>
      </c>
      <c r="E54" s="33"/>
      <c r="F54" s="23"/>
      <c r="G54" s="23"/>
      <c r="H54" s="23"/>
      <c r="I54" s="23"/>
      <c r="J54" s="32"/>
      <c r="K54" s="29"/>
      <c r="L54" s="94"/>
      <c r="M54" s="80"/>
      <c r="N54" s="32"/>
      <c r="O54" s="32"/>
      <c r="P54" s="32"/>
      <c r="Q54" s="32"/>
      <c r="R54" s="32"/>
      <c r="S54" s="23"/>
    </row>
    <row r="55" spans="1:19" x14ac:dyDescent="0.35">
      <c r="A55" s="33"/>
      <c r="B55" s="33"/>
      <c r="C55" s="33"/>
      <c r="D55" s="33"/>
      <c r="E55" s="33"/>
      <c r="F55" s="24" t="s">
        <v>517</v>
      </c>
      <c r="G55" s="23"/>
      <c r="H55" s="23"/>
      <c r="I55" s="23"/>
      <c r="J55" s="32"/>
      <c r="K55" s="32"/>
      <c r="L55" s="32"/>
      <c r="M55" s="32"/>
      <c r="N55" s="32"/>
      <c r="O55" s="32"/>
      <c r="P55" s="32"/>
      <c r="Q55" s="32"/>
      <c r="R55" s="32"/>
      <c r="S55" s="23"/>
    </row>
    <row r="56" spans="1:19" ht="15.45" x14ac:dyDescent="0.4">
      <c r="A56" s="33"/>
      <c r="B56" s="97" t="s">
        <v>403</v>
      </c>
      <c r="C56" s="102" t="s">
        <v>80</v>
      </c>
      <c r="D56" s="103">
        <f>(D52*(1-$D$54*0.01))</f>
        <v>151.125</v>
      </c>
      <c r="E56" s="33"/>
      <c r="F56" s="76">
        <f>D29-D56</f>
        <v>14.625</v>
      </c>
      <c r="G56" s="23"/>
      <c r="H56" s="23"/>
      <c r="I56" s="23"/>
      <c r="J56" s="32"/>
      <c r="K56" s="29"/>
      <c r="L56" s="82"/>
      <c r="M56" s="95"/>
      <c r="N56" s="32"/>
      <c r="O56" s="32"/>
      <c r="P56" s="32"/>
      <c r="Q56" s="32"/>
      <c r="R56" s="32"/>
      <c r="S56" s="23"/>
    </row>
    <row r="57" spans="1:19" ht="15.45" x14ac:dyDescent="0.4">
      <c r="A57" s="33"/>
      <c r="B57" s="35" t="s">
        <v>404</v>
      </c>
      <c r="C57" s="41" t="s">
        <v>303</v>
      </c>
      <c r="D57" s="58">
        <f>(D53*(1-$D$54*0.01))</f>
        <v>800.96249999999998</v>
      </c>
      <c r="E57" s="33"/>
      <c r="F57" s="76">
        <f>D30-D57</f>
        <v>110.66250000000002</v>
      </c>
      <c r="G57" s="23"/>
      <c r="H57" s="23"/>
      <c r="I57" s="23"/>
      <c r="J57" s="32"/>
      <c r="K57" s="29"/>
      <c r="L57" s="87"/>
      <c r="M57" s="95"/>
      <c r="N57" s="32"/>
      <c r="O57" s="32"/>
      <c r="P57" s="32"/>
      <c r="Q57" s="32"/>
      <c r="R57" s="32"/>
      <c r="S57" s="23"/>
    </row>
    <row r="58" spans="1:19" x14ac:dyDescent="0.35">
      <c r="A58" s="33"/>
      <c r="B58" s="24" t="s">
        <v>521</v>
      </c>
      <c r="C58" s="47" t="s">
        <v>80</v>
      </c>
      <c r="D58" s="52">
        <f>F56</f>
        <v>14.625</v>
      </c>
      <c r="E58" s="33"/>
      <c r="F58" s="23"/>
      <c r="G58" s="23"/>
      <c r="H58" s="23"/>
      <c r="I58" s="23"/>
      <c r="J58" s="32"/>
      <c r="K58" s="32"/>
      <c r="L58" s="32"/>
      <c r="M58" s="32"/>
      <c r="N58" s="32"/>
      <c r="O58" s="32"/>
      <c r="P58" s="32"/>
      <c r="Q58" s="32"/>
      <c r="R58" s="32"/>
      <c r="S58" s="23"/>
    </row>
    <row r="59" spans="1:19" x14ac:dyDescent="0.35">
      <c r="A59" s="33"/>
      <c r="B59" s="38" t="s">
        <v>522</v>
      </c>
      <c r="C59" s="33"/>
      <c r="D59" s="33"/>
      <c r="E59" s="62"/>
      <c r="F59" s="23"/>
      <c r="G59" s="23"/>
      <c r="H59" s="23"/>
      <c r="I59" s="23"/>
      <c r="J59" s="32"/>
      <c r="K59" s="32"/>
      <c r="L59" s="32"/>
      <c r="M59" s="32"/>
      <c r="N59" s="32"/>
      <c r="O59" s="32"/>
      <c r="P59" s="32"/>
      <c r="Q59" s="32"/>
      <c r="R59" s="32"/>
      <c r="S59" s="23"/>
    </row>
    <row r="60" spans="1:19" ht="15.45" x14ac:dyDescent="0.4">
      <c r="A60" s="33"/>
      <c r="B60" s="35" t="s">
        <v>405</v>
      </c>
      <c r="C60" s="41" t="s">
        <v>406</v>
      </c>
      <c r="D60" s="41" t="s">
        <v>441</v>
      </c>
      <c r="E60" s="41"/>
      <c r="F60" s="23"/>
      <c r="G60" s="23"/>
      <c r="H60" s="23"/>
      <c r="I60" s="23"/>
      <c r="J60" s="32"/>
      <c r="K60" s="32"/>
      <c r="L60" s="32"/>
      <c r="M60" s="32"/>
      <c r="N60" s="32"/>
      <c r="O60" s="32"/>
      <c r="P60" s="32"/>
      <c r="Q60" s="32"/>
      <c r="R60" s="32"/>
      <c r="S60" s="23"/>
    </row>
    <row r="61" spans="1:19" ht="15.45" x14ac:dyDescent="0.4">
      <c r="A61" s="33"/>
      <c r="B61" s="35" t="s">
        <v>407</v>
      </c>
      <c r="C61" s="63">
        <f>D6</f>
        <v>550</v>
      </c>
      <c r="D61" s="58">
        <f>D29</f>
        <v>165.75</v>
      </c>
      <c r="E61" s="59"/>
      <c r="F61" s="23"/>
      <c r="G61" s="23"/>
      <c r="H61" s="23"/>
      <c r="I61" s="23"/>
      <c r="J61" s="32"/>
      <c r="K61" s="32"/>
      <c r="L61" s="32"/>
      <c r="M61" s="32"/>
      <c r="N61" s="32"/>
      <c r="O61" s="32"/>
      <c r="P61" s="32"/>
      <c r="Q61" s="32"/>
      <c r="R61" s="32"/>
      <c r="S61" s="23"/>
    </row>
    <row r="62" spans="1:19" ht="15.45" x14ac:dyDescent="0.4">
      <c r="A62" s="33"/>
      <c r="B62" s="35"/>
      <c r="C62" s="63"/>
      <c r="D62" s="64">
        <f>D30</f>
        <v>911.625</v>
      </c>
      <c r="E62" s="64"/>
      <c r="F62" s="23"/>
      <c r="G62" s="23"/>
      <c r="H62" s="23"/>
      <c r="I62" s="23"/>
      <c r="J62" s="32"/>
      <c r="K62" s="32"/>
      <c r="L62" s="32"/>
      <c r="M62" s="32"/>
      <c r="N62" s="32"/>
      <c r="O62" s="32"/>
      <c r="P62" s="32"/>
      <c r="Q62" s="32"/>
      <c r="R62" s="32"/>
      <c r="S62" s="23"/>
    </row>
    <row r="63" spans="1:19" ht="15.45" x14ac:dyDescent="0.4">
      <c r="A63" s="33"/>
      <c r="B63" s="35" t="s">
        <v>408</v>
      </c>
      <c r="C63" s="63">
        <f>D35</f>
        <v>530</v>
      </c>
      <c r="D63" s="58">
        <f>D56</f>
        <v>151.125</v>
      </c>
      <c r="E63" s="59"/>
      <c r="F63" s="23"/>
      <c r="G63" s="23"/>
      <c r="H63" s="23"/>
      <c r="I63" s="23"/>
      <c r="J63" s="32"/>
      <c r="K63" s="32"/>
      <c r="L63" s="32"/>
      <c r="M63" s="32"/>
      <c r="N63" s="32"/>
      <c r="O63" s="32"/>
      <c r="P63" s="32"/>
      <c r="Q63" s="32"/>
      <c r="R63" s="32"/>
      <c r="S63" s="23"/>
    </row>
    <row r="64" spans="1:19" ht="15.45" x14ac:dyDescent="0.4">
      <c r="A64" s="33"/>
      <c r="B64" s="33"/>
      <c r="C64" s="33"/>
      <c r="D64" s="64">
        <f>D57</f>
        <v>800.96249999999998</v>
      </c>
      <c r="E64" s="62"/>
      <c r="F64" s="23"/>
      <c r="G64" s="23"/>
      <c r="H64" s="23"/>
      <c r="I64" s="23"/>
      <c r="J64" s="32"/>
      <c r="K64" s="32"/>
      <c r="L64" s="32"/>
      <c r="M64" s="32"/>
      <c r="N64" s="32"/>
      <c r="O64" s="32"/>
      <c r="P64" s="32"/>
      <c r="Q64" s="32"/>
      <c r="R64" s="32"/>
      <c r="S64" s="23"/>
    </row>
    <row r="65" spans="1:19" ht="15.45" x14ac:dyDescent="0.4">
      <c r="A65" s="33"/>
      <c r="B65" s="35" t="s">
        <v>518</v>
      </c>
      <c r="C65" s="33"/>
      <c r="D65" s="49">
        <v>60</v>
      </c>
      <c r="E65" s="78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5.45" x14ac:dyDescent="0.4">
      <c r="A66" s="33"/>
      <c r="B66" s="35" t="s">
        <v>424</v>
      </c>
      <c r="C66" s="39" t="s">
        <v>105</v>
      </c>
      <c r="D66" s="57">
        <v>4</v>
      </c>
      <c r="E66" s="64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5.45" x14ac:dyDescent="0.4">
      <c r="A67" s="33"/>
      <c r="B67" s="97" t="s">
        <v>409</v>
      </c>
      <c r="C67" s="98">
        <f>'1. Cow Calf Budget'!C68</f>
        <v>1200</v>
      </c>
      <c r="D67" s="99">
        <f>(D65*(1-D$66*0.01))</f>
        <v>57.599999999999994</v>
      </c>
      <c r="E67" s="65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5.45" x14ac:dyDescent="0.4">
      <c r="A68" s="33"/>
      <c r="B68" s="35"/>
      <c r="C68" s="35"/>
      <c r="D68" s="64">
        <f>C67*D67*0.01</f>
        <v>691.2</v>
      </c>
      <c r="E68" s="62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5.45" x14ac:dyDescent="0.4">
      <c r="A69" s="33"/>
      <c r="B69" s="35" t="s">
        <v>519</v>
      </c>
      <c r="C69" s="35"/>
      <c r="D69" s="49">
        <v>80</v>
      </c>
      <c r="E69" s="78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5.45" x14ac:dyDescent="0.4">
      <c r="A70" s="33"/>
      <c r="B70" s="35" t="s">
        <v>424</v>
      </c>
      <c r="C70" s="39" t="s">
        <v>105</v>
      </c>
      <c r="D70" s="57">
        <v>4</v>
      </c>
      <c r="E70" s="66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5.45" x14ac:dyDescent="0.4">
      <c r="A71" s="33"/>
      <c r="B71" s="97" t="s">
        <v>428</v>
      </c>
      <c r="C71" s="98">
        <f>'1. Cow Calf Budget'!F24</f>
        <v>1800</v>
      </c>
      <c r="D71" s="99">
        <f>(D69*(1-$D$70*0.01))</f>
        <v>76.8</v>
      </c>
      <c r="E71" s="65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5.45" x14ac:dyDescent="0.4">
      <c r="A72" s="33"/>
      <c r="B72" s="33"/>
      <c r="C72" s="33"/>
      <c r="D72" s="64">
        <f>C71*D71*0.01</f>
        <v>1382.4</v>
      </c>
      <c r="E72" s="66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5.45" x14ac:dyDescent="0.4">
      <c r="A73" s="33"/>
      <c r="B73" s="35" t="s">
        <v>520</v>
      </c>
      <c r="C73" s="35"/>
      <c r="D73" s="49">
        <v>130</v>
      </c>
      <c r="E73" s="62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5.45" x14ac:dyDescent="0.4">
      <c r="A74" s="33"/>
      <c r="B74" s="35" t="s">
        <v>424</v>
      </c>
      <c r="C74" s="39" t="s">
        <v>105</v>
      </c>
      <c r="D74" s="57">
        <v>4</v>
      </c>
      <c r="E74" s="62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5.45" x14ac:dyDescent="0.4">
      <c r="A75" s="33"/>
      <c r="B75" s="97" t="s">
        <v>410</v>
      </c>
      <c r="C75" s="98">
        <f>'1. Cow Calf Budget'!C72</f>
        <v>750</v>
      </c>
      <c r="D75" s="99">
        <f>IF(C75=0,0,(D73*(1-D74*0.01)))</f>
        <v>124.8</v>
      </c>
      <c r="E75" s="65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5.45" x14ac:dyDescent="0.4">
      <c r="A76" s="33"/>
      <c r="B76" s="33"/>
      <c r="C76" s="33"/>
      <c r="D76" s="64">
        <f>C75*$D$75*0.01</f>
        <v>936</v>
      </c>
      <c r="E76" s="5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5.45" x14ac:dyDescent="0.4">
      <c r="A77" s="33"/>
      <c r="B77" s="29" t="s">
        <v>411</v>
      </c>
      <c r="C77" s="33"/>
      <c r="D77" s="33"/>
      <c r="E77" s="66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5.45" x14ac:dyDescent="0.4">
      <c r="A78" s="33"/>
      <c r="B78" s="29" t="s">
        <v>412</v>
      </c>
      <c r="C78" s="33"/>
      <c r="D78" s="33"/>
      <c r="E78" s="3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x14ac:dyDescent="0.35">
      <c r="A79" s="33"/>
      <c r="B79" s="33"/>
      <c r="C79" s="33"/>
      <c r="D79" s="33"/>
      <c r="E79" s="3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x14ac:dyDescent="0.35">
      <c r="A80" s="33"/>
      <c r="B80" s="33"/>
      <c r="C80" s="33"/>
      <c r="D80" s="33"/>
      <c r="E80" s="3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5.45" x14ac:dyDescent="0.4">
      <c r="A81" s="33"/>
      <c r="B81" s="29" t="s">
        <v>413</v>
      </c>
      <c r="C81" s="67" t="s">
        <v>414</v>
      </c>
      <c r="D81" s="67" t="s">
        <v>415</v>
      </c>
      <c r="E81" s="67" t="s">
        <v>416</v>
      </c>
      <c r="F81" s="23"/>
      <c r="G81" s="23"/>
      <c r="H81" s="24" t="s">
        <v>516</v>
      </c>
      <c r="I81" s="23" t="s">
        <v>417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x14ac:dyDescent="0.35">
      <c r="A82" s="33"/>
      <c r="B82" s="33"/>
      <c r="C82" s="68">
        <v>200</v>
      </c>
      <c r="D82" s="69">
        <v>3.75</v>
      </c>
      <c r="E82" s="68">
        <f>+D6</f>
        <v>550</v>
      </c>
      <c r="F82" s="24" t="s">
        <v>516</v>
      </c>
      <c r="G82" s="23"/>
      <c r="H82" s="24" t="s">
        <v>515</v>
      </c>
      <c r="I82" s="30">
        <v>50000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x14ac:dyDescent="0.35">
      <c r="A83" s="33"/>
      <c r="B83" s="33"/>
      <c r="C83" s="46"/>
      <c r="D83" s="46"/>
      <c r="E83" s="46"/>
      <c r="F83" s="23"/>
      <c r="G83" s="23"/>
      <c r="H83" s="75">
        <f>I82/E82</f>
        <v>90.909090909090907</v>
      </c>
      <c r="I83" s="31">
        <f>C82*D82</f>
        <v>750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x14ac:dyDescent="0.35">
      <c r="A84" s="33"/>
      <c r="B84" s="33"/>
      <c r="C84" s="67" t="s">
        <v>418</v>
      </c>
      <c r="D84" s="67" t="s">
        <v>418</v>
      </c>
      <c r="E84" s="46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x14ac:dyDescent="0.35">
      <c r="A85" s="33"/>
      <c r="B85" s="33"/>
      <c r="C85" s="67" t="s">
        <v>419</v>
      </c>
      <c r="D85" s="67" t="s">
        <v>419</v>
      </c>
      <c r="E85" s="46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 x14ac:dyDescent="0.35">
      <c r="A86" s="33"/>
      <c r="B86" s="33"/>
      <c r="C86" s="67" t="s">
        <v>38</v>
      </c>
      <c r="D86" s="67" t="s">
        <v>303</v>
      </c>
      <c r="E86" s="46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x14ac:dyDescent="0.35">
      <c r="A87" s="33"/>
      <c r="B87" s="33"/>
      <c r="C87" s="67"/>
      <c r="D87" s="67"/>
      <c r="E87" s="46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ht="15.45" x14ac:dyDescent="0.4">
      <c r="A88" s="33"/>
      <c r="B88" s="100" t="s">
        <v>420</v>
      </c>
      <c r="C88" s="101">
        <f>D88/E82*100</f>
        <v>1.5</v>
      </c>
      <c r="D88" s="101">
        <f>I83/H83</f>
        <v>8.25</v>
      </c>
      <c r="E88" s="46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x14ac:dyDescent="0.35">
      <c r="A89" s="33"/>
      <c r="B89" s="33"/>
      <c r="C89" s="46"/>
      <c r="D89" s="46"/>
      <c r="E89" s="46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</sheetData>
  <sheetProtection sheet="1" objects="1" scenarios="1"/>
  <mergeCells count="5">
    <mergeCell ref="K32:M32"/>
    <mergeCell ref="B1:D1"/>
    <mergeCell ref="B4:D4"/>
    <mergeCell ref="B32:D32"/>
    <mergeCell ref="B2:D2"/>
  </mergeCells>
  <phoneticPr fontId="0" type="noConversion"/>
  <pageMargins left="1" right="0.75" top="1" bottom="1" header="0.5" footer="0.5"/>
  <pageSetup scale="55" orientation="portrait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7"/>
  <sheetViews>
    <sheetView topLeftCell="B28" zoomScaleNormal="100" workbookViewId="0">
      <selection activeCell="I55" sqref="I55"/>
    </sheetView>
  </sheetViews>
  <sheetFormatPr defaultRowHeight="15" x14ac:dyDescent="0.35"/>
  <cols>
    <col min="1" max="1" width="5.0625" customWidth="1"/>
    <col min="2" max="2" width="17.25" customWidth="1"/>
    <col min="3" max="3" width="7.9375" customWidth="1"/>
    <col min="4" max="5" width="9" bestFit="1" customWidth="1"/>
    <col min="6" max="6" width="10" customWidth="1"/>
    <col min="7" max="7" width="2.5625" customWidth="1"/>
    <col min="8" max="8" width="31.375" customWidth="1"/>
    <col min="9" max="9" width="9.0625" bestFit="1" customWidth="1"/>
    <col min="10" max="10" width="9" bestFit="1" customWidth="1"/>
    <col min="11" max="11" width="8.875" style="294" customWidth="1"/>
    <col min="12" max="12" width="9.75" style="294" bestFit="1" customWidth="1"/>
    <col min="13" max="17" width="8.875" style="294" customWidth="1"/>
  </cols>
  <sheetData>
    <row r="1" spans="1:16" ht="17.600000000000001" x14ac:dyDescent="0.4">
      <c r="A1" s="108"/>
      <c r="B1" s="470" t="s">
        <v>594</v>
      </c>
      <c r="C1" s="470"/>
      <c r="D1" s="470"/>
      <c r="E1" s="470"/>
      <c r="F1" s="470"/>
      <c r="G1" s="470"/>
      <c r="H1" s="470"/>
      <c r="I1" s="470"/>
      <c r="J1" s="471"/>
      <c r="K1" s="471"/>
      <c r="L1" s="293"/>
      <c r="M1" s="259"/>
      <c r="N1" s="259"/>
      <c r="O1" s="259"/>
      <c r="P1" s="259"/>
    </row>
    <row r="2" spans="1:16" ht="17.600000000000001" x14ac:dyDescent="0.4">
      <c r="A2" s="108"/>
      <c r="B2" s="472" t="str">
        <f>'1. Cow Calf Budget'!B3</f>
        <v>400 Cow-Calf Case Ranch Budget</v>
      </c>
      <c r="C2" s="472"/>
      <c r="D2" s="472"/>
      <c r="E2" s="472"/>
      <c r="F2" s="472"/>
      <c r="G2" s="472"/>
      <c r="H2" s="472"/>
      <c r="I2" s="472"/>
      <c r="J2" s="471"/>
      <c r="K2" s="471"/>
      <c r="L2" s="293"/>
      <c r="M2" s="259"/>
      <c r="N2" s="259"/>
      <c r="O2" s="259"/>
      <c r="P2" s="259"/>
    </row>
    <row r="3" spans="1:16" x14ac:dyDescent="0.35">
      <c r="A3" s="108"/>
      <c r="B3" s="113" t="s">
        <v>544</v>
      </c>
      <c r="C3" s="264"/>
      <c r="D3" s="264"/>
      <c r="E3" s="113"/>
      <c r="F3" s="264"/>
      <c r="G3" s="265"/>
      <c r="H3" s="469" t="s">
        <v>547</v>
      </c>
      <c r="I3" s="469"/>
      <c r="J3" s="445" t="s">
        <v>546</v>
      </c>
      <c r="K3" s="447" t="s">
        <v>634</v>
      </c>
      <c r="L3" s="293"/>
      <c r="M3" s="259"/>
      <c r="N3" s="259"/>
      <c r="O3" s="259"/>
      <c r="P3" s="259"/>
    </row>
    <row r="4" spans="1:16" x14ac:dyDescent="0.35">
      <c r="A4" s="108"/>
      <c r="B4" s="267" t="s">
        <v>91</v>
      </c>
      <c r="C4" s="268" t="s">
        <v>314</v>
      </c>
      <c r="D4" s="268" t="s">
        <v>543</v>
      </c>
      <c r="E4" s="268" t="s">
        <v>542</v>
      </c>
      <c r="F4" s="266" t="s">
        <v>160</v>
      </c>
      <c r="G4" s="265"/>
      <c r="H4" s="269" t="s">
        <v>545</v>
      </c>
      <c r="I4" s="266" t="s">
        <v>160</v>
      </c>
      <c r="J4" s="445" t="s">
        <v>547</v>
      </c>
      <c r="K4" s="447" t="s">
        <v>635</v>
      </c>
      <c r="L4" s="293"/>
      <c r="M4" s="259"/>
      <c r="N4" s="259"/>
      <c r="O4" s="259"/>
      <c r="P4" s="259"/>
    </row>
    <row r="5" spans="1:16" x14ac:dyDescent="0.35">
      <c r="A5" s="108"/>
      <c r="B5" s="267" t="s">
        <v>550</v>
      </c>
      <c r="C5" s="270">
        <f>'1. Cow Calf Budget'!D70</f>
        <v>170</v>
      </c>
      <c r="D5" s="271">
        <f>'1. Cow Calf Budget'!C70</f>
        <v>550</v>
      </c>
      <c r="E5" s="272">
        <f>ROUND(F5/(C5*D5*0.01),2)</f>
        <v>165.75</v>
      </c>
      <c r="F5" s="265">
        <f>'1. Cow Calf Budget'!G70</f>
        <v>154976.25</v>
      </c>
      <c r="G5" s="265"/>
      <c r="H5" s="273" t="str">
        <f>'1. Cow Calf Budget'!A79</f>
        <v xml:space="preserve">   Roughage</v>
      </c>
      <c r="I5" s="265">
        <f>'1. Cow Calf Budget'!G79</f>
        <v>0</v>
      </c>
      <c r="J5" s="274" t="str">
        <f t="shared" ref="J5:J37" si="0">IF(I5=0," ",I5/$I$51)</f>
        <v xml:space="preserve"> </v>
      </c>
      <c r="K5" s="446" t="str">
        <f>IF(I5=0," ",I5/'1. Cow Calf Budget'!$F$9)</f>
        <v xml:space="preserve"> </v>
      </c>
      <c r="L5" s="293"/>
      <c r="M5" s="259"/>
      <c r="N5" s="259"/>
      <c r="O5" s="259"/>
      <c r="P5" s="259"/>
    </row>
    <row r="6" spans="1:16" x14ac:dyDescent="0.35">
      <c r="A6" s="108"/>
      <c r="B6" s="267" t="s">
        <v>549</v>
      </c>
      <c r="C6" s="270">
        <f>'1. Cow Calf Budget'!D71</f>
        <v>117</v>
      </c>
      <c r="D6" s="271">
        <f>'1. Cow Calf Budget'!C71</f>
        <v>530</v>
      </c>
      <c r="E6" s="272">
        <f>ROUND(F6/(C6*D6*0.01),2)</f>
        <v>151.38</v>
      </c>
      <c r="F6" s="265">
        <f>'1. Cow Calf Budget'!G71</f>
        <v>93872.804999999993</v>
      </c>
      <c r="G6" s="264"/>
      <c r="H6" s="273" t="str">
        <f>'1. Cow Calf Budget'!A80</f>
        <v xml:space="preserve">   Complete Feed or Concentrate</v>
      </c>
      <c r="I6" s="265">
        <f>'1. Cow Calf Budget'!G80</f>
        <v>0</v>
      </c>
      <c r="J6" s="274" t="str">
        <f t="shared" si="0"/>
        <v xml:space="preserve"> </v>
      </c>
      <c r="K6" s="446" t="str">
        <f>IF(I6=0," ",I6/'1. Cow Calf Budget'!$F$9)</f>
        <v xml:space="preserve"> </v>
      </c>
      <c r="L6" s="293"/>
      <c r="M6" s="259"/>
      <c r="N6" s="259"/>
      <c r="O6" s="259"/>
      <c r="P6" s="259"/>
    </row>
    <row r="7" spans="1:16" x14ac:dyDescent="0.35">
      <c r="A7" s="108"/>
      <c r="B7" s="267" t="s">
        <v>556</v>
      </c>
      <c r="C7" s="270">
        <f>'1. Cow Calf Budget'!D68</f>
        <v>44</v>
      </c>
      <c r="D7" s="270">
        <f>'1. Cow Calf Budget'!C68</f>
        <v>1200</v>
      </c>
      <c r="E7" s="272">
        <f>ROUND(F7/(C7*D7*0.01),2)</f>
        <v>57.6</v>
      </c>
      <c r="F7" s="265">
        <f>'1. Cow Calf Budget'!G68</f>
        <v>30412.799999999999</v>
      </c>
      <c r="G7" s="264"/>
      <c r="H7" s="273" t="str">
        <f>'1. Cow Calf Budget'!A81</f>
        <v xml:space="preserve">   Mineral and Salt</v>
      </c>
      <c r="I7" s="265">
        <f>'1. Cow Calf Budget'!G81</f>
        <v>2640</v>
      </c>
      <c r="J7" s="274">
        <f t="shared" si="0"/>
        <v>9.6536744298298532E-3</v>
      </c>
      <c r="K7" s="446">
        <f>IF(I7=0," ",I7/'1. Cow Calf Budget'!$F$9)</f>
        <v>6.6</v>
      </c>
      <c r="L7" s="293"/>
      <c r="M7" s="259"/>
      <c r="N7" s="259"/>
      <c r="O7" s="259"/>
      <c r="P7" s="259"/>
    </row>
    <row r="8" spans="1:16" x14ac:dyDescent="0.35">
      <c r="A8" s="108"/>
      <c r="B8" s="275" t="s">
        <v>558</v>
      </c>
      <c r="C8" s="430">
        <f>'1. Cow Calf Budget'!D69</f>
        <v>4</v>
      </c>
      <c r="D8" s="271">
        <f>'1. Cow Calf Budget'!C69</f>
        <v>1800</v>
      </c>
      <c r="E8" s="272">
        <f>ROUND(F8/(C8*D8*0.01),2)</f>
        <v>76.8</v>
      </c>
      <c r="F8" s="265">
        <f>'1. Cow Calf Budget'!G69</f>
        <v>5529.6</v>
      </c>
      <c r="G8" s="264"/>
      <c r="H8" s="273" t="str">
        <f>'1. Cow Calf Budget'!A82</f>
        <v xml:space="preserve">   Protein Supplement</v>
      </c>
      <c r="I8" s="265">
        <f>'1. Cow Calf Budget'!G82</f>
        <v>36000</v>
      </c>
      <c r="J8" s="274">
        <f t="shared" si="0"/>
        <v>0.13164101495222527</v>
      </c>
      <c r="K8" s="446">
        <f>IF(I8=0," ",I8/'1. Cow Calf Budget'!$F$9)</f>
        <v>90</v>
      </c>
      <c r="L8" s="293"/>
      <c r="M8" s="259"/>
      <c r="N8" s="259"/>
      <c r="O8" s="259"/>
      <c r="P8" s="259"/>
    </row>
    <row r="9" spans="1:16" x14ac:dyDescent="0.35">
      <c r="A9" s="108"/>
      <c r="B9" s="275" t="s">
        <v>557</v>
      </c>
      <c r="C9" s="270">
        <f>'1. Cow Calf Budget'!D72</f>
        <v>5</v>
      </c>
      <c r="D9" s="270">
        <f>'1. Cow Calf Budget'!C72</f>
        <v>750</v>
      </c>
      <c r="E9" s="272">
        <f>ROUND(F9/(C9*D9*0.01),2)</f>
        <v>119.81</v>
      </c>
      <c r="F9" s="265">
        <f>'1. Cow Calf Budget'!G72</f>
        <v>4492.8</v>
      </c>
      <c r="G9" s="264"/>
      <c r="H9" s="273" t="str">
        <f>'1. Cow Calf Budget'!A83</f>
        <v xml:space="preserve">   Other or All of feed Purchase</v>
      </c>
      <c r="I9" s="265">
        <f>'1. Cow Calf Budget'!G83</f>
        <v>0</v>
      </c>
      <c r="J9" s="274" t="str">
        <f t="shared" si="0"/>
        <v xml:space="preserve"> </v>
      </c>
      <c r="K9" s="446" t="str">
        <f>IF(I9=0," ",I9/'1. Cow Calf Budget'!$F$9)</f>
        <v xml:space="preserve"> </v>
      </c>
      <c r="L9" s="293"/>
      <c r="M9" s="259"/>
      <c r="N9" s="259"/>
      <c r="O9" s="259"/>
      <c r="P9" s="259"/>
    </row>
    <row r="10" spans="1:16" x14ac:dyDescent="0.35">
      <c r="A10" s="108"/>
      <c r="B10" s="276" t="s">
        <v>489</v>
      </c>
      <c r="C10" s="276">
        <v>0</v>
      </c>
      <c r="D10" s="276">
        <v>0</v>
      </c>
      <c r="E10" s="276">
        <v>0</v>
      </c>
      <c r="F10" s="282">
        <v>0</v>
      </c>
      <c r="G10" s="264"/>
      <c r="H10" s="273" t="str">
        <f>'1. Cow Calf Budget'!A85</f>
        <v xml:space="preserve">  Other Grazing</v>
      </c>
      <c r="I10" s="265">
        <f>'1. Cow Calf Budget'!G85</f>
        <v>0</v>
      </c>
      <c r="J10" s="274" t="str">
        <f t="shared" si="0"/>
        <v xml:space="preserve"> </v>
      </c>
      <c r="K10" s="446" t="str">
        <f>IF(I10=0," ",I10/'1. Cow Calf Budget'!$F$9)</f>
        <v xml:space="preserve"> </v>
      </c>
      <c r="L10" s="293"/>
      <c r="M10" s="259"/>
      <c r="N10" s="259"/>
      <c r="O10" s="259"/>
      <c r="P10" s="259"/>
    </row>
    <row r="11" spans="1:16" x14ac:dyDescent="0.35">
      <c r="A11" s="108"/>
      <c r="B11" s="277" t="s">
        <v>551</v>
      </c>
      <c r="C11" s="278"/>
      <c r="D11" s="279" t="s">
        <v>548</v>
      </c>
      <c r="E11" s="280" t="s">
        <v>548</v>
      </c>
      <c r="F11" s="281">
        <f>SUM(F5:F10)</f>
        <v>289284.25499999995</v>
      </c>
      <c r="G11" s="264"/>
      <c r="H11" s="273" t="str">
        <f>'1. Cow Calf Budget'!A86</f>
        <v xml:space="preserve">  Other Grazing</v>
      </c>
      <c r="I11" s="265">
        <f>'1. Cow Calf Budget'!G86</f>
        <v>0</v>
      </c>
      <c r="J11" s="274" t="str">
        <f t="shared" si="0"/>
        <v xml:space="preserve"> </v>
      </c>
      <c r="K11" s="446" t="str">
        <f>IF(I11=0," ",I11/'1. Cow Calf Budget'!$F$9)</f>
        <v xml:space="preserve"> </v>
      </c>
      <c r="L11" s="293"/>
      <c r="M11" s="259"/>
      <c r="N11" s="259"/>
      <c r="O11" s="259"/>
      <c r="P11" s="259"/>
    </row>
    <row r="12" spans="1:16" x14ac:dyDescent="0.35">
      <c r="A12" s="108"/>
      <c r="B12" s="260"/>
      <c r="C12" s="260"/>
      <c r="D12" s="260"/>
      <c r="E12" s="260"/>
      <c r="F12" s="260"/>
      <c r="G12" s="264"/>
      <c r="H12" s="273" t="str">
        <f>'1. Cow Calf Budget'!A87</f>
        <v xml:space="preserve">  Other Grazing</v>
      </c>
      <c r="I12" s="265">
        <f>'1. Cow Calf Budget'!G87</f>
        <v>0</v>
      </c>
      <c r="J12" s="274" t="str">
        <f t="shared" si="0"/>
        <v xml:space="preserve"> </v>
      </c>
      <c r="K12" s="446" t="str">
        <f>IF(I12=0," ",I12/'1. Cow Calf Budget'!$F$9)</f>
        <v xml:space="preserve"> </v>
      </c>
      <c r="L12" s="293"/>
      <c r="M12" s="259"/>
      <c r="N12" s="259"/>
      <c r="O12" s="259"/>
      <c r="P12" s="259"/>
    </row>
    <row r="13" spans="1:16" x14ac:dyDescent="0.35">
      <c r="A13" s="108"/>
      <c r="B13" s="113" t="s">
        <v>541</v>
      </c>
      <c r="C13" s="264"/>
      <c r="D13" s="264"/>
      <c r="E13" s="113"/>
      <c r="F13" s="264"/>
      <c r="G13" s="264"/>
      <c r="H13" s="273" t="str">
        <f>'1. Cow Calf Budget'!A88</f>
        <v xml:space="preserve">  Other Grazing</v>
      </c>
      <c r="I13" s="265">
        <f>'1. Cow Calf Budget'!G88</f>
        <v>0</v>
      </c>
      <c r="J13" s="274" t="str">
        <f t="shared" si="0"/>
        <v xml:space="preserve"> </v>
      </c>
      <c r="K13" s="446" t="str">
        <f>IF(I13=0," ",I13/'1. Cow Calf Budget'!$F$9)</f>
        <v xml:space="preserve"> </v>
      </c>
      <c r="L13" s="295"/>
      <c r="M13" s="259"/>
      <c r="N13" s="257"/>
      <c r="O13" s="259"/>
      <c r="P13" s="259"/>
    </row>
    <row r="14" spans="1:16" x14ac:dyDescent="0.35">
      <c r="A14" s="108"/>
      <c r="B14" s="267" t="s">
        <v>91</v>
      </c>
      <c r="C14" s="267" t="s">
        <v>314</v>
      </c>
      <c r="D14" s="267" t="s">
        <v>548</v>
      </c>
      <c r="E14" s="267" t="s">
        <v>552</v>
      </c>
      <c r="F14" s="265"/>
      <c r="G14" s="264"/>
      <c r="H14" s="273" t="str">
        <f>'1. Cow Calf Budget'!A89</f>
        <v xml:space="preserve">  Other Grazing</v>
      </c>
      <c r="I14" s="265">
        <f>'1. Cow Calf Budget'!G89</f>
        <v>0</v>
      </c>
      <c r="J14" s="274" t="str">
        <f t="shared" si="0"/>
        <v xml:space="preserve"> </v>
      </c>
      <c r="K14" s="446" t="str">
        <f>IF(I14=0," ",I14/'1. Cow Calf Budget'!$F$9)</f>
        <v xml:space="preserve"> </v>
      </c>
      <c r="L14" s="295"/>
      <c r="M14" s="259"/>
      <c r="N14" s="257"/>
      <c r="O14" s="259"/>
      <c r="P14" s="259"/>
    </row>
    <row r="15" spans="1:16" x14ac:dyDescent="0.35">
      <c r="A15" s="108"/>
      <c r="B15" s="276" t="s">
        <v>563</v>
      </c>
      <c r="C15" s="276">
        <v>0</v>
      </c>
      <c r="D15" s="267" t="s">
        <v>548</v>
      </c>
      <c r="E15" s="282">
        <v>0</v>
      </c>
      <c r="F15" s="265">
        <f>C15*E15</f>
        <v>0</v>
      </c>
      <c r="G15" s="264"/>
      <c r="H15" s="273" t="str">
        <f>'1. Cow Calf Budget'!A90</f>
        <v xml:space="preserve">  Other Grazing</v>
      </c>
      <c r="I15" s="265">
        <f>'1. Cow Calf Budget'!G90</f>
        <v>0</v>
      </c>
      <c r="J15" s="274" t="str">
        <f t="shared" si="0"/>
        <v xml:space="preserve"> </v>
      </c>
      <c r="K15" s="446" t="str">
        <f>IF(I15=0," ",I15/'1. Cow Calf Budget'!$F$9)</f>
        <v xml:space="preserve"> </v>
      </c>
      <c r="L15" s="295"/>
      <c r="M15" s="259"/>
      <c r="N15" s="257"/>
      <c r="O15" s="257"/>
      <c r="P15" s="259"/>
    </row>
    <row r="16" spans="1:16" x14ac:dyDescent="0.35">
      <c r="A16" s="108"/>
      <c r="B16" s="276" t="s">
        <v>489</v>
      </c>
      <c r="C16" s="276">
        <v>0</v>
      </c>
      <c r="D16" s="267" t="s">
        <v>548</v>
      </c>
      <c r="E16" s="282">
        <v>0</v>
      </c>
      <c r="F16" s="265">
        <f>C16*E16</f>
        <v>0</v>
      </c>
      <c r="G16" s="264"/>
      <c r="H16" s="273" t="str">
        <f>'1. Cow Calf Budget'!A91</f>
        <v xml:space="preserve">  Cash Rent Paid</v>
      </c>
      <c r="I16" s="265">
        <f>'1. Cow Calf Budget'!G91</f>
        <v>0</v>
      </c>
      <c r="J16" s="274" t="str">
        <f t="shared" si="0"/>
        <v xml:space="preserve"> </v>
      </c>
      <c r="K16" s="446" t="str">
        <f>IF(I16=0," ",I16/'1. Cow Calf Budget'!$F$9)</f>
        <v xml:space="preserve"> </v>
      </c>
      <c r="L16" s="293"/>
      <c r="M16" s="259"/>
      <c r="N16" s="259"/>
      <c r="O16" s="259"/>
      <c r="P16" s="259"/>
    </row>
    <row r="17" spans="1:17" x14ac:dyDescent="0.35">
      <c r="A17" s="108"/>
      <c r="B17" s="276" t="s">
        <v>489</v>
      </c>
      <c r="C17" s="276">
        <v>0</v>
      </c>
      <c r="D17" s="267" t="s">
        <v>548</v>
      </c>
      <c r="E17" s="282">
        <v>0</v>
      </c>
      <c r="F17" s="265">
        <f>C17*E17</f>
        <v>0</v>
      </c>
      <c r="G17" s="264"/>
      <c r="H17" s="273" t="str">
        <f>'1. Cow Calf Budget'!A93</f>
        <v xml:space="preserve">   Freight &amp; Trucking</v>
      </c>
      <c r="I17" s="265">
        <f>'1. Cow Calf Budget'!G93</f>
        <v>2000</v>
      </c>
      <c r="J17" s="274">
        <f t="shared" si="0"/>
        <v>7.3133897195680709E-3</v>
      </c>
      <c r="K17" s="446">
        <f>IF(I17=0," ",I17/'1. Cow Calf Budget'!$F$9)</f>
        <v>5</v>
      </c>
      <c r="L17" s="293"/>
      <c r="M17" s="259"/>
      <c r="N17" s="259"/>
      <c r="O17" s="259"/>
      <c r="P17" s="259"/>
    </row>
    <row r="18" spans="1:17" x14ac:dyDescent="0.35">
      <c r="A18" s="108"/>
      <c r="B18" s="276" t="s">
        <v>489</v>
      </c>
      <c r="C18" s="276">
        <v>0</v>
      </c>
      <c r="D18" s="267" t="s">
        <v>548</v>
      </c>
      <c r="E18" s="282">
        <v>0</v>
      </c>
      <c r="F18" s="265">
        <f>C18*E18</f>
        <v>0</v>
      </c>
      <c r="G18" s="264"/>
      <c r="H18" s="273" t="str">
        <f>'1. Cow Calf Budget'!A94</f>
        <v xml:space="preserve">   Veterinary, Medicine &amp; Breeding</v>
      </c>
      <c r="I18" s="265">
        <f>'1. Cow Calf Budget'!G94</f>
        <v>14000</v>
      </c>
      <c r="J18" s="274">
        <f t="shared" si="0"/>
        <v>5.1193728036976499E-2</v>
      </c>
      <c r="K18" s="446">
        <f>IF(I18=0," ",I18/'1. Cow Calf Budget'!$F$9)</f>
        <v>35</v>
      </c>
      <c r="L18" s="293"/>
      <c r="M18" s="259"/>
      <c r="N18" s="259"/>
      <c r="O18" s="259"/>
      <c r="P18" s="259"/>
    </row>
    <row r="19" spans="1:17" x14ac:dyDescent="0.35">
      <c r="A19" s="108"/>
      <c r="B19" s="267"/>
      <c r="C19" s="267"/>
      <c r="D19" s="267"/>
      <c r="E19" s="267"/>
      <c r="F19" s="265"/>
      <c r="G19" s="264"/>
      <c r="H19" s="273" t="str">
        <f>'1. Cow Calf Budget'!A95</f>
        <v xml:space="preserve">   Supplies</v>
      </c>
      <c r="I19" s="265">
        <f>'1. Cow Calf Budget'!G95</f>
        <v>2000</v>
      </c>
      <c r="J19" s="274">
        <f t="shared" si="0"/>
        <v>7.3133897195680709E-3</v>
      </c>
      <c r="K19" s="446">
        <f>IF(I19=0," ",I19/'1. Cow Calf Budget'!$F$9)</f>
        <v>5</v>
      </c>
      <c r="L19" s="293"/>
      <c r="M19" s="259"/>
      <c r="N19" s="259"/>
      <c r="O19" s="259"/>
      <c r="P19" s="259"/>
    </row>
    <row r="20" spans="1:17" x14ac:dyDescent="0.35">
      <c r="A20" s="108"/>
      <c r="B20" s="267" t="s">
        <v>553</v>
      </c>
      <c r="C20" s="267"/>
      <c r="D20" s="267"/>
      <c r="E20" s="267"/>
      <c r="F20" s="265">
        <v>0</v>
      </c>
      <c r="G20" s="264"/>
      <c r="H20" s="273" t="str">
        <f>'1. Cow Calf Budget'!A96</f>
        <v xml:space="preserve">   Other Cash Costs</v>
      </c>
      <c r="I20" s="265">
        <f>'1. Cow Calf Budget'!G96</f>
        <v>0</v>
      </c>
      <c r="J20" s="274" t="str">
        <f t="shared" si="0"/>
        <v xml:space="preserve"> </v>
      </c>
      <c r="K20" s="446" t="str">
        <f>IF(I20=0," ",I20/'1. Cow Calf Budget'!$F$9)</f>
        <v xml:space="preserve"> </v>
      </c>
      <c r="L20" s="293"/>
      <c r="M20" s="259"/>
      <c r="N20" s="259"/>
      <c r="O20" s="259"/>
      <c r="P20" s="259"/>
    </row>
    <row r="21" spans="1:17" x14ac:dyDescent="0.35">
      <c r="A21" s="108"/>
      <c r="B21" s="269" t="s">
        <v>562</v>
      </c>
      <c r="C21" s="269"/>
      <c r="D21" s="269"/>
      <c r="E21" s="269"/>
      <c r="F21" s="283">
        <f>SUM(F15:F20)</f>
        <v>0</v>
      </c>
      <c r="G21" s="264"/>
      <c r="H21" s="273" t="str">
        <f>'1. Cow Calf Budget'!A97</f>
        <v xml:space="preserve">   Other Cash Costs</v>
      </c>
      <c r="I21" s="265">
        <f>'1. Cow Calf Budget'!G97</f>
        <v>0</v>
      </c>
      <c r="J21" s="274" t="str">
        <f t="shared" si="0"/>
        <v xml:space="preserve"> </v>
      </c>
      <c r="K21" s="446" t="str">
        <f>IF(I21=0," ",I21/'1. Cow Calf Budget'!$F$9)</f>
        <v xml:space="preserve"> </v>
      </c>
      <c r="L21" s="293"/>
      <c r="M21" s="259"/>
      <c r="N21" s="259"/>
      <c r="O21" s="259"/>
      <c r="P21" s="259"/>
    </row>
    <row r="22" spans="1:17" x14ac:dyDescent="0.35">
      <c r="A22" s="108"/>
      <c r="B22" s="113" t="s">
        <v>540</v>
      </c>
      <c r="C22" s="264"/>
      <c r="D22" s="264"/>
      <c r="E22" s="264"/>
      <c r="F22" s="264"/>
      <c r="G22" s="264"/>
      <c r="H22" s="273" t="str">
        <f>'1. Cow Calf Budget'!A98</f>
        <v xml:space="preserve">   Other Cash Costs</v>
      </c>
      <c r="I22" s="265">
        <f>'1. Cow Calf Budget'!G98</f>
        <v>0</v>
      </c>
      <c r="J22" s="274" t="str">
        <f t="shared" si="0"/>
        <v xml:space="preserve"> </v>
      </c>
      <c r="K22" s="446" t="str">
        <f>IF(I22=0," ",I22/'1. Cow Calf Budget'!$F$9)</f>
        <v xml:space="preserve"> </v>
      </c>
      <c r="L22" s="293"/>
      <c r="M22" s="259"/>
      <c r="N22" s="259"/>
      <c r="O22" s="259"/>
      <c r="P22" s="259"/>
      <c r="Q22" s="260"/>
    </row>
    <row r="23" spans="1:17" x14ac:dyDescent="0.35">
      <c r="A23" s="108"/>
      <c r="B23" s="267"/>
      <c r="C23" s="267"/>
      <c r="D23" s="267"/>
      <c r="E23" s="267"/>
      <c r="F23" s="265"/>
      <c r="G23" s="264"/>
      <c r="H23" s="273" t="str">
        <f>'1. Cow Calf Budget'!A99</f>
        <v xml:space="preserve">    Hired Temporary Labor</v>
      </c>
      <c r="I23" s="265">
        <f>'1. Cow Calf Budget'!G99</f>
        <v>3000</v>
      </c>
      <c r="J23" s="274">
        <f t="shared" si="0"/>
        <v>1.0970084579352106E-2</v>
      </c>
      <c r="K23" s="446">
        <f>IF(I23=0," ",I23/'1. Cow Calf Budget'!$F$9)</f>
        <v>7.5</v>
      </c>
      <c r="L23" s="260"/>
      <c r="M23" s="260"/>
      <c r="N23" s="260"/>
      <c r="O23" s="260"/>
      <c r="P23" s="259"/>
      <c r="Q23" s="260"/>
    </row>
    <row r="24" spans="1:17" x14ac:dyDescent="0.35">
      <c r="A24" s="108"/>
      <c r="B24" s="267" t="s">
        <v>564</v>
      </c>
      <c r="C24" s="267"/>
      <c r="D24" s="267"/>
      <c r="E24" s="267"/>
      <c r="F24" s="282">
        <v>0</v>
      </c>
      <c r="G24" s="264"/>
      <c r="H24" s="273" t="str">
        <f>'1. Cow Calf Budget'!A104</f>
        <v xml:space="preserve">   Repairs &amp; Main. - Vehicles, Mach.&amp; Equip.</v>
      </c>
      <c r="I24" s="265">
        <f>'1. Cow Calf Budget'!G104</f>
        <v>7600</v>
      </c>
      <c r="J24" s="274">
        <f t="shared" si="0"/>
        <v>2.7790880934358671E-2</v>
      </c>
      <c r="K24" s="446">
        <f>IF(I24=0," ",I24/'1. Cow Calf Budget'!$F$9)</f>
        <v>19</v>
      </c>
      <c r="L24" s="258">
        <f>SUM(I5:I23)</f>
        <v>59640</v>
      </c>
      <c r="M24" s="259" t="s">
        <v>567</v>
      </c>
      <c r="N24" s="259"/>
      <c r="O24" s="259"/>
      <c r="P24" s="259"/>
      <c r="Q24" s="260"/>
    </row>
    <row r="25" spans="1:17" x14ac:dyDescent="0.35">
      <c r="A25" s="108"/>
      <c r="B25" s="267" t="s">
        <v>554</v>
      </c>
      <c r="C25" s="267"/>
      <c r="D25" s="267"/>
      <c r="E25" s="267"/>
      <c r="F25" s="282">
        <v>0</v>
      </c>
      <c r="G25" s="264"/>
      <c r="H25" s="273" t="str">
        <f>'1. Cow Calf Budget'!A105</f>
        <v xml:space="preserve">   Repairs &amp; Maintenance of Improvements</v>
      </c>
      <c r="I25" s="265">
        <f>'1. Cow Calf Budget'!G105</f>
        <v>4000</v>
      </c>
      <c r="J25" s="274">
        <f t="shared" si="0"/>
        <v>1.4626779439136142E-2</v>
      </c>
      <c r="K25" s="446">
        <f>IF(I25=0," ",I25/'1. Cow Calf Budget'!$F$9)</f>
        <v>10</v>
      </c>
      <c r="L25" s="293"/>
      <c r="M25" s="259"/>
      <c r="N25" s="259"/>
      <c r="O25" s="259"/>
      <c r="P25" s="259"/>
      <c r="Q25" s="260"/>
    </row>
    <row r="26" spans="1:17" x14ac:dyDescent="0.35">
      <c r="A26" s="108"/>
      <c r="B26" s="276" t="s">
        <v>489</v>
      </c>
      <c r="C26" s="267"/>
      <c r="D26" s="267"/>
      <c r="E26" s="267"/>
      <c r="F26" s="282">
        <v>0</v>
      </c>
      <c r="G26" s="264"/>
      <c r="H26" s="273" t="str">
        <f>'1. Cow Calf Budget'!A106</f>
        <v xml:space="preserve">   Property Tax - Land Tax</v>
      </c>
      <c r="I26" s="265">
        <f>'1. Cow Calf Budget'!G106</f>
        <v>2000</v>
      </c>
      <c r="J26" s="274">
        <f t="shared" si="0"/>
        <v>7.3133897195680709E-3</v>
      </c>
      <c r="K26" s="446">
        <f>IF(I26=0," ",I26/'1. Cow Calf Budget'!$F$9)</f>
        <v>5</v>
      </c>
      <c r="L26" s="293"/>
      <c r="M26" s="259"/>
      <c r="N26" s="259"/>
      <c r="O26" s="259"/>
      <c r="P26" s="259"/>
      <c r="Q26" s="260"/>
    </row>
    <row r="27" spans="1:17" x14ac:dyDescent="0.35">
      <c r="A27" s="108"/>
      <c r="B27" s="276" t="s">
        <v>489</v>
      </c>
      <c r="C27" s="267"/>
      <c r="D27" s="267"/>
      <c r="E27" s="267"/>
      <c r="F27" s="282">
        <v>0</v>
      </c>
      <c r="G27" s="264"/>
      <c r="H27" s="273" t="str">
        <f>'1. Cow Calf Budget'!A107</f>
        <v xml:space="preserve">   Gasoline, Fuel, &amp; Oil</v>
      </c>
      <c r="I27" s="265">
        <f>'1. Cow Calf Budget'!G107</f>
        <v>12000</v>
      </c>
      <c r="J27" s="274">
        <f t="shared" si="0"/>
        <v>4.3880338317408424E-2</v>
      </c>
      <c r="K27" s="446">
        <f>IF(I27=0," ",I27/'1. Cow Calf Budget'!$F$9)</f>
        <v>30</v>
      </c>
      <c r="L27" s="293"/>
      <c r="M27" s="259"/>
      <c r="N27" s="259"/>
      <c r="O27" s="259"/>
      <c r="P27" s="259"/>
      <c r="Q27" s="260"/>
    </row>
    <row r="28" spans="1:17" x14ac:dyDescent="0.35">
      <c r="A28" s="108"/>
      <c r="B28" s="276" t="s">
        <v>489</v>
      </c>
      <c r="C28" s="267"/>
      <c r="D28" s="267"/>
      <c r="E28" s="267"/>
      <c r="F28" s="282">
        <v>0</v>
      </c>
      <c r="G28" s="264"/>
      <c r="H28" s="273" t="str">
        <f>'1. Cow Calf Budget'!A108</f>
        <v xml:space="preserve">   Other Cash Cost</v>
      </c>
      <c r="I28" s="265">
        <f>'1. Cow Calf Budget'!G108</f>
        <v>0</v>
      </c>
      <c r="J28" s="274" t="str">
        <f t="shared" si="0"/>
        <v xml:space="preserve"> </v>
      </c>
      <c r="K28" s="446" t="str">
        <f>IF(I28=0," ",I28/'1. Cow Calf Budget'!$F$9)</f>
        <v xml:space="preserve"> </v>
      </c>
      <c r="L28" s="293"/>
      <c r="M28" s="259"/>
      <c r="N28" s="259"/>
      <c r="O28" s="259"/>
      <c r="P28" s="259"/>
      <c r="Q28" s="260"/>
    </row>
    <row r="29" spans="1:17" x14ac:dyDescent="0.35">
      <c r="A29" s="108"/>
      <c r="B29" s="276" t="s">
        <v>489</v>
      </c>
      <c r="C29" s="267"/>
      <c r="D29" s="267"/>
      <c r="E29" s="267"/>
      <c r="F29" s="282">
        <v>0</v>
      </c>
      <c r="G29" s="264"/>
      <c r="H29" s="273" t="str">
        <f>'1. Cow Calf Budget'!A109</f>
        <v xml:space="preserve">    Hired Permanent Management</v>
      </c>
      <c r="I29" s="265">
        <f>'1. Cow Calf Budget'!G109</f>
        <v>40000</v>
      </c>
      <c r="J29" s="274">
        <f t="shared" si="0"/>
        <v>0.14626779439136142</v>
      </c>
      <c r="K29" s="446">
        <f>IF(I29=0," ",I29/'1. Cow Calf Budget'!$F$9)</f>
        <v>100</v>
      </c>
      <c r="L29" s="293"/>
      <c r="M29" s="259"/>
      <c r="N29" s="259"/>
      <c r="O29" s="259"/>
      <c r="P29" s="259"/>
      <c r="Q29" s="260"/>
    </row>
    <row r="30" spans="1:17" x14ac:dyDescent="0.35">
      <c r="A30" s="108"/>
      <c r="B30" s="276" t="s">
        <v>489</v>
      </c>
      <c r="C30" s="267"/>
      <c r="D30" s="267"/>
      <c r="E30" s="267"/>
      <c r="F30" s="282">
        <v>0</v>
      </c>
      <c r="G30" s="264"/>
      <c r="H30" s="273" t="str">
        <f>'1. Cow Calf Budget'!A110</f>
        <v xml:space="preserve">    Owner Operator Management &amp; Labor</v>
      </c>
      <c r="I30" s="265">
        <f>'1. Cow Calf Budget'!G110</f>
        <v>70000</v>
      </c>
      <c r="J30" s="274">
        <f t="shared" si="0"/>
        <v>0.25596864018488247</v>
      </c>
      <c r="K30" s="446">
        <f>IF(I30=0," ",I30/'1. Cow Calf Budget'!$F$9)</f>
        <v>175</v>
      </c>
      <c r="L30" s="296">
        <f>SUM(I24:I30)+I39</f>
        <v>180575</v>
      </c>
      <c r="M30" s="259" t="s">
        <v>568</v>
      </c>
      <c r="N30" s="259"/>
      <c r="O30" s="259"/>
      <c r="P30" s="259"/>
      <c r="Q30" s="260"/>
    </row>
    <row r="31" spans="1:17" x14ac:dyDescent="0.35">
      <c r="A31" s="108"/>
      <c r="B31" s="276" t="s">
        <v>489</v>
      </c>
      <c r="C31" s="267"/>
      <c r="D31" s="267"/>
      <c r="E31" s="267"/>
      <c r="F31" s="282">
        <v>0</v>
      </c>
      <c r="G31" s="264"/>
      <c r="H31" s="273" t="str">
        <f>'1. Cow Calf Budget'!A122</f>
        <v xml:space="preserve">   Professional Fees - Accounting &amp; Legal</v>
      </c>
      <c r="I31" s="265">
        <f>'1. Cow Calf Budget'!G122</f>
        <v>2500</v>
      </c>
      <c r="J31" s="274">
        <f t="shared" si="0"/>
        <v>9.1417371494600889E-3</v>
      </c>
      <c r="K31" s="446">
        <f>IF(I31=0," ",I31/'1. Cow Calf Budget'!$F$9)</f>
        <v>6.25</v>
      </c>
      <c r="L31" s="293"/>
      <c r="M31" s="259"/>
      <c r="N31" s="259"/>
      <c r="O31" s="259"/>
      <c r="P31" s="259"/>
      <c r="Q31" s="260"/>
    </row>
    <row r="32" spans="1:17" x14ac:dyDescent="0.35">
      <c r="A32" s="108"/>
      <c r="B32" s="276" t="s">
        <v>489</v>
      </c>
      <c r="C32" s="267"/>
      <c r="D32" s="267"/>
      <c r="E32" s="267"/>
      <c r="F32" s="282">
        <v>0</v>
      </c>
      <c r="G32" s="264"/>
      <c r="H32" s="273" t="str">
        <f>'1. Cow Calf Budget'!A123</f>
        <v xml:space="preserve">   Utilities, Phone, Computer etc.</v>
      </c>
      <c r="I32" s="265">
        <f>'1. Cow Calf Budget'!G123</f>
        <v>4000</v>
      </c>
      <c r="J32" s="274">
        <f t="shared" si="0"/>
        <v>1.4626779439136142E-2</v>
      </c>
      <c r="K32" s="446">
        <f>IF(I32=0," ",I32/'1. Cow Calf Budget'!$F$9)</f>
        <v>10</v>
      </c>
      <c r="L32" s="296">
        <f>SUM(I31:I37)</f>
        <v>30500</v>
      </c>
      <c r="M32" s="259" t="s">
        <v>457</v>
      </c>
      <c r="N32" s="259" t="s">
        <v>158</v>
      </c>
      <c r="O32" s="259" t="s">
        <v>539</v>
      </c>
      <c r="P32" s="259"/>
      <c r="Q32" s="260"/>
    </row>
    <row r="33" spans="1:17" x14ac:dyDescent="0.35">
      <c r="A33" s="108"/>
      <c r="B33" s="276" t="s">
        <v>489</v>
      </c>
      <c r="C33" s="267"/>
      <c r="D33" s="267"/>
      <c r="E33" s="267"/>
      <c r="F33" s="282">
        <v>0</v>
      </c>
      <c r="G33" s="264"/>
      <c r="H33" s="273" t="str">
        <f>'1. Cow Calf Budget'!A124</f>
        <v xml:space="preserve">   Office Supplies</v>
      </c>
      <c r="I33" s="265">
        <f>'1. Cow Calf Budget'!G124</f>
        <v>1500</v>
      </c>
      <c r="J33" s="274">
        <f t="shared" si="0"/>
        <v>5.485042289676053E-3</v>
      </c>
      <c r="K33" s="446">
        <f>IF(I33=0," ",I33/'1. Cow Calf Budget'!$F$9)</f>
        <v>3.75</v>
      </c>
      <c r="L33" s="295">
        <f>SUM(L24:L32)</f>
        <v>270715</v>
      </c>
      <c r="M33" s="259"/>
      <c r="N33" s="259"/>
      <c r="O33" s="259"/>
      <c r="P33" s="259"/>
      <c r="Q33" s="260"/>
    </row>
    <row r="34" spans="1:17" x14ac:dyDescent="0.35">
      <c r="A34" s="108"/>
      <c r="B34" s="284"/>
      <c r="C34" s="284"/>
      <c r="D34" s="284"/>
      <c r="E34" s="284"/>
      <c r="F34" s="283"/>
      <c r="G34" s="264"/>
      <c r="H34" s="273" t="str">
        <f>'1. Cow Calf Budget'!A125</f>
        <v xml:space="preserve">   Dues &amp; Subscriptions</v>
      </c>
      <c r="I34" s="265">
        <f>'1. Cow Calf Budget'!G125</f>
        <v>500</v>
      </c>
      <c r="J34" s="274">
        <f t="shared" si="0"/>
        <v>1.8283474298920177E-3</v>
      </c>
      <c r="K34" s="446">
        <f>IF(I34=0," ",I34/'1. Cow Calf Budget'!$F$9)</f>
        <v>1.25</v>
      </c>
      <c r="L34" s="293" t="s">
        <v>566</v>
      </c>
      <c r="M34" s="259"/>
      <c r="N34" s="257">
        <f>I23+I29+I30</f>
        <v>113000</v>
      </c>
      <c r="O34" s="297">
        <f>N34/I41</f>
        <v>0.41741314666715917</v>
      </c>
      <c r="P34" s="260"/>
      <c r="Q34" s="260"/>
    </row>
    <row r="35" spans="1:17" x14ac:dyDescent="0.35">
      <c r="A35" s="108"/>
      <c r="B35" s="269" t="s">
        <v>533</v>
      </c>
      <c r="C35" s="267"/>
      <c r="D35" s="267"/>
      <c r="E35" s="267"/>
      <c r="F35" s="283">
        <f>SUM(F21:F33)</f>
        <v>0</v>
      </c>
      <c r="G35" s="264"/>
      <c r="H35" s="273" t="str">
        <f>'1. Cow Calf Budget'!A126</f>
        <v xml:space="preserve">   Administrative Wages Payroll etc.</v>
      </c>
      <c r="I35" s="265">
        <f>'1. Cow Calf Budget'!G126</f>
        <v>15000</v>
      </c>
      <c r="J35" s="274">
        <f t="shared" si="0"/>
        <v>5.4850422896760537E-2</v>
      </c>
      <c r="K35" s="446">
        <f>IF(I35=0," ",I35/'1. Cow Calf Budget'!$F$9)</f>
        <v>37.5</v>
      </c>
      <c r="L35" s="260"/>
      <c r="M35" s="260"/>
      <c r="N35" s="260"/>
      <c r="O35" s="260"/>
      <c r="P35" s="260"/>
      <c r="Q35" s="260"/>
    </row>
    <row r="36" spans="1:17" x14ac:dyDescent="0.35">
      <c r="A36" s="108"/>
      <c r="B36" s="267" t="s">
        <v>548</v>
      </c>
      <c r="C36" s="267"/>
      <c r="D36" s="267"/>
      <c r="E36" s="267"/>
      <c r="F36" s="265"/>
      <c r="G36" s="264"/>
      <c r="H36" s="273" t="str">
        <f>'1. Cow Calf Budget'!A127</f>
        <v xml:space="preserve">   Insurance</v>
      </c>
      <c r="I36" s="265">
        <f>'1. Cow Calf Budget'!G127</f>
        <v>7000</v>
      </c>
      <c r="J36" s="274">
        <f t="shared" si="0"/>
        <v>2.559686401848825E-2</v>
      </c>
      <c r="K36" s="446">
        <f>IF(I36=0," ",I36/'1. Cow Calf Budget'!$F$9)</f>
        <v>17.5</v>
      </c>
      <c r="L36" s="260"/>
      <c r="M36" s="260"/>
      <c r="N36" s="260"/>
      <c r="O36" s="260"/>
      <c r="P36" s="260"/>
      <c r="Q36" s="260"/>
    </row>
    <row r="37" spans="1:17" x14ac:dyDescent="0.35">
      <c r="A37" s="108"/>
      <c r="B37" s="277" t="s">
        <v>531</v>
      </c>
      <c r="C37" s="277"/>
      <c r="D37" s="277"/>
      <c r="E37" s="277"/>
      <c r="F37" s="281">
        <f>F11+F35</f>
        <v>289284.25499999995</v>
      </c>
      <c r="G37" s="264"/>
      <c r="H37" s="273" t="str">
        <f>'1. Cow Calf Budget'!A128</f>
        <v xml:space="preserve">   Other</v>
      </c>
      <c r="I37" s="265">
        <f>'1. Cow Calf Budget'!G128</f>
        <v>0</v>
      </c>
      <c r="J37" s="274" t="str">
        <f t="shared" si="0"/>
        <v xml:space="preserve"> </v>
      </c>
      <c r="K37" s="446" t="str">
        <f>IF(I37=0," ",I37/'1. Cow Calf Budget'!$F$9)</f>
        <v xml:space="preserve"> </v>
      </c>
      <c r="L37" s="260"/>
      <c r="M37" s="260"/>
      <c r="N37" s="260"/>
      <c r="O37" s="260"/>
      <c r="P37" s="259"/>
      <c r="Q37" s="260"/>
    </row>
    <row r="38" spans="1:17" x14ac:dyDescent="0.35">
      <c r="A38" s="108"/>
      <c r="B38" s="264" t="s">
        <v>592</v>
      </c>
      <c r="C38" s="264"/>
      <c r="D38" s="264"/>
      <c r="E38" s="264"/>
      <c r="F38" s="282"/>
      <c r="G38" s="264"/>
      <c r="H38" s="285" t="s">
        <v>538</v>
      </c>
      <c r="I38" s="281">
        <f>SUM(I5:I37)</f>
        <v>225740</v>
      </c>
      <c r="J38" s="286">
        <f>IF(I38=0,0,I38/$I$51)</f>
        <v>0.82546229764764822</v>
      </c>
      <c r="K38" s="448">
        <f>IF(I38=0," ",I38/'1. Cow Calf Budget'!$F$9)</f>
        <v>564.35</v>
      </c>
      <c r="L38" s="293"/>
      <c r="M38" s="259"/>
      <c r="N38" s="259"/>
      <c r="O38" s="259"/>
      <c r="P38" s="259"/>
      <c r="Q38" s="260"/>
    </row>
    <row r="39" spans="1:17" x14ac:dyDescent="0.35">
      <c r="A39" s="108"/>
      <c r="B39" s="267" t="s">
        <v>593</v>
      </c>
      <c r="C39" s="267"/>
      <c r="D39" s="267"/>
      <c r="E39" s="267"/>
      <c r="F39" s="282"/>
      <c r="G39" s="264"/>
      <c r="H39" s="264" t="s">
        <v>537</v>
      </c>
      <c r="I39" s="265">
        <f>'1. Cow Calf Budget'!G113+'1. Cow Calf Budget'!G114+'1. Cow Calf Budget'!G115+'1. Cow Calf Budget'!G116</f>
        <v>44975</v>
      </c>
      <c r="J39" s="274">
        <f>IF(I39=0,0,I39/$I$51)</f>
        <v>0.16445985131878701</v>
      </c>
      <c r="K39" s="446">
        <f>IF(I39=0," ",I39/'1. Cow Calf Budget'!$F$9)</f>
        <v>112.4375</v>
      </c>
      <c r="L39" s="298">
        <f>I39/I41</f>
        <v>0.16613412629518129</v>
      </c>
      <c r="M39" s="293" t="s">
        <v>536</v>
      </c>
      <c r="N39" s="259"/>
      <c r="O39" s="259"/>
      <c r="P39" s="259"/>
      <c r="Q39" s="260"/>
    </row>
    <row r="40" spans="1:17" x14ac:dyDescent="0.35">
      <c r="A40" s="108"/>
      <c r="B40" s="284" t="s">
        <v>528</v>
      </c>
      <c r="C40" s="284"/>
      <c r="D40" s="284"/>
      <c r="E40" s="284"/>
      <c r="F40" s="283">
        <f>F37</f>
        <v>289284.25499999995</v>
      </c>
      <c r="G40" s="264"/>
      <c r="H40" s="267" t="s">
        <v>622</v>
      </c>
      <c r="I40" s="265"/>
      <c r="J40" s="264"/>
      <c r="K40" s="298"/>
      <c r="L40" s="293"/>
      <c r="M40" s="259"/>
      <c r="N40" s="259"/>
      <c r="O40" s="259"/>
      <c r="P40" s="259"/>
      <c r="Q40" s="260"/>
    </row>
    <row r="41" spans="1:17" x14ac:dyDescent="0.35">
      <c r="A41" s="108"/>
      <c r="B41" s="260"/>
      <c r="C41" s="260"/>
      <c r="D41" s="260"/>
      <c r="E41" s="260"/>
      <c r="F41" s="260"/>
      <c r="G41" s="264"/>
      <c r="H41" s="285" t="s">
        <v>535</v>
      </c>
      <c r="I41" s="287">
        <f>I38+I39</f>
        <v>270715</v>
      </c>
      <c r="J41" s="288">
        <f>IF(I41=0,0,I41/$I$51)</f>
        <v>0.98992214896643516</v>
      </c>
      <c r="K41" s="448">
        <f>IF(I41=0," ",I41/'1. Cow Calf Budget'!$F$9)</f>
        <v>676.78750000000002</v>
      </c>
      <c r="L41" s="298"/>
      <c r="M41" s="259"/>
      <c r="N41" s="259"/>
      <c r="O41" s="259"/>
      <c r="P41" s="259"/>
      <c r="Q41" s="260"/>
    </row>
    <row r="42" spans="1:17" x14ac:dyDescent="0.35">
      <c r="A42" s="108"/>
      <c r="B42" s="260"/>
      <c r="C42" s="260"/>
      <c r="D42" s="260"/>
      <c r="E42" s="260"/>
      <c r="F42" s="260"/>
      <c r="G42" s="264"/>
      <c r="H42" s="264"/>
      <c r="I42" s="264"/>
      <c r="J42" s="264"/>
      <c r="K42" s="293"/>
      <c r="L42" s="293"/>
      <c r="M42" s="259"/>
      <c r="N42" s="259"/>
      <c r="O42" s="259"/>
      <c r="P42" s="259"/>
    </row>
    <row r="43" spans="1:17" x14ac:dyDescent="0.35">
      <c r="A43" s="108"/>
      <c r="B43" s="284" t="s">
        <v>526</v>
      </c>
      <c r="C43" s="284"/>
      <c r="D43" s="284"/>
      <c r="E43" s="284"/>
      <c r="F43" s="283">
        <f>F40-I41</f>
        <v>18569.254999999946</v>
      </c>
      <c r="G43" s="264"/>
      <c r="H43" s="284" t="s">
        <v>534</v>
      </c>
      <c r="I43" s="284"/>
      <c r="J43" s="264"/>
      <c r="K43" s="293"/>
      <c r="L43" s="293"/>
      <c r="M43" s="259"/>
      <c r="N43" s="259"/>
      <c r="O43" s="259"/>
      <c r="P43" s="259"/>
    </row>
    <row r="44" spans="1:17" x14ac:dyDescent="0.35">
      <c r="A44" s="108"/>
      <c r="B44" s="267" t="s">
        <v>591</v>
      </c>
      <c r="C44" s="284"/>
      <c r="D44" s="284"/>
      <c r="E44" s="284"/>
      <c r="F44" s="265"/>
      <c r="G44" s="264"/>
      <c r="H44" s="264" t="s">
        <v>578</v>
      </c>
      <c r="I44" s="265">
        <f>'1. Cow Calf Budget'!G139</f>
        <v>2756</v>
      </c>
      <c r="J44" s="264"/>
      <c r="K44" s="293"/>
      <c r="L44" s="293"/>
      <c r="N44" s="259"/>
      <c r="O44" s="259"/>
      <c r="P44" s="259"/>
    </row>
    <row r="45" spans="1:17" x14ac:dyDescent="0.35">
      <c r="A45" s="108"/>
      <c r="B45" s="284" t="s">
        <v>555</v>
      </c>
      <c r="C45" s="284"/>
      <c r="D45" s="284"/>
      <c r="E45" s="284"/>
      <c r="F45" s="283">
        <f>F43</f>
        <v>18569.254999999946</v>
      </c>
      <c r="G45" s="264"/>
      <c r="H45" s="267" t="s">
        <v>621</v>
      </c>
      <c r="I45" s="265"/>
      <c r="J45" s="264"/>
      <c r="K45" s="293"/>
      <c r="L45" s="293"/>
      <c r="M45" s="259"/>
      <c r="N45" s="259"/>
      <c r="O45" s="259"/>
      <c r="P45" s="259"/>
    </row>
    <row r="46" spans="1:17" x14ac:dyDescent="0.35">
      <c r="A46" s="108"/>
      <c r="B46" s="260"/>
      <c r="C46" s="260"/>
      <c r="D46" s="260"/>
      <c r="E46" s="260"/>
      <c r="F46" s="260"/>
      <c r="G46" s="264"/>
      <c r="H46" s="289" t="s">
        <v>532</v>
      </c>
      <c r="I46" s="265">
        <f>SUM(I44:I45)</f>
        <v>2756</v>
      </c>
      <c r="J46" s="274">
        <f>IF(I46=0,0,I46/$I$51)</f>
        <v>1.0077851033564802E-2</v>
      </c>
      <c r="K46" s="446">
        <f>IF(I46=0," ",I46/'1. Cow Calf Budget'!$F$9)</f>
        <v>6.89</v>
      </c>
      <c r="L46" s="295">
        <f>I46</f>
        <v>2756</v>
      </c>
      <c r="M46" s="259" t="s">
        <v>569</v>
      </c>
      <c r="N46" s="259"/>
      <c r="O46" s="259"/>
      <c r="P46" s="259"/>
    </row>
    <row r="47" spans="1:17" x14ac:dyDescent="0.35">
      <c r="A47" s="108"/>
      <c r="B47" s="284" t="s">
        <v>590</v>
      </c>
      <c r="C47" s="264"/>
      <c r="D47" s="264"/>
      <c r="E47" s="264"/>
      <c r="F47" s="282"/>
      <c r="G47" s="264"/>
      <c r="H47" s="264" t="s">
        <v>530</v>
      </c>
      <c r="I47" s="265"/>
      <c r="J47" s="264"/>
      <c r="K47" s="293"/>
      <c r="L47" s="296">
        <f>L33+L46</f>
        <v>273471</v>
      </c>
      <c r="M47" s="259" t="s">
        <v>158</v>
      </c>
      <c r="N47" s="259"/>
      <c r="O47" s="259"/>
      <c r="P47" s="259"/>
    </row>
    <row r="48" spans="1:17" x14ac:dyDescent="0.35">
      <c r="A48" s="108"/>
      <c r="B48" s="260"/>
      <c r="C48" s="260"/>
      <c r="D48" s="260"/>
      <c r="E48" s="260"/>
      <c r="F48" s="260"/>
      <c r="G48" s="264"/>
      <c r="H48" s="284" t="s">
        <v>620</v>
      </c>
      <c r="I48" s="267"/>
      <c r="J48" s="264"/>
      <c r="K48" s="293"/>
      <c r="L48" s="293"/>
      <c r="M48" s="259"/>
      <c r="N48" s="259"/>
      <c r="O48" s="259"/>
      <c r="P48" s="259"/>
    </row>
    <row r="49" spans="1:17" x14ac:dyDescent="0.35">
      <c r="A49" s="108"/>
      <c r="B49" s="284" t="s">
        <v>524</v>
      </c>
      <c r="C49" s="284"/>
      <c r="D49" s="284"/>
      <c r="E49" s="284"/>
      <c r="F49" s="283">
        <f>F40</f>
        <v>289284.25499999995</v>
      </c>
      <c r="G49" s="264"/>
      <c r="H49" s="264" t="s">
        <v>529</v>
      </c>
      <c r="I49" s="265"/>
      <c r="J49" s="264"/>
      <c r="K49" s="293"/>
      <c r="L49" s="293"/>
      <c r="M49" s="259"/>
      <c r="N49" s="259"/>
      <c r="O49" s="259"/>
      <c r="P49" s="259"/>
    </row>
    <row r="50" spans="1:17" x14ac:dyDescent="0.35">
      <c r="A50" s="108"/>
      <c r="B50" s="260"/>
      <c r="C50" s="260"/>
      <c r="D50" s="260"/>
      <c r="E50" s="260"/>
      <c r="F50" s="260"/>
      <c r="G50" s="264"/>
      <c r="H50" s="264" t="s">
        <v>527</v>
      </c>
      <c r="I50" s="265"/>
      <c r="J50" s="264"/>
      <c r="K50" s="293"/>
      <c r="L50" s="293"/>
      <c r="M50" s="259"/>
      <c r="N50" s="259"/>
      <c r="O50" s="259"/>
      <c r="P50" s="259"/>
    </row>
    <row r="51" spans="1:17" x14ac:dyDescent="0.35">
      <c r="A51" s="108"/>
      <c r="B51" s="277" t="s">
        <v>614</v>
      </c>
      <c r="C51" s="277"/>
      <c r="D51" s="277"/>
      <c r="E51" s="277"/>
      <c r="F51" s="290">
        <f>F49-I51</f>
        <v>15813.254999999946</v>
      </c>
      <c r="G51" s="264"/>
      <c r="H51" s="291" t="s">
        <v>525</v>
      </c>
      <c r="I51" s="292">
        <f>I41+I46</f>
        <v>273471</v>
      </c>
      <c r="J51" s="288">
        <f>IF(I51=0,0,I51/$I$51)</f>
        <v>1</v>
      </c>
      <c r="K51" s="448">
        <f>IF(I51=0," ",I51/'1. Cow Calf Budget'!$F$9)</f>
        <v>683.67750000000001</v>
      </c>
      <c r="L51" s="299"/>
      <c r="M51" s="259"/>
      <c r="N51" s="259"/>
      <c r="O51" s="257"/>
      <c r="P51" s="260"/>
      <c r="Q51" s="260"/>
    </row>
    <row r="52" spans="1:17" x14ac:dyDescent="0.35">
      <c r="A52" s="108"/>
      <c r="B52" s="112"/>
      <c r="C52" s="112"/>
      <c r="D52" s="112"/>
      <c r="E52" s="112"/>
      <c r="F52" s="112"/>
      <c r="G52" s="112"/>
      <c r="H52" s="59"/>
      <c r="I52" s="59"/>
      <c r="J52" s="59"/>
      <c r="K52" s="260"/>
      <c r="L52" s="260"/>
      <c r="M52" s="260"/>
      <c r="N52" s="260"/>
      <c r="O52" s="260"/>
      <c r="P52" s="260"/>
      <c r="Q52" s="260"/>
    </row>
    <row r="53" spans="1:17" x14ac:dyDescent="0.35">
      <c r="A53" s="108"/>
      <c r="B53" s="113" t="s">
        <v>613</v>
      </c>
      <c r="C53" s="112"/>
      <c r="D53" s="112"/>
      <c r="E53" s="112"/>
      <c r="F53" s="112"/>
      <c r="G53" s="112"/>
      <c r="H53" s="59"/>
      <c r="I53" s="59"/>
      <c r="J53" s="59"/>
      <c r="K53" s="260"/>
      <c r="L53" s="260"/>
      <c r="M53" s="260"/>
      <c r="N53" s="260"/>
      <c r="O53" s="260"/>
      <c r="P53" s="260"/>
      <c r="Q53" s="260"/>
    </row>
    <row r="54" spans="1:17" x14ac:dyDescent="0.35">
      <c r="A54" s="108"/>
      <c r="B54" s="424" t="s">
        <v>615</v>
      </c>
      <c r="C54" s="59"/>
      <c r="D54" s="59"/>
      <c r="E54" s="59"/>
      <c r="F54" s="59"/>
      <c r="G54" s="59"/>
      <c r="H54" s="59"/>
      <c r="I54" s="59"/>
      <c r="J54" s="59"/>
      <c r="K54" s="260"/>
      <c r="L54" s="260"/>
      <c r="M54" s="260"/>
      <c r="N54" s="260"/>
      <c r="O54" s="260"/>
      <c r="P54" s="260"/>
      <c r="Q54" s="260"/>
    </row>
    <row r="55" spans="1:17" x14ac:dyDescent="0.35">
      <c r="A55" s="108"/>
      <c r="B55" s="59"/>
      <c r="C55" s="59"/>
      <c r="D55" s="59"/>
      <c r="E55" s="59"/>
      <c r="F55" s="59"/>
      <c r="G55" s="59"/>
      <c r="H55" s="112"/>
      <c r="I55" s="449">
        <f>I51/'1. Cow Calf Budget'!F9</f>
        <v>683.67750000000001</v>
      </c>
      <c r="J55" s="112"/>
      <c r="K55" s="293"/>
      <c r="L55" s="293"/>
      <c r="M55" s="259"/>
      <c r="N55" s="259"/>
      <c r="O55" s="259"/>
      <c r="P55" s="259"/>
      <c r="Q55" s="260"/>
    </row>
    <row r="56" spans="1:17" x14ac:dyDescent="0.35">
      <c r="A56" s="108"/>
      <c r="B56" s="59"/>
      <c r="C56" s="59"/>
      <c r="D56" s="59"/>
      <c r="E56" s="59"/>
      <c r="F56" s="59"/>
      <c r="G56" s="59"/>
      <c r="H56" s="112"/>
      <c r="I56" s="112"/>
      <c r="J56" s="112"/>
      <c r="K56" s="293"/>
      <c r="L56" s="293"/>
      <c r="M56" s="259"/>
      <c r="N56" s="259"/>
      <c r="O56" s="259"/>
      <c r="P56" s="259"/>
      <c r="Q56" s="260"/>
    </row>
    <row r="57" spans="1:17" x14ac:dyDescent="0.35">
      <c r="A57" s="108"/>
      <c r="B57" s="59"/>
      <c r="C57" s="59"/>
      <c r="D57" s="59"/>
      <c r="E57" s="59"/>
      <c r="F57" s="59"/>
      <c r="G57" s="59"/>
      <c r="H57" s="112"/>
      <c r="I57" s="112"/>
      <c r="J57" s="112"/>
      <c r="K57" s="293"/>
      <c r="L57" s="293"/>
      <c r="M57" s="259"/>
      <c r="N57" s="259"/>
      <c r="O57" s="259"/>
      <c r="P57" s="259"/>
      <c r="Q57" s="260"/>
    </row>
    <row r="58" spans="1:17" x14ac:dyDescent="0.35">
      <c r="A58" s="108"/>
      <c r="B58" s="59"/>
      <c r="C58" s="59"/>
      <c r="D58" s="59"/>
      <c r="E58" s="59"/>
      <c r="F58" s="59"/>
      <c r="G58" s="59"/>
      <c r="H58" s="110"/>
      <c r="I58" s="112"/>
      <c r="J58" s="112"/>
      <c r="K58" s="293"/>
      <c r="L58" s="293"/>
      <c r="M58" s="259"/>
      <c r="N58" s="259"/>
      <c r="O58" s="259"/>
      <c r="P58" s="259"/>
      <c r="Q58" s="260"/>
    </row>
    <row r="59" spans="1:17" x14ac:dyDescent="0.35">
      <c r="A59" s="108"/>
      <c r="B59" s="59"/>
      <c r="C59" s="59"/>
      <c r="D59" s="59"/>
      <c r="E59" s="59"/>
      <c r="F59" s="59"/>
      <c r="G59" s="59"/>
      <c r="H59" s="112"/>
      <c r="I59" s="112"/>
      <c r="J59" s="112"/>
      <c r="K59" s="293"/>
      <c r="L59" s="293"/>
      <c r="M59" s="259"/>
      <c r="N59" s="259"/>
      <c r="O59" s="259"/>
      <c r="P59" s="259"/>
      <c r="Q59" s="260"/>
    </row>
    <row r="60" spans="1:17" x14ac:dyDescent="0.35">
      <c r="A60" s="108"/>
      <c r="B60" s="59"/>
      <c r="C60" s="59"/>
      <c r="D60" s="59"/>
      <c r="E60" s="59"/>
      <c r="F60" s="59"/>
      <c r="G60" s="59"/>
      <c r="H60" s="112"/>
      <c r="I60" s="112"/>
      <c r="J60" s="112"/>
      <c r="K60" s="293"/>
      <c r="L60" s="293"/>
      <c r="M60" s="259"/>
      <c r="N60" s="259"/>
      <c r="O60" s="259"/>
      <c r="P60" s="259"/>
      <c r="Q60" s="260"/>
    </row>
    <row r="61" spans="1:17" x14ac:dyDescent="0.35">
      <c r="A61" s="108"/>
      <c r="B61" s="59"/>
      <c r="C61" s="59"/>
      <c r="D61" s="59"/>
      <c r="E61" s="59"/>
      <c r="F61" s="59"/>
      <c r="G61" s="59"/>
      <c r="H61" s="112"/>
      <c r="I61" s="112"/>
      <c r="J61" s="112"/>
      <c r="K61" s="293"/>
      <c r="L61" s="293"/>
      <c r="M61" s="259"/>
      <c r="N61" s="259"/>
      <c r="O61" s="259"/>
      <c r="P61" s="259"/>
      <c r="Q61" s="260"/>
    </row>
    <row r="62" spans="1:17" x14ac:dyDescent="0.35">
      <c r="A62" s="108"/>
      <c r="B62" s="59"/>
      <c r="C62" s="59"/>
      <c r="D62" s="59"/>
      <c r="E62" s="59"/>
      <c r="F62" s="59"/>
      <c r="G62" s="59"/>
      <c r="H62" s="112"/>
      <c r="I62" s="112"/>
      <c r="J62" s="112"/>
      <c r="K62" s="293"/>
      <c r="L62" s="293"/>
      <c r="M62" s="259"/>
      <c r="N62" s="259"/>
      <c r="O62" s="259"/>
      <c r="P62" s="259"/>
      <c r="Q62" s="260"/>
    </row>
    <row r="63" spans="1:17" x14ac:dyDescent="0.35">
      <c r="A63" s="111"/>
      <c r="B63" s="32"/>
      <c r="C63" s="32"/>
      <c r="D63" s="32"/>
      <c r="E63" s="32"/>
      <c r="F63" s="32"/>
      <c r="G63" s="32"/>
      <c r="H63" s="32"/>
      <c r="I63" s="32"/>
      <c r="J63" s="32"/>
      <c r="K63" s="293"/>
      <c r="L63" s="293"/>
      <c r="M63" s="259"/>
      <c r="N63" s="259"/>
      <c r="O63" s="259"/>
      <c r="P63" s="259"/>
      <c r="Q63" s="260"/>
    </row>
    <row r="64" spans="1:17" x14ac:dyDescent="0.35">
      <c r="A64" s="109"/>
      <c r="B64" s="114"/>
      <c r="C64" s="114"/>
      <c r="D64" s="114"/>
      <c r="E64" s="114"/>
      <c r="F64" s="114"/>
      <c r="G64" s="114"/>
      <c r="H64" s="114"/>
      <c r="I64" s="114"/>
      <c r="J64" s="114"/>
      <c r="K64" s="300"/>
      <c r="L64" s="300"/>
      <c r="M64" s="260"/>
      <c r="N64" s="260"/>
      <c r="O64" s="260"/>
      <c r="P64" s="260"/>
      <c r="Q64" s="260"/>
    </row>
    <row r="65" spans="1:17" x14ac:dyDescent="0.35">
      <c r="A65" s="109"/>
      <c r="B65" s="114"/>
      <c r="C65" s="114"/>
      <c r="D65" s="114"/>
      <c r="E65" s="114"/>
      <c r="F65" s="114"/>
      <c r="G65" s="114"/>
      <c r="H65" s="114"/>
      <c r="I65" s="114"/>
      <c r="J65" s="114"/>
      <c r="K65" s="300"/>
      <c r="L65" s="300"/>
      <c r="M65" s="260"/>
      <c r="N65" s="260"/>
      <c r="O65" s="260"/>
      <c r="P65" s="260"/>
      <c r="Q65" s="260"/>
    </row>
    <row r="66" spans="1:17" x14ac:dyDescent="0.35">
      <c r="A66" s="109"/>
      <c r="B66" s="114"/>
      <c r="C66" s="114"/>
      <c r="D66" s="114"/>
      <c r="E66" s="114"/>
      <c r="F66" s="114"/>
      <c r="G66" s="114"/>
      <c r="H66" s="114"/>
      <c r="I66" s="114"/>
      <c r="J66" s="114"/>
      <c r="K66" s="300"/>
      <c r="L66" s="300"/>
      <c r="M66" s="260"/>
      <c r="N66" s="260"/>
      <c r="O66" s="260"/>
      <c r="P66" s="260"/>
      <c r="Q66" s="260"/>
    </row>
    <row r="67" spans="1:17" x14ac:dyDescent="0.3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301"/>
      <c r="L67" s="301"/>
    </row>
    <row r="68" spans="1:17" x14ac:dyDescent="0.3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301"/>
      <c r="L68" s="301"/>
    </row>
    <row r="69" spans="1:17" x14ac:dyDescent="0.3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301"/>
      <c r="L69" s="301"/>
    </row>
    <row r="70" spans="1:17" x14ac:dyDescent="0.3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301"/>
      <c r="L70" s="301"/>
    </row>
    <row r="71" spans="1:17" x14ac:dyDescent="0.3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301"/>
      <c r="L71" s="301"/>
    </row>
    <row r="72" spans="1:17" x14ac:dyDescent="0.3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301"/>
      <c r="L72" s="301"/>
    </row>
    <row r="73" spans="1:17" x14ac:dyDescent="0.3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301"/>
      <c r="L73" s="301"/>
    </row>
    <row r="74" spans="1:17" x14ac:dyDescent="0.3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301"/>
      <c r="L74" s="301"/>
    </row>
    <row r="75" spans="1:17" x14ac:dyDescent="0.3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301"/>
      <c r="L75" s="301"/>
    </row>
    <row r="76" spans="1:17" x14ac:dyDescent="0.3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301"/>
      <c r="L76" s="301"/>
    </row>
    <row r="77" spans="1:17" x14ac:dyDescent="0.3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301"/>
      <c r="L77" s="301"/>
    </row>
  </sheetData>
  <sheetProtection sheet="1" objects="1" scenarios="1"/>
  <mergeCells count="3">
    <mergeCell ref="H3:I3"/>
    <mergeCell ref="B1:K1"/>
    <mergeCell ref="B2:K2"/>
  </mergeCells>
  <phoneticPr fontId="20" type="noConversion"/>
  <pageMargins left="0.95" right="0.45" top="0.75" bottom="0.75" header="0.3" footer="0.3"/>
  <pageSetup scale="66" orientation="portrait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L76"/>
  <sheetViews>
    <sheetView tabSelected="1" zoomScale="87" workbookViewId="0">
      <selection activeCell="A4" sqref="A4"/>
    </sheetView>
  </sheetViews>
  <sheetFormatPr defaultColWidth="8.875" defaultRowHeight="15.45" x14ac:dyDescent="0.4"/>
  <cols>
    <col min="1" max="1" width="6.4375" style="1" customWidth="1"/>
    <col min="2" max="2" width="34.4375" style="1" customWidth="1"/>
    <col min="3" max="4" width="8.875" style="1"/>
    <col min="5" max="5" width="11.875" style="1" customWidth="1"/>
    <col min="6" max="6" width="8.875" style="1"/>
    <col min="7" max="7" width="10.75" style="1" customWidth="1"/>
    <col min="8" max="10" width="8.875" style="1"/>
    <col min="11" max="11" width="12.4375" style="1" bestFit="1" customWidth="1"/>
    <col min="12" max="16384" width="8.875" style="1"/>
  </cols>
  <sheetData>
    <row r="1" spans="1:9" ht="17.600000000000001" x14ac:dyDescent="0.4">
      <c r="A1" s="44"/>
      <c r="B1" s="473" t="s">
        <v>201</v>
      </c>
      <c r="C1" s="473"/>
      <c r="D1" s="473"/>
      <c r="E1" s="473"/>
      <c r="F1" s="473"/>
      <c r="G1" s="473"/>
      <c r="H1" s="43"/>
    </row>
    <row r="2" spans="1:9" ht="17.600000000000001" x14ac:dyDescent="0.4">
      <c r="A2" s="44"/>
      <c r="B2" s="468" t="str">
        <f>'1. Cow Calf Budget'!B3</f>
        <v>400 Cow-Calf Case Ranch Budget</v>
      </c>
      <c r="C2" s="468"/>
      <c r="D2" s="468"/>
      <c r="E2" s="468"/>
      <c r="F2" s="468"/>
      <c r="G2" s="468"/>
      <c r="H2" s="43"/>
      <c r="I2" s="453"/>
    </row>
    <row r="3" spans="1:9" x14ac:dyDescent="0.4">
      <c r="A3" s="44"/>
      <c r="B3" s="44"/>
      <c r="C3" s="44"/>
      <c r="D3" s="44"/>
      <c r="E3" s="44"/>
      <c r="F3" s="44"/>
      <c r="G3" s="44"/>
      <c r="H3" s="44"/>
      <c r="I3" s="453"/>
    </row>
    <row r="4" spans="1:9" x14ac:dyDescent="0.4">
      <c r="A4" s="44"/>
      <c r="B4" s="302" t="s">
        <v>71</v>
      </c>
      <c r="C4" s="303"/>
      <c r="D4" s="303"/>
      <c r="E4" s="303"/>
      <c r="F4" s="303"/>
      <c r="G4" s="303"/>
      <c r="H4" s="303"/>
    </row>
    <row r="5" spans="1:9" x14ac:dyDescent="0.4">
      <c r="A5" s="44"/>
      <c r="B5" s="303" t="s">
        <v>72</v>
      </c>
      <c r="C5" s="303"/>
      <c r="D5" s="303"/>
      <c r="E5" s="303"/>
      <c r="F5" s="303"/>
      <c r="G5" s="303"/>
      <c r="H5" s="303"/>
    </row>
    <row r="6" spans="1:9" x14ac:dyDescent="0.4">
      <c r="A6" s="44"/>
      <c r="B6" s="303" t="s">
        <v>437</v>
      </c>
      <c r="C6" s="303"/>
      <c r="D6" s="303"/>
      <c r="E6" s="303"/>
      <c r="F6" s="303" t="s">
        <v>6</v>
      </c>
      <c r="G6" s="304">
        <f>'1. Cow Calf Budget'!F8</f>
        <v>88</v>
      </c>
      <c r="H6" s="303"/>
    </row>
    <row r="7" spans="1:9" x14ac:dyDescent="0.4">
      <c r="A7" s="44"/>
      <c r="B7" s="303" t="s">
        <v>73</v>
      </c>
      <c r="C7" s="303"/>
      <c r="D7" s="303"/>
      <c r="E7" s="303"/>
      <c r="F7" s="303" t="s">
        <v>6</v>
      </c>
      <c r="G7" s="304">
        <f>'1. Cow Calf Budget'!F57</f>
        <v>85</v>
      </c>
      <c r="H7" s="303"/>
    </row>
    <row r="8" spans="1:9" x14ac:dyDescent="0.4">
      <c r="A8" s="44"/>
      <c r="B8" s="303" t="s">
        <v>202</v>
      </c>
      <c r="C8" s="303"/>
      <c r="D8" s="303"/>
      <c r="E8" s="303"/>
      <c r="F8" s="303" t="s">
        <v>75</v>
      </c>
      <c r="G8" s="305">
        <f>'1. Cow Calf Budget'!C70</f>
        <v>550</v>
      </c>
      <c r="H8" s="303"/>
    </row>
    <row r="9" spans="1:9" x14ac:dyDescent="0.4">
      <c r="A9" s="44"/>
      <c r="B9" s="303" t="s">
        <v>203</v>
      </c>
      <c r="C9" s="303"/>
      <c r="D9" s="303"/>
      <c r="E9" s="303"/>
      <c r="F9" s="303" t="s">
        <v>75</v>
      </c>
      <c r="G9" s="305">
        <f>'1. Cow Calf Budget'!C71</f>
        <v>530</v>
      </c>
      <c r="H9" s="303"/>
    </row>
    <row r="10" spans="1:9" x14ac:dyDescent="0.4">
      <c r="A10" s="44"/>
      <c r="B10" s="303" t="s">
        <v>74</v>
      </c>
      <c r="C10" s="303"/>
      <c r="D10" s="303"/>
      <c r="E10" s="303"/>
      <c r="F10" s="303" t="s">
        <v>75</v>
      </c>
      <c r="G10" s="305">
        <f>'1. Cow Calf Budget'!F58</f>
        <v>540</v>
      </c>
      <c r="H10" s="303"/>
    </row>
    <row r="11" spans="1:9" x14ac:dyDescent="0.4">
      <c r="A11" s="44"/>
      <c r="B11" s="303" t="s">
        <v>76</v>
      </c>
      <c r="C11" s="303"/>
      <c r="D11" s="303"/>
      <c r="E11" s="303"/>
      <c r="F11" s="303" t="s">
        <v>175</v>
      </c>
      <c r="G11" s="305">
        <f>'1. Cow Calf Budget'!F59</f>
        <v>459</v>
      </c>
      <c r="H11" s="303"/>
    </row>
    <row r="12" spans="1:9" x14ac:dyDescent="0.4">
      <c r="A12" s="44"/>
      <c r="B12" s="303"/>
      <c r="C12" s="303"/>
      <c r="D12" s="303"/>
      <c r="E12" s="303"/>
      <c r="F12" s="303"/>
      <c r="G12" s="303"/>
      <c r="H12" s="303"/>
    </row>
    <row r="13" spans="1:9" x14ac:dyDescent="0.4">
      <c r="A13" s="44"/>
      <c r="B13" s="303" t="s">
        <v>204</v>
      </c>
      <c r="C13" s="303"/>
      <c r="D13" s="303"/>
      <c r="E13" s="303"/>
      <c r="F13" s="303"/>
      <c r="G13" s="303"/>
      <c r="H13" s="303"/>
    </row>
    <row r="14" spans="1:9" x14ac:dyDescent="0.4">
      <c r="A14" s="44"/>
      <c r="B14" s="303" t="s">
        <v>87</v>
      </c>
      <c r="C14" s="303"/>
      <c r="D14" s="303"/>
      <c r="E14" s="303"/>
      <c r="F14" s="303" t="s">
        <v>38</v>
      </c>
      <c r="G14" s="306">
        <f>'1. Cow Calf Budget'!E70</f>
        <v>165.75</v>
      </c>
      <c r="H14" s="303"/>
    </row>
    <row r="15" spans="1:9" x14ac:dyDescent="0.4">
      <c r="A15" s="44"/>
      <c r="B15" s="303" t="s">
        <v>88</v>
      </c>
      <c r="C15" s="303"/>
      <c r="D15" s="303"/>
      <c r="E15" s="303"/>
      <c r="F15" s="303" t="s">
        <v>38</v>
      </c>
      <c r="G15" s="306">
        <f>'1. Cow Calf Budget'!E71</f>
        <v>151.125</v>
      </c>
      <c r="H15" s="303"/>
    </row>
    <row r="16" spans="1:9" x14ac:dyDescent="0.4">
      <c r="A16" s="44"/>
      <c r="B16" s="303" t="s">
        <v>85</v>
      </c>
      <c r="C16" s="303"/>
      <c r="D16" s="303"/>
      <c r="E16" s="303"/>
      <c r="F16" s="303" t="s">
        <v>38</v>
      </c>
      <c r="G16" s="306">
        <f>'1. Cow Calf Budget'!E68</f>
        <v>57.599999999999994</v>
      </c>
      <c r="H16" s="303"/>
    </row>
    <row r="17" spans="1:12" x14ac:dyDescent="0.4">
      <c r="A17" s="44"/>
      <c r="B17" s="303" t="s">
        <v>205</v>
      </c>
      <c r="C17" s="303"/>
      <c r="D17" s="303"/>
      <c r="E17" s="303"/>
      <c r="F17" s="303" t="s">
        <v>38</v>
      </c>
      <c r="G17" s="306">
        <f>'1. Cow Calf Budget'!F25</f>
        <v>76.8</v>
      </c>
      <c r="H17" s="303"/>
    </row>
    <row r="18" spans="1:12" x14ac:dyDescent="0.4">
      <c r="A18" s="44"/>
      <c r="B18" s="303"/>
      <c r="C18" s="303"/>
      <c r="D18" s="303"/>
      <c r="E18" s="303"/>
      <c r="F18" s="303"/>
      <c r="G18" s="303"/>
      <c r="H18" s="303"/>
    </row>
    <row r="19" spans="1:12" x14ac:dyDescent="0.4">
      <c r="A19" s="44"/>
      <c r="B19" s="302" t="s">
        <v>206</v>
      </c>
      <c r="C19" s="303"/>
      <c r="D19" s="303"/>
      <c r="E19" s="303"/>
      <c r="F19" s="303"/>
      <c r="G19" s="303"/>
      <c r="H19" s="303"/>
    </row>
    <row r="20" spans="1:12" x14ac:dyDescent="0.4">
      <c r="A20" s="44"/>
      <c r="B20" s="303"/>
      <c r="C20" s="303"/>
      <c r="D20" s="303"/>
      <c r="E20" s="303" t="s">
        <v>207</v>
      </c>
      <c r="F20" s="303"/>
      <c r="G20" s="303" t="s">
        <v>208</v>
      </c>
      <c r="H20" s="303"/>
    </row>
    <row r="21" spans="1:12" x14ac:dyDescent="0.4">
      <c r="A21" s="44"/>
      <c r="B21" s="303"/>
      <c r="C21" s="303"/>
      <c r="D21" s="303"/>
      <c r="E21" s="303" t="s">
        <v>169</v>
      </c>
      <c r="F21" s="303"/>
      <c r="G21" s="303" t="s">
        <v>169</v>
      </c>
      <c r="H21" s="303"/>
    </row>
    <row r="22" spans="1:12" x14ac:dyDescent="0.4">
      <c r="A22" s="44"/>
      <c r="B22" s="303" t="s">
        <v>209</v>
      </c>
      <c r="C22" s="303"/>
      <c r="D22" s="303"/>
      <c r="E22" s="307">
        <v>250</v>
      </c>
      <c r="F22" s="303"/>
      <c r="G22" s="307">
        <f>E22</f>
        <v>250</v>
      </c>
      <c r="H22" s="303"/>
    </row>
    <row r="23" spans="1:12" x14ac:dyDescent="0.4">
      <c r="A23" s="44"/>
      <c r="B23" s="303" t="s">
        <v>210</v>
      </c>
      <c r="C23" s="303"/>
      <c r="D23" s="303"/>
      <c r="E23" s="303"/>
      <c r="F23" s="303"/>
      <c r="G23" s="303"/>
      <c r="H23" s="303"/>
    </row>
    <row r="24" spans="1:12" x14ac:dyDescent="0.4">
      <c r="A24" s="44"/>
      <c r="B24" s="303" t="s">
        <v>211</v>
      </c>
      <c r="C24" s="303"/>
      <c r="D24" s="303"/>
      <c r="E24" s="308">
        <f>'1. Cow Calf Budget'!B134+'1. Cow Calf Budget'!B186</f>
        <v>1377.9979999999998</v>
      </c>
      <c r="F24" s="303"/>
      <c r="G24" s="306">
        <f>'1. Cow Calf Budget'!B134+'1. Cow Calf Budget'!B186</f>
        <v>1377.9979999999998</v>
      </c>
      <c r="H24" s="303"/>
      <c r="K24" s="1" t="s">
        <v>497</v>
      </c>
    </row>
    <row r="25" spans="1:12" x14ac:dyDescent="0.4">
      <c r="A25" s="44"/>
      <c r="B25" s="303" t="s">
        <v>496</v>
      </c>
      <c r="C25" s="303"/>
      <c r="D25" s="303"/>
      <c r="E25" s="308">
        <f>L25</f>
        <v>212.5</v>
      </c>
      <c r="F25" s="309"/>
      <c r="G25" s="308">
        <f>E25</f>
        <v>212.5</v>
      </c>
      <c r="H25" s="303"/>
      <c r="K25" s="45">
        <f>'2. Vehicles,Mach.,Equipt.'!G38</f>
        <v>85000</v>
      </c>
      <c r="L25" s="45">
        <f>K25/'1. Cow Calf Budget'!F9</f>
        <v>212.5</v>
      </c>
    </row>
    <row r="26" spans="1:12" x14ac:dyDescent="0.4">
      <c r="A26" s="44"/>
      <c r="B26" s="303" t="s">
        <v>212</v>
      </c>
      <c r="C26" s="303"/>
      <c r="D26" s="303"/>
      <c r="E26" s="429">
        <v>10000</v>
      </c>
      <c r="F26" s="303"/>
      <c r="G26" s="429">
        <f>E26</f>
        <v>10000</v>
      </c>
      <c r="H26" s="303"/>
    </row>
    <row r="27" spans="1:12" x14ac:dyDescent="0.4">
      <c r="A27" s="44"/>
      <c r="B27" s="303" t="s">
        <v>213</v>
      </c>
      <c r="C27" s="303"/>
      <c r="D27" s="303"/>
      <c r="E27" s="310">
        <v>0</v>
      </c>
      <c r="F27" s="303"/>
      <c r="G27" s="310">
        <v>0</v>
      </c>
      <c r="H27" s="303"/>
    </row>
    <row r="28" spans="1:12" x14ac:dyDescent="0.4">
      <c r="A28" s="44"/>
      <c r="B28" s="303" t="s">
        <v>214</v>
      </c>
      <c r="C28" s="303"/>
      <c r="D28" s="303"/>
      <c r="E28" s="444">
        <f>SUM(E22:E27)</f>
        <v>11840.498</v>
      </c>
      <c r="F28" s="303"/>
      <c r="G28" s="444">
        <f>SUM(G22:G27)</f>
        <v>11840.498</v>
      </c>
      <c r="H28" s="303"/>
      <c r="K28" s="45">
        <f>G28*'1. Cow Calf Budget'!F9</f>
        <v>4736199.2</v>
      </c>
    </row>
    <row r="29" spans="1:12" x14ac:dyDescent="0.4">
      <c r="A29" s="44"/>
      <c r="B29" s="303"/>
      <c r="C29" s="303"/>
      <c r="D29" s="303"/>
      <c r="E29" s="303"/>
      <c r="F29" s="303"/>
      <c r="G29" s="303"/>
      <c r="H29" s="303"/>
    </row>
    <row r="30" spans="1:12" x14ac:dyDescent="0.4">
      <c r="A30" s="44"/>
      <c r="B30" s="303" t="s">
        <v>215</v>
      </c>
      <c r="C30" s="303"/>
      <c r="D30" s="303"/>
      <c r="E30" s="429">
        <v>0</v>
      </c>
      <c r="F30" s="303"/>
      <c r="G30" s="429">
        <v>0</v>
      </c>
      <c r="H30" s="303"/>
    </row>
    <row r="31" spans="1:12" x14ac:dyDescent="0.4">
      <c r="A31" s="44"/>
      <c r="B31" s="303" t="s">
        <v>250</v>
      </c>
      <c r="C31" s="303"/>
      <c r="D31" s="303"/>
      <c r="E31" s="429">
        <v>1000</v>
      </c>
      <c r="F31" s="303"/>
      <c r="G31" s="429">
        <v>1000</v>
      </c>
      <c r="H31" s="303"/>
    </row>
    <row r="32" spans="1:12" x14ac:dyDescent="0.4">
      <c r="A32" s="44"/>
      <c r="B32" s="303" t="s">
        <v>216</v>
      </c>
      <c r="C32" s="303"/>
      <c r="D32" s="303"/>
      <c r="E32" s="444">
        <f>SUM(E30:E31)</f>
        <v>1000</v>
      </c>
      <c r="F32" s="303"/>
      <c r="G32" s="443">
        <f>SUM(G30:G31)</f>
        <v>1000</v>
      </c>
      <c r="H32" s="303"/>
    </row>
    <row r="33" spans="1:8" x14ac:dyDescent="0.4">
      <c r="A33" s="44"/>
      <c r="B33" s="303"/>
      <c r="C33" s="303"/>
      <c r="D33" s="303"/>
      <c r="E33" s="303"/>
      <c r="F33" s="303"/>
      <c r="G33" s="303"/>
      <c r="H33" s="303"/>
    </row>
    <row r="34" spans="1:8" x14ac:dyDescent="0.4">
      <c r="A34" s="44"/>
      <c r="B34" s="303" t="s">
        <v>217</v>
      </c>
      <c r="C34" s="303"/>
      <c r="D34" s="303"/>
      <c r="E34" s="262">
        <f>IF(E28=0,0,((E28-E32)/E28)*100)</f>
        <v>91.554409282447409</v>
      </c>
      <c r="F34" s="303" t="s">
        <v>6</v>
      </c>
      <c r="G34" s="262">
        <f>IF(G28=0,0,((G28-G32)/G28)*100)</f>
        <v>91.554409282447409</v>
      </c>
      <c r="H34" s="303" t="s">
        <v>6</v>
      </c>
    </row>
    <row r="35" spans="1:8" x14ac:dyDescent="0.4">
      <c r="A35" s="44"/>
      <c r="B35" s="303"/>
      <c r="C35" s="303"/>
      <c r="D35" s="303"/>
      <c r="E35" s="303"/>
      <c r="F35" s="303"/>
      <c r="G35" s="303"/>
      <c r="H35" s="303"/>
    </row>
    <row r="36" spans="1:8" x14ac:dyDescent="0.4">
      <c r="A36" s="44"/>
      <c r="B36" s="302" t="s">
        <v>218</v>
      </c>
      <c r="C36" s="303"/>
      <c r="D36" s="303"/>
      <c r="E36" s="303"/>
      <c r="F36" s="303"/>
      <c r="G36" s="303"/>
      <c r="H36" s="303"/>
    </row>
    <row r="37" spans="1:8" x14ac:dyDescent="0.4">
      <c r="A37" s="44"/>
      <c r="B37" s="303"/>
      <c r="C37" s="303"/>
      <c r="D37" s="303"/>
      <c r="E37" s="303" t="s">
        <v>219</v>
      </c>
      <c r="F37" s="303"/>
      <c r="G37" s="303" t="s">
        <v>220</v>
      </c>
      <c r="H37" s="303"/>
    </row>
    <row r="38" spans="1:8" x14ac:dyDescent="0.4">
      <c r="A38" s="44"/>
      <c r="B38" s="303"/>
      <c r="C38" s="303"/>
      <c r="D38" s="303"/>
      <c r="E38" s="303" t="s">
        <v>169</v>
      </c>
      <c r="F38" s="303" t="s">
        <v>221</v>
      </c>
      <c r="G38" s="303" t="s">
        <v>169</v>
      </c>
      <c r="H38" s="303" t="s">
        <v>221</v>
      </c>
    </row>
    <row r="39" spans="1:8" x14ac:dyDescent="0.4">
      <c r="A39" s="44"/>
      <c r="B39" s="303" t="s">
        <v>222</v>
      </c>
      <c r="C39" s="303"/>
      <c r="D39" s="303"/>
      <c r="E39" s="311">
        <f>SUM('1. Cow Calf Budget'!$F$79:'1. Cow Calf Budget'!$F$83)</f>
        <v>96.6</v>
      </c>
      <c r="F39" s="311">
        <f>(E39/$G$11)*100</f>
        <v>21.045751633986924</v>
      </c>
      <c r="G39" s="311">
        <f>SUM('1. Cow Calf Budget'!$F$79:'1. Cow Calf Budget'!$F$83)</f>
        <v>96.6</v>
      </c>
      <c r="H39" s="311">
        <f>(G39/$G$11)*100</f>
        <v>21.045751633986924</v>
      </c>
    </row>
    <row r="40" spans="1:8" x14ac:dyDescent="0.4">
      <c r="A40" s="44"/>
      <c r="B40" s="303" t="s">
        <v>223</v>
      </c>
      <c r="C40" s="303"/>
      <c r="D40" s="303"/>
      <c r="E40" s="311">
        <f>'1. Cow Calf Budget'!J92+'1. Cow Calf Budget'!F105+'1. Cow Calf Budget'!F106+'1. Cow Calf Budget'!F114</f>
        <v>27</v>
      </c>
      <c r="F40" s="311">
        <f>(E40/$G$11)*100</f>
        <v>5.8823529411764701</v>
      </c>
      <c r="G40" s="311">
        <f>(E40-'1. Cow Calf Budget'!F106+'1. Cow Calf Budget'!F183-'1. Cow Calf Budget'!F114)</f>
        <v>190</v>
      </c>
      <c r="H40" s="311">
        <f>(G40/$G$11)*100</f>
        <v>41.394335511982575</v>
      </c>
    </row>
    <row r="41" spans="1:8" x14ac:dyDescent="0.4">
      <c r="A41" s="44"/>
      <c r="B41" s="303" t="s">
        <v>224</v>
      </c>
      <c r="C41" s="303"/>
      <c r="D41" s="303"/>
      <c r="E41" s="311">
        <f>E39+E40</f>
        <v>123.6</v>
      </c>
      <c r="F41" s="311">
        <f>(E41/$G$11)*100</f>
        <v>26.928104575163399</v>
      </c>
      <c r="G41" s="311">
        <f>G39+G40</f>
        <v>286.60000000000002</v>
      </c>
      <c r="H41" s="311">
        <f>(G41/$G$11)*100</f>
        <v>62.4400871459695</v>
      </c>
    </row>
    <row r="42" spans="1:8" x14ac:dyDescent="0.4">
      <c r="A42" s="44"/>
      <c r="B42" s="303"/>
      <c r="C42" s="303"/>
      <c r="D42" s="303"/>
      <c r="E42" s="303"/>
      <c r="F42" s="303"/>
      <c r="G42" s="303"/>
      <c r="H42" s="303"/>
    </row>
    <row r="43" spans="1:8" x14ac:dyDescent="0.4">
      <c r="A43" s="44"/>
      <c r="B43" s="303" t="s">
        <v>225</v>
      </c>
      <c r="C43" s="303"/>
      <c r="D43" s="303"/>
      <c r="E43" s="311">
        <f>E52-E41</f>
        <v>560.07749999999999</v>
      </c>
      <c r="F43" s="311">
        <f>(E43/$G$11)*100</f>
        <v>122.02124183006535</v>
      </c>
      <c r="G43" s="311">
        <f>G52-G41</f>
        <v>639.11397249999993</v>
      </c>
      <c r="H43" s="311">
        <f>(G43/$G$11)*100</f>
        <v>139.24051688453159</v>
      </c>
    </row>
    <row r="44" spans="1:8" x14ac:dyDescent="0.4">
      <c r="A44" s="44"/>
      <c r="B44" s="303" t="s">
        <v>106</v>
      </c>
      <c r="C44" s="303"/>
      <c r="D44" s="303"/>
      <c r="E44" s="311">
        <f>'1. Cow Calf Budget'!F160</f>
        <v>610.28750000000002</v>
      </c>
      <c r="F44" s="311">
        <f>(E44/$G$11)*100</f>
        <v>132.96023965141612</v>
      </c>
      <c r="G44" s="311">
        <f>'1. Cow Calf Budget'!F160</f>
        <v>610.28750000000002</v>
      </c>
      <c r="H44" s="311">
        <f>(G44/$G$11)*100</f>
        <v>132.96023965141612</v>
      </c>
    </row>
    <row r="45" spans="1:8" x14ac:dyDescent="0.4">
      <c r="A45" s="44"/>
      <c r="B45" s="303" t="s">
        <v>226</v>
      </c>
      <c r="C45" s="303"/>
      <c r="D45" s="303"/>
      <c r="E45" s="311">
        <f>'1. Cow Calf Budget'!F145-E44</f>
        <v>73.389999999999986</v>
      </c>
      <c r="F45" s="311">
        <f>(E45/$G$11)*100</f>
        <v>15.989106753812631</v>
      </c>
      <c r="G45" s="311">
        <f>'1. Cow Calf Budget'!F193-G44</f>
        <v>315.42647249999993</v>
      </c>
      <c r="H45" s="311">
        <f>(G45/$G$11)*100</f>
        <v>68.720364379084955</v>
      </c>
    </row>
    <row r="46" spans="1:8" x14ac:dyDescent="0.4">
      <c r="A46" s="44"/>
      <c r="B46" s="303"/>
      <c r="C46" s="303"/>
      <c r="D46" s="303"/>
      <c r="E46" s="303"/>
      <c r="F46" s="303"/>
      <c r="G46" s="303"/>
      <c r="H46" s="303"/>
    </row>
    <row r="47" spans="1:8" x14ac:dyDescent="0.4">
      <c r="A47" s="44"/>
      <c r="B47" s="312" t="s">
        <v>506</v>
      </c>
      <c r="C47" s="312"/>
      <c r="D47" s="312"/>
      <c r="E47" s="313">
        <f>'1. Cow Calf Budget'!$F$74</f>
        <v>723.21063749999996</v>
      </c>
      <c r="F47" s="313">
        <f>(E47/$G$11)*100</f>
        <v>157.56223039215683</v>
      </c>
      <c r="G47" s="313">
        <f>'1. Cow Calf Budget'!$F$74</f>
        <v>723.21063749999996</v>
      </c>
      <c r="H47" s="313">
        <f>(G47/$G$11)*100</f>
        <v>157.56223039215683</v>
      </c>
    </row>
    <row r="48" spans="1:8" x14ac:dyDescent="0.4">
      <c r="A48" s="44"/>
      <c r="B48" s="303"/>
      <c r="C48" s="303"/>
      <c r="D48" s="303"/>
      <c r="E48" s="303"/>
      <c r="F48" s="303"/>
      <c r="G48" s="303"/>
      <c r="H48" s="303"/>
    </row>
    <row r="49" spans="1:8" x14ac:dyDescent="0.4">
      <c r="A49" s="44"/>
      <c r="B49" s="303" t="s">
        <v>227</v>
      </c>
      <c r="C49" s="303"/>
      <c r="D49" s="303"/>
      <c r="E49" s="311">
        <f>'1. Cow Calf Budget'!F152-'1. Cow Calf Budget'!F151</f>
        <v>676.78750000000002</v>
      </c>
      <c r="F49" s="311">
        <f>(E49/$G$11)*100</f>
        <v>147.44825708061003</v>
      </c>
      <c r="G49" s="311">
        <f>'1. Cow Calf Budget'!F145</f>
        <v>683.67750000000001</v>
      </c>
      <c r="H49" s="311">
        <f>(G49/$G$11)*100</f>
        <v>148.94934640522877</v>
      </c>
    </row>
    <row r="50" spans="1:8" x14ac:dyDescent="0.4">
      <c r="A50" s="44"/>
      <c r="B50" s="303" t="s">
        <v>228</v>
      </c>
      <c r="C50" s="303"/>
      <c r="D50" s="303"/>
      <c r="E50" s="315">
        <f>'1. Cow Calf Budget'!F139</f>
        <v>6.89</v>
      </c>
      <c r="F50" s="311">
        <f>(E50/$G$11)*100</f>
        <v>1.5010893246187362</v>
      </c>
      <c r="G50" s="315">
        <f>'1. Cow Calf Budget'!F190+'1. Cow Calf Budget'!F139</f>
        <v>68.926472499999988</v>
      </c>
      <c r="H50" s="311">
        <f>(G50/$G$11)*100</f>
        <v>15.01666067538126</v>
      </c>
    </row>
    <row r="51" spans="1:8" x14ac:dyDescent="0.4">
      <c r="A51" s="44"/>
      <c r="B51" s="303"/>
      <c r="C51" s="303"/>
      <c r="D51" s="303"/>
      <c r="E51" s="303"/>
      <c r="F51" s="303"/>
      <c r="G51" s="303"/>
      <c r="H51" s="303"/>
    </row>
    <row r="52" spans="1:8" x14ac:dyDescent="0.4">
      <c r="A52" s="44"/>
      <c r="B52" s="312" t="s">
        <v>229</v>
      </c>
      <c r="C52" s="312"/>
      <c r="D52" s="312"/>
      <c r="E52" s="313">
        <f>'1. Cow Calf Budget'!F145</f>
        <v>683.67750000000001</v>
      </c>
      <c r="F52" s="313">
        <f>(E52/$G$11)*100</f>
        <v>148.94934640522877</v>
      </c>
      <c r="G52" s="313">
        <f>'1. Cow Calf Budget'!F193</f>
        <v>925.71397249999995</v>
      </c>
      <c r="H52" s="313">
        <f>(G52/$G$11)*100</f>
        <v>201.68060403050109</v>
      </c>
    </row>
    <row r="53" spans="1:8" x14ac:dyDescent="0.4">
      <c r="A53" s="44"/>
      <c r="B53" s="303"/>
      <c r="C53" s="303"/>
      <c r="D53" s="303"/>
      <c r="E53" s="303"/>
      <c r="F53" s="303"/>
      <c r="G53" s="303"/>
      <c r="H53" s="303"/>
    </row>
    <row r="54" spans="1:8" x14ac:dyDescent="0.4">
      <c r="A54" s="44"/>
      <c r="B54" s="312" t="s">
        <v>230</v>
      </c>
      <c r="C54" s="312"/>
      <c r="D54" s="312"/>
      <c r="E54" s="313">
        <f>'1. Cow Calf Budget'!F154</f>
        <v>39.533137499999953</v>
      </c>
      <c r="F54" s="313">
        <f>(E54/$G$11)*100</f>
        <v>8.6128839869280931</v>
      </c>
      <c r="G54" s="313">
        <f>'1. Cow Calf Budget'!F196</f>
        <v>-202.50333499999999</v>
      </c>
      <c r="H54" s="313">
        <f>(G54/$G$11)*100</f>
        <v>-44.118373638344224</v>
      </c>
    </row>
    <row r="55" spans="1:8" x14ac:dyDescent="0.4">
      <c r="A55" s="44"/>
      <c r="B55" s="303" t="s">
        <v>231</v>
      </c>
      <c r="C55" s="303"/>
      <c r="D55" s="303"/>
      <c r="E55" s="303"/>
      <c r="F55" s="303"/>
      <c r="G55" s="303"/>
      <c r="H55" s="303"/>
    </row>
    <row r="56" spans="1:8" x14ac:dyDescent="0.4">
      <c r="A56" s="44"/>
      <c r="B56" s="303" t="s">
        <v>232</v>
      </c>
      <c r="C56" s="303"/>
      <c r="D56" s="303"/>
      <c r="E56" s="314">
        <f>(($E$54+E50)/$E$28)*100</f>
        <v>0.39207081914966713</v>
      </c>
      <c r="F56" s="303" t="s">
        <v>6</v>
      </c>
      <c r="G56" s="315"/>
      <c r="H56" s="303"/>
    </row>
    <row r="57" spans="1:8" x14ac:dyDescent="0.4">
      <c r="A57" s="44"/>
      <c r="B57" s="303" t="s">
        <v>233</v>
      </c>
      <c r="C57" s="303"/>
      <c r="D57" s="303"/>
      <c r="E57" s="314">
        <f>(($E$54+E50)/$G$28)*100</f>
        <v>0.39207081914966713</v>
      </c>
      <c r="F57" s="303" t="s">
        <v>6</v>
      </c>
      <c r="G57" s="303"/>
      <c r="H57" s="303"/>
    </row>
    <row r="58" spans="1:8" x14ac:dyDescent="0.4">
      <c r="A58" s="44"/>
      <c r="B58" s="303"/>
      <c r="C58" s="303"/>
      <c r="D58" s="303"/>
      <c r="E58" s="303"/>
      <c r="F58" s="303"/>
      <c r="G58" s="303"/>
      <c r="H58" s="303"/>
    </row>
    <row r="59" spans="1:8" x14ac:dyDescent="0.4">
      <c r="A59" s="44"/>
      <c r="B59" s="302" t="s">
        <v>234</v>
      </c>
      <c r="C59" s="303"/>
      <c r="D59" s="303"/>
      <c r="E59" s="303"/>
      <c r="F59" s="303"/>
      <c r="G59" s="303"/>
      <c r="H59" s="303"/>
    </row>
    <row r="60" spans="1:8" x14ac:dyDescent="0.4">
      <c r="A60" s="44"/>
      <c r="B60" s="303"/>
      <c r="C60" s="303"/>
      <c r="D60" s="303"/>
      <c r="E60" s="303"/>
      <c r="F60" s="303"/>
      <c r="G60" s="303"/>
      <c r="H60" s="303"/>
    </row>
    <row r="61" spans="1:8" x14ac:dyDescent="0.4">
      <c r="A61" s="44"/>
      <c r="B61" s="303" t="s">
        <v>235</v>
      </c>
      <c r="C61" s="303"/>
      <c r="D61" s="303"/>
      <c r="E61" s="311">
        <f>'1. Cow Calf Budget'!F68+'1. Cow Calf Budget'!F72</f>
        <v>87.263999999999996</v>
      </c>
      <c r="F61" s="311">
        <f>(E61/$G$11)*100</f>
        <v>19.011764705882353</v>
      </c>
      <c r="G61" s="311">
        <f>'1. Cow Calf Budget'!F68+'1. Cow Calf Budget'!F72</f>
        <v>87.263999999999996</v>
      </c>
      <c r="H61" s="311">
        <f>(G61/$G$11)*100</f>
        <v>19.011764705882353</v>
      </c>
    </row>
    <row r="62" spans="1:8" x14ac:dyDescent="0.4">
      <c r="A62" s="44"/>
      <c r="B62" s="312" t="s">
        <v>236</v>
      </c>
      <c r="C62" s="312"/>
      <c r="D62" s="312"/>
      <c r="E62" s="313">
        <f>E52-E61</f>
        <v>596.4135</v>
      </c>
      <c r="F62" s="313">
        <f>(E62/$G$11)*100</f>
        <v>129.93758169934642</v>
      </c>
      <c r="G62" s="313">
        <f>G52-G61</f>
        <v>838.44997249999994</v>
      </c>
      <c r="H62" s="313">
        <f>(G62/$G$11)*100</f>
        <v>182.66883932461872</v>
      </c>
    </row>
    <row r="63" spans="1:8" x14ac:dyDescent="0.4">
      <c r="A63" s="44"/>
      <c r="B63" s="316" t="s">
        <v>48</v>
      </c>
      <c r="C63" s="316"/>
      <c r="D63" s="316"/>
      <c r="E63" s="316"/>
      <c r="F63" s="316"/>
      <c r="G63" s="316"/>
      <c r="H63" s="316"/>
    </row>
    <row r="64" spans="1:8" x14ac:dyDescent="0.4">
      <c r="A64" s="44"/>
      <c r="B64" s="303" t="s">
        <v>237</v>
      </c>
      <c r="C64" s="303"/>
      <c r="D64" s="303"/>
      <c r="E64" s="303"/>
      <c r="F64" s="303"/>
      <c r="G64" s="303"/>
      <c r="H64" s="303"/>
    </row>
    <row r="65" spans="1:8" x14ac:dyDescent="0.4">
      <c r="A65" s="44"/>
      <c r="B65" s="303" t="s">
        <v>238</v>
      </c>
      <c r="C65" s="303"/>
      <c r="D65" s="303"/>
      <c r="E65" s="303"/>
      <c r="F65" s="303"/>
      <c r="G65" s="303"/>
      <c r="H65" s="303"/>
    </row>
    <row r="66" spans="1:8" x14ac:dyDescent="0.4">
      <c r="A66" s="44"/>
      <c r="B66" s="303" t="s">
        <v>239</v>
      </c>
      <c r="C66" s="303"/>
      <c r="D66" s="303"/>
      <c r="E66" s="303"/>
      <c r="F66" s="303"/>
      <c r="G66" s="303"/>
      <c r="H66" s="303"/>
    </row>
    <row r="67" spans="1:8" x14ac:dyDescent="0.4">
      <c r="A67" s="44"/>
      <c r="B67" s="303" t="s">
        <v>240</v>
      </c>
      <c r="C67" s="303"/>
      <c r="D67" s="303"/>
      <c r="E67" s="303"/>
      <c r="F67" s="303"/>
      <c r="G67" s="303"/>
      <c r="H67" s="303"/>
    </row>
    <row r="68" spans="1:8" x14ac:dyDescent="0.4">
      <c r="A68" s="44"/>
      <c r="B68" s="303" t="s">
        <v>241</v>
      </c>
      <c r="C68" s="303"/>
      <c r="D68" s="303"/>
      <c r="E68" s="303"/>
      <c r="F68" s="303"/>
      <c r="G68" s="303"/>
      <c r="H68" s="303"/>
    </row>
    <row r="69" spans="1:8" x14ac:dyDescent="0.4">
      <c r="A69" s="44"/>
      <c r="B69" s="44"/>
      <c r="C69" s="44"/>
      <c r="D69" s="44"/>
      <c r="E69" s="44"/>
      <c r="F69" s="44"/>
      <c r="G69" s="44"/>
      <c r="H69" s="44"/>
    </row>
    <row r="70" spans="1:8" x14ac:dyDescent="0.4">
      <c r="A70" s="44"/>
    </row>
    <row r="71" spans="1:8" x14ac:dyDescent="0.4">
      <c r="A71" s="44"/>
    </row>
    <row r="72" spans="1:8" x14ac:dyDescent="0.4">
      <c r="A72" s="44"/>
    </row>
    <row r="73" spans="1:8" x14ac:dyDescent="0.4">
      <c r="A73" s="44"/>
    </row>
    <row r="74" spans="1:8" x14ac:dyDescent="0.4">
      <c r="A74" s="44"/>
    </row>
    <row r="75" spans="1:8" x14ac:dyDescent="0.4">
      <c r="A75" s="44"/>
    </row>
    <row r="76" spans="1:8" x14ac:dyDescent="0.4">
      <c r="A76" s="44"/>
    </row>
  </sheetData>
  <sheetProtection sheet="1" objects="1" scenarios="1"/>
  <mergeCells count="2">
    <mergeCell ref="B1:G1"/>
    <mergeCell ref="B2:G2"/>
  </mergeCells>
  <phoneticPr fontId="0" type="noConversion"/>
  <printOptions horizontalCentered="1"/>
  <pageMargins left="0.5" right="0.5" top="0.5" bottom="0.7" header="0.5" footer="0.5"/>
  <pageSetup scale="67" orientation="portrait" r:id="rId1"/>
  <headerFooter alignWithMargins="0">
    <oddFooter>&amp;L&amp;10&amp;F&amp;R&amp;10&amp;A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I62"/>
  <sheetViews>
    <sheetView topLeftCell="A13" zoomScale="87" workbookViewId="0">
      <selection activeCell="C4" sqref="C4"/>
    </sheetView>
  </sheetViews>
  <sheetFormatPr defaultColWidth="8.875" defaultRowHeight="15.45" x14ac:dyDescent="0.4"/>
  <cols>
    <col min="1" max="1" width="4.6875" style="1" customWidth="1"/>
    <col min="2" max="2" width="29.3125" style="1" customWidth="1"/>
    <col min="3" max="16384" width="8.875" style="1"/>
  </cols>
  <sheetData>
    <row r="1" spans="1:7" ht="17.600000000000001" x14ac:dyDescent="0.4">
      <c r="A1" s="44"/>
      <c r="B1" s="474" t="s">
        <v>595</v>
      </c>
      <c r="C1" s="474"/>
      <c r="D1" s="474"/>
      <c r="E1" s="474"/>
      <c r="F1" s="474"/>
      <c r="G1" s="474"/>
    </row>
    <row r="2" spans="1:7" ht="17.600000000000001" x14ac:dyDescent="0.4">
      <c r="A2" s="44"/>
      <c r="B2" s="474" t="str">
        <f>'1. Cow Calf Budget'!B3</f>
        <v>400 Cow-Calf Case Ranch Budget</v>
      </c>
      <c r="C2" s="474"/>
      <c r="D2" s="474"/>
      <c r="E2" s="474"/>
      <c r="F2" s="474"/>
      <c r="G2" s="474"/>
    </row>
    <row r="3" spans="1:7" x14ac:dyDescent="0.4">
      <c r="A3" s="44"/>
      <c r="B3" s="317"/>
      <c r="C3" s="317"/>
      <c r="D3" s="317"/>
      <c r="E3" s="317"/>
      <c r="F3" s="317"/>
      <c r="G3" s="317"/>
    </row>
    <row r="4" spans="1:7" x14ac:dyDescent="0.4">
      <c r="A4" s="44"/>
      <c r="B4" s="318" t="s">
        <v>252</v>
      </c>
      <c r="C4" s="319" t="s">
        <v>430</v>
      </c>
      <c r="D4" s="320"/>
      <c r="E4" s="320"/>
      <c r="F4" s="320"/>
      <c r="G4" s="321"/>
    </row>
    <row r="5" spans="1:7" x14ac:dyDescent="0.4">
      <c r="A5" s="44"/>
      <c r="B5" s="317"/>
      <c r="C5" s="322" t="s">
        <v>616</v>
      </c>
      <c r="D5" s="323"/>
      <c r="E5" s="323"/>
      <c r="F5" s="323"/>
      <c r="G5" s="324"/>
    </row>
    <row r="6" spans="1:7" x14ac:dyDescent="0.4">
      <c r="A6" s="44"/>
      <c r="B6" s="115"/>
      <c r="C6" s="115"/>
      <c r="D6" s="115"/>
      <c r="E6" s="115"/>
      <c r="F6" s="115"/>
      <c r="G6" s="115"/>
    </row>
    <row r="7" spans="1:7" x14ac:dyDescent="0.4">
      <c r="A7" s="44"/>
      <c r="B7" s="476" t="s">
        <v>336</v>
      </c>
      <c r="C7" s="476"/>
      <c r="D7" s="476"/>
      <c r="E7" s="476"/>
      <c r="F7" s="476"/>
      <c r="G7" s="476"/>
    </row>
    <row r="8" spans="1:7" x14ac:dyDescent="0.4">
      <c r="A8" s="44"/>
      <c r="B8" s="325" t="s">
        <v>48</v>
      </c>
      <c r="C8" s="325"/>
      <c r="D8" s="325"/>
      <c r="E8" s="325"/>
      <c r="F8" s="325"/>
      <c r="G8" s="325"/>
    </row>
    <row r="9" spans="1:7" x14ac:dyDescent="0.4">
      <c r="A9" s="44"/>
      <c r="B9" s="328"/>
      <c r="C9" s="328"/>
      <c r="D9" s="328"/>
      <c r="E9" s="329" t="s">
        <v>126</v>
      </c>
      <c r="F9" s="328" t="s">
        <v>159</v>
      </c>
      <c r="G9" s="328"/>
    </row>
    <row r="10" spans="1:7" x14ac:dyDescent="0.4">
      <c r="A10" s="44"/>
      <c r="B10" s="328"/>
      <c r="C10" s="329" t="s">
        <v>79</v>
      </c>
      <c r="D10" s="328"/>
      <c r="E10" s="329" t="s">
        <v>160</v>
      </c>
      <c r="F10" s="329" t="s">
        <v>161</v>
      </c>
      <c r="G10" s="329" t="s">
        <v>162</v>
      </c>
    </row>
    <row r="11" spans="1:7" x14ac:dyDescent="0.4">
      <c r="A11" s="44"/>
      <c r="B11" s="328" t="s">
        <v>163</v>
      </c>
      <c r="C11" s="329" t="s">
        <v>6</v>
      </c>
      <c r="D11" s="328"/>
      <c r="E11" s="328">
        <f>'1. Cow Calf Budget'!F10</f>
        <v>85</v>
      </c>
      <c r="F11" s="330">
        <v>85</v>
      </c>
      <c r="G11" s="331">
        <f>(F11-E11)</f>
        <v>0</v>
      </c>
    </row>
    <row r="12" spans="1:7" x14ac:dyDescent="0.4">
      <c r="A12" s="44"/>
      <c r="B12" s="328" t="s">
        <v>164</v>
      </c>
      <c r="C12" s="328" t="s">
        <v>133</v>
      </c>
      <c r="D12" s="328"/>
      <c r="E12" s="332">
        <f>'1. Cow Calf Budget'!C70</f>
        <v>550</v>
      </c>
      <c r="F12" s="333">
        <v>580</v>
      </c>
      <c r="G12" s="331">
        <f>(F12-E12)</f>
        <v>30</v>
      </c>
    </row>
    <row r="13" spans="1:7" x14ac:dyDescent="0.4">
      <c r="A13" s="44"/>
      <c r="B13" s="328" t="s">
        <v>165</v>
      </c>
      <c r="C13" s="328" t="s">
        <v>133</v>
      </c>
      <c r="D13" s="328"/>
      <c r="E13" s="332">
        <f>'1. Cow Calf Budget'!C71</f>
        <v>530</v>
      </c>
      <c r="F13" s="333">
        <v>555</v>
      </c>
      <c r="G13" s="331">
        <f>(F13-E13)</f>
        <v>25</v>
      </c>
    </row>
    <row r="14" spans="1:7" x14ac:dyDescent="0.4">
      <c r="A14" s="44"/>
      <c r="B14" s="328" t="s">
        <v>166</v>
      </c>
      <c r="C14" s="329" t="s">
        <v>80</v>
      </c>
      <c r="D14" s="328"/>
      <c r="E14" s="334">
        <f>'1. Cow Calf Budget'!E70</f>
        <v>165.75</v>
      </c>
      <c r="F14" s="334">
        <f>F61</f>
        <v>167.9</v>
      </c>
      <c r="G14" s="334">
        <f>(F14-E14)</f>
        <v>2.1500000000000057</v>
      </c>
    </row>
    <row r="15" spans="1:7" x14ac:dyDescent="0.4">
      <c r="A15" s="44"/>
      <c r="B15" s="328" t="s">
        <v>167</v>
      </c>
      <c r="C15" s="329" t="s">
        <v>80</v>
      </c>
      <c r="D15" s="328"/>
      <c r="E15" s="334">
        <f>'1. Cow Calf Budget'!E71</f>
        <v>151.125</v>
      </c>
      <c r="F15" s="151">
        <f>(G61)</f>
        <v>149.375</v>
      </c>
      <c r="G15" s="334">
        <f>(F15-E15)</f>
        <v>-1.75</v>
      </c>
    </row>
    <row r="16" spans="1:7" x14ac:dyDescent="0.4">
      <c r="A16" s="44"/>
      <c r="B16" s="328"/>
      <c r="C16" s="328"/>
      <c r="D16" s="328"/>
      <c r="E16" s="334"/>
      <c r="F16" s="334"/>
      <c r="G16" s="334"/>
    </row>
    <row r="17" spans="1:9" x14ac:dyDescent="0.4">
      <c r="A17" s="44"/>
      <c r="B17" s="328" t="s">
        <v>168</v>
      </c>
      <c r="C17" s="329" t="s">
        <v>169</v>
      </c>
      <c r="D17" s="328"/>
      <c r="E17" s="335"/>
      <c r="F17" s="336">
        <v>10</v>
      </c>
      <c r="G17" s="334">
        <f>F17</f>
        <v>10</v>
      </c>
    </row>
    <row r="18" spans="1:9" x14ac:dyDescent="0.4">
      <c r="A18" s="44"/>
      <c r="B18" s="317"/>
      <c r="C18" s="317"/>
      <c r="D18" s="317"/>
      <c r="E18" s="317"/>
      <c r="F18" s="317"/>
      <c r="G18" s="317"/>
    </row>
    <row r="19" spans="1:9" x14ac:dyDescent="0.4">
      <c r="A19" s="44"/>
      <c r="B19" s="325" t="s">
        <v>4</v>
      </c>
      <c r="C19" s="325"/>
      <c r="D19" s="325"/>
      <c r="E19" s="325"/>
      <c r="F19" s="325"/>
      <c r="G19" s="325"/>
    </row>
    <row r="20" spans="1:9" x14ac:dyDescent="0.4">
      <c r="A20" s="44"/>
      <c r="B20" s="303"/>
      <c r="C20" s="303"/>
      <c r="D20" s="303"/>
      <c r="E20" s="303"/>
      <c r="F20" s="303"/>
      <c r="G20" s="303"/>
    </row>
    <row r="21" spans="1:9" x14ac:dyDescent="0.4">
      <c r="A21" s="44"/>
      <c r="B21" s="476" t="s">
        <v>170</v>
      </c>
      <c r="C21" s="476"/>
      <c r="D21" s="476"/>
      <c r="E21" s="476"/>
      <c r="F21" s="476"/>
      <c r="G21" s="476"/>
    </row>
    <row r="22" spans="1:9" x14ac:dyDescent="0.4">
      <c r="A22" s="44"/>
      <c r="B22" s="317"/>
      <c r="C22" s="317"/>
      <c r="D22" s="317"/>
      <c r="E22" s="317"/>
      <c r="F22" s="317"/>
      <c r="G22" s="317"/>
    </row>
    <row r="23" spans="1:9" x14ac:dyDescent="0.4">
      <c r="A23" s="44"/>
      <c r="B23" s="328" t="s">
        <v>171</v>
      </c>
      <c r="C23" s="328"/>
      <c r="D23" s="328"/>
      <c r="E23" s="334">
        <f>(('7. Sensitivity'!$D29*0.005*'7. Sensitivity'!G$16*'7. Sensitivity'!G$20*0.01)+(('7. Sensitivity'!$D29*0.005-'1. Cow Calf Budget'!$N$16)*'7. Sensitivity'!G$17*'7. Sensitivity'!G$23*0.01))+'1. Cow Calf Budget'!$F$68+'1. Cow Calf Budget'!$F$72-'1. Cow Calf Budget'!$F$145</f>
        <v>25.709137499999997</v>
      </c>
      <c r="F23" s="334">
        <f>'7. Sensitivity'!I151</f>
        <v>50.366156250000017</v>
      </c>
      <c r="G23" s="334">
        <f>(F23-E23)</f>
        <v>24.65701875000002</v>
      </c>
    </row>
    <row r="24" spans="1:9" x14ac:dyDescent="0.4">
      <c r="A24" s="44"/>
      <c r="B24" s="328"/>
      <c r="C24" s="328"/>
      <c r="D24" s="328"/>
      <c r="E24" s="328"/>
      <c r="F24" s="328"/>
      <c r="G24" s="328"/>
    </row>
    <row r="25" spans="1:9" x14ac:dyDescent="0.4">
      <c r="A25" s="44"/>
      <c r="B25" s="328" t="s">
        <v>172</v>
      </c>
      <c r="C25" s="328"/>
      <c r="D25" s="328"/>
      <c r="E25" s="328"/>
      <c r="F25" s="328"/>
      <c r="G25" s="328"/>
      <c r="I25" s="44"/>
    </row>
    <row r="26" spans="1:9" x14ac:dyDescent="0.4">
      <c r="A26" s="44"/>
      <c r="B26" s="328" t="s">
        <v>173</v>
      </c>
      <c r="C26" s="328"/>
      <c r="D26" s="328"/>
      <c r="E26" s="332">
        <f>'7. Sensitivity'!I155</f>
        <v>389.03999999999996</v>
      </c>
      <c r="F26" s="332">
        <f>'7. Sensitivity'!I156</f>
        <v>409.11500000000001</v>
      </c>
      <c r="G26" s="337">
        <f>(F26-E26)</f>
        <v>20.075000000000045</v>
      </c>
    </row>
    <row r="27" spans="1:9" x14ac:dyDescent="0.4">
      <c r="A27" s="44"/>
      <c r="B27" s="328"/>
      <c r="C27" s="328"/>
      <c r="D27" s="328"/>
      <c r="E27" s="328"/>
      <c r="F27" s="328"/>
      <c r="G27" s="328"/>
    </row>
    <row r="28" spans="1:9" x14ac:dyDescent="0.4">
      <c r="A28" s="44"/>
      <c r="B28" s="328" t="s">
        <v>174</v>
      </c>
      <c r="C28" s="328"/>
      <c r="D28" s="328"/>
      <c r="E28" s="328"/>
      <c r="F28" s="338" t="s">
        <v>175</v>
      </c>
      <c r="G28" s="338" t="s">
        <v>176</v>
      </c>
    </row>
    <row r="29" spans="1:9" x14ac:dyDescent="0.4">
      <c r="A29" s="44"/>
      <c r="B29" s="328" t="s">
        <v>177</v>
      </c>
      <c r="C29" s="328"/>
      <c r="D29" s="328"/>
      <c r="E29" s="328"/>
      <c r="F29" s="328">
        <f>((F17)/('7. Sensitivity'!I152/'7. Sensitivity'!I156))</f>
        <v>6.2291058516628643</v>
      </c>
      <c r="G29" s="339">
        <f>(F29/E26)</f>
        <v>1.6011479158088794E-2</v>
      </c>
    </row>
    <row r="30" spans="1:9" x14ac:dyDescent="0.4">
      <c r="A30" s="44"/>
      <c r="B30" s="328"/>
      <c r="C30" s="328"/>
      <c r="D30" s="328"/>
      <c r="E30" s="328"/>
      <c r="F30" s="328"/>
      <c r="G30" s="328"/>
    </row>
    <row r="31" spans="1:9" x14ac:dyDescent="0.4">
      <c r="A31" s="44"/>
      <c r="B31" s="328" t="s">
        <v>178</v>
      </c>
      <c r="C31" s="328"/>
      <c r="D31" s="328"/>
      <c r="E31" s="328"/>
      <c r="F31" s="328"/>
      <c r="G31" s="328"/>
    </row>
    <row r="32" spans="1:9" x14ac:dyDescent="0.4">
      <c r="A32" s="44"/>
      <c r="B32" s="328" t="s">
        <v>179</v>
      </c>
      <c r="C32" s="328"/>
      <c r="D32" s="328"/>
      <c r="E32" s="328"/>
      <c r="F32" s="328"/>
      <c r="G32" s="337">
        <f>ABS(IF(G17=0,"NA",(G23/G17)))</f>
        <v>2.4657018750000019</v>
      </c>
    </row>
    <row r="33" spans="1:7" x14ac:dyDescent="0.4">
      <c r="A33" s="44"/>
      <c r="B33" s="340" t="s">
        <v>48</v>
      </c>
      <c r="C33" s="340"/>
      <c r="D33" s="340"/>
      <c r="E33" s="340"/>
      <c r="F33" s="340"/>
      <c r="G33" s="340"/>
    </row>
    <row r="34" spans="1:7" x14ac:dyDescent="0.4">
      <c r="A34" s="44"/>
      <c r="B34" s="328" t="s">
        <v>180</v>
      </c>
      <c r="C34" s="328"/>
      <c r="D34" s="328"/>
      <c r="E34" s="328"/>
      <c r="F34" s="328"/>
      <c r="G34" s="328"/>
    </row>
    <row r="35" spans="1:7" x14ac:dyDescent="0.4">
      <c r="A35" s="44"/>
      <c r="B35" s="328" t="s">
        <v>181</v>
      </c>
      <c r="C35" s="328"/>
      <c r="D35" s="328"/>
      <c r="E35" s="328"/>
      <c r="F35" s="328"/>
      <c r="G35" s="328"/>
    </row>
    <row r="36" spans="1:7" x14ac:dyDescent="0.4">
      <c r="A36" s="44"/>
      <c r="B36" s="325" t="s">
        <v>4</v>
      </c>
      <c r="C36" s="325"/>
      <c r="D36" s="325"/>
      <c r="E36" s="325"/>
      <c r="F36" s="325"/>
      <c r="G36" s="325"/>
    </row>
    <row r="37" spans="1:7" x14ac:dyDescent="0.4">
      <c r="A37" s="44"/>
      <c r="B37" s="317"/>
      <c r="C37" s="317"/>
      <c r="D37" s="317"/>
      <c r="E37" s="317"/>
      <c r="F37" s="317"/>
      <c r="G37" s="317"/>
    </row>
    <row r="38" spans="1:7" x14ac:dyDescent="0.4">
      <c r="A38" s="44"/>
      <c r="B38" s="475" t="s">
        <v>335</v>
      </c>
      <c r="C38" s="475"/>
      <c r="D38" s="475"/>
      <c r="E38" s="475"/>
      <c r="F38" s="475"/>
      <c r="G38" s="475"/>
    </row>
    <row r="39" spans="1:7" x14ac:dyDescent="0.4">
      <c r="A39" s="44"/>
      <c r="B39" s="326"/>
      <c r="C39" s="327"/>
      <c r="D39" s="317"/>
      <c r="E39" s="317"/>
      <c r="F39" s="317"/>
      <c r="G39" s="317"/>
    </row>
    <row r="40" spans="1:7" x14ac:dyDescent="0.4">
      <c r="A40" s="44"/>
      <c r="B40" s="341"/>
      <c r="C40" s="342"/>
      <c r="D40" s="328"/>
      <c r="E40" s="328"/>
      <c r="F40" s="328" t="s">
        <v>182</v>
      </c>
      <c r="G40" s="328" t="s">
        <v>183</v>
      </c>
    </row>
    <row r="41" spans="1:7" x14ac:dyDescent="0.4">
      <c r="A41" s="44"/>
      <c r="B41" s="328" t="s">
        <v>184</v>
      </c>
      <c r="C41" s="328"/>
      <c r="D41" s="329" t="s">
        <v>75</v>
      </c>
      <c r="E41" s="328"/>
      <c r="F41" s="332">
        <f>F12</f>
        <v>580</v>
      </c>
      <c r="G41" s="332">
        <f>F13</f>
        <v>555</v>
      </c>
    </row>
    <row r="42" spans="1:7" x14ac:dyDescent="0.4">
      <c r="A42" s="44"/>
      <c r="B42" s="328"/>
      <c r="C42" s="328"/>
      <c r="D42" s="328"/>
      <c r="E42" s="328"/>
      <c r="F42" s="328"/>
      <c r="G42" s="328"/>
    </row>
    <row r="43" spans="1:7" x14ac:dyDescent="0.4">
      <c r="A43" s="44"/>
      <c r="B43" s="328" t="s">
        <v>185</v>
      </c>
      <c r="C43" s="328"/>
      <c r="D43" s="328"/>
      <c r="E43" s="328"/>
      <c r="F43" s="328"/>
      <c r="G43" s="328"/>
    </row>
    <row r="44" spans="1:7" x14ac:dyDescent="0.4">
      <c r="A44" s="44"/>
      <c r="B44" s="328" t="s">
        <v>186</v>
      </c>
      <c r="C44" s="328"/>
      <c r="D44" s="329" t="s">
        <v>80</v>
      </c>
      <c r="E44" s="328"/>
      <c r="F44" s="425">
        <f>'3. Cattle Pricing'!D25</f>
        <v>170</v>
      </c>
      <c r="G44" s="426">
        <f>'3. Cattle Pricing'!D56</f>
        <v>151.125</v>
      </c>
    </row>
    <row r="45" spans="1:7" x14ac:dyDescent="0.4">
      <c r="A45" s="44"/>
      <c r="B45" s="328" t="s">
        <v>187</v>
      </c>
      <c r="C45" s="328"/>
      <c r="D45" s="329" t="s">
        <v>75</v>
      </c>
      <c r="E45" s="328"/>
      <c r="F45" s="427">
        <f>'1. Cow Calf Budget'!C70</f>
        <v>550</v>
      </c>
      <c r="G45" s="427">
        <f>'1. Cow Calf Budget'!C71</f>
        <v>530</v>
      </c>
    </row>
    <row r="46" spans="1:7" x14ac:dyDescent="0.4">
      <c r="A46" s="44"/>
      <c r="B46" s="328" t="s">
        <v>188</v>
      </c>
      <c r="C46" s="328"/>
      <c r="D46" s="329" t="s">
        <v>75</v>
      </c>
      <c r="E46" s="328"/>
      <c r="F46" s="333">
        <v>0</v>
      </c>
      <c r="G46" s="333">
        <v>0</v>
      </c>
    </row>
    <row r="47" spans="1:7" x14ac:dyDescent="0.4">
      <c r="A47" s="44"/>
      <c r="B47" s="328" t="s">
        <v>189</v>
      </c>
      <c r="C47" s="328"/>
      <c r="D47" s="329" t="s">
        <v>75</v>
      </c>
      <c r="E47" s="328"/>
      <c r="F47" s="333">
        <v>0</v>
      </c>
      <c r="G47" s="333">
        <v>0</v>
      </c>
    </row>
    <row r="48" spans="1:7" x14ac:dyDescent="0.4">
      <c r="A48" s="44"/>
      <c r="B48" s="328" t="s">
        <v>190</v>
      </c>
      <c r="C48" s="328"/>
      <c r="D48" s="329" t="s">
        <v>80</v>
      </c>
      <c r="E48" s="328"/>
      <c r="F48" s="336">
        <v>7</v>
      </c>
      <c r="G48" s="343">
        <v>7</v>
      </c>
    </row>
    <row r="49" spans="1:7" x14ac:dyDescent="0.4">
      <c r="A49" s="44"/>
      <c r="B49" s="328" t="s">
        <v>191</v>
      </c>
      <c r="C49" s="328"/>
      <c r="D49" s="329" t="s">
        <v>80</v>
      </c>
      <c r="E49" s="328"/>
      <c r="F49" s="344">
        <f>'1. Cow Calf Budget'!K320</f>
        <v>-2.1</v>
      </c>
      <c r="G49" s="345">
        <f>'1. Cow Calf Budget'!K326</f>
        <v>-1.7500000000000002</v>
      </c>
    </row>
    <row r="50" spans="1:7" x14ac:dyDescent="0.4">
      <c r="A50" s="44"/>
      <c r="B50" s="328"/>
      <c r="C50" s="328"/>
      <c r="D50" s="328"/>
      <c r="E50" s="328"/>
      <c r="F50" s="346"/>
      <c r="G50" s="151"/>
    </row>
    <row r="51" spans="1:7" x14ac:dyDescent="0.4">
      <c r="A51" s="44"/>
      <c r="B51" s="328" t="s">
        <v>192</v>
      </c>
      <c r="C51" s="328"/>
      <c r="D51" s="329" t="s">
        <v>80</v>
      </c>
      <c r="E51" s="328"/>
      <c r="F51" s="336">
        <v>0</v>
      </c>
      <c r="G51" s="343">
        <v>0</v>
      </c>
    </row>
    <row r="52" spans="1:7" x14ac:dyDescent="0.4">
      <c r="A52" s="44"/>
      <c r="B52" s="328"/>
      <c r="C52" s="328"/>
      <c r="D52" s="328"/>
      <c r="E52" s="328"/>
      <c r="F52" s="346"/>
      <c r="G52" s="125"/>
    </row>
    <row r="53" spans="1:7" x14ac:dyDescent="0.4">
      <c r="A53" s="44"/>
      <c r="B53" s="328" t="s">
        <v>193</v>
      </c>
      <c r="C53" s="328"/>
      <c r="D53" s="328"/>
      <c r="E53" s="328"/>
      <c r="F53" s="346"/>
      <c r="G53" s="328"/>
    </row>
    <row r="54" spans="1:7" x14ac:dyDescent="0.4">
      <c r="A54" s="44"/>
      <c r="B54" s="328" t="s">
        <v>194</v>
      </c>
      <c r="C54" s="328"/>
      <c r="D54" s="329" t="s">
        <v>80</v>
      </c>
      <c r="E54" s="125"/>
      <c r="F54" s="336">
        <v>0</v>
      </c>
      <c r="G54" s="343">
        <v>0</v>
      </c>
    </row>
    <row r="55" spans="1:7" x14ac:dyDescent="0.4">
      <c r="A55" s="44"/>
      <c r="B55" s="328" t="s">
        <v>195</v>
      </c>
      <c r="C55" s="328"/>
      <c r="D55" s="329" t="s">
        <v>80</v>
      </c>
      <c r="E55" s="328"/>
      <c r="F55" s="336">
        <v>0</v>
      </c>
      <c r="G55" s="343">
        <v>0</v>
      </c>
    </row>
    <row r="56" spans="1:7" x14ac:dyDescent="0.4">
      <c r="A56" s="44"/>
      <c r="B56" s="328" t="s">
        <v>196</v>
      </c>
      <c r="C56" s="328"/>
      <c r="D56" s="329" t="s">
        <v>80</v>
      </c>
      <c r="E56" s="328"/>
      <c r="F56" s="336">
        <v>0</v>
      </c>
      <c r="G56" s="343">
        <v>0</v>
      </c>
    </row>
    <row r="57" spans="1:7" x14ac:dyDescent="0.4">
      <c r="A57" s="44"/>
      <c r="B57" s="328" t="s">
        <v>197</v>
      </c>
      <c r="C57" s="328"/>
      <c r="D57" s="329" t="s">
        <v>80</v>
      </c>
      <c r="E57" s="328"/>
      <c r="F57" s="336">
        <v>0</v>
      </c>
      <c r="G57" s="343">
        <v>0</v>
      </c>
    </row>
    <row r="58" spans="1:7" x14ac:dyDescent="0.4">
      <c r="A58" s="44"/>
      <c r="B58" s="125" t="s">
        <v>198</v>
      </c>
      <c r="C58" s="328"/>
      <c r="D58" s="329" t="s">
        <v>80</v>
      </c>
      <c r="E58" s="328"/>
      <c r="F58" s="336">
        <v>0</v>
      </c>
      <c r="G58" s="343">
        <v>0</v>
      </c>
    </row>
    <row r="59" spans="1:7" x14ac:dyDescent="0.4">
      <c r="A59" s="44"/>
      <c r="B59" s="328" t="s">
        <v>199</v>
      </c>
      <c r="C59" s="328"/>
      <c r="D59" s="329" t="s">
        <v>80</v>
      </c>
      <c r="E59" s="328"/>
      <c r="F59" s="347">
        <f>SUM(F54:F58)</f>
        <v>0</v>
      </c>
      <c r="G59" s="348">
        <f>SUM(G54:G58)</f>
        <v>0</v>
      </c>
    </row>
    <row r="60" spans="1:7" x14ac:dyDescent="0.4">
      <c r="A60" s="44"/>
      <c r="B60" s="328"/>
      <c r="C60" s="328"/>
      <c r="D60" s="328"/>
      <c r="E60" s="328"/>
      <c r="F60" s="328"/>
      <c r="G60" s="328"/>
    </row>
    <row r="61" spans="1:7" x14ac:dyDescent="0.4">
      <c r="A61" s="44"/>
      <c r="B61" s="328" t="s">
        <v>200</v>
      </c>
      <c r="C61" s="328"/>
      <c r="D61" s="329" t="s">
        <v>80</v>
      </c>
      <c r="E61" s="328"/>
      <c r="F61" s="334">
        <f>(F44+F51+F49+F59)</f>
        <v>167.9</v>
      </c>
      <c r="G61" s="349">
        <f>G44+G51+G49+G59</f>
        <v>149.375</v>
      </c>
    </row>
    <row r="62" spans="1:7" x14ac:dyDescent="0.4">
      <c r="A62" s="44"/>
      <c r="B62" s="325" t="s">
        <v>4</v>
      </c>
      <c r="C62" s="325"/>
      <c r="D62" s="325"/>
      <c r="E62" s="325"/>
      <c r="F62" s="325"/>
      <c r="G62" s="325"/>
    </row>
  </sheetData>
  <sheetProtection sheet="1"/>
  <mergeCells count="5">
    <mergeCell ref="B1:G1"/>
    <mergeCell ref="B38:G38"/>
    <mergeCell ref="B7:G7"/>
    <mergeCell ref="B21:G21"/>
    <mergeCell ref="B2:G2"/>
  </mergeCells>
  <phoneticPr fontId="0" type="noConversion"/>
  <printOptions horizontalCentered="1"/>
  <pageMargins left="0.5" right="0.5" top="0.5" bottom="0.7" header="0.5" footer="0.5"/>
  <pageSetup scale="74" orientation="portrait" r:id="rId1"/>
  <headerFooter alignWithMargins="0">
    <oddFooter>&amp;L&amp;10&amp;F&amp;R&amp;10&amp;A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AB187"/>
  <sheetViews>
    <sheetView topLeftCell="A7" zoomScaleNormal="100" workbookViewId="0">
      <selection activeCell="B4" sqref="B4"/>
    </sheetView>
  </sheetViews>
  <sheetFormatPr defaultRowHeight="15" x14ac:dyDescent="0.35"/>
  <cols>
    <col min="1" max="1" width="5.75" customWidth="1"/>
    <col min="2" max="2" width="22.25" customWidth="1"/>
    <col min="3" max="3" width="5" customWidth="1"/>
    <col min="4" max="4" width="9.0625" customWidth="1"/>
    <col min="5" max="9" width="8.75" customWidth="1"/>
    <col min="10" max="10" width="2.6875" customWidth="1"/>
    <col min="11" max="11" width="18.5625" customWidth="1"/>
    <col min="14" max="15" width="7.75" customWidth="1"/>
    <col min="16" max="16" width="9.25" customWidth="1"/>
    <col min="17" max="18" width="7.75" customWidth="1"/>
    <col min="19" max="19" width="2.75" customWidth="1"/>
    <col min="21" max="21" width="22.25" customWidth="1"/>
    <col min="24" max="24" width="10.75" bestFit="1" customWidth="1"/>
  </cols>
  <sheetData>
    <row r="1" spans="2:28" ht="17.600000000000001" x14ac:dyDescent="0.4">
      <c r="B1" s="478" t="s">
        <v>609</v>
      </c>
      <c r="C1" s="478"/>
      <c r="D1" s="478"/>
      <c r="E1" s="478"/>
      <c r="F1" s="478"/>
      <c r="G1" s="478"/>
      <c r="H1" s="478"/>
      <c r="I1" s="478"/>
      <c r="K1" s="482"/>
      <c r="L1" s="482"/>
      <c r="M1" s="482"/>
      <c r="N1" s="482"/>
      <c r="O1" s="482"/>
      <c r="P1" s="482"/>
      <c r="Q1" s="482"/>
      <c r="R1" s="482"/>
    </row>
    <row r="2" spans="2:28" ht="17.600000000000001" x14ac:dyDescent="0.4">
      <c r="B2" s="478" t="str">
        <f>'1. Cow Calf Budget'!B3</f>
        <v>400 Cow-Calf Case Ranch Budget</v>
      </c>
      <c r="C2" s="478"/>
      <c r="D2" s="478"/>
      <c r="E2" s="478"/>
      <c r="F2" s="478"/>
      <c r="G2" s="478"/>
      <c r="H2" s="478"/>
      <c r="I2" s="478"/>
      <c r="K2" s="22"/>
      <c r="L2" s="22"/>
      <c r="M2" s="22"/>
      <c r="N2" s="22"/>
      <c r="O2" s="22"/>
      <c r="P2" s="22"/>
      <c r="Q2" s="22"/>
      <c r="R2" s="22"/>
    </row>
    <row r="3" spans="2:28" ht="15.45" x14ac:dyDescent="0.4">
      <c r="B3" s="303"/>
      <c r="C3" s="303"/>
      <c r="D3" s="303"/>
      <c r="E3" s="303"/>
      <c r="F3" s="303"/>
      <c r="G3" s="303"/>
      <c r="H3" s="303"/>
      <c r="I3" s="115"/>
      <c r="U3" s="479"/>
      <c r="V3" s="479"/>
      <c r="W3" s="479"/>
      <c r="X3" s="479"/>
      <c r="Y3" s="479"/>
      <c r="Z3" s="479"/>
      <c r="AA3" s="479"/>
      <c r="AB3" s="4"/>
    </row>
    <row r="4" spans="2:28" ht="17.600000000000001" x14ac:dyDescent="0.4">
      <c r="B4" s="115"/>
      <c r="C4" s="115"/>
      <c r="D4" s="115"/>
      <c r="E4" s="480" t="s">
        <v>104</v>
      </c>
      <c r="F4" s="480"/>
      <c r="G4" s="480"/>
      <c r="H4" s="480"/>
      <c r="I4" s="480"/>
      <c r="J4" s="4"/>
      <c r="U4" s="4"/>
      <c r="V4" s="4"/>
      <c r="W4" s="4"/>
      <c r="X4" s="4"/>
      <c r="Y4" s="4"/>
      <c r="Z4" s="4"/>
      <c r="AA4" s="4"/>
      <c r="AB4" s="4"/>
    </row>
    <row r="5" spans="2:28" ht="15.45" x14ac:dyDescent="0.4">
      <c r="B5" s="119" t="s">
        <v>104</v>
      </c>
      <c r="C5" s="115"/>
      <c r="D5" s="115"/>
      <c r="E5" s="477" t="s">
        <v>325</v>
      </c>
      <c r="F5" s="477"/>
      <c r="G5" s="477"/>
      <c r="H5" s="477"/>
      <c r="I5" s="477"/>
      <c r="J5" s="4"/>
      <c r="U5" s="5"/>
      <c r="V5" s="4"/>
      <c r="W5" s="4"/>
      <c r="X5" s="4"/>
      <c r="Y5" s="4"/>
      <c r="Z5" s="4"/>
      <c r="AA5" s="4"/>
      <c r="AB5" s="4"/>
    </row>
    <row r="6" spans="2:28" ht="15.45" x14ac:dyDescent="0.4">
      <c r="B6" s="353" t="s">
        <v>311</v>
      </c>
      <c r="C6" s="354">
        <f>'1. Cow Calf Budget'!F9</f>
        <v>400</v>
      </c>
      <c r="D6" s="125"/>
      <c r="E6" s="125"/>
      <c r="F6" s="125"/>
      <c r="G6" s="125"/>
      <c r="H6" s="125"/>
      <c r="I6" s="125"/>
      <c r="J6" s="4"/>
      <c r="U6" s="3"/>
      <c r="W6" s="4"/>
      <c r="X6" s="4"/>
      <c r="Y6" s="4"/>
      <c r="Z6" s="4"/>
      <c r="AA6" s="4"/>
      <c r="AB6" s="4"/>
    </row>
    <row r="7" spans="2:28" ht="15.45" x14ac:dyDescent="0.4">
      <c r="B7" s="125" t="s">
        <v>118</v>
      </c>
      <c r="C7" s="125"/>
      <c r="D7" s="125"/>
      <c r="E7" s="125"/>
      <c r="F7" s="125"/>
      <c r="G7" s="125"/>
      <c r="H7" s="125"/>
      <c r="I7" s="125"/>
      <c r="J7" s="4"/>
      <c r="U7" s="4"/>
      <c r="V7" s="4"/>
      <c r="W7" s="4"/>
      <c r="X7" s="4"/>
      <c r="Y7" s="4"/>
      <c r="Z7" s="4"/>
      <c r="AA7" s="4"/>
      <c r="AB7" s="4"/>
    </row>
    <row r="8" spans="2:28" ht="15.45" x14ac:dyDescent="0.4">
      <c r="B8" s="125" t="s">
        <v>119</v>
      </c>
      <c r="C8" s="134">
        <v>1</v>
      </c>
      <c r="D8" s="125"/>
      <c r="E8" s="125"/>
      <c r="F8" s="125"/>
      <c r="G8" s="125"/>
      <c r="H8" s="151" t="s">
        <v>17</v>
      </c>
      <c r="I8" s="125"/>
      <c r="J8" s="4"/>
      <c r="U8" s="4"/>
      <c r="V8" s="4"/>
      <c r="W8" s="4"/>
      <c r="X8" s="4"/>
      <c r="Y8" s="4"/>
      <c r="Z8" s="4"/>
      <c r="AA8" s="14"/>
      <c r="AB8" s="4"/>
    </row>
    <row r="9" spans="2:28" ht="15.45" x14ac:dyDescent="0.4">
      <c r="B9" s="125" t="s">
        <v>120</v>
      </c>
      <c r="C9" s="134">
        <v>5</v>
      </c>
      <c r="D9" s="125"/>
      <c r="E9" s="144" t="s">
        <v>121</v>
      </c>
      <c r="F9" s="125"/>
      <c r="G9" s="125"/>
      <c r="H9" s="125"/>
      <c r="I9" s="125"/>
      <c r="J9" s="4"/>
      <c r="U9" s="4"/>
      <c r="V9" s="4"/>
      <c r="W9" s="4"/>
      <c r="X9" s="11"/>
      <c r="Y9" s="4"/>
      <c r="Z9" s="4"/>
      <c r="AA9" s="4"/>
      <c r="AB9" s="4"/>
    </row>
    <row r="10" spans="2:28" ht="15.45" x14ac:dyDescent="0.4">
      <c r="B10" s="125" t="s">
        <v>122</v>
      </c>
      <c r="C10" s="134">
        <v>20</v>
      </c>
      <c r="D10" s="125"/>
      <c r="E10" s="125"/>
      <c r="F10" s="125"/>
      <c r="G10" s="125"/>
      <c r="H10" s="125"/>
      <c r="I10" s="125"/>
      <c r="J10" s="4"/>
      <c r="U10" s="4"/>
      <c r="V10" s="4"/>
      <c r="W10" s="4"/>
      <c r="X10" s="4"/>
      <c r="Y10" s="4"/>
      <c r="Z10" s="4"/>
      <c r="AA10" s="4"/>
      <c r="AB10" s="4"/>
    </row>
    <row r="11" spans="2:28" ht="15.45" x14ac:dyDescent="0.4">
      <c r="B11" s="125" t="s">
        <v>123</v>
      </c>
      <c r="C11" s="134">
        <v>20</v>
      </c>
      <c r="D11" s="125"/>
      <c r="E11" s="125"/>
      <c r="F11" s="125"/>
      <c r="G11" s="125"/>
      <c r="H11" s="125"/>
      <c r="I11" s="125"/>
      <c r="J11" s="4"/>
      <c r="U11" s="4"/>
      <c r="V11" s="4"/>
      <c r="W11" s="4"/>
      <c r="X11" s="4"/>
      <c r="Y11" s="4"/>
      <c r="Z11" s="4"/>
      <c r="AA11" s="4"/>
      <c r="AB11" s="4"/>
    </row>
    <row r="12" spans="2:28" ht="15.45" x14ac:dyDescent="0.4">
      <c r="B12" s="125"/>
      <c r="C12" s="125"/>
      <c r="D12" s="125"/>
      <c r="E12" s="125"/>
      <c r="F12" s="128"/>
      <c r="G12" s="128"/>
      <c r="H12" s="128"/>
      <c r="I12" s="232"/>
      <c r="J12" s="4"/>
      <c r="U12" s="4"/>
      <c r="V12" s="4"/>
      <c r="W12" s="4"/>
      <c r="X12" s="4"/>
      <c r="Y12" s="8"/>
      <c r="Z12" s="8"/>
      <c r="AA12" s="8"/>
      <c r="AB12" s="19"/>
    </row>
    <row r="13" spans="2:28" ht="15.45" x14ac:dyDescent="0.4">
      <c r="B13" s="125"/>
      <c r="C13" s="125"/>
      <c r="D13" s="125"/>
      <c r="E13" s="125" t="s">
        <v>125</v>
      </c>
      <c r="F13" s="125"/>
      <c r="G13" s="127" t="s">
        <v>126</v>
      </c>
      <c r="H13" s="125" t="s">
        <v>127</v>
      </c>
      <c r="I13" s="125"/>
      <c r="J13" s="4"/>
      <c r="U13" s="4"/>
      <c r="V13" s="4"/>
      <c r="W13" s="4"/>
      <c r="X13" s="4"/>
      <c r="Y13" s="4"/>
      <c r="Z13" s="6"/>
      <c r="AA13" s="4"/>
      <c r="AB13" s="4"/>
    </row>
    <row r="14" spans="2:28" ht="15.45" x14ac:dyDescent="0.4">
      <c r="B14" s="125"/>
      <c r="C14" s="125"/>
      <c r="D14" s="125"/>
      <c r="E14" s="125"/>
      <c r="F14" s="125"/>
      <c r="G14" s="125"/>
      <c r="H14" s="125"/>
      <c r="I14" s="125"/>
      <c r="J14" s="4"/>
      <c r="U14" s="4"/>
      <c r="V14" s="4"/>
      <c r="W14" s="4"/>
      <c r="X14" s="4"/>
      <c r="Y14" s="4"/>
      <c r="Z14" s="4"/>
      <c r="AA14" s="4"/>
      <c r="AB14" s="4"/>
    </row>
    <row r="15" spans="2:28" ht="15.45" x14ac:dyDescent="0.4">
      <c r="B15" s="125" t="s">
        <v>128</v>
      </c>
      <c r="C15" s="125"/>
      <c r="D15" s="125" t="s">
        <v>80</v>
      </c>
      <c r="E15" s="169">
        <f>C9*2*-1</f>
        <v>-10</v>
      </c>
      <c r="F15" s="169">
        <f>C9*-1</f>
        <v>-5</v>
      </c>
      <c r="G15" s="457" t="s">
        <v>129</v>
      </c>
      <c r="H15" s="169">
        <f>C9*1</f>
        <v>5</v>
      </c>
      <c r="I15" s="169">
        <f>C9*2</f>
        <v>10</v>
      </c>
      <c r="J15" s="4"/>
      <c r="U15" s="4"/>
      <c r="V15" s="4"/>
      <c r="W15" s="4"/>
      <c r="X15" s="4"/>
      <c r="Y15" s="4"/>
      <c r="Z15" s="7"/>
      <c r="AA15" s="4"/>
      <c r="AB15" s="4"/>
    </row>
    <row r="16" spans="2:28" ht="15.45" x14ac:dyDescent="0.4">
      <c r="B16" s="125" t="s">
        <v>130</v>
      </c>
      <c r="C16" s="125"/>
      <c r="D16" s="125" t="s">
        <v>80</v>
      </c>
      <c r="E16" s="169">
        <f>($G$16+E15)</f>
        <v>155.75</v>
      </c>
      <c r="F16" s="169">
        <f>($G$16+F15)</f>
        <v>160.75</v>
      </c>
      <c r="G16" s="169">
        <f>'1. Cow Calf Budget'!$E$70</f>
        <v>165.75</v>
      </c>
      <c r="H16" s="169">
        <f>($G$16+H15)</f>
        <v>170.75</v>
      </c>
      <c r="I16" s="169">
        <f>($G$16+I15)</f>
        <v>175.75</v>
      </c>
      <c r="J16" s="4"/>
      <c r="U16" s="4"/>
      <c r="V16" s="4"/>
      <c r="W16" s="4"/>
      <c r="X16" s="4"/>
      <c r="Y16" s="4"/>
      <c r="Z16" s="4"/>
      <c r="AA16" s="4"/>
      <c r="AB16" s="4"/>
    </row>
    <row r="17" spans="2:28" ht="15.45" x14ac:dyDescent="0.4">
      <c r="B17" s="125" t="s">
        <v>131</v>
      </c>
      <c r="C17" s="125"/>
      <c r="D17" s="125" t="s">
        <v>80</v>
      </c>
      <c r="E17" s="169">
        <f>($G$17+E15)</f>
        <v>141.125</v>
      </c>
      <c r="F17" s="169">
        <f>($G$17+F15)</f>
        <v>146.125</v>
      </c>
      <c r="G17" s="169">
        <f>'1. Cow Calf Budget'!$E$71</f>
        <v>151.125</v>
      </c>
      <c r="H17" s="169">
        <f>($G$17+H15)</f>
        <v>156.125</v>
      </c>
      <c r="I17" s="169">
        <f>($G$17+I15)</f>
        <v>161.125</v>
      </c>
      <c r="J17" s="4"/>
      <c r="U17" s="4"/>
      <c r="V17" s="4"/>
      <c r="W17" s="4"/>
      <c r="X17" s="4"/>
      <c r="Y17" s="4"/>
      <c r="Z17" s="4"/>
      <c r="AA17" s="4"/>
      <c r="AB17" s="4"/>
    </row>
    <row r="18" spans="2:28" ht="15.45" x14ac:dyDescent="0.4">
      <c r="B18" s="125"/>
      <c r="C18" s="125"/>
      <c r="D18" s="125"/>
      <c r="E18" s="125"/>
      <c r="F18" s="125"/>
      <c r="G18" s="125"/>
      <c r="H18" s="125"/>
      <c r="I18" s="125"/>
      <c r="J18" s="4"/>
      <c r="U18" s="4"/>
      <c r="V18" s="4"/>
      <c r="W18" s="4"/>
      <c r="X18" s="4"/>
      <c r="Y18" s="4"/>
      <c r="Z18" s="4"/>
      <c r="AA18" s="4"/>
      <c r="AB18" s="4"/>
    </row>
    <row r="19" spans="2:28" ht="15.45" x14ac:dyDescent="0.4">
      <c r="B19" s="125" t="s">
        <v>132</v>
      </c>
      <c r="C19" s="125"/>
      <c r="D19" s="127" t="s">
        <v>133</v>
      </c>
      <c r="E19" s="145">
        <f>C10*2*-1</f>
        <v>-40</v>
      </c>
      <c r="F19" s="145">
        <f>C10*-1</f>
        <v>-20</v>
      </c>
      <c r="G19" s="146" t="s">
        <v>129</v>
      </c>
      <c r="H19" s="145">
        <f>C10*1</f>
        <v>20</v>
      </c>
      <c r="I19" s="145">
        <f>C10*2</f>
        <v>40</v>
      </c>
      <c r="J19" s="4"/>
      <c r="U19" s="4"/>
      <c r="V19" s="4"/>
      <c r="W19" s="6"/>
      <c r="X19" s="12"/>
      <c r="Y19" s="12"/>
      <c r="Z19" s="7"/>
      <c r="AA19" s="12"/>
      <c r="AB19" s="12"/>
    </row>
    <row r="20" spans="2:28" ht="15.45" x14ac:dyDescent="0.4">
      <c r="B20" s="125" t="s">
        <v>134</v>
      </c>
      <c r="C20" s="125"/>
      <c r="D20" s="127" t="s">
        <v>133</v>
      </c>
      <c r="E20" s="145">
        <f>($G$20+E19)</f>
        <v>510</v>
      </c>
      <c r="F20" s="145">
        <f>($G$20+F19)</f>
        <v>530</v>
      </c>
      <c r="G20" s="145">
        <f>'1. Cow Calf Budget'!$C$70</f>
        <v>550</v>
      </c>
      <c r="H20" s="145">
        <f>($G$20+H19)</f>
        <v>570</v>
      </c>
      <c r="I20" s="145">
        <f>($G$20+I19)</f>
        <v>590</v>
      </c>
      <c r="J20" s="4"/>
      <c r="U20" s="4"/>
      <c r="V20" s="4"/>
      <c r="W20" s="6"/>
      <c r="X20" s="12"/>
      <c r="Y20" s="12"/>
      <c r="Z20" s="12"/>
      <c r="AA20" s="12"/>
      <c r="AB20" s="12"/>
    </row>
    <row r="21" spans="2:28" ht="15.45" x14ac:dyDescent="0.4">
      <c r="B21" s="125"/>
      <c r="C21" s="125"/>
      <c r="D21" s="125"/>
      <c r="E21" s="125"/>
      <c r="F21" s="125"/>
      <c r="G21" s="125"/>
      <c r="H21" s="125"/>
      <c r="I21" s="125"/>
      <c r="J21" s="4"/>
      <c r="U21" s="4"/>
      <c r="V21" s="4"/>
      <c r="W21" s="4"/>
      <c r="X21" s="4"/>
      <c r="Y21" s="4"/>
      <c r="Z21" s="4"/>
      <c r="AA21" s="4"/>
      <c r="AB21" s="4"/>
    </row>
    <row r="22" spans="2:28" ht="15.45" x14ac:dyDescent="0.4">
      <c r="B22" s="125" t="s">
        <v>135</v>
      </c>
      <c r="C22" s="125"/>
      <c r="D22" s="127" t="s">
        <v>133</v>
      </c>
      <c r="E22" s="145">
        <f>C11*2*-1</f>
        <v>-40</v>
      </c>
      <c r="F22" s="145">
        <f>C11*-1</f>
        <v>-20</v>
      </c>
      <c r="G22" s="146" t="s">
        <v>129</v>
      </c>
      <c r="H22" s="145">
        <f>C11*1</f>
        <v>20</v>
      </c>
      <c r="I22" s="145">
        <f>C11*2</f>
        <v>40</v>
      </c>
      <c r="J22" s="4"/>
      <c r="U22" s="4"/>
      <c r="V22" s="4"/>
      <c r="W22" s="6"/>
      <c r="X22" s="12"/>
      <c r="Y22" s="12"/>
      <c r="Z22" s="7"/>
      <c r="AA22" s="12"/>
      <c r="AB22" s="12"/>
    </row>
    <row r="23" spans="2:28" ht="15.45" x14ac:dyDescent="0.4">
      <c r="B23" s="125" t="s">
        <v>136</v>
      </c>
      <c r="C23" s="125"/>
      <c r="D23" s="127" t="s">
        <v>133</v>
      </c>
      <c r="E23" s="145">
        <f>($G$23+E22)</f>
        <v>490</v>
      </c>
      <c r="F23" s="145">
        <f>($G$23+F22)</f>
        <v>510</v>
      </c>
      <c r="G23" s="145">
        <f>'1. Cow Calf Budget'!$C$71</f>
        <v>530</v>
      </c>
      <c r="H23" s="145">
        <f>($G$23+H22)</f>
        <v>550</v>
      </c>
      <c r="I23" s="145">
        <f>($G$23+I22)</f>
        <v>570</v>
      </c>
      <c r="J23" s="4"/>
      <c r="U23" s="4"/>
      <c r="V23" s="4"/>
      <c r="W23" s="6"/>
      <c r="X23" s="12"/>
      <c r="Y23" s="12"/>
      <c r="Z23" s="12"/>
      <c r="AA23" s="12"/>
      <c r="AB23" s="12"/>
    </row>
    <row r="24" spans="2:28" ht="15.45" x14ac:dyDescent="0.4">
      <c r="B24" s="125"/>
      <c r="C24" s="125"/>
      <c r="D24" s="125"/>
      <c r="E24" s="125"/>
      <c r="F24" s="125"/>
      <c r="G24" s="125"/>
      <c r="H24" s="125"/>
      <c r="I24" s="125"/>
      <c r="J24" s="4"/>
      <c r="U24" s="4"/>
      <c r="V24" s="4"/>
      <c r="W24" s="4"/>
      <c r="X24" s="4"/>
      <c r="Y24" s="4"/>
      <c r="Z24" s="4"/>
      <c r="AA24" s="4"/>
      <c r="AB24" s="4"/>
    </row>
    <row r="25" spans="2:28" ht="15.45" x14ac:dyDescent="0.4">
      <c r="B25" s="125"/>
      <c r="C25" s="125"/>
      <c r="D25" s="125"/>
      <c r="E25" s="125" t="s">
        <v>137</v>
      </c>
      <c r="F25" s="125"/>
      <c r="G25" s="125"/>
      <c r="H25" s="125"/>
      <c r="I25" s="125"/>
      <c r="J25" s="4"/>
      <c r="U25" s="4"/>
      <c r="V25" s="4"/>
      <c r="W25" s="4"/>
      <c r="X25" s="4"/>
      <c r="Y25" s="4"/>
      <c r="Z25" s="4"/>
      <c r="AA25" s="4"/>
      <c r="AB25" s="4"/>
    </row>
    <row r="26" spans="2:28" ht="15.45" x14ac:dyDescent="0.4">
      <c r="B26" s="125"/>
      <c r="C26" s="125"/>
      <c r="D26" s="127" t="s">
        <v>6</v>
      </c>
      <c r="E26" s="125" t="s">
        <v>124</v>
      </c>
      <c r="F26" s="128" t="s">
        <v>48</v>
      </c>
      <c r="G26" s="128" t="s">
        <v>48</v>
      </c>
      <c r="H26" s="128" t="s">
        <v>48</v>
      </c>
      <c r="I26" s="128" t="s">
        <v>48</v>
      </c>
      <c r="J26" s="4"/>
      <c r="U26" s="4"/>
      <c r="V26" s="4"/>
      <c r="W26" s="6"/>
      <c r="X26" s="4"/>
      <c r="Y26" s="8"/>
      <c r="Z26" s="8"/>
      <c r="AA26" s="8"/>
      <c r="AB26" s="8"/>
    </row>
    <row r="27" spans="2:28" ht="15.45" x14ac:dyDescent="0.4">
      <c r="B27" s="125"/>
      <c r="C27" s="125"/>
      <c r="D27" s="145">
        <f>D29-2*C8</f>
        <v>83</v>
      </c>
      <c r="E27" s="169">
        <f>(($D27*0.005*E$16*E$20*0.01)+(($D27*0.005-'1. Cow Calf Budget'!$N$16)*E$17*E$23*0.01))+'1. Cow Calf Budget'!$F$68+'1. Cow Calf Budget'!$F$72-'1. Cow Calf Budget'!$F$145</f>
        <v>-71.070587499999988</v>
      </c>
      <c r="F27" s="169">
        <f>(($D27*0.005*F$16*F$20*0.01)+(($D27*0.005-'1. Cow Calf Budget'!$N$16)*F$17*F$23*0.01))+'1. Cow Calf Budget'!$F$68+'1. Cow Calf Budget'!$F$72-'1. Cow Calf Budget'!$F$145</f>
        <v>-31.941662500000007</v>
      </c>
      <c r="G27" s="169">
        <f>(($D27*0.005*G$16*G$20*0.01)+(($D27*0.005-'1. Cow Calf Budget'!$N$16)*G$17*G$23*0.01))+'1. Cow Calf Budget'!$F$68+'1. Cow Calf Budget'!$F$72-'1. Cow Calf Budget'!$F$145</f>
        <v>8.5832625000001599</v>
      </c>
      <c r="H27" s="169">
        <f>(($D27*0.005*H$16*H$20*0.01)+(($D27*0.005-'1. Cow Calf Budget'!$N$16)*H$17*H$23*0.01))+'1. Cow Calf Budget'!$F$68+'1. Cow Calf Budget'!$F$72-'1. Cow Calf Budget'!$F$145</f>
        <v>50.504187500000057</v>
      </c>
      <c r="I27" s="169">
        <f>(($D27*0.005*I$16*I$20*0.01)+(($D27*0.005-'1. Cow Calf Budget'!$N$16)*I$17*I$23*0.01))+'1. Cow Calf Budget'!$F$68+'1. Cow Calf Budget'!$F$72-'1. Cow Calf Budget'!$F$145</f>
        <v>93.821112500000027</v>
      </c>
      <c r="J27" s="4"/>
      <c r="U27" s="4"/>
      <c r="V27" s="4"/>
      <c r="W27" s="9"/>
      <c r="X27" s="14"/>
      <c r="Y27" s="14"/>
      <c r="Z27" s="14"/>
      <c r="AA27" s="14"/>
      <c r="AB27" s="14"/>
    </row>
    <row r="28" spans="2:28" ht="15.45" x14ac:dyDescent="0.4">
      <c r="B28" s="125"/>
      <c r="C28" s="125"/>
      <c r="D28" s="145">
        <f>(D29-C8)</f>
        <v>84</v>
      </c>
      <c r="E28" s="169">
        <f>(($D28*0.005*E$16*E$20*0.01)+(($D28*0.005-'1. Cow Calf Budget'!$N$16)*E$17*E$23*0.01))+'1. Cow Calf Budget'!$F$68+'1. Cow Calf Budget'!$F$72-'1. Cow Calf Budget'!$F$145</f>
        <v>-63.64140000000009</v>
      </c>
      <c r="F28" s="169">
        <f>(($D28*0.005*F$16*F$20*0.01)+(($D28*0.005-'1. Cow Calf Budget'!$N$16)*F$17*F$23*0.01))+'1. Cow Calf Budget'!$F$68+'1. Cow Calf Budget'!$F$72-'1. Cow Calf Budget'!$F$145</f>
        <v>-23.955600000000004</v>
      </c>
      <c r="G28" s="169">
        <f>(($D28*0.005*G$16*G$20*0.01)+(($D28*0.005-'1. Cow Calf Budget'!$N$16)*G$17*G$23*0.01))+'1. Cow Calf Budget'!$F$68+'1. Cow Calf Budget'!$F$72-'1. Cow Calf Budget'!$F$145</f>
        <v>17.146200000000022</v>
      </c>
      <c r="H28" s="169">
        <f>(($D28*0.005*H$16*H$20*0.01)+(($D28*0.005-'1. Cow Calf Budget'!$N$16)*H$17*H$23*0.01))+'1. Cow Calf Budget'!$F$68+'1. Cow Calf Budget'!$F$72-'1. Cow Calf Budget'!$F$145</f>
        <v>59.664000000000101</v>
      </c>
      <c r="I28" s="169">
        <f>(($D28*0.005*I$16*I$20*0.01)+(($D28*0.005-'1. Cow Calf Budget'!$N$16)*I$17*I$23*0.01))+'1. Cow Calf Budget'!$F$68+'1. Cow Calf Budget'!$F$72-'1. Cow Calf Budget'!$F$145</f>
        <v>103.59779999999989</v>
      </c>
      <c r="J28" s="4"/>
      <c r="U28" s="4"/>
      <c r="V28" s="4"/>
      <c r="W28" s="9"/>
      <c r="X28" s="14"/>
      <c r="Y28" s="14"/>
      <c r="Z28" s="14"/>
      <c r="AA28" s="14"/>
      <c r="AB28" s="14"/>
    </row>
    <row r="29" spans="2:28" ht="15.45" x14ac:dyDescent="0.4">
      <c r="B29" s="125" t="s">
        <v>138</v>
      </c>
      <c r="C29" s="125"/>
      <c r="D29" s="145">
        <f>'1. Cow Calf Budget'!$F$10</f>
        <v>85</v>
      </c>
      <c r="E29" s="169">
        <f>(($D29*0.005*E$16*E$20*0.01)+(($D29*0.005-'1. Cow Calf Budget'!$N$16)*E$17*E$23*0.01))+'1. Cow Calf Budget'!$F$68+'1. Cow Calf Budget'!$F$72-'1. Cow Calf Budget'!$F$145</f>
        <v>-56.212212499999964</v>
      </c>
      <c r="F29" s="169">
        <f>(($D29*0.005*F$16*F$20*0.01)+(($D29*0.005-'1. Cow Calf Budget'!$N$16)*F$17*F$23*0.01))+'1. Cow Calf Budget'!$F$68+'1. Cow Calf Budget'!$F$72-'1. Cow Calf Budget'!$F$145</f>
        <v>-15.969537500000001</v>
      </c>
      <c r="G29" s="169">
        <f>(($D29*0.005*G16*G20*0.01)+(($D29*0.005-'1. Cow Calf Budget'!$N$16)*G17*G23*0.01))+'1. Cow Calf Budget'!$F$68+'1. Cow Calf Budget'!$F$72-'1. Cow Calf Budget'!$F$145</f>
        <v>25.709137499999997</v>
      </c>
      <c r="H29" s="169">
        <f>(($D29*0.005*H$16*H$20*0.01)+(($D29*0.005-'1. Cow Calf Budget'!$N$16)*H$17*H$23*0.01))+'1. Cow Calf Budget'!$F$68+'1. Cow Calf Budget'!$F$72-'1. Cow Calf Budget'!$F$145</f>
        <v>68.823812500000031</v>
      </c>
      <c r="I29" s="169">
        <f>(($D29*0.005*I$16*I$20*0.01)+(($D29*0.005-'1. Cow Calf Budget'!$N$16)*I$17*I$23*0.01))+'1. Cow Calf Budget'!$F$68+'1. Cow Calf Budget'!$F$72-'1. Cow Calf Budget'!$F$145</f>
        <v>113.37448749999999</v>
      </c>
      <c r="J29" s="4"/>
      <c r="U29" s="4"/>
      <c r="V29" s="4"/>
      <c r="W29" s="9"/>
      <c r="X29" s="14"/>
      <c r="Y29" s="14"/>
      <c r="Z29" s="14"/>
      <c r="AA29" s="14"/>
      <c r="AB29" s="14"/>
    </row>
    <row r="30" spans="2:28" ht="15.45" x14ac:dyDescent="0.4">
      <c r="B30" s="125"/>
      <c r="C30" s="125"/>
      <c r="D30" s="145">
        <f>D29+C8</f>
        <v>86</v>
      </c>
      <c r="E30" s="169">
        <f>(($D30*0.005*E$16*E$20*0.01)+(($D30*0.005-'1. Cow Calf Budget'!$N$16)*E$17*E$23*0.01))+'1. Cow Calf Budget'!$F$68+'1. Cow Calf Budget'!$F$72-'1. Cow Calf Budget'!$F$145</f>
        <v>-48.783024999999952</v>
      </c>
      <c r="F30" s="169">
        <f>(($D30*0.005*F$16*F$20*0.01)+(($D30*0.005-'1. Cow Calf Budget'!$N$16)*F$17*F$23*0.01))+'1. Cow Calf Budget'!$F$68+'1. Cow Calf Budget'!$F$72-'1. Cow Calf Budget'!$F$145</f>
        <v>-7.9834749999999985</v>
      </c>
      <c r="G30" s="169">
        <f>(($D30*0.005*G$16*G$20*0.01)+(($D30*0.005-'1. Cow Calf Budget'!$N$16)*G$17*G$23*0.01))+'1. Cow Calf Budget'!$F$68+'1. Cow Calf Budget'!$F$72-'1. Cow Calf Budget'!$F$145</f>
        <v>34.272074999999973</v>
      </c>
      <c r="H30" s="169">
        <f>(($D30*0.005*H$16*H$20*0.01)+(($D30*0.005-'1. Cow Calf Budget'!$N$16)*H$17*H$23*0.01))+'1. Cow Calf Budget'!$F$68+'1. Cow Calf Budget'!$F$72-'1. Cow Calf Budget'!$F$145</f>
        <v>77.983624999999961</v>
      </c>
      <c r="I30" s="169">
        <f>(($D30*0.005*I$16*I$20*0.01)+(($D30*0.005-'1. Cow Calf Budget'!$N$16)*I$17*I$23*0.01))+'1. Cow Calf Budget'!$F$68+'1. Cow Calf Budget'!$F$72-'1. Cow Calf Budget'!$F$145</f>
        <v>123.15117500000008</v>
      </c>
      <c r="J30" s="4"/>
      <c r="U30" s="4"/>
      <c r="V30" s="4"/>
      <c r="W30" s="9"/>
      <c r="X30" s="14"/>
      <c r="Y30" s="14"/>
      <c r="Z30" s="14"/>
      <c r="AA30" s="14"/>
      <c r="AB30" s="14"/>
    </row>
    <row r="31" spans="2:28" ht="15.45" x14ac:dyDescent="0.4">
      <c r="B31" s="125"/>
      <c r="C31" s="125"/>
      <c r="D31" s="145">
        <f>(D29+(2*C8))</f>
        <v>87</v>
      </c>
      <c r="E31" s="169">
        <f>(($D31*0.005*E$16*E$20*0.01)+(($D31*0.005-'1. Cow Calf Budget'!$N$16)*E$17*E$23*0.01))+'1. Cow Calf Budget'!$F$68+'1. Cow Calf Budget'!$F$72-'1. Cow Calf Budget'!$F$145</f>
        <v>-41.353837500000054</v>
      </c>
      <c r="F31" s="169">
        <f>(($D31*0.005*F$16*F$20*0.01)+(($D31*0.005-'1. Cow Calf Budget'!$N$16)*F$17*F$23*0.01))+'1. Cow Calf Budget'!$F$68+'1. Cow Calf Budget'!$F$72-'1. Cow Calf Budget'!$F$145</f>
        <v>2.5875000000041837E-3</v>
      </c>
      <c r="G31" s="169">
        <f>(($D31*0.005*G$16*G$20*0.01)+(($D31*0.005-'1. Cow Calf Budget'!$N$16)*G$17*G$23*0.01))+'1. Cow Calf Budget'!$F$68+'1. Cow Calf Budget'!$F$72-'1. Cow Calf Budget'!$F$145</f>
        <v>42.835012499999948</v>
      </c>
      <c r="H31" s="169">
        <f>(($D31*0.005*H$16*H$20*0.01)+(($D31*0.005-'1. Cow Calf Budget'!$N$16)*H$17*H$23*0.01))+'1. Cow Calf Budget'!$F$68+'1. Cow Calf Budget'!$F$72-'1. Cow Calf Budget'!$F$145</f>
        <v>87.143437500000005</v>
      </c>
      <c r="I31" s="169">
        <f>(($D31*0.005*I$16*I$20*0.01)+(($D31*0.005-'1. Cow Calf Budget'!$N$16)*I$17*I$23*0.01))+'1. Cow Calf Budget'!$F$68+'1. Cow Calf Budget'!$F$72-'1. Cow Calf Budget'!$F$145</f>
        <v>132.92786250000006</v>
      </c>
      <c r="J31" s="4"/>
      <c r="U31" s="4"/>
      <c r="V31" s="4"/>
      <c r="W31" s="9"/>
      <c r="X31" s="14"/>
      <c r="Y31" s="14"/>
      <c r="Z31" s="14"/>
      <c r="AA31" s="14"/>
      <c r="AB31" s="14"/>
    </row>
    <row r="32" spans="2:28" ht="15.45" x14ac:dyDescent="0.4">
      <c r="B32" s="125"/>
      <c r="C32" s="125"/>
      <c r="D32" s="125"/>
      <c r="E32" s="125"/>
      <c r="F32" s="125"/>
      <c r="G32" s="125"/>
      <c r="H32" s="125"/>
      <c r="I32" s="125"/>
      <c r="J32" s="4"/>
      <c r="U32" s="4"/>
      <c r="V32" s="4"/>
      <c r="W32" s="4"/>
      <c r="X32" s="4"/>
      <c r="Y32" s="4"/>
      <c r="Z32" s="4"/>
      <c r="AA32" s="4"/>
      <c r="AB32" s="4"/>
    </row>
    <row r="33" spans="2:28" ht="15.45" x14ac:dyDescent="0.4">
      <c r="B33" s="125"/>
      <c r="C33" s="125"/>
      <c r="D33" s="125"/>
      <c r="E33" s="125" t="s">
        <v>309</v>
      </c>
      <c r="F33" s="125"/>
      <c r="G33" s="125"/>
      <c r="H33" s="125"/>
      <c r="I33" s="125"/>
      <c r="J33" s="4"/>
      <c r="U33" s="4"/>
      <c r="V33" s="4"/>
      <c r="W33" s="4"/>
      <c r="X33" s="4"/>
      <c r="Y33" s="4"/>
      <c r="Z33" s="4"/>
      <c r="AA33" s="4"/>
      <c r="AB33" s="4"/>
    </row>
    <row r="34" spans="2:28" ht="15.45" x14ac:dyDescent="0.4">
      <c r="B34" s="125"/>
      <c r="C34" s="125"/>
      <c r="D34" s="145">
        <f>D27</f>
        <v>83</v>
      </c>
      <c r="E34" s="165">
        <f>E27-E29</f>
        <v>-14.858375000000024</v>
      </c>
      <c r="F34" s="165">
        <f>F27-F29</f>
        <v>-15.972125000000005</v>
      </c>
      <c r="G34" s="165">
        <f>G27-G29</f>
        <v>-17.125874999999837</v>
      </c>
      <c r="H34" s="165">
        <f>H27-H29</f>
        <v>-18.319624999999974</v>
      </c>
      <c r="I34" s="165">
        <f>I27-I29</f>
        <v>-19.55337499999996</v>
      </c>
      <c r="J34" s="4"/>
      <c r="U34" s="4"/>
      <c r="V34" s="4"/>
      <c r="W34" s="9"/>
      <c r="X34" s="4"/>
      <c r="Y34" s="4"/>
      <c r="Z34" s="4"/>
      <c r="AA34" s="4"/>
      <c r="AB34" s="4"/>
    </row>
    <row r="35" spans="2:28" ht="15.45" x14ac:dyDescent="0.4">
      <c r="B35" s="125"/>
      <c r="C35" s="125"/>
      <c r="D35" s="145">
        <f>D28</f>
        <v>84</v>
      </c>
      <c r="E35" s="165">
        <f>E28-E29</f>
        <v>-7.4291875000001255</v>
      </c>
      <c r="F35" s="165">
        <f>F28-F29</f>
        <v>-7.9860625000000027</v>
      </c>
      <c r="G35" s="165">
        <f>G28-G29</f>
        <v>-8.5629374999999754</v>
      </c>
      <c r="H35" s="165">
        <f>H28-H29</f>
        <v>-9.15981249999993</v>
      </c>
      <c r="I35" s="165">
        <f>I28-I29</f>
        <v>-9.7766875000000937</v>
      </c>
      <c r="J35" s="4"/>
      <c r="U35" s="4"/>
      <c r="V35" s="4"/>
      <c r="W35" s="9"/>
      <c r="X35" s="4"/>
      <c r="Y35" s="4"/>
      <c r="Z35" s="4"/>
      <c r="AA35" s="4"/>
      <c r="AB35" s="4"/>
    </row>
    <row r="36" spans="2:28" ht="15.45" x14ac:dyDescent="0.4">
      <c r="B36" s="125" t="s">
        <v>138</v>
      </c>
      <c r="C36" s="125"/>
      <c r="D36" s="145">
        <f>'1. Cow Calf Budget'!$F$10</f>
        <v>85</v>
      </c>
      <c r="E36" s="165"/>
      <c r="F36" s="165"/>
      <c r="G36" s="165"/>
      <c r="H36" s="165"/>
      <c r="I36" s="165"/>
      <c r="J36" s="4"/>
      <c r="U36" s="4"/>
      <c r="V36" s="4"/>
      <c r="W36" s="9"/>
      <c r="X36" s="4"/>
      <c r="Y36" s="4"/>
      <c r="Z36" s="4"/>
      <c r="AA36" s="4"/>
      <c r="AB36" s="4"/>
    </row>
    <row r="37" spans="2:28" ht="15.45" x14ac:dyDescent="0.4">
      <c r="B37" s="125"/>
      <c r="C37" s="125"/>
      <c r="D37" s="145">
        <f>D30</f>
        <v>86</v>
      </c>
      <c r="E37" s="165">
        <f>E30-E29</f>
        <v>7.4291875000000118</v>
      </c>
      <c r="F37" s="165">
        <f>F30-F29</f>
        <v>7.9860625000000027</v>
      </c>
      <c r="G37" s="165">
        <f>G30-G29</f>
        <v>8.5629374999999754</v>
      </c>
      <c r="H37" s="165">
        <f>H30-H29</f>
        <v>9.15981249999993</v>
      </c>
      <c r="I37" s="165">
        <f>I30-I29</f>
        <v>9.7766875000000937</v>
      </c>
      <c r="J37" s="4"/>
      <c r="U37" s="4"/>
      <c r="V37" s="4"/>
      <c r="W37" s="9"/>
      <c r="X37" s="4"/>
      <c r="Y37" s="4"/>
      <c r="Z37" s="4"/>
      <c r="AA37" s="4"/>
      <c r="AB37" s="4"/>
    </row>
    <row r="38" spans="2:28" ht="15.45" x14ac:dyDescent="0.4">
      <c r="B38" s="125"/>
      <c r="C38" s="125"/>
      <c r="D38" s="145">
        <f>D31</f>
        <v>87</v>
      </c>
      <c r="E38" s="165">
        <f>E31-E29</f>
        <v>14.85837499999991</v>
      </c>
      <c r="F38" s="165">
        <f>F31-F29</f>
        <v>15.972125000000005</v>
      </c>
      <c r="G38" s="165">
        <f>G31-G29</f>
        <v>17.125874999999951</v>
      </c>
      <c r="H38" s="165">
        <f>H31-H29</f>
        <v>18.319624999999974</v>
      </c>
      <c r="I38" s="165">
        <f>I31-I29</f>
        <v>19.553375000000074</v>
      </c>
      <c r="J38" s="4"/>
      <c r="U38" s="4"/>
      <c r="V38" s="4"/>
      <c r="W38" s="9"/>
      <c r="X38" s="4"/>
      <c r="Y38" s="4"/>
      <c r="Z38" s="4"/>
      <c r="AA38" s="4"/>
      <c r="AB38" s="4"/>
    </row>
    <row r="39" spans="2:28" ht="15.45" x14ac:dyDescent="0.4">
      <c r="B39" s="125"/>
      <c r="C39" s="125"/>
      <c r="D39" s="145"/>
      <c r="E39" s="165"/>
      <c r="F39" s="165"/>
      <c r="G39" s="165"/>
      <c r="H39" s="165"/>
      <c r="I39" s="165"/>
      <c r="J39" s="4"/>
    </row>
    <row r="40" spans="2:28" ht="15.45" x14ac:dyDescent="0.4">
      <c r="B40" s="125" t="s">
        <v>326</v>
      </c>
      <c r="C40" s="145">
        <f>C6</f>
        <v>400</v>
      </c>
      <c r="D40" s="145" t="s">
        <v>314</v>
      </c>
      <c r="E40" s="165" t="s">
        <v>312</v>
      </c>
      <c r="F40" s="165"/>
      <c r="G40" s="165"/>
      <c r="H40" s="165"/>
      <c r="I40" s="456"/>
      <c r="J40" s="4"/>
    </row>
    <row r="41" spans="2:28" ht="15.45" x14ac:dyDescent="0.4">
      <c r="B41" s="125"/>
      <c r="C41" s="125"/>
      <c r="D41" s="145">
        <f>D34</f>
        <v>83</v>
      </c>
      <c r="E41" s="177">
        <f t="shared" ref="E41:I42" si="0">E34*$C$40</f>
        <v>-5943.3500000000095</v>
      </c>
      <c r="F41" s="177">
        <f t="shared" si="0"/>
        <v>-6388.8500000000022</v>
      </c>
      <c r="G41" s="177">
        <f t="shared" si="0"/>
        <v>-6850.3499999999349</v>
      </c>
      <c r="H41" s="177">
        <f t="shared" si="0"/>
        <v>-7327.8499999999894</v>
      </c>
      <c r="I41" s="177">
        <f t="shared" si="0"/>
        <v>-7821.349999999984</v>
      </c>
      <c r="J41" s="4"/>
    </row>
    <row r="42" spans="2:28" ht="15.45" x14ac:dyDescent="0.4">
      <c r="B42" s="125"/>
      <c r="C42" s="125"/>
      <c r="D42" s="145">
        <f>D35</f>
        <v>84</v>
      </c>
      <c r="E42" s="177">
        <f t="shared" si="0"/>
        <v>-2971.6750000000502</v>
      </c>
      <c r="F42" s="177">
        <f t="shared" si="0"/>
        <v>-3194.4250000000011</v>
      </c>
      <c r="G42" s="177">
        <f t="shared" si="0"/>
        <v>-3425.1749999999902</v>
      </c>
      <c r="H42" s="177">
        <f t="shared" si="0"/>
        <v>-3663.924999999972</v>
      </c>
      <c r="I42" s="177">
        <f t="shared" si="0"/>
        <v>-3910.6750000000375</v>
      </c>
      <c r="J42" s="4"/>
    </row>
    <row r="43" spans="2:28" ht="15.45" x14ac:dyDescent="0.4">
      <c r="B43" s="125" t="s">
        <v>138</v>
      </c>
      <c r="C43" s="125"/>
      <c r="D43" s="145">
        <f>'1. Cow Calf Budget'!$F$10</f>
        <v>85</v>
      </c>
      <c r="E43" s="165"/>
      <c r="F43" s="165"/>
      <c r="G43" s="165"/>
      <c r="H43" s="165"/>
      <c r="I43" s="165"/>
      <c r="J43" s="4"/>
    </row>
    <row r="44" spans="2:28" ht="15.45" x14ac:dyDescent="0.4">
      <c r="B44" s="125"/>
      <c r="C44" s="125"/>
      <c r="D44" s="145">
        <f>D37</f>
        <v>86</v>
      </c>
      <c r="E44" s="177">
        <f t="shared" ref="E44:I45" si="1">E37*$C$40</f>
        <v>2971.6750000000047</v>
      </c>
      <c r="F44" s="177">
        <f t="shared" si="1"/>
        <v>3194.4250000000011</v>
      </c>
      <c r="G44" s="177">
        <f t="shared" si="1"/>
        <v>3425.1749999999902</v>
      </c>
      <c r="H44" s="177">
        <f t="shared" si="1"/>
        <v>3663.924999999972</v>
      </c>
      <c r="I44" s="177">
        <f t="shared" si="1"/>
        <v>3910.6750000000375</v>
      </c>
      <c r="J44" s="4"/>
    </row>
    <row r="45" spans="2:28" ht="15.45" x14ac:dyDescent="0.4">
      <c r="B45" s="125"/>
      <c r="C45" s="125"/>
      <c r="D45" s="145">
        <f>D38</f>
        <v>87</v>
      </c>
      <c r="E45" s="177">
        <f t="shared" si="1"/>
        <v>5943.349999999964</v>
      </c>
      <c r="F45" s="177">
        <f t="shared" si="1"/>
        <v>6388.8500000000022</v>
      </c>
      <c r="G45" s="177">
        <f t="shared" si="1"/>
        <v>6850.3499999999804</v>
      </c>
      <c r="H45" s="177">
        <f t="shared" si="1"/>
        <v>7327.8499999999894</v>
      </c>
      <c r="I45" s="177">
        <f t="shared" si="1"/>
        <v>7821.3500000000295</v>
      </c>
      <c r="J45" s="4"/>
    </row>
    <row r="46" spans="2:28" ht="15.45" x14ac:dyDescent="0.4">
      <c r="B46" s="115"/>
      <c r="C46" s="115"/>
      <c r="D46" s="455"/>
      <c r="E46" s="115"/>
      <c r="F46" s="115"/>
      <c r="G46" s="115"/>
      <c r="H46" s="115"/>
      <c r="I46" s="115"/>
      <c r="J46" s="4"/>
    </row>
    <row r="47" spans="2:28" ht="17.600000000000001" x14ac:dyDescent="0.4">
      <c r="B47" s="115"/>
      <c r="C47" s="115"/>
      <c r="D47" s="115"/>
      <c r="E47" s="480" t="s">
        <v>324</v>
      </c>
      <c r="F47" s="480"/>
      <c r="G47" s="480"/>
      <c r="H47" s="480"/>
      <c r="I47" s="480"/>
      <c r="L47" s="4"/>
      <c r="M47" s="4"/>
      <c r="N47" s="4"/>
      <c r="O47" s="4"/>
      <c r="P47" s="4"/>
      <c r="Q47" s="4"/>
      <c r="R47" s="4"/>
    </row>
    <row r="48" spans="2:28" ht="15.45" x14ac:dyDescent="0.4">
      <c r="B48" s="119" t="s">
        <v>324</v>
      </c>
      <c r="C48" s="115"/>
      <c r="D48" s="115"/>
      <c r="E48" s="477" t="s">
        <v>325</v>
      </c>
      <c r="F48" s="477"/>
      <c r="G48" s="477"/>
      <c r="H48" s="477"/>
      <c r="I48" s="477"/>
      <c r="L48" s="4"/>
      <c r="M48" s="4"/>
      <c r="N48" s="4"/>
      <c r="O48" s="4"/>
      <c r="P48" s="4"/>
      <c r="Q48" s="4"/>
      <c r="R48" s="4"/>
    </row>
    <row r="49" spans="2:18" ht="15.45" x14ac:dyDescent="0.4">
      <c r="B49" s="350"/>
      <c r="C49" s="115"/>
      <c r="D49" s="115"/>
      <c r="E49" s="115"/>
      <c r="F49" s="115"/>
      <c r="G49" s="115"/>
      <c r="H49" s="115"/>
      <c r="I49" s="115"/>
      <c r="L49" s="4"/>
      <c r="M49" s="4"/>
      <c r="N49" s="4"/>
      <c r="O49" s="4"/>
      <c r="P49" s="4"/>
      <c r="Q49" s="4"/>
      <c r="R49" s="4"/>
    </row>
    <row r="50" spans="2:18" ht="15.45" x14ac:dyDescent="0.4">
      <c r="B50" s="125" t="s">
        <v>118</v>
      </c>
      <c r="C50" s="125"/>
      <c r="D50" s="125"/>
      <c r="E50" s="125"/>
      <c r="F50" s="125"/>
      <c r="G50" s="125"/>
      <c r="H50" s="125"/>
      <c r="I50" s="125"/>
      <c r="L50" s="4"/>
      <c r="M50" s="4"/>
      <c r="N50" s="4"/>
      <c r="O50" s="4"/>
      <c r="P50" s="4"/>
      <c r="Q50" s="4"/>
      <c r="R50" s="4"/>
    </row>
    <row r="51" spans="2:18" ht="15.45" x14ac:dyDescent="0.4">
      <c r="B51" s="125" t="s">
        <v>318</v>
      </c>
      <c r="C51" s="355">
        <f>C8</f>
        <v>1</v>
      </c>
      <c r="D51" s="125"/>
      <c r="E51" s="125"/>
      <c r="F51" s="125"/>
      <c r="G51" s="125"/>
      <c r="H51" s="151" t="s">
        <v>17</v>
      </c>
      <c r="I51" s="125"/>
      <c r="L51" s="4"/>
      <c r="M51" s="4"/>
      <c r="N51" s="4"/>
      <c r="O51" s="4"/>
      <c r="P51" s="4"/>
      <c r="Q51" s="4"/>
      <c r="R51" s="4"/>
    </row>
    <row r="52" spans="2:18" ht="15.45" x14ac:dyDescent="0.4">
      <c r="B52" s="125" t="s">
        <v>317</v>
      </c>
      <c r="C52" s="355">
        <f>C9</f>
        <v>5</v>
      </c>
      <c r="D52" s="125"/>
      <c r="E52" s="144" t="s">
        <v>121</v>
      </c>
      <c r="F52" s="125"/>
      <c r="G52" s="125"/>
      <c r="H52" s="125"/>
      <c r="I52" s="125"/>
      <c r="L52" s="4"/>
      <c r="M52" s="4"/>
      <c r="N52" s="4"/>
      <c r="O52" s="4"/>
      <c r="P52" s="4"/>
      <c r="Q52" s="4"/>
      <c r="R52" s="4"/>
    </row>
    <row r="53" spans="2:18" ht="15.45" x14ac:dyDescent="0.4">
      <c r="B53" s="125" t="s">
        <v>316</v>
      </c>
      <c r="C53" s="355">
        <f>C10</f>
        <v>20</v>
      </c>
      <c r="D53" s="125"/>
      <c r="E53" s="125"/>
      <c r="F53" s="125"/>
      <c r="G53" s="125"/>
      <c r="H53" s="125"/>
      <c r="I53" s="125"/>
      <c r="L53" s="4"/>
      <c r="M53" s="4"/>
      <c r="N53" s="4"/>
      <c r="O53" s="4"/>
      <c r="P53" s="4"/>
      <c r="Q53" s="4"/>
      <c r="R53" s="4"/>
    </row>
    <row r="54" spans="2:18" ht="15.45" x14ac:dyDescent="0.4">
      <c r="B54" s="125" t="s">
        <v>315</v>
      </c>
      <c r="C54" s="355">
        <f>C11</f>
        <v>20</v>
      </c>
      <c r="D54" s="125"/>
      <c r="E54" s="125"/>
      <c r="F54" s="125"/>
      <c r="G54" s="125"/>
      <c r="H54" s="125"/>
      <c r="I54" s="125"/>
      <c r="L54" s="4"/>
      <c r="M54" s="4"/>
      <c r="N54" s="4"/>
      <c r="O54" s="4"/>
      <c r="P54" s="4"/>
      <c r="Q54" s="4"/>
      <c r="R54" s="4"/>
    </row>
    <row r="55" spans="2:18" ht="15.45" x14ac:dyDescent="0.4">
      <c r="B55" s="125"/>
      <c r="C55" s="125"/>
      <c r="D55" s="125"/>
      <c r="E55" s="125"/>
      <c r="F55" s="128"/>
      <c r="G55" s="128"/>
      <c r="H55" s="128"/>
      <c r="I55" s="232"/>
      <c r="L55" s="4"/>
      <c r="M55" s="4"/>
      <c r="N55" s="4"/>
      <c r="O55" s="4"/>
      <c r="P55" s="4"/>
      <c r="Q55" s="4"/>
      <c r="R55" s="4"/>
    </row>
    <row r="56" spans="2:18" ht="15.45" x14ac:dyDescent="0.4">
      <c r="B56" s="125"/>
      <c r="C56" s="125"/>
      <c r="D56" s="125"/>
      <c r="E56" s="125" t="s">
        <v>125</v>
      </c>
      <c r="F56" s="125"/>
      <c r="G56" s="127" t="s">
        <v>126</v>
      </c>
      <c r="H56" s="125" t="s">
        <v>127</v>
      </c>
      <c r="I56" s="125"/>
      <c r="L56" s="4"/>
      <c r="M56" s="4"/>
      <c r="N56" s="4"/>
      <c r="O56" s="4"/>
      <c r="P56" s="4"/>
      <c r="Q56" s="4"/>
      <c r="R56" s="4"/>
    </row>
    <row r="57" spans="2:18" ht="15.45" x14ac:dyDescent="0.4">
      <c r="B57" s="125"/>
      <c r="C57" s="125"/>
      <c r="D57" s="125"/>
      <c r="E57" s="125"/>
      <c r="F57" s="125"/>
      <c r="G57" s="125"/>
      <c r="H57" s="125"/>
      <c r="I57" s="125"/>
      <c r="L57" s="4"/>
      <c r="M57" s="4"/>
      <c r="N57" s="4"/>
      <c r="O57" s="4"/>
      <c r="P57" s="4"/>
      <c r="Q57" s="4"/>
      <c r="R57" s="4"/>
    </row>
    <row r="58" spans="2:18" ht="15.45" x14ac:dyDescent="0.4">
      <c r="B58" s="125" t="s">
        <v>128</v>
      </c>
      <c r="C58" s="125"/>
      <c r="D58" s="125" t="s">
        <v>80</v>
      </c>
      <c r="E58" s="169">
        <f>C52*2*-1</f>
        <v>-10</v>
      </c>
      <c r="F58" s="169">
        <f>C52*-1</f>
        <v>-5</v>
      </c>
      <c r="G58" s="457" t="s">
        <v>129</v>
      </c>
      <c r="H58" s="169">
        <f>C52*1</f>
        <v>5</v>
      </c>
      <c r="I58" s="169">
        <f>C52*2</f>
        <v>10</v>
      </c>
      <c r="L58" s="4"/>
      <c r="M58" s="4"/>
      <c r="N58" s="4"/>
      <c r="O58" s="4"/>
      <c r="P58" s="4"/>
      <c r="Q58" s="4"/>
      <c r="R58" s="4"/>
    </row>
    <row r="59" spans="2:18" ht="15.45" x14ac:dyDescent="0.4">
      <c r="B59" s="125" t="s">
        <v>130</v>
      </c>
      <c r="C59" s="125"/>
      <c r="D59" s="125" t="s">
        <v>80</v>
      </c>
      <c r="E59" s="169">
        <f>($G$16+E58)</f>
        <v>155.75</v>
      </c>
      <c r="F59" s="169">
        <f>($G$16+F58)</f>
        <v>160.75</v>
      </c>
      <c r="G59" s="169">
        <f>'1. Cow Calf Budget'!$E$70</f>
        <v>165.75</v>
      </c>
      <c r="H59" s="169">
        <f>($G$16+H58)</f>
        <v>170.75</v>
      </c>
      <c r="I59" s="169">
        <f>($G$16+I58)</f>
        <v>175.75</v>
      </c>
      <c r="L59" s="4"/>
      <c r="M59" s="4"/>
      <c r="N59" s="4"/>
      <c r="O59" s="4"/>
      <c r="P59" s="4"/>
      <c r="Q59" s="4"/>
      <c r="R59" s="4"/>
    </row>
    <row r="60" spans="2:18" ht="15.45" x14ac:dyDescent="0.4">
      <c r="B60" s="125" t="s">
        <v>131</v>
      </c>
      <c r="C60" s="125"/>
      <c r="D60" s="125" t="s">
        <v>80</v>
      </c>
      <c r="E60" s="169">
        <f>($G$17+E58)</f>
        <v>141.125</v>
      </c>
      <c r="F60" s="169">
        <f>($G$17+F58)</f>
        <v>146.125</v>
      </c>
      <c r="G60" s="169">
        <f>'1. Cow Calf Budget'!$E$71</f>
        <v>151.125</v>
      </c>
      <c r="H60" s="169">
        <f>($G$17+H58)</f>
        <v>156.125</v>
      </c>
      <c r="I60" s="169">
        <f>($G$17+I58)</f>
        <v>161.125</v>
      </c>
      <c r="L60" s="4"/>
      <c r="M60" s="4"/>
      <c r="N60" s="4"/>
      <c r="O60" s="4"/>
      <c r="P60" s="4"/>
      <c r="Q60" s="4"/>
      <c r="R60" s="4"/>
    </row>
    <row r="61" spans="2:18" ht="15.45" x14ac:dyDescent="0.4">
      <c r="B61" s="125"/>
      <c r="C61" s="125"/>
      <c r="D61" s="125"/>
      <c r="E61" s="125"/>
      <c r="F61" s="125"/>
      <c r="G61" s="125"/>
      <c r="H61" s="125"/>
      <c r="I61" s="125"/>
      <c r="L61" s="4"/>
      <c r="M61" s="4"/>
      <c r="N61" s="4"/>
      <c r="O61" s="4"/>
      <c r="P61" s="4"/>
      <c r="Q61" s="4"/>
      <c r="R61" s="4"/>
    </row>
    <row r="62" spans="2:18" ht="15.45" x14ac:dyDescent="0.4">
      <c r="B62" s="125" t="s">
        <v>132</v>
      </c>
      <c r="C62" s="125"/>
      <c r="D62" s="127" t="s">
        <v>133</v>
      </c>
      <c r="E62" s="145">
        <f>C53*2*-1</f>
        <v>-40</v>
      </c>
      <c r="F62" s="145">
        <f>C53*-1</f>
        <v>-20</v>
      </c>
      <c r="G62" s="146" t="s">
        <v>129</v>
      </c>
      <c r="H62" s="145">
        <f>C53*1</f>
        <v>20</v>
      </c>
      <c r="I62" s="145">
        <f>C53*2</f>
        <v>40</v>
      </c>
      <c r="L62" s="4"/>
      <c r="M62" s="4"/>
      <c r="N62" s="4"/>
      <c r="O62" s="4"/>
      <c r="P62" s="4"/>
      <c r="Q62" s="4"/>
      <c r="R62" s="4"/>
    </row>
    <row r="63" spans="2:18" ht="15.45" x14ac:dyDescent="0.4">
      <c r="B63" s="125" t="s">
        <v>134</v>
      </c>
      <c r="C63" s="125"/>
      <c r="D63" s="127" t="s">
        <v>133</v>
      </c>
      <c r="E63" s="145">
        <f>($G$20+E62)</f>
        <v>510</v>
      </c>
      <c r="F63" s="145">
        <f>($G$20+F62)</f>
        <v>530</v>
      </c>
      <c r="G63" s="145">
        <f>'1. Cow Calf Budget'!$C$70</f>
        <v>550</v>
      </c>
      <c r="H63" s="145">
        <f>($G$20+H62)</f>
        <v>570</v>
      </c>
      <c r="I63" s="145">
        <f>($G$20+I62)</f>
        <v>590</v>
      </c>
      <c r="L63" s="4"/>
      <c r="M63" s="4"/>
      <c r="N63" s="4"/>
      <c r="O63" s="4"/>
      <c r="P63" s="4"/>
      <c r="Q63" s="4"/>
      <c r="R63" s="4"/>
    </row>
    <row r="64" spans="2:18" ht="15.45" x14ac:dyDescent="0.4">
      <c r="B64" s="125"/>
      <c r="C64" s="125"/>
      <c r="D64" s="125"/>
      <c r="E64" s="125"/>
      <c r="F64" s="125"/>
      <c r="G64" s="125"/>
      <c r="H64" s="125"/>
      <c r="I64" s="125"/>
      <c r="L64" s="4"/>
      <c r="M64" s="4"/>
      <c r="N64" s="4"/>
      <c r="O64" s="4"/>
      <c r="P64" s="4"/>
      <c r="Q64" s="4"/>
      <c r="R64" s="4"/>
    </row>
    <row r="65" spans="2:18" ht="15.45" x14ac:dyDescent="0.4">
      <c r="B65" s="125" t="s">
        <v>135</v>
      </c>
      <c r="C65" s="125"/>
      <c r="D65" s="127" t="s">
        <v>133</v>
      </c>
      <c r="E65" s="145">
        <f>C54*2*-1</f>
        <v>-40</v>
      </c>
      <c r="F65" s="145">
        <f>C54*-1</f>
        <v>-20</v>
      </c>
      <c r="G65" s="146" t="s">
        <v>129</v>
      </c>
      <c r="H65" s="145">
        <f>C54*1</f>
        <v>20</v>
      </c>
      <c r="I65" s="145">
        <f>C54*2</f>
        <v>40</v>
      </c>
      <c r="L65" s="4"/>
      <c r="M65" s="4"/>
      <c r="N65" s="4"/>
      <c r="O65" s="4"/>
      <c r="P65" s="4"/>
      <c r="Q65" s="4"/>
      <c r="R65" s="4"/>
    </row>
    <row r="66" spans="2:18" ht="15.45" x14ac:dyDescent="0.4">
      <c r="B66" s="125" t="s">
        <v>136</v>
      </c>
      <c r="C66" s="125"/>
      <c r="D66" s="127" t="s">
        <v>133</v>
      </c>
      <c r="E66" s="145">
        <f>($G$23+E65)</f>
        <v>490</v>
      </c>
      <c r="F66" s="145">
        <f>($G$23+F65)</f>
        <v>510</v>
      </c>
      <c r="G66" s="145">
        <f>'1. Cow Calf Budget'!$C$71</f>
        <v>530</v>
      </c>
      <c r="H66" s="145">
        <f>($G$23+H65)</f>
        <v>550</v>
      </c>
      <c r="I66" s="145">
        <f>($G$23+I65)</f>
        <v>570</v>
      </c>
      <c r="L66" s="4"/>
      <c r="M66" s="4"/>
      <c r="N66" s="4"/>
      <c r="O66" s="4"/>
      <c r="P66" s="4"/>
      <c r="Q66" s="4"/>
      <c r="R66" s="4"/>
    </row>
    <row r="67" spans="2:18" ht="15.45" x14ac:dyDescent="0.4">
      <c r="B67" s="125"/>
      <c r="C67" s="125"/>
      <c r="D67" s="125"/>
      <c r="E67" s="125"/>
      <c r="F67" s="125"/>
      <c r="G67" s="125"/>
      <c r="H67" s="125"/>
      <c r="I67" s="125"/>
      <c r="K67" s="21"/>
      <c r="L67" s="4"/>
      <c r="M67" s="4"/>
      <c r="N67" s="4"/>
      <c r="O67" s="4"/>
      <c r="P67" s="4"/>
      <c r="Q67" s="4"/>
      <c r="R67" s="4"/>
    </row>
    <row r="68" spans="2:18" ht="15.45" x14ac:dyDescent="0.4">
      <c r="B68" s="125"/>
      <c r="C68" s="125"/>
      <c r="D68" s="125"/>
      <c r="E68" s="125" t="s">
        <v>308</v>
      </c>
      <c r="F68" s="125"/>
      <c r="G68" s="125"/>
      <c r="H68" s="125"/>
      <c r="I68" s="125"/>
      <c r="K68" s="8"/>
      <c r="L68" s="4"/>
      <c r="M68" s="4"/>
      <c r="N68" s="4"/>
      <c r="O68" s="4"/>
      <c r="P68" s="4"/>
      <c r="Q68" s="4"/>
      <c r="R68" s="4"/>
    </row>
    <row r="69" spans="2:18" ht="15.45" x14ac:dyDescent="0.4">
      <c r="B69" s="125"/>
      <c r="C69" s="125"/>
      <c r="D69" s="127" t="s">
        <v>6</v>
      </c>
      <c r="E69" s="125" t="s">
        <v>124</v>
      </c>
      <c r="F69" s="128" t="s">
        <v>48</v>
      </c>
      <c r="G69" s="128" t="s">
        <v>48</v>
      </c>
      <c r="H69" s="128" t="s">
        <v>48</v>
      </c>
      <c r="I69" s="128" t="s">
        <v>48</v>
      </c>
      <c r="K69" s="8"/>
      <c r="L69" s="4"/>
      <c r="M69" s="4"/>
      <c r="N69" s="4"/>
      <c r="O69" s="4"/>
      <c r="P69" s="4"/>
      <c r="Q69" s="4"/>
      <c r="R69" s="4"/>
    </row>
    <row r="70" spans="2:18" ht="15.45" x14ac:dyDescent="0.4">
      <c r="B70" s="125"/>
      <c r="C70" s="125"/>
      <c r="D70" s="145">
        <f>D72-2*C51</f>
        <v>83</v>
      </c>
      <c r="E70" s="152">
        <f>(($D70*0.005*E$59*E$63*0.01)+(($D70*0.005-'1. Cow Calf Budget'!$N$16)*E$60*E$66*0.01))+'1. Cow Calf Budget'!$F$68+'1. Cow Calf Budget'!$F$72</f>
        <v>612.60691250000002</v>
      </c>
      <c r="F70" s="152">
        <f>(($D70*0.005*F$59*F$63*0.01)+(($D70*0.005-'1. Cow Calf Budget'!$N$16)*F$60*F$66*0.01))+'1. Cow Calf Budget'!$F$68+'1. Cow Calf Budget'!$F$72</f>
        <v>651.7358375</v>
      </c>
      <c r="G70" s="152">
        <f>(($D70*0.005*G$59*G$63*0.01)+(($D70*0.005-'1. Cow Calf Budget'!$N$16)*G$60*G$66*0.01))+'1. Cow Calf Budget'!$F$68+'1. Cow Calf Budget'!$F$72</f>
        <v>692.26076250000017</v>
      </c>
      <c r="H70" s="152">
        <f>(($D70*0.005*H$59*H$63*0.01)+(($D70*0.005-'1. Cow Calf Budget'!$N$16)*H$60*H$66*0.01))+'1. Cow Calf Budget'!$F$68+'1. Cow Calf Budget'!$F$72</f>
        <v>734.18168750000007</v>
      </c>
      <c r="I70" s="152">
        <f>(($D70*0.005*I$59*I$63*0.01)+(($D70*0.005-'1. Cow Calf Budget'!$N$16)*I$60*I$66*0.01))+'1. Cow Calf Budget'!$F$68+'1. Cow Calf Budget'!$F$72</f>
        <v>777.49861250000004</v>
      </c>
      <c r="L70" s="4"/>
      <c r="M70" s="4"/>
      <c r="N70" s="4"/>
      <c r="O70" s="4"/>
      <c r="P70" s="4"/>
      <c r="Q70" s="4"/>
      <c r="R70" s="4"/>
    </row>
    <row r="71" spans="2:18" ht="15.45" x14ac:dyDescent="0.4">
      <c r="B71" s="125"/>
      <c r="C71" s="125"/>
      <c r="D71" s="145">
        <f>(D72-C51)</f>
        <v>84</v>
      </c>
      <c r="E71" s="152">
        <f>(($D71*0.005*E$59*E$63*0.01)+(($D71*0.005-'1. Cow Calf Budget'!$N$16)*E$60*E$66*0.01))+'1. Cow Calf Budget'!$F$68+'1. Cow Calf Budget'!$F$72</f>
        <v>620.03609999999992</v>
      </c>
      <c r="F71" s="152">
        <f>(($D71*0.005*F$59*F$63*0.01)+(($D71*0.005-'1. Cow Calf Budget'!$N$16)*F$60*F$66*0.01))+'1. Cow Calf Budget'!$F$68+'1. Cow Calf Budget'!$F$72</f>
        <v>659.72190000000001</v>
      </c>
      <c r="G71" s="152">
        <f>(($D71*0.005*G$59*G$63*0.01)+(($D71*0.005-'1. Cow Calf Budget'!$N$16)*G$60*G$66*0.01))+'1. Cow Calf Budget'!$F$68+'1. Cow Calf Budget'!$F$72</f>
        <v>700.82370000000003</v>
      </c>
      <c r="H71" s="152">
        <f>(($D71*0.005*H$59*H$63*0.01)+(($D71*0.005-'1. Cow Calf Budget'!$N$16)*H$60*H$66*0.01))+'1. Cow Calf Budget'!$F$68+'1. Cow Calf Budget'!$F$72</f>
        <v>743.34150000000011</v>
      </c>
      <c r="I71" s="152">
        <f>(($D71*0.005*I$59*I$63*0.01)+(($D71*0.005-'1. Cow Calf Budget'!$N$16)*I$60*I$66*0.01))+'1. Cow Calf Budget'!$F$68+'1. Cow Calf Budget'!$F$72</f>
        <v>787.2752999999999</v>
      </c>
      <c r="K71" s="20"/>
      <c r="L71" s="4"/>
      <c r="M71" s="4"/>
      <c r="N71" s="4"/>
      <c r="O71" s="4"/>
      <c r="P71" s="4"/>
      <c r="Q71" s="4"/>
      <c r="R71" s="4"/>
    </row>
    <row r="72" spans="2:18" ht="15.45" x14ac:dyDescent="0.4">
      <c r="B72" s="125" t="s">
        <v>138</v>
      </c>
      <c r="C72" s="125"/>
      <c r="D72" s="145">
        <f>'1. Cow Calf Budget'!$F$10</f>
        <v>85</v>
      </c>
      <c r="E72" s="152">
        <f>(($D72*0.005*E$59*E$63*0.01)+(($D72*0.005-'1. Cow Calf Budget'!$N$16)*E$60*E$66*0.01))+'1. Cow Calf Budget'!$F$68+'1. Cow Calf Budget'!$F$72</f>
        <v>627.46528750000004</v>
      </c>
      <c r="F72" s="152">
        <f>(($D72*0.005*F$59*F$63*0.01)+(($D72*0.005-'1. Cow Calf Budget'!$N$16)*F$60*F$66*0.01))+'1. Cow Calf Budget'!$F$68+'1. Cow Calf Budget'!$F$72</f>
        <v>667.70796250000001</v>
      </c>
      <c r="G72" s="152">
        <f>(($D72*0.005*G$59*G$63*0.01)+(($D72*0.005-'1. Cow Calf Budget'!$N$16)*G$60*G$66*0.01))+'1. Cow Calf Budget'!$F$68+'1. Cow Calf Budget'!$F$72</f>
        <v>709.38663750000001</v>
      </c>
      <c r="H72" s="152">
        <f>(($D72*0.005*H$59*H$63*0.01)+(($D72*0.005-'1. Cow Calf Budget'!$N$16)*H$60*H$66*0.01))+'1. Cow Calf Budget'!$F$68+'1. Cow Calf Budget'!$F$72</f>
        <v>752.50131250000004</v>
      </c>
      <c r="I72" s="152">
        <f>(($D72*0.005*I$59*I$63*0.01)+(($D72*0.005-'1. Cow Calf Budget'!$N$16)*I$60*I$66*0.01))+'1. Cow Calf Budget'!$F$68+'1. Cow Calf Budget'!$F$72</f>
        <v>797.0519875</v>
      </c>
      <c r="K72" s="20"/>
      <c r="L72" s="4"/>
      <c r="M72" s="4"/>
      <c r="N72" s="4"/>
      <c r="O72" s="4"/>
      <c r="P72" s="4"/>
      <c r="Q72" s="4"/>
      <c r="R72" s="4"/>
    </row>
    <row r="73" spans="2:18" ht="15.45" x14ac:dyDescent="0.4">
      <c r="B73" s="125"/>
      <c r="C73" s="125"/>
      <c r="D73" s="145">
        <f>D72+C51</f>
        <v>86</v>
      </c>
      <c r="E73" s="152">
        <f>(($D73*0.005*E$59*E$63*0.01)+(($D73*0.005-'1. Cow Calf Budget'!$N$16)*E$60*E$66*0.01))+'1. Cow Calf Budget'!$F$68+'1. Cow Calf Budget'!$F$72</f>
        <v>634.89447500000006</v>
      </c>
      <c r="F73" s="152">
        <f>(($D73*0.005*F$59*F$63*0.01)+(($D73*0.005-'1. Cow Calf Budget'!$N$16)*F$60*F$66*0.01))+'1. Cow Calf Budget'!$F$68+'1. Cow Calf Budget'!$F$72</f>
        <v>675.69402500000001</v>
      </c>
      <c r="G73" s="152">
        <f>(($D73*0.005*G$59*G$63*0.01)+(($D73*0.005-'1. Cow Calf Budget'!$N$16)*G$60*G$66*0.01))+'1. Cow Calf Budget'!$F$68+'1. Cow Calf Budget'!$F$72</f>
        <v>717.94957499999998</v>
      </c>
      <c r="H73" s="152">
        <f>(($D73*0.005*H$59*H$63*0.01)+(($D73*0.005-'1. Cow Calf Budget'!$N$16)*H$60*H$66*0.01))+'1. Cow Calf Budget'!$F$68+'1. Cow Calf Budget'!$F$72</f>
        <v>761.66112499999997</v>
      </c>
      <c r="I73" s="152">
        <f>(($D73*0.005*I$59*I$63*0.01)+(($D73*0.005-'1. Cow Calf Budget'!$N$16)*I$60*I$66*0.01))+'1. Cow Calf Budget'!$F$68+'1. Cow Calf Budget'!$F$72</f>
        <v>806.82867500000009</v>
      </c>
      <c r="K73" s="20"/>
      <c r="L73" s="4"/>
      <c r="M73" s="4"/>
      <c r="N73" s="4"/>
      <c r="O73" s="4"/>
      <c r="P73" s="4"/>
      <c r="Q73" s="4"/>
      <c r="R73" s="4"/>
    </row>
    <row r="74" spans="2:18" ht="15.45" x14ac:dyDescent="0.4">
      <c r="B74" s="125"/>
      <c r="C74" s="125"/>
      <c r="D74" s="145">
        <f>(D72+(2*C51))</f>
        <v>87</v>
      </c>
      <c r="E74" s="152">
        <f>(($D74*0.005*E$59*E$63*0.01)+(($D74*0.005-'1. Cow Calf Budget'!$N$16)*E$60*E$66*0.01))+'1. Cow Calf Budget'!$F$68+'1. Cow Calf Budget'!$F$72</f>
        <v>642.32366249999995</v>
      </c>
      <c r="F74" s="152">
        <f>(($D74*0.005*F$59*F$63*0.01)+(($D74*0.005-'1. Cow Calf Budget'!$N$16)*F$60*F$66*0.01))+'1. Cow Calf Budget'!$F$68+'1. Cow Calf Budget'!$F$72</f>
        <v>683.68008750000001</v>
      </c>
      <c r="G74" s="152">
        <f>(($D74*0.005*G$59*G$63*0.01)+(($D74*0.005-'1. Cow Calf Budget'!$N$16)*G$60*G$66*0.01))+'1. Cow Calf Budget'!$F$68+'1. Cow Calf Budget'!$F$72</f>
        <v>726.51251249999996</v>
      </c>
      <c r="H74" s="152">
        <f>(($D74*0.005*H$59*H$63*0.01)+(($D74*0.005-'1. Cow Calf Budget'!$N$16)*H$60*H$66*0.01))+'1. Cow Calf Budget'!$F$68+'1. Cow Calf Budget'!$F$72</f>
        <v>770.82093750000001</v>
      </c>
      <c r="I74" s="152">
        <f>(($D74*0.005*I$59*I$63*0.01)+(($D74*0.005-'1. Cow Calf Budget'!$N$16)*I$60*I$66*0.01))+'1. Cow Calf Budget'!$F$68+'1. Cow Calf Budget'!$F$72</f>
        <v>816.60536250000007</v>
      </c>
      <c r="K74" s="20"/>
      <c r="L74" s="4"/>
      <c r="M74" s="4"/>
      <c r="N74" s="4"/>
      <c r="O74" s="4"/>
      <c r="P74" s="4"/>
      <c r="Q74" s="4"/>
      <c r="R74" s="4"/>
    </row>
    <row r="75" spans="2:18" ht="15.45" x14ac:dyDescent="0.4">
      <c r="B75" s="125"/>
      <c r="C75" s="125"/>
      <c r="D75" s="145"/>
      <c r="E75" s="125"/>
      <c r="F75" s="125"/>
      <c r="G75" s="125"/>
      <c r="H75" s="125"/>
      <c r="I75" s="125"/>
      <c r="L75" s="4"/>
      <c r="M75" s="4"/>
      <c r="N75" s="4"/>
      <c r="O75" s="4"/>
      <c r="P75" s="4"/>
      <c r="Q75" s="4"/>
      <c r="R75" s="4"/>
    </row>
    <row r="76" spans="2:18" ht="15.45" x14ac:dyDescent="0.4">
      <c r="B76" s="125"/>
      <c r="C76" s="125"/>
      <c r="D76" s="145"/>
      <c r="E76" s="125" t="s">
        <v>320</v>
      </c>
      <c r="F76" s="125"/>
      <c r="G76" s="125"/>
      <c r="H76" s="125"/>
      <c r="I76" s="125"/>
      <c r="L76" s="4"/>
      <c r="M76" s="4"/>
      <c r="N76" s="4"/>
      <c r="O76" s="4"/>
      <c r="P76" s="4"/>
      <c r="Q76" s="4"/>
      <c r="R76" s="4"/>
    </row>
    <row r="77" spans="2:18" ht="15.45" x14ac:dyDescent="0.4">
      <c r="B77" s="125"/>
      <c r="C77" s="125"/>
      <c r="D77" s="145">
        <f>D70</f>
        <v>83</v>
      </c>
      <c r="E77" s="169">
        <f>E70-E72</f>
        <v>-14.858375000000024</v>
      </c>
      <c r="F77" s="169">
        <f>F70-F72</f>
        <v>-15.972125000000005</v>
      </c>
      <c r="G77" s="169">
        <f>G70-G72</f>
        <v>-17.125874999999837</v>
      </c>
      <c r="H77" s="169">
        <f>H70-H72</f>
        <v>-18.319624999999974</v>
      </c>
      <c r="I77" s="169">
        <f>I70-I72</f>
        <v>-19.55337499999996</v>
      </c>
      <c r="L77" s="4"/>
      <c r="M77" s="4"/>
      <c r="N77" s="4"/>
      <c r="O77" s="4"/>
      <c r="P77" s="4"/>
      <c r="Q77" s="4"/>
      <c r="R77" s="4"/>
    </row>
    <row r="78" spans="2:18" ht="15.45" x14ac:dyDescent="0.4">
      <c r="B78" s="125"/>
      <c r="C78" s="125"/>
      <c r="D78" s="145">
        <f>D71</f>
        <v>84</v>
      </c>
      <c r="E78" s="169">
        <f>E71-E72</f>
        <v>-7.4291875000001255</v>
      </c>
      <c r="F78" s="169">
        <f>F71-F72</f>
        <v>-7.9860625000000027</v>
      </c>
      <c r="G78" s="169">
        <f>G71-G72</f>
        <v>-8.5629374999999754</v>
      </c>
      <c r="H78" s="169">
        <f>H71-H72</f>
        <v>-9.15981249999993</v>
      </c>
      <c r="I78" s="169">
        <f>I71-I72</f>
        <v>-9.7766875000000937</v>
      </c>
      <c r="L78" s="4"/>
      <c r="M78" s="4"/>
      <c r="N78" s="4"/>
      <c r="O78" s="4"/>
      <c r="P78" s="4"/>
      <c r="Q78" s="4"/>
      <c r="R78" s="4"/>
    </row>
    <row r="79" spans="2:18" ht="15.45" x14ac:dyDescent="0.4">
      <c r="B79" s="125" t="s">
        <v>138</v>
      </c>
      <c r="C79" s="125"/>
      <c r="D79" s="145">
        <f>'1. Cow Calf Budget'!$F$10</f>
        <v>85</v>
      </c>
      <c r="E79" s="169"/>
      <c r="F79" s="169"/>
      <c r="G79" s="169"/>
      <c r="H79" s="169"/>
      <c r="I79" s="169"/>
      <c r="L79" s="4"/>
      <c r="M79" s="4"/>
      <c r="N79" s="4"/>
      <c r="O79" s="4"/>
      <c r="P79" s="4"/>
      <c r="Q79" s="4"/>
      <c r="R79" s="4"/>
    </row>
    <row r="80" spans="2:18" ht="15.45" x14ac:dyDescent="0.4">
      <c r="B80" s="125"/>
      <c r="C80" s="125"/>
      <c r="D80" s="145">
        <f>D73</f>
        <v>86</v>
      </c>
      <c r="E80" s="169">
        <f>E73-E72</f>
        <v>7.4291875000000118</v>
      </c>
      <c r="F80" s="169">
        <f>F73-F72</f>
        <v>7.9860625000000027</v>
      </c>
      <c r="G80" s="169">
        <f>G73-G72</f>
        <v>8.5629374999999754</v>
      </c>
      <c r="H80" s="169">
        <f>H73-H72</f>
        <v>9.15981249999993</v>
      </c>
      <c r="I80" s="169">
        <f>I73-I72</f>
        <v>9.7766875000000937</v>
      </c>
      <c r="L80" s="4"/>
      <c r="M80" s="4"/>
      <c r="N80" s="4"/>
      <c r="O80" s="4"/>
      <c r="P80" s="4"/>
      <c r="Q80" s="4"/>
      <c r="R80" s="4"/>
    </row>
    <row r="81" spans="2:18" ht="15.45" x14ac:dyDescent="0.4">
      <c r="B81" s="125"/>
      <c r="C81" s="125"/>
      <c r="D81" s="145">
        <f>D74</f>
        <v>87</v>
      </c>
      <c r="E81" s="169">
        <f>E74-E72</f>
        <v>14.85837499999991</v>
      </c>
      <c r="F81" s="169">
        <f>F74-F72</f>
        <v>15.972125000000005</v>
      </c>
      <c r="G81" s="169">
        <f>G74-G72</f>
        <v>17.125874999999951</v>
      </c>
      <c r="H81" s="169">
        <f>H74-H72</f>
        <v>18.319624999999974</v>
      </c>
      <c r="I81" s="169">
        <f>I74-I72</f>
        <v>19.553375000000074</v>
      </c>
      <c r="L81" s="4"/>
      <c r="M81" s="4"/>
      <c r="N81" s="4"/>
      <c r="O81" s="4"/>
      <c r="P81" s="4"/>
      <c r="Q81" s="4"/>
      <c r="R81" s="4"/>
    </row>
    <row r="82" spans="2:18" ht="15.45" x14ac:dyDescent="0.4">
      <c r="B82" s="125"/>
      <c r="C82" s="125"/>
      <c r="D82" s="125"/>
      <c r="E82" s="125"/>
      <c r="F82" s="125"/>
      <c r="G82" s="125"/>
      <c r="H82" s="125"/>
      <c r="I82" s="125"/>
      <c r="L82" s="4"/>
      <c r="M82" s="4"/>
      <c r="N82" s="4"/>
      <c r="O82" s="4"/>
      <c r="P82" s="4"/>
      <c r="Q82" s="4"/>
      <c r="R82" s="4"/>
    </row>
    <row r="83" spans="2:18" ht="15.45" x14ac:dyDescent="0.4">
      <c r="B83" s="125" t="s">
        <v>327</v>
      </c>
      <c r="C83" s="145">
        <f>C6</f>
        <v>400</v>
      </c>
      <c r="D83" s="125" t="s">
        <v>314</v>
      </c>
      <c r="E83" s="125" t="s">
        <v>313</v>
      </c>
      <c r="F83" s="125"/>
      <c r="G83" s="125"/>
      <c r="H83" s="125"/>
      <c r="I83" s="260"/>
      <c r="L83" s="4"/>
      <c r="M83" s="4"/>
      <c r="N83" s="4"/>
      <c r="O83" s="4"/>
      <c r="P83" s="4"/>
      <c r="Q83" s="4"/>
      <c r="R83" s="4"/>
    </row>
    <row r="84" spans="2:18" ht="15.45" x14ac:dyDescent="0.4">
      <c r="B84" s="125"/>
      <c r="C84" s="125"/>
      <c r="D84" s="132">
        <f>D77</f>
        <v>83</v>
      </c>
      <c r="E84" s="166">
        <f t="shared" ref="E84:I85" si="2">E77*$C$40</f>
        <v>-5943.3500000000095</v>
      </c>
      <c r="F84" s="166">
        <f t="shared" si="2"/>
        <v>-6388.8500000000022</v>
      </c>
      <c r="G84" s="166">
        <f t="shared" si="2"/>
        <v>-6850.3499999999349</v>
      </c>
      <c r="H84" s="166">
        <f t="shared" si="2"/>
        <v>-7327.8499999999894</v>
      </c>
      <c r="I84" s="166">
        <f t="shared" si="2"/>
        <v>-7821.349999999984</v>
      </c>
      <c r="L84" s="4"/>
      <c r="M84" s="4"/>
      <c r="N84" s="4"/>
      <c r="O84" s="4"/>
      <c r="P84" s="4"/>
      <c r="Q84" s="4"/>
      <c r="R84" s="4"/>
    </row>
    <row r="85" spans="2:18" ht="15.45" x14ac:dyDescent="0.4">
      <c r="B85" s="125"/>
      <c r="C85" s="125"/>
      <c r="D85" s="132">
        <f>D78</f>
        <v>84</v>
      </c>
      <c r="E85" s="166">
        <f t="shared" si="2"/>
        <v>-2971.6750000000502</v>
      </c>
      <c r="F85" s="166">
        <f t="shared" si="2"/>
        <v>-3194.4250000000011</v>
      </c>
      <c r="G85" s="166">
        <f t="shared" si="2"/>
        <v>-3425.1749999999902</v>
      </c>
      <c r="H85" s="166">
        <f t="shared" si="2"/>
        <v>-3663.924999999972</v>
      </c>
      <c r="I85" s="166">
        <f t="shared" si="2"/>
        <v>-3910.6750000000375</v>
      </c>
      <c r="L85" s="4"/>
      <c r="M85" s="4"/>
      <c r="N85" s="4"/>
      <c r="O85" s="4"/>
      <c r="P85" s="4"/>
      <c r="Q85" s="4"/>
      <c r="R85" s="4"/>
    </row>
    <row r="86" spans="2:18" ht="15.45" x14ac:dyDescent="0.4">
      <c r="B86" s="125" t="s">
        <v>138</v>
      </c>
      <c r="C86" s="125"/>
      <c r="D86" s="132">
        <f>'1. Cow Calf Budget'!$F$10</f>
        <v>85</v>
      </c>
      <c r="E86" s="174"/>
      <c r="F86" s="174"/>
      <c r="G86" s="174"/>
      <c r="H86" s="174"/>
      <c r="I86" s="174"/>
      <c r="L86" s="4"/>
      <c r="M86" s="4"/>
      <c r="N86" s="4"/>
      <c r="O86" s="4"/>
      <c r="P86" s="4"/>
      <c r="Q86" s="4"/>
      <c r="R86" s="4"/>
    </row>
    <row r="87" spans="2:18" ht="15.45" x14ac:dyDescent="0.4">
      <c r="B87" s="125"/>
      <c r="C87" s="125"/>
      <c r="D87" s="132">
        <f>D80</f>
        <v>86</v>
      </c>
      <c r="E87" s="166">
        <f t="shared" ref="E87:I88" si="3">E80*$C$40</f>
        <v>2971.6750000000047</v>
      </c>
      <c r="F87" s="166">
        <f t="shared" si="3"/>
        <v>3194.4250000000011</v>
      </c>
      <c r="G87" s="166">
        <f t="shared" si="3"/>
        <v>3425.1749999999902</v>
      </c>
      <c r="H87" s="166">
        <f t="shared" si="3"/>
        <v>3663.924999999972</v>
      </c>
      <c r="I87" s="166">
        <f t="shared" si="3"/>
        <v>3910.6750000000375</v>
      </c>
      <c r="L87" s="4"/>
      <c r="M87" s="4"/>
      <c r="N87" s="4"/>
      <c r="O87" s="4"/>
      <c r="P87" s="4"/>
      <c r="Q87" s="4"/>
      <c r="R87" s="4"/>
    </row>
    <row r="88" spans="2:18" ht="15.45" x14ac:dyDescent="0.4">
      <c r="B88" s="125"/>
      <c r="C88" s="125"/>
      <c r="D88" s="132">
        <f>D81</f>
        <v>87</v>
      </c>
      <c r="E88" s="166">
        <f t="shared" si="3"/>
        <v>5943.349999999964</v>
      </c>
      <c r="F88" s="166">
        <f t="shared" si="3"/>
        <v>6388.8500000000022</v>
      </c>
      <c r="G88" s="166">
        <f t="shared" si="3"/>
        <v>6850.3499999999804</v>
      </c>
      <c r="H88" s="166">
        <f t="shared" si="3"/>
        <v>7327.8499999999894</v>
      </c>
      <c r="I88" s="166">
        <f t="shared" si="3"/>
        <v>7821.3500000000295</v>
      </c>
      <c r="L88" s="4"/>
      <c r="M88" s="4"/>
      <c r="N88" s="4"/>
      <c r="O88" s="4"/>
      <c r="P88" s="4"/>
      <c r="Q88" s="4"/>
      <c r="R88" s="4"/>
    </row>
    <row r="89" spans="2:18" ht="15.45" x14ac:dyDescent="0.4">
      <c r="B89" s="115"/>
      <c r="C89" s="115"/>
      <c r="D89" s="115"/>
      <c r="E89" s="115"/>
      <c r="F89" s="115"/>
      <c r="G89" s="115"/>
      <c r="H89" s="115"/>
      <c r="I89" s="115"/>
      <c r="J89" s="4"/>
      <c r="K89" s="4"/>
      <c r="L89" s="4"/>
      <c r="M89" s="4"/>
      <c r="N89" s="4"/>
      <c r="O89" s="4"/>
      <c r="P89" s="4"/>
      <c r="Q89" s="4"/>
      <c r="R89" s="4"/>
    </row>
    <row r="90" spans="2:18" ht="15.45" x14ac:dyDescent="0.4">
      <c r="B90" s="115"/>
      <c r="C90" s="115"/>
      <c r="D90" s="115"/>
      <c r="E90" s="115"/>
      <c r="F90" s="115"/>
      <c r="G90" s="115"/>
      <c r="H90" s="115"/>
      <c r="I90" s="115"/>
      <c r="J90" s="4"/>
      <c r="K90" s="4"/>
      <c r="L90" s="4"/>
      <c r="M90" s="4"/>
      <c r="N90" s="4"/>
      <c r="O90" s="4"/>
      <c r="P90" s="4"/>
      <c r="Q90" s="4"/>
      <c r="R90" s="4"/>
    </row>
    <row r="91" spans="2:18" ht="17.600000000000001" x14ac:dyDescent="0.4">
      <c r="B91" s="478" t="s">
        <v>610</v>
      </c>
      <c r="C91" s="478"/>
      <c r="D91" s="478"/>
      <c r="E91" s="478"/>
      <c r="F91" s="478"/>
      <c r="G91" s="478"/>
      <c r="H91" s="478"/>
      <c r="I91" s="478"/>
      <c r="J91" s="22"/>
      <c r="K91" s="4"/>
      <c r="L91" s="4"/>
      <c r="M91" s="4"/>
      <c r="N91" s="4"/>
      <c r="O91" s="4"/>
      <c r="P91" s="4"/>
      <c r="Q91" s="4"/>
      <c r="R91" s="4"/>
    </row>
    <row r="92" spans="2:18" ht="15.45" x14ac:dyDescent="0.4">
      <c r="B92" s="303"/>
      <c r="C92" s="115"/>
      <c r="D92" s="115"/>
      <c r="E92" s="115"/>
      <c r="F92" s="115"/>
      <c r="G92" s="115"/>
      <c r="H92" s="115"/>
      <c r="I92" s="115"/>
      <c r="J92" s="4"/>
      <c r="K92" s="4"/>
      <c r="L92" s="4"/>
      <c r="M92" s="4"/>
      <c r="N92" s="4"/>
      <c r="O92" s="4"/>
      <c r="P92" s="4"/>
    </row>
    <row r="93" spans="2:18" ht="15.45" x14ac:dyDescent="0.4">
      <c r="B93" s="260"/>
      <c r="C93" s="125"/>
      <c r="D93" s="125"/>
      <c r="E93" s="477" t="s">
        <v>331</v>
      </c>
      <c r="F93" s="477"/>
      <c r="G93" s="477"/>
      <c r="H93" s="477"/>
      <c r="I93" s="477"/>
      <c r="J93" s="4"/>
      <c r="K93" s="4"/>
      <c r="L93" s="4"/>
      <c r="M93" s="4"/>
      <c r="N93" s="4"/>
      <c r="O93" s="4"/>
      <c r="P93" s="4"/>
    </row>
    <row r="94" spans="2:18" ht="15.45" x14ac:dyDescent="0.4">
      <c r="B94" s="125"/>
      <c r="C94" s="125"/>
      <c r="D94" s="125"/>
      <c r="E94" s="477" t="s">
        <v>332</v>
      </c>
      <c r="F94" s="477"/>
      <c r="G94" s="477"/>
      <c r="H94" s="477"/>
      <c r="I94" s="477"/>
      <c r="J94" s="4"/>
      <c r="K94" s="4"/>
      <c r="L94" s="4"/>
      <c r="M94" s="4"/>
      <c r="N94" s="4"/>
      <c r="O94" s="4"/>
      <c r="P94" s="4"/>
    </row>
    <row r="95" spans="2:18" ht="15.45" x14ac:dyDescent="0.4">
      <c r="B95" s="125" t="s">
        <v>118</v>
      </c>
      <c r="C95" s="125"/>
      <c r="D95" s="125"/>
      <c r="E95" s="125"/>
      <c r="F95" s="125"/>
      <c r="G95" s="125"/>
      <c r="H95" s="125"/>
      <c r="I95" s="125"/>
      <c r="J95" s="4"/>
      <c r="K95" s="4"/>
      <c r="L95" s="4"/>
      <c r="M95" s="4"/>
      <c r="N95" s="4"/>
      <c r="O95" s="4"/>
      <c r="P95" s="4"/>
    </row>
    <row r="96" spans="2:18" ht="15.45" x14ac:dyDescent="0.4">
      <c r="B96" s="125" t="s">
        <v>119</v>
      </c>
      <c r="C96" s="134">
        <v>1</v>
      </c>
      <c r="D96" s="125"/>
      <c r="E96" s="125"/>
      <c r="F96" s="125"/>
      <c r="G96" s="125"/>
      <c r="H96" s="151" t="s">
        <v>17</v>
      </c>
      <c r="I96" s="125"/>
      <c r="J96" s="4"/>
      <c r="K96" s="4"/>
      <c r="L96" s="4"/>
      <c r="M96" s="4"/>
      <c r="N96" s="4"/>
      <c r="O96" s="4"/>
      <c r="P96" s="4"/>
    </row>
    <row r="97" spans="2:16" ht="15.45" x14ac:dyDescent="0.4">
      <c r="B97" s="125" t="s">
        <v>139</v>
      </c>
      <c r="C97" s="134">
        <v>10</v>
      </c>
      <c r="D97" s="144"/>
      <c r="E97" s="481" t="s">
        <v>140</v>
      </c>
      <c r="F97" s="481"/>
      <c r="G97" s="481"/>
      <c r="H97" s="481"/>
      <c r="I97" s="481"/>
      <c r="J97" s="4"/>
      <c r="K97" s="4"/>
      <c r="L97" s="4"/>
      <c r="M97" s="4"/>
      <c r="N97" s="4"/>
      <c r="O97" s="4"/>
      <c r="P97" s="4"/>
    </row>
    <row r="98" spans="2:16" ht="15.45" x14ac:dyDescent="0.4">
      <c r="B98" s="125" t="s">
        <v>122</v>
      </c>
      <c r="C98" s="134">
        <v>30</v>
      </c>
      <c r="D98" s="125"/>
      <c r="E98" s="125"/>
      <c r="F98" s="125"/>
      <c r="G98" s="125"/>
      <c r="H98" s="125"/>
      <c r="I98" s="125"/>
      <c r="J98" s="4"/>
      <c r="K98" s="4"/>
      <c r="L98" s="4"/>
      <c r="M98" s="4"/>
      <c r="N98" s="4"/>
      <c r="O98" s="4"/>
      <c r="P98" s="4"/>
    </row>
    <row r="99" spans="2:16" ht="15.45" x14ac:dyDescent="0.4">
      <c r="B99" s="125" t="s">
        <v>123</v>
      </c>
      <c r="C99" s="134">
        <v>30</v>
      </c>
      <c r="D99" s="125"/>
      <c r="E99" s="125"/>
      <c r="F99" s="125"/>
      <c r="G99" s="125"/>
      <c r="H99" s="125"/>
      <c r="I99" s="125"/>
      <c r="J99" s="4"/>
      <c r="K99" s="4"/>
      <c r="L99" s="4"/>
      <c r="M99" s="4"/>
      <c r="N99" s="4"/>
      <c r="O99" s="4"/>
      <c r="P99" s="4"/>
    </row>
    <row r="100" spans="2:16" ht="15.45" x14ac:dyDescent="0.4">
      <c r="B100" s="125"/>
      <c r="C100" s="125"/>
      <c r="D100" s="125"/>
      <c r="E100" s="125"/>
      <c r="F100" s="128"/>
      <c r="G100" s="128"/>
      <c r="H100" s="128"/>
      <c r="I100" s="128"/>
      <c r="J100" s="4"/>
      <c r="K100" s="4"/>
      <c r="L100" s="4"/>
      <c r="M100" s="4"/>
      <c r="N100" s="4"/>
      <c r="O100" s="4"/>
      <c r="P100" s="4"/>
    </row>
    <row r="101" spans="2:16" ht="15.45" x14ac:dyDescent="0.4">
      <c r="B101" s="125"/>
      <c r="C101" s="125"/>
      <c r="D101" s="125"/>
      <c r="E101" s="127" t="s">
        <v>141</v>
      </c>
      <c r="F101" s="125"/>
      <c r="G101" s="127" t="s">
        <v>126</v>
      </c>
      <c r="H101" s="127" t="s">
        <v>142</v>
      </c>
      <c r="I101" s="125"/>
      <c r="J101" s="4"/>
      <c r="K101" s="4"/>
      <c r="L101" s="4"/>
      <c r="M101" s="4"/>
      <c r="N101" s="4"/>
      <c r="O101" s="4"/>
      <c r="P101" s="4"/>
    </row>
    <row r="102" spans="2:16" ht="15.45" x14ac:dyDescent="0.4">
      <c r="B102" s="125"/>
      <c r="C102" s="125"/>
      <c r="D102" s="125"/>
      <c r="E102" s="125"/>
      <c r="F102" s="125"/>
      <c r="G102" s="125"/>
      <c r="H102" s="125"/>
      <c r="I102" s="125"/>
      <c r="J102" s="4"/>
      <c r="K102" s="4"/>
      <c r="L102" s="4"/>
      <c r="M102" s="4"/>
      <c r="N102" s="4"/>
      <c r="O102" s="4"/>
      <c r="P102" s="4"/>
    </row>
    <row r="103" spans="2:16" ht="15.45" x14ac:dyDescent="0.4">
      <c r="B103" s="125" t="s">
        <v>143</v>
      </c>
      <c r="C103" s="125"/>
      <c r="D103" s="125" t="s">
        <v>80</v>
      </c>
      <c r="E103" s="169">
        <f>C97*2*-1</f>
        <v>-20</v>
      </c>
      <c r="F103" s="169">
        <f>C97*-1</f>
        <v>-10</v>
      </c>
      <c r="G103" s="457" t="s">
        <v>129</v>
      </c>
      <c r="H103" s="169">
        <f>C97*1</f>
        <v>10</v>
      </c>
      <c r="I103" s="169">
        <f>C97*2</f>
        <v>20</v>
      </c>
      <c r="J103" s="4"/>
      <c r="K103" s="4"/>
      <c r="L103" s="4"/>
      <c r="M103" s="4"/>
      <c r="N103" s="4"/>
      <c r="O103" s="4"/>
      <c r="P103" s="4"/>
    </row>
    <row r="104" spans="2:16" ht="15.45" x14ac:dyDescent="0.4">
      <c r="B104" s="125" t="s">
        <v>144</v>
      </c>
      <c r="C104" s="125"/>
      <c r="D104" s="125" t="s">
        <v>145</v>
      </c>
      <c r="E104" s="169">
        <f>($G$104+E103)</f>
        <v>663.67750000000001</v>
      </c>
      <c r="F104" s="169">
        <f>($G$104+F103)</f>
        <v>673.67750000000001</v>
      </c>
      <c r="G104" s="169">
        <f>'1. Cow Calf Budget'!F145</f>
        <v>683.67750000000001</v>
      </c>
      <c r="H104" s="169">
        <f>($G$104+H103)</f>
        <v>693.67750000000001</v>
      </c>
      <c r="I104" s="169">
        <f>($G$104+I103)</f>
        <v>703.67750000000001</v>
      </c>
      <c r="J104" s="4"/>
      <c r="K104" s="4"/>
      <c r="L104" s="4"/>
      <c r="M104" s="4"/>
      <c r="N104" s="4"/>
      <c r="O104" s="4"/>
      <c r="P104" s="4"/>
    </row>
    <row r="105" spans="2:16" ht="15.45" x14ac:dyDescent="0.4">
      <c r="B105" s="125"/>
      <c r="C105" s="125"/>
      <c r="D105" s="125"/>
      <c r="E105" s="125"/>
      <c r="F105" s="125"/>
      <c r="G105" s="125"/>
      <c r="H105" s="125"/>
      <c r="I105" s="125"/>
      <c r="J105" s="4"/>
      <c r="K105" s="4"/>
      <c r="L105" s="4"/>
      <c r="M105" s="4"/>
      <c r="N105" s="4"/>
      <c r="O105" s="4"/>
      <c r="P105" s="4"/>
    </row>
    <row r="106" spans="2:16" ht="15.45" x14ac:dyDescent="0.4">
      <c r="B106" s="125" t="s">
        <v>146</v>
      </c>
      <c r="C106" s="125"/>
      <c r="D106" s="127" t="s">
        <v>133</v>
      </c>
      <c r="E106" s="145">
        <f>C98*2*-1</f>
        <v>-60</v>
      </c>
      <c r="F106" s="145">
        <f>C98*-1</f>
        <v>-30</v>
      </c>
      <c r="G106" s="146" t="s">
        <v>129</v>
      </c>
      <c r="H106" s="145">
        <f>C98*1</f>
        <v>30</v>
      </c>
      <c r="I106" s="145">
        <f>C98*2</f>
        <v>60</v>
      </c>
      <c r="J106" s="4"/>
      <c r="K106" s="4"/>
      <c r="L106" s="4"/>
      <c r="M106" s="4"/>
      <c r="N106" s="4"/>
      <c r="O106" s="4"/>
      <c r="P106" s="4"/>
    </row>
    <row r="107" spans="2:16" ht="15.45" x14ac:dyDescent="0.4">
      <c r="B107" s="125" t="s">
        <v>134</v>
      </c>
      <c r="C107" s="125"/>
      <c r="D107" s="127" t="s">
        <v>133</v>
      </c>
      <c r="E107" s="145">
        <f>($G$107+E106)</f>
        <v>490</v>
      </c>
      <c r="F107" s="145">
        <f>($G$107+F106)</f>
        <v>520</v>
      </c>
      <c r="G107" s="145">
        <f>'1. Cow Calf Budget'!C70</f>
        <v>550</v>
      </c>
      <c r="H107" s="145">
        <f>($G$107+H106)</f>
        <v>580</v>
      </c>
      <c r="I107" s="145">
        <f>($G$107+I106)</f>
        <v>610</v>
      </c>
      <c r="J107" s="4"/>
      <c r="K107" s="4"/>
      <c r="L107" s="4"/>
      <c r="M107" s="4"/>
      <c r="N107" s="4"/>
      <c r="O107" s="4"/>
      <c r="P107" s="4"/>
    </row>
    <row r="108" spans="2:16" ht="15.45" x14ac:dyDescent="0.4">
      <c r="B108" s="125"/>
      <c r="C108" s="125"/>
      <c r="D108" s="125"/>
      <c r="E108" s="125"/>
      <c r="F108" s="125"/>
      <c r="G108" s="125"/>
      <c r="H108" s="125"/>
      <c r="I108" s="125"/>
      <c r="J108" s="4"/>
      <c r="K108" s="4"/>
      <c r="L108" s="4"/>
      <c r="M108" s="4"/>
      <c r="N108" s="4"/>
      <c r="O108" s="4"/>
      <c r="P108" s="4"/>
    </row>
    <row r="109" spans="2:16" ht="15.45" x14ac:dyDescent="0.4">
      <c r="B109" s="125" t="s">
        <v>147</v>
      </c>
      <c r="C109" s="125"/>
      <c r="D109" s="127" t="s">
        <v>133</v>
      </c>
      <c r="E109" s="145">
        <f>C99*2*-1</f>
        <v>-60</v>
      </c>
      <c r="F109" s="145">
        <f>C99*-1</f>
        <v>-30</v>
      </c>
      <c r="G109" s="146" t="s">
        <v>129</v>
      </c>
      <c r="H109" s="145">
        <f>C99*1</f>
        <v>30</v>
      </c>
      <c r="I109" s="145">
        <f>C99*2</f>
        <v>60</v>
      </c>
      <c r="J109" s="4"/>
      <c r="K109" s="4"/>
      <c r="L109" s="4"/>
      <c r="M109" s="4"/>
      <c r="N109" s="4"/>
      <c r="O109" s="4"/>
      <c r="P109" s="4"/>
    </row>
    <row r="110" spans="2:16" ht="15.45" x14ac:dyDescent="0.4">
      <c r="B110" s="125" t="s">
        <v>136</v>
      </c>
      <c r="C110" s="125"/>
      <c r="D110" s="127" t="s">
        <v>133</v>
      </c>
      <c r="E110" s="145">
        <f>($G$110+E109)</f>
        <v>470</v>
      </c>
      <c r="F110" s="145">
        <f>($G$110+F109)</f>
        <v>500</v>
      </c>
      <c r="G110" s="145">
        <f>'1. Cow Calf Budget'!C71</f>
        <v>530</v>
      </c>
      <c r="H110" s="145">
        <f>($G$110+H109)</f>
        <v>560</v>
      </c>
      <c r="I110" s="145">
        <f>($G$110+I109)</f>
        <v>590</v>
      </c>
      <c r="J110" s="4"/>
      <c r="K110" s="4"/>
      <c r="L110" s="4"/>
      <c r="M110" s="4"/>
      <c r="N110" s="4"/>
      <c r="O110" s="4"/>
      <c r="P110" s="4"/>
    </row>
    <row r="111" spans="2:16" ht="15.45" x14ac:dyDescent="0.4">
      <c r="B111" s="125"/>
      <c r="C111" s="125"/>
      <c r="D111" s="125"/>
      <c r="E111" s="125"/>
      <c r="F111" s="125"/>
      <c r="G111" s="125"/>
      <c r="H111" s="125"/>
      <c r="I111" s="125"/>
      <c r="J111" s="4"/>
      <c r="K111" s="4"/>
      <c r="L111" s="4"/>
      <c r="M111" s="4"/>
      <c r="N111" s="4"/>
      <c r="O111" s="4"/>
      <c r="P111" s="4"/>
    </row>
    <row r="112" spans="2:16" ht="15.45" x14ac:dyDescent="0.4">
      <c r="B112" s="125"/>
      <c r="C112" s="125"/>
      <c r="D112" s="125"/>
      <c r="E112" s="477" t="s">
        <v>333</v>
      </c>
      <c r="F112" s="477"/>
      <c r="G112" s="477"/>
      <c r="H112" s="477"/>
      <c r="I112" s="477"/>
      <c r="J112" s="4"/>
      <c r="K112" s="4"/>
      <c r="L112" s="4"/>
      <c r="M112" s="4"/>
      <c r="N112" s="4"/>
      <c r="O112" s="4"/>
      <c r="P112" s="4"/>
    </row>
    <row r="113" spans="2:16" ht="15.45" x14ac:dyDescent="0.4">
      <c r="B113" s="125"/>
      <c r="C113" s="125"/>
      <c r="D113" s="127" t="s">
        <v>6</v>
      </c>
      <c r="E113" s="356" t="s">
        <v>48</v>
      </c>
      <c r="F113" s="128"/>
      <c r="G113" s="128"/>
      <c r="H113" s="128"/>
      <c r="I113" s="128"/>
      <c r="J113" s="4"/>
      <c r="K113" s="4"/>
      <c r="L113" s="4"/>
      <c r="M113" s="4"/>
      <c r="N113" s="4"/>
      <c r="O113" s="4"/>
      <c r="P113" s="4"/>
    </row>
    <row r="114" spans="2:16" ht="15.45" x14ac:dyDescent="0.4">
      <c r="B114" s="125"/>
      <c r="C114" s="125"/>
      <c r="D114" s="145">
        <f>D116-2*C96</f>
        <v>83</v>
      </c>
      <c r="E114" s="151">
        <f>((E$104-'1. Cow Calf Budget'!$N$31)/((((($D114)*0.005)*(E$107)*0.01)+((($D114)*0.005-'1. Cow Calf Budget'!$N$16)*(E$110)*0.01))*100))*100</f>
        <v>171.36802830300869</v>
      </c>
      <c r="F114" s="151">
        <f>((F$104-'1. Cow Calf Budget'!$N$31)/((((($D114)*0.005)*(F$107)*0.01)+((($D114)*0.005-'1. Cow Calf Budget'!$N$16)*(F$110)*0.01))*100))*100</f>
        <v>164.12356563112226</v>
      </c>
      <c r="G114" s="151">
        <f>((G$104-'1. Cow Calf Budget'!$N$31)/((((($D114)*0.005)*(G$107)*0.01)+((($D114)*0.005-'1. Cow Calf Budget'!$N$16)*(G$110)*0.01))*100))*100</f>
        <v>157.68123413705581</v>
      </c>
      <c r="H114" s="151">
        <f>((H$104-'1. Cow Calf Budget'!$N$31)/((((($D114)*0.005)*(H$107)*0.01)+((($D114)*0.005-'1. Cow Calf Budget'!$N$16)*(H$110)*0.01))*100))*100</f>
        <v>151.91480034069841</v>
      </c>
      <c r="I114" s="151">
        <f>((I$104-'1. Cow Calf Budget'!$N$31)/((((($D114)*0.005)*(I$107)*0.01)+((($D114)*0.005-'1. Cow Calf Budget'!$N$16)*(I$110)*0.01))*100))*100</f>
        <v>146.72319813386648</v>
      </c>
      <c r="J114" s="4"/>
      <c r="K114" s="4"/>
      <c r="L114" s="4"/>
      <c r="M114" s="4"/>
      <c r="N114" s="4"/>
      <c r="O114" s="4"/>
      <c r="P114" s="4"/>
    </row>
    <row r="115" spans="2:16" ht="15.45" x14ac:dyDescent="0.4">
      <c r="B115" s="125"/>
      <c r="C115" s="125"/>
      <c r="D115" s="145">
        <f>(D116-C96)</f>
        <v>84</v>
      </c>
      <c r="E115" s="151">
        <f>((E$104-'1. Cow Calf Budget'!$N$31)/((((($D115)*0.005)*(E$107)*0.01)+((($D115)*0.005-'1. Cow Calf Budget'!$N$16)*(E$110)*0.01))*100))*100</f>
        <v>168.95694102473914</v>
      </c>
      <c r="F115" s="151">
        <f>((F$104-'1. Cow Calf Budget'!$N$31)/((((($D115)*0.005)*(F$107)*0.01)+((($D115)*0.005-'1. Cow Calf Budget'!$N$16)*(F$110)*0.01))*100))*100</f>
        <v>161.81387969094919</v>
      </c>
      <c r="G115" s="151">
        <f>((G$104-'1. Cow Calf Budget'!$N$31)/((((($D115)*0.005)*(G$107)*0.01)+((($D115)*0.005-'1. Cow Calf Budget'!$N$16)*(G$110)*0.01))*100))*100</f>
        <v>155.46176102596183</v>
      </c>
      <c r="H115" s="151">
        <f>((H$104-'1. Cow Calf Budget'!$N$31)/((((($D115)*0.005)*(H$107)*0.01)+((($D115)*0.005-'1. Cow Calf Budget'!$N$16)*(H$110)*0.01))*100))*100</f>
        <v>149.77610650069158</v>
      </c>
      <c r="I115" s="151">
        <f>((I$104-'1. Cow Calf Budget'!$N$31)/((((($D115)*0.005)*(I$107)*0.01)+((($D115)*0.005-'1. Cow Calf Budget'!$N$16)*(I$110)*0.01))*100))*100</f>
        <v>144.65725617197037</v>
      </c>
      <c r="J115" s="4"/>
      <c r="K115" s="4"/>
      <c r="L115" s="4"/>
      <c r="M115" s="4"/>
      <c r="N115" s="4"/>
      <c r="O115" s="4"/>
      <c r="P115" s="4"/>
    </row>
    <row r="116" spans="2:16" ht="15.45" x14ac:dyDescent="0.4">
      <c r="B116" s="125" t="s">
        <v>138</v>
      </c>
      <c r="C116" s="125"/>
      <c r="D116" s="145">
        <f>'1. Cow Calf Budget'!$F$10</f>
        <v>85</v>
      </c>
      <c r="E116" s="151">
        <f>((E$104-'1. Cow Calf Budget'!$N$31)/((((($D116)*0.005)*(E$107)*0.01)+((($D116)*0.005-'1. Cow Calf Budget'!$N$16)*(E$110)*0.01))*100))*100</f>
        <v>166.6127587004278</v>
      </c>
      <c r="F116" s="151">
        <f>((F$104-'1. Cow Calf Budget'!$N$31)/((((($D116)*0.005)*(F$107)*0.01)+((($D116)*0.005-'1. Cow Calf Budget'!$N$16)*(F$110)*0.01))*100))*100</f>
        <v>159.56829931972788</v>
      </c>
      <c r="G116" s="151">
        <f>((G$104-'1. Cow Calf Budget'!$N$31)/((((($D116)*0.005)*(G$107)*0.01)+((($D116)*0.005-'1. Cow Calf Budget'!$N$16)*(G$110)*0.01))*100))*100</f>
        <v>153.30390191239977</v>
      </c>
      <c r="H116" s="151">
        <f>((H$104-'1. Cow Calf Budget'!$N$31)/((((($D116)*0.005)*(H$107)*0.01)+((($D116)*0.005-'1. Cow Calf Budget'!$N$16)*(H$110)*0.01))*100))*100</f>
        <v>147.6967947781188</v>
      </c>
      <c r="I116" s="151">
        <f>((I$104-'1. Cow Calf Budget'!$N$31)/((((($D116)*0.005)*(I$107)*0.01)+((($D116)*0.005-'1. Cow Calf Budget'!$N$16)*(I$110)*0.01))*100))*100</f>
        <v>142.64868555031009</v>
      </c>
      <c r="J116" s="4"/>
      <c r="K116" s="4"/>
      <c r="L116" s="4"/>
      <c r="M116" s="4"/>
      <c r="N116" s="4"/>
      <c r="O116" s="4"/>
      <c r="P116" s="4"/>
    </row>
    <row r="117" spans="2:16" ht="15.45" x14ac:dyDescent="0.4">
      <c r="B117" s="125"/>
      <c r="C117" s="125"/>
      <c r="D117" s="145">
        <f>D116+C96</f>
        <v>86</v>
      </c>
      <c r="E117" s="151">
        <f>((E$104-'1. Cow Calf Budget'!$N$31)/((((($D117)*0.005)*(E$107)*0.01)+((($D117)*0.005-'1. Cow Calf Budget'!$N$16)*(E$110)*0.01))*100))*100</f>
        <v>164.33273463336755</v>
      </c>
      <c r="F117" s="151">
        <f>((F$104-'1. Cow Calf Budget'!$N$31)/((((($D117)*0.005)*(F$107)*0.01)+((($D117)*0.005-'1. Cow Calf Budget'!$N$16)*(F$110)*0.01))*100))*100</f>
        <v>157.38419216317766</v>
      </c>
      <c r="G117" s="151">
        <f>((G$104-'1. Cow Calf Budget'!$N$31)/((((($D117)*0.005)*(G$107)*0.01)+((($D117)*0.005-'1. Cow Calf Budget'!$N$16)*(G$110)*0.01))*100))*100</f>
        <v>151.20512625494371</v>
      </c>
      <c r="H117" s="151">
        <f>((H$104-'1. Cow Calf Budget'!$N$31)/((((($D117)*0.005)*(H$107)*0.01)+((($D117)*0.005-'1. Cow Calf Budget'!$N$16)*(H$110)*0.01))*100))*100</f>
        <v>145.67442586720475</v>
      </c>
      <c r="I117" s="151">
        <f>((I$104-'1. Cow Calf Budget'!$N$31)/((((($D117)*0.005)*(I$107)*0.01)+((($D117)*0.005-'1. Cow Calf Budget'!$N$16)*(I$110)*0.01))*100))*100</f>
        <v>140.69512918835022</v>
      </c>
      <c r="J117" s="4"/>
      <c r="K117" s="4"/>
      <c r="L117" s="4"/>
      <c r="M117" s="4"/>
      <c r="N117" s="4"/>
      <c r="O117" s="4"/>
      <c r="P117" s="4"/>
    </row>
    <row r="118" spans="2:16" ht="15.45" x14ac:dyDescent="0.4">
      <c r="B118" s="125"/>
      <c r="C118" s="125"/>
      <c r="D118" s="145">
        <f>(D116+(2*C96))</f>
        <v>87</v>
      </c>
      <c r="E118" s="151">
        <f>((E$104-'1. Cow Calf Budget'!$N$31)/((((($D118)*0.005)*(E$107)*0.01)+((($D118)*0.005-'1. Cow Calf Budget'!$N$16)*(E$110)*0.01))*100))*100</f>
        <v>162.1142704466194</v>
      </c>
      <c r="F118" s="151">
        <f>((F$104-'1. Cow Calf Budget'!$N$31)/((((($D118)*0.005)*(F$107)*0.01)+((($D118)*0.005-'1. Cow Calf Budget'!$N$16)*(F$110)*0.01))*100))*100</f>
        <v>155.25906804342071</v>
      </c>
      <c r="G118" s="151">
        <f>((G$104-'1. Cow Calf Budget'!$N$31)/((((($D118)*0.005)*(G$107)*0.01)+((($D118)*0.005-'1. Cow Calf Budget'!$N$16)*(G$110)*0.01))*100))*100</f>
        <v>149.16304021608642</v>
      </c>
      <c r="H118" s="151">
        <f>((H$104-'1. Cow Calf Budget'!$N$31)/((((($D118)*0.005)*(H$107)*0.01)+((($D118)*0.005-'1. Cow Calf Budget'!$N$16)*(H$110)*0.01))*100))*100</f>
        <v>143.70669226029668</v>
      </c>
      <c r="I118" s="151">
        <f>((I$104-'1. Cow Calf Budget'!$N$31)/((((($D118)*0.005)*(I$107)*0.01)+((($D118)*0.005-'1. Cow Calf Budget'!$N$16)*(I$110)*0.01))*100))*100</f>
        <v>138.79435738088804</v>
      </c>
      <c r="J118" s="4"/>
      <c r="K118" s="4"/>
      <c r="L118" s="4"/>
      <c r="M118" s="4"/>
      <c r="N118" s="4"/>
      <c r="O118" s="4"/>
      <c r="P118" s="4"/>
    </row>
    <row r="119" spans="2:16" ht="15.45" x14ac:dyDescent="0.4">
      <c r="B119" s="125"/>
      <c r="C119" s="125"/>
      <c r="D119" s="125"/>
      <c r="E119" s="356" t="s">
        <v>48</v>
      </c>
      <c r="F119" s="128"/>
      <c r="G119" s="128"/>
      <c r="H119" s="128"/>
      <c r="I119" s="128"/>
      <c r="J119" s="4"/>
      <c r="K119" s="4"/>
      <c r="L119" s="4"/>
      <c r="M119" s="4"/>
      <c r="N119" s="4"/>
      <c r="O119" s="4"/>
      <c r="P119" s="4"/>
    </row>
    <row r="120" spans="2:16" ht="15.45" x14ac:dyDescent="0.4">
      <c r="B120" s="125"/>
      <c r="C120" s="125"/>
      <c r="D120" s="125"/>
      <c r="E120" s="357"/>
      <c r="F120" s="128"/>
      <c r="G120" s="128"/>
      <c r="H120" s="128"/>
      <c r="I120" s="125"/>
      <c r="J120" s="4"/>
      <c r="K120" s="4"/>
      <c r="L120" s="4"/>
      <c r="M120" s="4"/>
      <c r="N120" s="4"/>
      <c r="O120" s="4"/>
      <c r="P120" s="4"/>
    </row>
    <row r="121" spans="2:16" ht="15.45" x14ac:dyDescent="0.4">
      <c r="B121" s="125"/>
      <c r="C121" s="125"/>
      <c r="D121" s="127" t="s">
        <v>6</v>
      </c>
      <c r="E121" s="477" t="s">
        <v>334</v>
      </c>
      <c r="F121" s="477"/>
      <c r="G121" s="477"/>
      <c r="H121" s="477"/>
      <c r="I121" s="477"/>
      <c r="J121" s="4"/>
      <c r="K121" s="4"/>
      <c r="L121" s="4"/>
      <c r="M121" s="4"/>
      <c r="N121" s="4"/>
      <c r="O121" s="4"/>
      <c r="P121" s="4"/>
    </row>
    <row r="122" spans="2:16" ht="15.45" x14ac:dyDescent="0.4">
      <c r="B122" s="125"/>
      <c r="C122" s="125"/>
      <c r="D122" s="145">
        <f>D114</f>
        <v>83</v>
      </c>
      <c r="E122" s="169">
        <f t="shared" ref="E122:I123" si="4">E114-E115</f>
        <v>2.4110872782695481</v>
      </c>
      <c r="F122" s="169">
        <f t="shared" si="4"/>
        <v>2.3096859401730683</v>
      </c>
      <c r="G122" s="169">
        <f t="shared" si="4"/>
        <v>2.2194731110939756</v>
      </c>
      <c r="H122" s="169">
        <f t="shared" si="4"/>
        <v>2.1386938400068232</v>
      </c>
      <c r="I122" s="169">
        <f t="shared" si="4"/>
        <v>2.065941961896101</v>
      </c>
      <c r="J122" s="4"/>
      <c r="K122" s="4"/>
      <c r="L122" s="4"/>
      <c r="M122" s="4"/>
      <c r="N122" s="4"/>
      <c r="O122" s="4"/>
      <c r="P122" s="4"/>
    </row>
    <row r="123" spans="2:16" ht="15.45" x14ac:dyDescent="0.4">
      <c r="B123" s="125"/>
      <c r="C123" s="125"/>
      <c r="D123" s="145">
        <f>D115</f>
        <v>84</v>
      </c>
      <c r="E123" s="169">
        <f t="shared" si="4"/>
        <v>2.3441823243113333</v>
      </c>
      <c r="F123" s="169">
        <f t="shared" si="4"/>
        <v>2.2455803712213083</v>
      </c>
      <c r="G123" s="169">
        <f t="shared" si="4"/>
        <v>2.1578591135620684</v>
      </c>
      <c r="H123" s="169">
        <f t="shared" si="4"/>
        <v>2.0793117225727826</v>
      </c>
      <c r="I123" s="169">
        <f t="shared" si="4"/>
        <v>2.008570621660283</v>
      </c>
      <c r="J123" s="4"/>
      <c r="K123" s="4"/>
      <c r="L123" s="4"/>
      <c r="M123" s="4"/>
      <c r="N123" s="4"/>
      <c r="O123" s="4"/>
      <c r="P123" s="4"/>
    </row>
    <row r="124" spans="2:16" ht="15.45" x14ac:dyDescent="0.4">
      <c r="B124" s="125" t="s">
        <v>138</v>
      </c>
      <c r="C124" s="125"/>
      <c r="D124" s="145">
        <f>D116</f>
        <v>85</v>
      </c>
      <c r="E124" s="169"/>
      <c r="F124" s="169"/>
      <c r="G124" s="169"/>
      <c r="H124" s="169"/>
      <c r="I124" s="169"/>
      <c r="J124" s="4"/>
      <c r="K124" s="4"/>
      <c r="L124" s="4"/>
      <c r="M124" s="4"/>
      <c r="N124" s="4"/>
      <c r="O124" s="4"/>
      <c r="P124" s="4"/>
    </row>
    <row r="125" spans="2:16" ht="15.45" x14ac:dyDescent="0.4">
      <c r="B125" s="125"/>
      <c r="C125" s="125"/>
      <c r="D125" s="145">
        <f>D117</f>
        <v>86</v>
      </c>
      <c r="E125" s="169">
        <f t="shared" ref="E125:I126" si="5">E117-E116</f>
        <v>-2.2800240670602534</v>
      </c>
      <c r="F125" s="169">
        <f t="shared" si="5"/>
        <v>-2.1841071565502261</v>
      </c>
      <c r="G125" s="169">
        <f t="shared" si="5"/>
        <v>-2.0987756574560592</v>
      </c>
      <c r="H125" s="169">
        <f t="shared" si="5"/>
        <v>-2.0223689109140537</v>
      </c>
      <c r="I125" s="169">
        <f t="shared" si="5"/>
        <v>-1.953556361959869</v>
      </c>
      <c r="J125" s="4"/>
      <c r="K125" s="4"/>
      <c r="L125" s="4"/>
      <c r="M125" s="4"/>
      <c r="N125" s="4"/>
      <c r="O125" s="4"/>
      <c r="P125" s="4"/>
    </row>
    <row r="126" spans="2:16" ht="15.45" x14ac:dyDescent="0.4">
      <c r="B126" s="125"/>
      <c r="C126" s="125"/>
      <c r="D126" s="145">
        <f>D118</f>
        <v>87</v>
      </c>
      <c r="E126" s="169">
        <f t="shared" si="5"/>
        <v>-2.2184641867481503</v>
      </c>
      <c r="F126" s="169">
        <f t="shared" si="5"/>
        <v>-2.125124119756947</v>
      </c>
      <c r="G126" s="169">
        <f t="shared" si="5"/>
        <v>-2.0420860388572919</v>
      </c>
      <c r="H126" s="169">
        <f t="shared" si="5"/>
        <v>-1.9677336069080695</v>
      </c>
      <c r="I126" s="169">
        <f t="shared" si="5"/>
        <v>-1.9007718074621778</v>
      </c>
      <c r="J126" s="4"/>
      <c r="K126" s="4"/>
      <c r="L126" s="4"/>
      <c r="M126" s="4"/>
      <c r="N126" s="4"/>
      <c r="O126" s="4"/>
      <c r="P126" s="4"/>
    </row>
    <row r="127" spans="2:16" ht="15.45" x14ac:dyDescent="0.4">
      <c r="B127" s="118" t="s">
        <v>48</v>
      </c>
      <c r="C127" s="118"/>
      <c r="D127" s="352"/>
      <c r="E127" s="118"/>
      <c r="F127" s="118"/>
      <c r="G127" s="118"/>
      <c r="H127" s="118"/>
      <c r="I127" s="118"/>
      <c r="J127" s="4"/>
      <c r="K127" s="4"/>
      <c r="L127" s="4"/>
      <c r="M127" s="4"/>
      <c r="N127" s="4"/>
      <c r="O127" s="4"/>
      <c r="P127" s="4"/>
    </row>
    <row r="128" spans="2:16" ht="15.45" x14ac:dyDescent="0.4">
      <c r="B128" s="125" t="s">
        <v>319</v>
      </c>
      <c r="C128" s="115"/>
      <c r="D128" s="115"/>
      <c r="E128" s="351"/>
      <c r="F128" s="118"/>
      <c r="G128" s="118"/>
      <c r="H128" s="118"/>
      <c r="I128" s="115"/>
      <c r="J128" s="4"/>
      <c r="K128" s="4"/>
      <c r="L128" s="4"/>
      <c r="M128" s="4"/>
      <c r="N128" s="4"/>
      <c r="O128" s="4"/>
      <c r="P128" s="4"/>
    </row>
    <row r="129" spans="2:16" ht="15.45" x14ac:dyDescent="0.4">
      <c r="B129" s="40"/>
      <c r="C129" s="40"/>
      <c r="D129" s="40"/>
      <c r="E129" s="70"/>
      <c r="F129" s="42"/>
      <c r="G129" s="42"/>
      <c r="H129" s="42"/>
      <c r="I129" s="40"/>
      <c r="J129" s="4"/>
      <c r="K129" s="4"/>
      <c r="L129" s="4"/>
      <c r="M129" s="4"/>
      <c r="N129" s="4"/>
      <c r="O129" s="4"/>
      <c r="P129" s="4"/>
    </row>
    <row r="130" spans="2:16" ht="15.45" x14ac:dyDescent="0.4">
      <c r="B130" s="4"/>
      <c r="C130" s="4"/>
      <c r="D130" s="4"/>
      <c r="E130" s="15"/>
      <c r="F130" s="8"/>
      <c r="G130" s="8"/>
      <c r="H130" s="8"/>
      <c r="I130" s="4"/>
      <c r="J130" s="4"/>
      <c r="K130" s="4"/>
      <c r="L130" s="4"/>
      <c r="M130" s="4"/>
      <c r="N130" s="4"/>
      <c r="O130" s="4"/>
      <c r="P130" s="4"/>
    </row>
    <row r="131" spans="2:16" ht="15.45" x14ac:dyDescent="0.4">
      <c r="B131" s="4"/>
      <c r="C131" s="4"/>
      <c r="D131" s="4"/>
      <c r="E131" s="15"/>
      <c r="F131" s="8"/>
      <c r="G131" s="8"/>
      <c r="H131" s="8"/>
      <c r="I131" s="4"/>
      <c r="J131" s="4"/>
      <c r="K131" s="4"/>
      <c r="L131" s="4"/>
      <c r="M131" s="4"/>
      <c r="N131" s="4"/>
      <c r="O131" s="4"/>
      <c r="P131" s="4"/>
    </row>
    <row r="132" spans="2:16" ht="15.45" x14ac:dyDescent="0.4">
      <c r="B132" s="4"/>
      <c r="C132" s="4"/>
      <c r="D132" s="4"/>
      <c r="E132" s="15"/>
      <c r="F132" s="8"/>
      <c r="G132" s="8"/>
      <c r="H132" s="8"/>
      <c r="I132" s="4"/>
      <c r="J132" s="4"/>
      <c r="K132" s="4"/>
      <c r="L132" s="4"/>
      <c r="M132" s="4"/>
      <c r="N132" s="4"/>
      <c r="O132" s="4"/>
      <c r="P132" s="4"/>
    </row>
    <row r="133" spans="2:16" ht="15.45" x14ac:dyDescent="0.4">
      <c r="B133" s="4"/>
      <c r="C133" s="4"/>
      <c r="D133" s="4"/>
      <c r="E133" s="15"/>
      <c r="F133" s="8"/>
      <c r="G133" s="8"/>
      <c r="H133" s="8"/>
      <c r="I133" s="4"/>
      <c r="J133" s="4"/>
      <c r="K133" s="4"/>
      <c r="L133" s="4"/>
      <c r="M133" s="4"/>
      <c r="N133" s="4"/>
      <c r="O133" s="4"/>
      <c r="P133" s="4"/>
    </row>
    <row r="134" spans="2:16" ht="15.45" x14ac:dyDescent="0.4">
      <c r="B134" s="4"/>
      <c r="C134" s="4"/>
      <c r="D134" s="4"/>
      <c r="E134" s="15"/>
      <c r="F134" s="8"/>
      <c r="G134" s="8"/>
      <c r="H134" s="8"/>
      <c r="I134" s="4"/>
      <c r="J134" s="4"/>
      <c r="K134" s="4"/>
      <c r="L134" s="4"/>
      <c r="M134" s="4"/>
      <c r="N134" s="4"/>
      <c r="O134" s="4"/>
      <c r="P134" s="4"/>
    </row>
    <row r="135" spans="2:16" ht="15.45" x14ac:dyDescent="0.4">
      <c r="B135" s="4"/>
      <c r="C135" s="4"/>
      <c r="D135" s="4"/>
      <c r="E135" s="15"/>
      <c r="F135" s="8"/>
      <c r="G135" s="8"/>
      <c r="H135" s="8"/>
      <c r="I135" s="4"/>
      <c r="J135" s="4"/>
      <c r="K135" s="4"/>
      <c r="L135" s="4"/>
      <c r="M135" s="4"/>
      <c r="N135" s="4"/>
      <c r="O135" s="4"/>
      <c r="P135" s="4"/>
    </row>
    <row r="136" spans="2:16" ht="15.45" x14ac:dyDescent="0.4">
      <c r="B136" s="4"/>
      <c r="C136" s="4"/>
      <c r="D136" s="4"/>
      <c r="E136" s="15"/>
      <c r="F136" s="8"/>
      <c r="G136" s="8"/>
      <c r="H136" s="8"/>
      <c r="I136" s="4"/>
      <c r="J136" s="4"/>
      <c r="K136" s="4"/>
      <c r="L136" s="4"/>
      <c r="M136" s="4"/>
      <c r="N136" s="4"/>
      <c r="O136" s="4"/>
      <c r="P136" s="4"/>
    </row>
    <row r="137" spans="2:16" ht="15.45" x14ac:dyDescent="0.4">
      <c r="B137" s="4"/>
      <c r="C137" s="4"/>
      <c r="D137" s="4"/>
      <c r="E137" s="15"/>
      <c r="F137" s="8"/>
      <c r="G137" s="8"/>
      <c r="H137" s="8"/>
      <c r="I137" s="4"/>
      <c r="J137" s="4"/>
      <c r="K137" s="4"/>
      <c r="L137" s="4"/>
      <c r="M137" s="4"/>
      <c r="N137" s="4"/>
      <c r="O137" s="4"/>
      <c r="P137" s="4"/>
    </row>
    <row r="138" spans="2:16" ht="15.45" x14ac:dyDescent="0.4">
      <c r="B138" s="4"/>
      <c r="C138" s="4"/>
      <c r="D138" s="4"/>
      <c r="E138" s="15"/>
      <c r="F138" s="8"/>
      <c r="G138" s="8"/>
      <c r="H138" s="8"/>
      <c r="I138" s="4"/>
      <c r="J138" s="4"/>
      <c r="K138" s="4"/>
      <c r="L138" s="4"/>
      <c r="M138" s="4"/>
      <c r="N138" s="4"/>
      <c r="O138" s="4"/>
      <c r="P138" s="4"/>
    </row>
    <row r="139" spans="2:16" ht="15.45" x14ac:dyDescent="0.4">
      <c r="B139" s="4"/>
      <c r="C139" s="4"/>
      <c r="D139" s="4"/>
      <c r="E139" s="15"/>
      <c r="F139" s="8"/>
      <c r="G139" s="8"/>
      <c r="H139" s="8"/>
      <c r="I139" s="4"/>
      <c r="J139" s="4"/>
      <c r="K139" s="4"/>
      <c r="L139" s="4"/>
      <c r="M139" s="4"/>
      <c r="N139" s="4"/>
      <c r="O139" s="4"/>
      <c r="P139" s="4"/>
    </row>
    <row r="140" spans="2:16" ht="15.45" x14ac:dyDescent="0.4">
      <c r="B140" s="4"/>
      <c r="C140" s="4"/>
      <c r="D140" s="4"/>
      <c r="E140" s="15"/>
      <c r="F140" s="8"/>
      <c r="G140" s="8"/>
      <c r="H140" s="8"/>
      <c r="I140" s="4"/>
      <c r="J140" s="4"/>
      <c r="K140" s="4"/>
      <c r="L140" s="4"/>
      <c r="M140" s="4"/>
      <c r="N140" s="4"/>
      <c r="O140" s="4"/>
      <c r="P140" s="4"/>
    </row>
    <row r="141" spans="2:16" ht="15.45" x14ac:dyDescent="0.4">
      <c r="B141" s="4"/>
      <c r="C141" s="4"/>
      <c r="D141" s="4"/>
      <c r="E141" s="15"/>
      <c r="F141" s="8"/>
      <c r="G141" s="8"/>
      <c r="H141" s="8"/>
      <c r="I141" s="4"/>
      <c r="J141" s="4"/>
      <c r="K141" s="4"/>
      <c r="L141" s="4"/>
      <c r="M141" s="4"/>
      <c r="N141" s="4"/>
      <c r="O141" s="4"/>
      <c r="P141" s="4"/>
    </row>
    <row r="142" spans="2:16" ht="15.45" x14ac:dyDescent="0.4">
      <c r="B142" s="4"/>
      <c r="C142" s="4"/>
      <c r="D142" s="4"/>
      <c r="E142" s="15"/>
      <c r="F142" s="8"/>
      <c r="G142" s="8"/>
      <c r="H142" s="8"/>
      <c r="I142" s="4"/>
      <c r="J142" s="4"/>
      <c r="K142" s="4"/>
      <c r="L142" s="4"/>
      <c r="M142" s="4"/>
      <c r="N142" s="4"/>
      <c r="O142" s="4"/>
      <c r="P142" s="4"/>
    </row>
    <row r="143" spans="2:16" ht="15.45" x14ac:dyDescent="0.4">
      <c r="B143" s="4"/>
      <c r="C143" s="4"/>
      <c r="D143" s="4"/>
      <c r="E143" s="15"/>
      <c r="F143" s="8"/>
      <c r="G143" s="8"/>
      <c r="H143" s="8"/>
      <c r="I143" s="4"/>
      <c r="J143" s="4"/>
      <c r="K143" s="4"/>
      <c r="L143" s="4"/>
      <c r="M143" s="4"/>
      <c r="N143" s="4"/>
      <c r="O143" s="4"/>
      <c r="P143" s="4"/>
    </row>
    <row r="144" spans="2:16" ht="15.45" x14ac:dyDescent="0.4">
      <c r="B144" s="4"/>
      <c r="C144" s="4"/>
      <c r="D144" s="4"/>
      <c r="E144" s="15"/>
      <c r="F144" s="8"/>
      <c r="G144" s="8"/>
      <c r="H144" s="8"/>
      <c r="I144" s="4"/>
      <c r="J144" s="4"/>
      <c r="K144" s="4"/>
      <c r="L144" s="4"/>
      <c r="M144" s="4"/>
      <c r="N144" s="4"/>
      <c r="O144" s="4"/>
      <c r="P144" s="4"/>
    </row>
    <row r="145" spans="2:16" ht="15.45" x14ac:dyDescent="0.4">
      <c r="B145" s="4"/>
      <c r="C145" s="4"/>
      <c r="D145" s="4"/>
      <c r="E145" s="15"/>
      <c r="F145" s="8"/>
      <c r="G145" s="8"/>
      <c r="H145" s="8"/>
      <c r="I145" s="4"/>
      <c r="J145" s="4"/>
      <c r="K145" s="4"/>
      <c r="L145" s="4"/>
      <c r="M145" s="4"/>
      <c r="N145" s="4"/>
      <c r="O145" s="4"/>
      <c r="P145" s="4"/>
    </row>
    <row r="146" spans="2:16" ht="15.45" x14ac:dyDescent="0.4">
      <c r="B146" s="4"/>
      <c r="C146" s="4"/>
      <c r="D146" s="4"/>
      <c r="E146" s="15"/>
      <c r="F146" s="8"/>
      <c r="G146" s="8"/>
      <c r="H146" s="8"/>
      <c r="I146" s="4"/>
      <c r="J146" s="4"/>
      <c r="K146" s="4"/>
      <c r="L146" s="4"/>
      <c r="M146" s="4"/>
      <c r="N146" s="4"/>
      <c r="O146" s="4"/>
      <c r="P146" s="4"/>
    </row>
    <row r="147" spans="2:16" ht="15.45" x14ac:dyDescent="0.4">
      <c r="B147" s="4"/>
      <c r="C147" s="4"/>
      <c r="D147" s="4"/>
      <c r="E147" s="15"/>
      <c r="F147" s="8"/>
      <c r="G147" s="8"/>
      <c r="H147" s="8"/>
      <c r="I147" s="4"/>
      <c r="J147" s="4"/>
      <c r="K147" s="4"/>
      <c r="L147" s="4"/>
      <c r="M147" s="4"/>
      <c r="N147" s="4"/>
      <c r="O147" s="4"/>
      <c r="P147" s="4"/>
    </row>
    <row r="148" spans="2:16" ht="15.45" x14ac:dyDescent="0.4">
      <c r="B148" s="4"/>
      <c r="C148" s="4"/>
      <c r="D148" s="4"/>
      <c r="E148" s="15"/>
      <c r="F148" s="8"/>
      <c r="G148" s="8"/>
      <c r="H148" s="8"/>
      <c r="I148" s="4"/>
      <c r="J148" s="4"/>
      <c r="K148" s="4"/>
      <c r="L148" s="4"/>
      <c r="M148" s="4"/>
      <c r="N148" s="4"/>
      <c r="O148" s="4"/>
      <c r="P148" s="4"/>
    </row>
    <row r="149" spans="2:16" ht="15.45" x14ac:dyDescent="0.4">
      <c r="B149" s="4"/>
      <c r="C149" s="4"/>
      <c r="D149" s="4"/>
      <c r="E149" s="15"/>
      <c r="F149" s="8"/>
      <c r="G149" s="8"/>
      <c r="H149" s="8"/>
      <c r="I149" s="4"/>
      <c r="J149" s="4"/>
      <c r="K149" s="4"/>
      <c r="L149" s="4"/>
      <c r="M149" s="4"/>
      <c r="N149" s="4"/>
      <c r="O149" s="4"/>
      <c r="P149" s="4"/>
    </row>
    <row r="150" spans="2:16" ht="15.45" x14ac:dyDescent="0.4">
      <c r="B150" s="8"/>
      <c r="C150" s="8"/>
      <c r="D150" s="8"/>
      <c r="E150" s="8"/>
      <c r="F150" s="8"/>
      <c r="G150" s="8"/>
      <c r="H150" s="8"/>
      <c r="I150" s="8"/>
      <c r="J150" s="4"/>
      <c r="K150" s="4"/>
      <c r="L150" s="4"/>
      <c r="M150" s="4"/>
      <c r="N150" s="4"/>
      <c r="O150" s="4"/>
      <c r="P150" s="4"/>
    </row>
    <row r="151" spans="2:16" ht="15.45" x14ac:dyDescent="0.4">
      <c r="B151" s="4"/>
      <c r="C151" s="4"/>
      <c r="D151" s="4"/>
      <c r="E151" s="4"/>
      <c r="F151" s="4" t="s">
        <v>148</v>
      </c>
      <c r="G151" s="4"/>
      <c r="I151" s="14">
        <f>((((('1. Cow Calf Budget'!$F10+'6. Prod Practice Eval'!G11)*0.005*(G$16+'6. Prod Practice Eval'!G14)*(G$20+'6. Prod Practice Eval'!G12)*0.01)+((('1. Cow Calf Budget'!$F10+'6. Prod Practice Eval'!G11)*0.005-'1. Cow Calf Budget'!$N$16)*(G$17+'6. Prod Practice Eval'!G15)*(G$23+'6. Prod Practice Eval'!G13)*0.01))+'1. Cow Calf Budget'!$F$68+'1. Cow Calf Budget'!$F$72-'1. Cow Calf Budget'!$F$145)-'6. Prod Practice Eval'!F17)</f>
        <v>50.366156250000017</v>
      </c>
      <c r="L151" s="4"/>
      <c r="M151" s="4"/>
      <c r="N151" s="4"/>
      <c r="O151" s="4"/>
      <c r="P151" s="4"/>
    </row>
    <row r="152" spans="2:16" ht="15.45" x14ac:dyDescent="0.4">
      <c r="B152" s="4"/>
      <c r="C152" s="4"/>
      <c r="D152" s="4"/>
      <c r="E152" s="4"/>
      <c r="F152" s="4"/>
      <c r="G152" s="4"/>
      <c r="H152" s="4"/>
      <c r="I152" s="14">
        <f>((('1. Cow Calf Budget'!$F10+'6. Prod Practice Eval'!G11)*0.005*(G$16+'6. Prod Practice Eval'!G14)*(G$20+'6. Prod Practice Eval'!G12)*0.01)+((('1. Cow Calf Budget'!$F10+'6. Prod Practice Eval'!G11)*0.005-'1. Cow Calf Budget'!$N$16)*(G$17+'6. Prod Practice Eval'!G15)*(G$23+'6. Prod Practice Eval'!G13)*0.01))</f>
        <v>656.77965625000002</v>
      </c>
      <c r="L152" s="4"/>
      <c r="M152" s="4"/>
      <c r="N152" s="4"/>
      <c r="O152" s="4"/>
      <c r="P152" s="4"/>
    </row>
    <row r="153" spans="2:16" ht="15.45" x14ac:dyDescent="0.4">
      <c r="B153" s="4"/>
      <c r="C153" s="4"/>
      <c r="D153" s="4"/>
      <c r="E153" s="4"/>
      <c r="F153" s="4"/>
      <c r="G153" s="4"/>
      <c r="H153" s="4" t="s">
        <v>149</v>
      </c>
      <c r="L153" s="4"/>
      <c r="M153" s="4"/>
      <c r="N153" s="4"/>
      <c r="O153" s="4"/>
      <c r="P153" s="4"/>
    </row>
    <row r="154" spans="2:16" ht="15.45" x14ac:dyDescent="0.4">
      <c r="B154" s="4"/>
      <c r="C154" s="4"/>
      <c r="D154" s="4"/>
      <c r="E154" s="4"/>
      <c r="F154" s="4"/>
      <c r="G154" s="4"/>
      <c r="H154" s="4"/>
      <c r="I154" s="4"/>
      <c r="L154" s="4"/>
      <c r="M154" s="4"/>
      <c r="N154" s="4"/>
      <c r="O154" s="4"/>
      <c r="P154" s="4"/>
    </row>
    <row r="155" spans="2:16" ht="15.45" x14ac:dyDescent="0.4">
      <c r="B155" s="4"/>
      <c r="C155" s="4"/>
      <c r="D155" s="4"/>
      <c r="E155" s="4"/>
      <c r="F155" s="4" t="s">
        <v>310</v>
      </c>
      <c r="H155" s="4" t="s">
        <v>310</v>
      </c>
      <c r="I155" s="13">
        <f>(((('1. Cow Calf Budget'!$F10)*0.005)*(G$20)*0.01)+((('1. Cow Calf Budget'!$F10)*0.005-'1. Cow Calf Budget'!$N$16)*(G$23)*0.01))*100</f>
        <v>389.03999999999996</v>
      </c>
      <c r="L155" s="4"/>
      <c r="M155" s="4"/>
      <c r="N155" s="4"/>
      <c r="O155" s="4"/>
      <c r="P155" s="4"/>
    </row>
    <row r="156" spans="2:16" ht="15.45" x14ac:dyDescent="0.4">
      <c r="B156" s="4"/>
      <c r="C156" s="4"/>
      <c r="D156" s="4"/>
      <c r="E156" s="4"/>
      <c r="F156" s="4" t="s">
        <v>150</v>
      </c>
      <c r="I156" s="13">
        <f>(((('1. Cow Calf Budget'!$F10+'6. Prod Practice Eval'!G11)*0.005)*(G$20+'6. Prod Practice Eval'!G12)*0.01)+((('1. Cow Calf Budget'!$F10+'6. Prod Practice Eval'!G11)*0.005-'1. Cow Calf Budget'!$N$16)*(G$23+'6. Prod Practice Eval'!G13)*0.01))*100</f>
        <v>409.11500000000001</v>
      </c>
      <c r="L156" s="4"/>
      <c r="M156" s="4"/>
      <c r="N156" s="4"/>
      <c r="O156" s="4"/>
      <c r="P156" s="4"/>
    </row>
    <row r="157" spans="2:16" ht="15.45" x14ac:dyDescent="0.4">
      <c r="B157" s="4"/>
      <c r="C157" s="4"/>
      <c r="D157" s="4"/>
      <c r="E157" s="4"/>
      <c r="F157" s="4"/>
      <c r="G157" s="4"/>
      <c r="H157" s="4"/>
      <c r="I157" s="13"/>
      <c r="L157" s="4"/>
      <c r="M157" s="4"/>
      <c r="N157" s="4"/>
      <c r="O157" s="4"/>
      <c r="P157" s="4"/>
    </row>
    <row r="158" spans="2:16" ht="15.45" x14ac:dyDescent="0.4">
      <c r="B158" s="4"/>
      <c r="C158" s="4"/>
      <c r="D158" s="4"/>
      <c r="E158" s="4"/>
      <c r="F158" s="4"/>
      <c r="G158" s="4"/>
      <c r="H158" s="4"/>
      <c r="I158" s="13"/>
      <c r="L158" s="4"/>
      <c r="M158" s="4"/>
      <c r="N158" s="4"/>
      <c r="O158" s="4"/>
      <c r="P158" s="4"/>
    </row>
    <row r="159" spans="2:16" ht="15.45" x14ac:dyDescent="0.4">
      <c r="B159" s="4"/>
      <c r="C159" s="4"/>
      <c r="D159" s="4"/>
      <c r="E159" s="4"/>
      <c r="F159" s="4"/>
      <c r="G159" s="4"/>
      <c r="L159" s="4"/>
      <c r="M159" s="4"/>
      <c r="N159" s="4"/>
      <c r="O159" s="4"/>
      <c r="P159" s="4"/>
    </row>
    <row r="160" spans="2:16" ht="15.45" x14ac:dyDescent="0.4">
      <c r="B160" s="4"/>
      <c r="C160" s="4"/>
      <c r="D160" s="4"/>
      <c r="E160" s="4"/>
      <c r="F160" s="4"/>
      <c r="G160" s="4"/>
      <c r="H160" s="4"/>
      <c r="I160" s="4"/>
      <c r="L160" s="4"/>
      <c r="M160" s="4"/>
      <c r="N160" s="4"/>
      <c r="O160" s="4"/>
      <c r="P160" s="4"/>
    </row>
    <row r="161" spans="2:16" ht="15.45" x14ac:dyDescent="0.4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5.45" x14ac:dyDescent="0.4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5.45" x14ac:dyDescent="0.4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5.45" x14ac:dyDescent="0.4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5.45" x14ac:dyDescent="0.4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5.45" x14ac:dyDescent="0.4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5.45" x14ac:dyDescent="0.4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5.45" x14ac:dyDescent="0.4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5.45" x14ac:dyDescent="0.4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5.45" x14ac:dyDescent="0.4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5.45" x14ac:dyDescent="0.4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5.45" x14ac:dyDescent="0.4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5.45" x14ac:dyDescent="0.4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5.45" x14ac:dyDescent="0.4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5.45" x14ac:dyDescent="0.4">
      <c r="B175" s="4"/>
      <c r="C175" s="4"/>
      <c r="D175" s="4"/>
      <c r="E175" s="4"/>
      <c r="F175" s="4"/>
      <c r="G175" s="4"/>
      <c r="H175" s="4"/>
      <c r="I175" s="4"/>
      <c r="K175" s="4"/>
      <c r="L175" s="4"/>
      <c r="M175" s="4"/>
      <c r="N175" s="4"/>
      <c r="O175" s="4"/>
      <c r="P175" s="4"/>
    </row>
    <row r="176" spans="2:16" ht="15.45" x14ac:dyDescent="0.4">
      <c r="B176" s="4"/>
      <c r="C176" s="4"/>
      <c r="D176" s="4"/>
      <c r="E176" s="4"/>
      <c r="F176" s="4"/>
      <c r="G176" s="4"/>
      <c r="H176" s="4"/>
      <c r="I176" s="4"/>
      <c r="K176" s="4"/>
      <c r="L176" s="4"/>
      <c r="M176" s="4"/>
      <c r="N176" s="4"/>
      <c r="O176" s="4"/>
      <c r="P176" s="4"/>
    </row>
    <row r="177" spans="2:16" ht="15.45" x14ac:dyDescent="0.4">
      <c r="B177" s="4"/>
      <c r="C177" s="4"/>
      <c r="D177" s="4"/>
      <c r="E177" s="4"/>
      <c r="F177" s="4"/>
      <c r="G177" s="4"/>
      <c r="H177" s="4"/>
      <c r="I177" s="4"/>
      <c r="K177" s="4"/>
      <c r="L177" s="4"/>
      <c r="M177" s="4"/>
      <c r="N177" s="4"/>
      <c r="O177" s="4"/>
      <c r="P177" s="4"/>
    </row>
    <row r="178" spans="2:16" ht="15.45" x14ac:dyDescent="0.4">
      <c r="B178" s="4"/>
      <c r="C178" s="4"/>
      <c r="D178" s="4"/>
      <c r="E178" s="4"/>
      <c r="F178" s="4"/>
      <c r="G178" s="4"/>
      <c r="H178" s="4"/>
      <c r="I178" s="4"/>
      <c r="K178" s="4"/>
      <c r="L178" s="4"/>
      <c r="M178" s="4"/>
      <c r="N178" s="4"/>
      <c r="O178" s="4"/>
      <c r="P178" s="4"/>
    </row>
    <row r="179" spans="2:16" ht="15.45" x14ac:dyDescent="0.4">
      <c r="B179" s="4"/>
      <c r="C179" s="4"/>
      <c r="D179" s="4"/>
      <c r="E179" s="4"/>
      <c r="F179" s="4"/>
      <c r="G179" s="4"/>
      <c r="H179" s="4"/>
      <c r="I179" s="4"/>
      <c r="K179" s="4"/>
      <c r="L179" s="4"/>
      <c r="M179" s="4"/>
      <c r="N179" s="4"/>
      <c r="O179" s="4"/>
      <c r="P179" s="4"/>
    </row>
    <row r="180" spans="2:16" ht="15.45" x14ac:dyDescent="0.4">
      <c r="B180" s="4"/>
      <c r="C180" s="4"/>
      <c r="D180" s="4"/>
      <c r="E180" s="4"/>
      <c r="F180" s="4"/>
      <c r="G180" s="4"/>
      <c r="H180" s="4"/>
      <c r="I180" s="4"/>
      <c r="K180" s="4"/>
      <c r="L180" s="4"/>
      <c r="M180" s="4"/>
      <c r="N180" s="4"/>
      <c r="O180" s="4"/>
      <c r="P180" s="4"/>
    </row>
    <row r="181" spans="2:16" ht="15.45" x14ac:dyDescent="0.4">
      <c r="B181" s="4"/>
      <c r="C181" s="4"/>
      <c r="D181" s="4"/>
      <c r="E181" s="4"/>
      <c r="F181" s="4"/>
      <c r="G181" s="4"/>
      <c r="H181" s="4"/>
      <c r="I181" s="4"/>
      <c r="K181" s="4"/>
      <c r="L181" s="4"/>
      <c r="M181" s="4"/>
      <c r="N181" s="4"/>
      <c r="O181" s="4"/>
      <c r="P181" s="4"/>
    </row>
    <row r="182" spans="2:16" ht="15.45" x14ac:dyDescent="0.4">
      <c r="B182" s="4"/>
      <c r="C182" s="4"/>
      <c r="D182" s="4"/>
      <c r="E182" s="4"/>
      <c r="F182" s="4"/>
      <c r="G182" s="4"/>
      <c r="H182" s="4"/>
      <c r="I182" s="4"/>
      <c r="K182" s="4"/>
      <c r="L182" s="4"/>
      <c r="M182" s="4"/>
      <c r="N182" s="4"/>
      <c r="O182" s="4"/>
      <c r="P182" s="4"/>
    </row>
    <row r="183" spans="2:16" ht="15.45" x14ac:dyDescent="0.4">
      <c r="B183" s="4"/>
      <c r="C183" s="4"/>
      <c r="D183" s="4"/>
      <c r="E183" s="4"/>
      <c r="F183" s="4"/>
      <c r="G183" s="4"/>
      <c r="H183" s="4"/>
      <c r="I183" s="4"/>
      <c r="K183" s="4"/>
      <c r="L183" s="4"/>
      <c r="M183" s="4"/>
      <c r="N183" s="4"/>
      <c r="O183" s="4"/>
      <c r="P183" s="4"/>
    </row>
    <row r="184" spans="2:16" ht="15.45" x14ac:dyDescent="0.4">
      <c r="B184" s="4"/>
      <c r="C184" s="4"/>
      <c r="D184" s="4"/>
      <c r="E184" s="4"/>
      <c r="F184" s="4"/>
      <c r="G184" s="4"/>
      <c r="H184" s="4"/>
      <c r="I184" s="4"/>
      <c r="K184" s="4"/>
      <c r="L184" s="4"/>
      <c r="M184" s="4"/>
      <c r="N184" s="4"/>
      <c r="O184" s="4"/>
      <c r="P184" s="4"/>
    </row>
    <row r="185" spans="2:16" ht="15.45" x14ac:dyDescent="0.4">
      <c r="B185" s="4"/>
      <c r="C185" s="4"/>
      <c r="D185" s="4"/>
      <c r="E185" s="4"/>
      <c r="F185" s="4"/>
      <c r="G185" s="4"/>
      <c r="H185" s="4"/>
      <c r="I185" s="4"/>
      <c r="K185" s="4"/>
      <c r="L185" s="4"/>
      <c r="M185" s="4"/>
      <c r="N185" s="4"/>
      <c r="O185" s="4"/>
      <c r="P185" s="4"/>
    </row>
    <row r="186" spans="2:16" ht="15.45" x14ac:dyDescent="0.4">
      <c r="B186" s="4"/>
      <c r="C186" s="4"/>
      <c r="D186" s="4"/>
      <c r="E186" s="4"/>
      <c r="F186" s="4"/>
      <c r="G186" s="4"/>
      <c r="H186" s="4"/>
      <c r="I186" s="4"/>
      <c r="K186" s="4"/>
      <c r="L186" s="4"/>
      <c r="M186" s="4"/>
      <c r="N186" s="4"/>
      <c r="O186" s="4"/>
      <c r="P186" s="4"/>
    </row>
    <row r="187" spans="2:16" ht="15.45" x14ac:dyDescent="0.4">
      <c r="B187" s="4"/>
      <c r="C187" s="4"/>
      <c r="D187" s="4"/>
      <c r="E187" s="4"/>
      <c r="F187" s="4"/>
      <c r="G187" s="4"/>
      <c r="H187" s="4"/>
      <c r="I187" s="4"/>
      <c r="K187" s="4"/>
      <c r="L187" s="4"/>
      <c r="M187" s="4"/>
      <c r="N187" s="4"/>
      <c r="O187" s="4"/>
      <c r="P187" s="4"/>
    </row>
  </sheetData>
  <sheetProtection sheet="1"/>
  <mergeCells count="14">
    <mergeCell ref="K1:R1"/>
    <mergeCell ref="B1:I1"/>
    <mergeCell ref="E93:I93"/>
    <mergeCell ref="B91:I91"/>
    <mergeCell ref="E4:I4"/>
    <mergeCell ref="E121:I121"/>
    <mergeCell ref="E112:I112"/>
    <mergeCell ref="B2:I2"/>
    <mergeCell ref="U3:AA3"/>
    <mergeCell ref="E5:I5"/>
    <mergeCell ref="E47:I47"/>
    <mergeCell ref="E48:I48"/>
    <mergeCell ref="E94:I94"/>
    <mergeCell ref="E97:I97"/>
  </mergeCells>
  <phoneticPr fontId="0" type="noConversion"/>
  <printOptions horizontalCentered="1"/>
  <pageMargins left="0.5" right="0.5" top="0.5" bottom="0.7" header="0.5" footer="0.5"/>
  <pageSetup scale="90" orientation="portrait" r:id="rId1"/>
  <headerFooter alignWithMargins="0">
    <oddFooter>&amp;L&amp;10&amp;F&amp;R&amp;10&amp;A
Page &amp;P of &amp;N</oddFooter>
  </headerFooter>
  <rowBreaks count="2" manualBreakCount="2">
    <brk id="46" min="1" max="8" man="1"/>
    <brk id="89" min="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O131"/>
  <sheetViews>
    <sheetView topLeftCell="A19" zoomScale="80" workbookViewId="0">
      <selection activeCell="B22" sqref="B22"/>
    </sheetView>
  </sheetViews>
  <sheetFormatPr defaultRowHeight="15" x14ac:dyDescent="0.35"/>
  <cols>
    <col min="1" max="1" width="19.6875" customWidth="1"/>
    <col min="2" max="2" width="10.6875" customWidth="1"/>
    <col min="5" max="5" width="11" customWidth="1"/>
    <col min="6" max="6" width="10.25" customWidth="1"/>
    <col min="7" max="7" width="11.6875" customWidth="1"/>
    <col min="8" max="8" width="11.875" customWidth="1"/>
    <col min="9" max="9" width="11" customWidth="1"/>
    <col min="10" max="10" width="10.75" customWidth="1"/>
  </cols>
  <sheetData>
    <row r="1" spans="1:15" ht="20.149999999999999" x14ac:dyDescent="0.5">
      <c r="A1" s="484" t="s">
        <v>328</v>
      </c>
      <c r="B1" s="484"/>
      <c r="C1" s="484"/>
      <c r="D1" s="484"/>
      <c r="E1" s="484"/>
      <c r="F1" s="484"/>
      <c r="G1" s="484"/>
      <c r="H1" s="484"/>
      <c r="I1" s="484"/>
      <c r="J1" s="484"/>
      <c r="K1" s="1"/>
      <c r="L1" s="1"/>
      <c r="M1" s="1"/>
      <c r="N1" s="1"/>
      <c r="O1" s="1"/>
    </row>
    <row r="2" spans="1:15" ht="15.45" x14ac:dyDescent="0.4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1"/>
      <c r="L2" s="1"/>
      <c r="M2" s="1"/>
      <c r="N2" s="1"/>
      <c r="O2" s="1"/>
    </row>
    <row r="3" spans="1:15" ht="15.45" x14ac:dyDescent="0.4">
      <c r="A3" s="368"/>
      <c r="B3" s="369"/>
      <c r="C3" s="358"/>
      <c r="D3" s="358"/>
      <c r="E3" s="358"/>
      <c r="F3" s="358"/>
      <c r="G3" s="358"/>
      <c r="H3" s="358" t="s">
        <v>290</v>
      </c>
      <c r="I3" s="358"/>
      <c r="J3" s="370">
        <f ca="1">NOW()</f>
        <v>43304.878365046294</v>
      </c>
      <c r="K3" s="1"/>
      <c r="L3" s="1"/>
      <c r="M3" s="1"/>
      <c r="N3" s="1"/>
      <c r="O3" s="1"/>
    </row>
    <row r="4" spans="1:15" ht="15.45" x14ac:dyDescent="0.4">
      <c r="A4" s="369"/>
      <c r="B4" s="369"/>
      <c r="C4" s="358"/>
      <c r="D4" s="358"/>
      <c r="E4" s="358"/>
      <c r="F4" s="358"/>
      <c r="G4" s="358"/>
      <c r="H4" s="358"/>
      <c r="I4" s="358"/>
      <c r="J4" s="358"/>
      <c r="K4" s="1"/>
      <c r="L4" s="1"/>
      <c r="M4" s="1"/>
      <c r="N4" s="1"/>
      <c r="O4" s="1"/>
    </row>
    <row r="5" spans="1:15" ht="15.45" x14ac:dyDescent="0.4">
      <c r="A5" s="358"/>
      <c r="B5" s="358"/>
      <c r="C5" s="358"/>
      <c r="D5" s="358"/>
      <c r="E5" s="369" t="s">
        <v>278</v>
      </c>
      <c r="F5" s="358"/>
      <c r="G5" s="358"/>
      <c r="H5" s="371">
        <f>'1. Cow Calf Budget'!C68</f>
        <v>1200</v>
      </c>
      <c r="I5" s="358" t="s">
        <v>86</v>
      </c>
      <c r="J5" s="372" t="s">
        <v>275</v>
      </c>
      <c r="K5" s="1"/>
      <c r="L5" s="1"/>
      <c r="M5" s="1"/>
      <c r="N5" s="1"/>
      <c r="O5" s="1"/>
    </row>
    <row r="6" spans="1:15" ht="15.45" x14ac:dyDescent="0.4">
      <c r="A6" s="369" t="s">
        <v>277</v>
      </c>
      <c r="B6" s="369"/>
      <c r="C6" s="438">
        <v>1350</v>
      </c>
      <c r="D6" s="358"/>
      <c r="E6" s="369" t="s">
        <v>276</v>
      </c>
      <c r="F6" s="369"/>
      <c r="G6" s="358"/>
      <c r="H6" s="371">
        <f>'1. Cow Calf Budget'!C70</f>
        <v>550</v>
      </c>
      <c r="I6" s="358" t="s">
        <v>86</v>
      </c>
      <c r="J6" s="373" t="s">
        <v>289</v>
      </c>
      <c r="K6" s="1"/>
      <c r="L6" s="1"/>
      <c r="M6" s="1"/>
      <c r="N6" s="1"/>
      <c r="O6" s="1"/>
    </row>
    <row r="7" spans="1:15" ht="15.45" x14ac:dyDescent="0.4">
      <c r="A7" s="369" t="s">
        <v>271</v>
      </c>
      <c r="B7" s="358"/>
      <c r="C7" s="439">
        <v>2</v>
      </c>
      <c r="D7" s="358" t="s">
        <v>6</v>
      </c>
      <c r="E7" s="369" t="s">
        <v>274</v>
      </c>
      <c r="F7" s="369"/>
      <c r="G7" s="358"/>
      <c r="H7" s="371">
        <f>'1. Cow Calf Budget'!C71</f>
        <v>530</v>
      </c>
      <c r="I7" s="358" t="s">
        <v>86</v>
      </c>
      <c r="J7" s="374">
        <f>J27</f>
        <v>-202.76727967740419</v>
      </c>
      <c r="K7" s="1"/>
      <c r="L7" s="1"/>
      <c r="M7" s="1"/>
      <c r="N7" s="1"/>
      <c r="O7" s="1"/>
    </row>
    <row r="8" spans="1:15" ht="15.45" x14ac:dyDescent="0.4">
      <c r="A8" s="369" t="s">
        <v>273</v>
      </c>
      <c r="B8" s="369"/>
      <c r="C8" s="375"/>
      <c r="D8" s="358"/>
      <c r="E8" s="369"/>
      <c r="F8" s="358"/>
      <c r="G8" s="410"/>
      <c r="H8" s="358"/>
      <c r="I8" s="358"/>
      <c r="J8" s="360"/>
      <c r="K8" s="1"/>
      <c r="L8" s="1"/>
      <c r="M8" s="1"/>
      <c r="N8" s="1"/>
      <c r="O8" s="1"/>
    </row>
    <row r="9" spans="1:15" ht="15.45" x14ac:dyDescent="0.4">
      <c r="A9" s="369" t="s">
        <v>272</v>
      </c>
      <c r="B9" s="369"/>
      <c r="C9" s="440">
        <v>7</v>
      </c>
      <c r="D9" s="358"/>
      <c r="E9" s="358"/>
      <c r="F9" s="358"/>
      <c r="G9" s="358"/>
      <c r="H9" s="358"/>
      <c r="I9" s="358"/>
      <c r="J9" s="358"/>
      <c r="K9" s="1"/>
      <c r="L9" s="1"/>
      <c r="M9" s="1"/>
      <c r="N9" s="1"/>
      <c r="O9" s="1"/>
    </row>
    <row r="10" spans="1:15" ht="15.45" x14ac:dyDescent="0.4">
      <c r="A10" s="376" t="s">
        <v>259</v>
      </c>
      <c r="B10" s="376"/>
      <c r="C10" s="377">
        <v>2018</v>
      </c>
      <c r="D10" s="378">
        <f>IF(C$9&gt;=2,(C10+1),"")</f>
        <v>2019</v>
      </c>
      <c r="E10" s="378">
        <f>IF(C$9&gt;=3,D10+1,"")</f>
        <v>2020</v>
      </c>
      <c r="F10" s="378">
        <f>IF(C$9&gt;=4,E10+1,"")</f>
        <v>2021</v>
      </c>
      <c r="G10" s="378">
        <f>IF(C$9&gt;=5,F10+1,"")</f>
        <v>2022</v>
      </c>
      <c r="H10" s="378">
        <f>IF(C$9&gt;=6,G10+1,"")</f>
        <v>2023</v>
      </c>
      <c r="I10" s="378">
        <f>IF(C$9&gt;=7,H10+1,"")</f>
        <v>2024</v>
      </c>
      <c r="J10" s="358"/>
      <c r="K10" s="1"/>
      <c r="L10" s="1"/>
      <c r="M10" s="1"/>
      <c r="N10" s="1"/>
      <c r="O10" s="1"/>
    </row>
    <row r="11" spans="1:15" ht="15.45" x14ac:dyDescent="0.4">
      <c r="A11" s="379"/>
      <c r="B11" s="379"/>
      <c r="C11" s="378" t="str">
        <f>IF(C9&gt;=1,"Year 1","")</f>
        <v>Year 1</v>
      </c>
      <c r="D11" s="378" t="str">
        <f>IF(C$9&gt;=2,"Year 2","")</f>
        <v>Year 2</v>
      </c>
      <c r="E11" s="378" t="str">
        <f>IF(C$9&gt;=3,"Year 3","")</f>
        <v>Year 3</v>
      </c>
      <c r="F11" s="378" t="str">
        <f>IF(C$9&gt;=4,"Year 4","")</f>
        <v>Year 4</v>
      </c>
      <c r="G11" s="378" t="str">
        <f>IF(C$9&gt;=5,"Year 5","")</f>
        <v>Year 5</v>
      </c>
      <c r="H11" s="378" t="str">
        <f>IF(C$9&gt;=6,"Year 6","")</f>
        <v>Year 6</v>
      </c>
      <c r="I11" s="378" t="str">
        <f>IF(C$9&gt;=7,"Year 7","")</f>
        <v>Year 7</v>
      </c>
      <c r="J11" s="358"/>
      <c r="K11" s="1"/>
      <c r="L11" s="1"/>
      <c r="M11" s="1"/>
      <c r="N11" s="1"/>
      <c r="O11" s="1"/>
    </row>
    <row r="12" spans="1:15" ht="15.45" x14ac:dyDescent="0.4">
      <c r="A12" s="369" t="s">
        <v>270</v>
      </c>
      <c r="B12" s="369"/>
      <c r="C12" s="380">
        <f>'1. Cow Calf Budget'!F10</f>
        <v>85</v>
      </c>
      <c r="D12" s="437">
        <v>85</v>
      </c>
      <c r="E12" s="437">
        <v>85</v>
      </c>
      <c r="F12" s="437">
        <v>85</v>
      </c>
      <c r="G12" s="437">
        <v>85</v>
      </c>
      <c r="H12" s="437">
        <v>85</v>
      </c>
      <c r="I12" s="437">
        <v>85</v>
      </c>
      <c r="J12" s="358"/>
      <c r="K12" s="1"/>
      <c r="L12" s="18">
        <f>SUM(C12:I12)/C9</f>
        <v>85</v>
      </c>
      <c r="M12" s="1" t="s">
        <v>288</v>
      </c>
      <c r="N12" s="1"/>
      <c r="O12" s="1"/>
    </row>
    <row r="13" spans="1:15" ht="15.45" x14ac:dyDescent="0.4">
      <c r="A13" s="369" t="s">
        <v>268</v>
      </c>
      <c r="B13" s="369"/>
      <c r="C13" s="381">
        <f>'1. Cow Calf Budget'!E70</f>
        <v>165.75</v>
      </c>
      <c r="D13" s="436">
        <v>165</v>
      </c>
      <c r="E13" s="436">
        <v>165</v>
      </c>
      <c r="F13" s="436">
        <v>165</v>
      </c>
      <c r="G13" s="436">
        <v>165</v>
      </c>
      <c r="H13" s="436">
        <v>165</v>
      </c>
      <c r="I13" s="436">
        <v>165</v>
      </c>
      <c r="J13" s="358"/>
      <c r="K13" s="1"/>
      <c r="L13" s="2">
        <f>SUM(C13:I13)/C9</f>
        <v>165.10714285714286</v>
      </c>
      <c r="M13" s="1" t="s">
        <v>287</v>
      </c>
      <c r="N13" s="1"/>
      <c r="O13" s="1"/>
    </row>
    <row r="14" spans="1:15" ht="15.45" x14ac:dyDescent="0.4">
      <c r="A14" s="369" t="s">
        <v>266</v>
      </c>
      <c r="B14" s="369"/>
      <c r="C14" s="381">
        <f>'1. Cow Calf Budget'!E71</f>
        <v>151.125</v>
      </c>
      <c r="D14" s="436">
        <v>151</v>
      </c>
      <c r="E14" s="436">
        <v>151</v>
      </c>
      <c r="F14" s="436">
        <v>151</v>
      </c>
      <c r="G14" s="436">
        <v>151</v>
      </c>
      <c r="H14" s="436">
        <v>151</v>
      </c>
      <c r="I14" s="436">
        <v>151</v>
      </c>
      <c r="J14" s="358"/>
      <c r="K14" s="1"/>
      <c r="L14" s="1"/>
      <c r="M14" s="1"/>
      <c r="N14" s="1"/>
      <c r="O14" s="1"/>
    </row>
    <row r="15" spans="1:15" ht="15.45" x14ac:dyDescent="0.4">
      <c r="A15" s="369" t="s">
        <v>265</v>
      </c>
      <c r="B15" s="369"/>
      <c r="C15" s="382">
        <f>ROUND(7.51+(C13*0.46),2)</f>
        <v>83.76</v>
      </c>
      <c r="D15" s="382">
        <f t="shared" ref="D15:I15" si="0">ROUND(7.51+(D13*0.46),2)</f>
        <v>83.41</v>
      </c>
      <c r="E15" s="382">
        <f t="shared" si="0"/>
        <v>83.41</v>
      </c>
      <c r="F15" s="382">
        <f t="shared" si="0"/>
        <v>83.41</v>
      </c>
      <c r="G15" s="382">
        <f t="shared" si="0"/>
        <v>83.41</v>
      </c>
      <c r="H15" s="382">
        <f t="shared" si="0"/>
        <v>83.41</v>
      </c>
      <c r="I15" s="382">
        <f t="shared" si="0"/>
        <v>83.41</v>
      </c>
      <c r="J15" s="358"/>
      <c r="K15" s="1"/>
      <c r="L15" s="1"/>
      <c r="M15" s="1"/>
      <c r="N15" s="1"/>
      <c r="O15" s="1"/>
    </row>
    <row r="16" spans="1:15" ht="15.45" x14ac:dyDescent="0.4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1"/>
      <c r="L16" s="1"/>
      <c r="M16" s="1"/>
      <c r="N16" s="1"/>
      <c r="O16" s="1"/>
    </row>
    <row r="17" spans="1:15" ht="15.45" x14ac:dyDescent="0.4">
      <c r="A17" s="369" t="s">
        <v>264</v>
      </c>
      <c r="B17" s="369"/>
      <c r="C17" s="383">
        <f t="shared" ref="C17:I17" si="1">IF(AND($C$9&gt;0,C$12&gt;0),ROUND(((($H$6*C13)+($H$7*C14))/100)/2*C$12*0.01,0),0)</f>
        <v>728</v>
      </c>
      <c r="D17" s="383">
        <f t="shared" si="1"/>
        <v>726</v>
      </c>
      <c r="E17" s="383">
        <f t="shared" si="1"/>
        <v>726</v>
      </c>
      <c r="F17" s="383">
        <f t="shared" si="1"/>
        <v>726</v>
      </c>
      <c r="G17" s="383">
        <f t="shared" si="1"/>
        <v>726</v>
      </c>
      <c r="H17" s="383">
        <f t="shared" si="1"/>
        <v>726</v>
      </c>
      <c r="I17" s="383">
        <f t="shared" si="1"/>
        <v>726</v>
      </c>
      <c r="J17" s="358"/>
      <c r="K17" s="1"/>
      <c r="L17" s="1"/>
      <c r="M17" s="1"/>
      <c r="N17" s="1"/>
      <c r="O17" s="1"/>
    </row>
    <row r="18" spans="1:15" ht="15.45" x14ac:dyDescent="0.4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1"/>
      <c r="L18" s="1"/>
      <c r="M18" s="1"/>
      <c r="N18" s="1"/>
      <c r="O18" s="1"/>
    </row>
    <row r="19" spans="1:15" ht="15.45" x14ac:dyDescent="0.4">
      <c r="A19" s="369" t="s">
        <v>263</v>
      </c>
      <c r="B19" s="369"/>
      <c r="C19" s="384">
        <f>'8. Cow Investment Data'!C13</f>
        <v>683.67750000000001</v>
      </c>
      <c r="D19" s="384">
        <f t="shared" ref="D19:I19" si="2">C19</f>
        <v>683.67750000000001</v>
      </c>
      <c r="E19" s="384">
        <f t="shared" si="2"/>
        <v>683.67750000000001</v>
      </c>
      <c r="F19" s="384">
        <f t="shared" si="2"/>
        <v>683.67750000000001</v>
      </c>
      <c r="G19" s="384">
        <f t="shared" si="2"/>
        <v>683.67750000000001</v>
      </c>
      <c r="H19" s="384">
        <f t="shared" si="2"/>
        <v>683.67750000000001</v>
      </c>
      <c r="I19" s="384">
        <f t="shared" si="2"/>
        <v>683.67750000000001</v>
      </c>
      <c r="J19" s="358"/>
      <c r="K19" s="1"/>
      <c r="L19" s="2">
        <f>SUM(C19:I19)/C9</f>
        <v>683.6774999999999</v>
      </c>
      <c r="M19" s="1" t="s">
        <v>286</v>
      </c>
      <c r="N19" s="1"/>
      <c r="O19" s="1"/>
    </row>
    <row r="20" spans="1:15" ht="15.45" x14ac:dyDescent="0.4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1"/>
      <c r="L20" s="1"/>
      <c r="M20" s="1"/>
      <c r="N20" s="1"/>
      <c r="O20" s="1"/>
    </row>
    <row r="21" spans="1:15" ht="15.45" x14ac:dyDescent="0.4">
      <c r="A21" s="369" t="s">
        <v>261</v>
      </c>
      <c r="B21" s="369"/>
      <c r="C21" s="383">
        <f>IF(C9&gt;=1,+C17-C19,0)</f>
        <v>44.322499999999991</v>
      </c>
      <c r="D21" s="383">
        <f>IF(C9&gt;=2,+D17-D19,0)</f>
        <v>42.322499999999991</v>
      </c>
      <c r="E21" s="383">
        <f>IF(C9&gt;=3,+E17-E19,0)</f>
        <v>42.322499999999991</v>
      </c>
      <c r="F21" s="383">
        <f>IF(C9&gt;=4,+F17-F19,0)</f>
        <v>42.322499999999991</v>
      </c>
      <c r="G21" s="383">
        <f>IF(C9&gt;=5,+G17-G19,0)</f>
        <v>42.322499999999991</v>
      </c>
      <c r="H21" s="383">
        <f>IF(C9&gt;=6,+H17-H19,0)</f>
        <v>42.322499999999991</v>
      </c>
      <c r="I21" s="383">
        <f>IF(C9&gt;=7,+I17-I19,0)</f>
        <v>42.322499999999991</v>
      </c>
      <c r="J21" s="358"/>
      <c r="K21" s="1"/>
      <c r="L21" s="1"/>
      <c r="M21" s="1"/>
      <c r="N21" s="1"/>
      <c r="O21" s="1"/>
    </row>
    <row r="22" spans="1:15" ht="15.45" x14ac:dyDescent="0.4">
      <c r="A22" s="369" t="s">
        <v>260</v>
      </c>
      <c r="B22" s="369"/>
      <c r="C22" s="366">
        <f>IF(C9=1,ROUND(+C15*$H$5/100,2),0)</f>
        <v>0</v>
      </c>
      <c r="D22" s="366">
        <f>IF(C9=2,ROUND(+D15*$H$5/100,2),0)</f>
        <v>0</v>
      </c>
      <c r="E22" s="366">
        <f>IF(C9=3,ROUND(+E15*$H$5/100,2),0)</f>
        <v>0</v>
      </c>
      <c r="F22" s="366">
        <f>IF(C9=4,ROUND(+F15*$H$5/100,2),0)</f>
        <v>0</v>
      </c>
      <c r="G22" s="366">
        <f>IF(C9=5,ROUND(+G15*$H$5/100,2),0)</f>
        <v>0</v>
      </c>
      <c r="H22" s="366">
        <f>IF(C9=6,ROUND(+H15*$H$5/100,2),0)</f>
        <v>0</v>
      </c>
      <c r="I22" s="366">
        <f>IF(C9=7,ROUND(+I15*$H$5/100,2),0)</f>
        <v>1000.92</v>
      </c>
      <c r="J22" s="358"/>
      <c r="K22" s="1"/>
      <c r="L22" s="1"/>
      <c r="M22" s="1"/>
      <c r="N22" s="1"/>
      <c r="O22" s="1"/>
    </row>
    <row r="23" spans="1:15" ht="15.45" x14ac:dyDescent="0.4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1"/>
      <c r="L23" s="1"/>
      <c r="M23" s="1"/>
      <c r="N23" s="1"/>
      <c r="O23" s="1"/>
    </row>
    <row r="24" spans="1:15" ht="15.45" x14ac:dyDescent="0.4">
      <c r="A24" s="376" t="s">
        <v>259</v>
      </c>
      <c r="B24" s="358"/>
      <c r="C24" s="385">
        <f t="shared" ref="C24:I24" si="3">C10</f>
        <v>2018</v>
      </c>
      <c r="D24" s="385">
        <f t="shared" si="3"/>
        <v>2019</v>
      </c>
      <c r="E24" s="385">
        <f t="shared" si="3"/>
        <v>2020</v>
      </c>
      <c r="F24" s="385">
        <f t="shared" si="3"/>
        <v>2021</v>
      </c>
      <c r="G24" s="385">
        <f t="shared" si="3"/>
        <v>2022</v>
      </c>
      <c r="H24" s="385">
        <f t="shared" si="3"/>
        <v>2023</v>
      </c>
      <c r="I24" s="385">
        <f t="shared" si="3"/>
        <v>2024</v>
      </c>
      <c r="J24" s="367" t="s">
        <v>258</v>
      </c>
      <c r="K24" s="1"/>
      <c r="L24" s="1"/>
      <c r="M24" s="1"/>
      <c r="N24" s="1"/>
      <c r="O24" s="1"/>
    </row>
    <row r="25" spans="1:15" ht="15.45" x14ac:dyDescent="0.4">
      <c r="A25" s="358"/>
      <c r="B25" s="386" t="s">
        <v>257</v>
      </c>
      <c r="C25" s="386" t="s">
        <v>256</v>
      </c>
      <c r="D25" s="386" t="str">
        <f>IF(C9&gt;=2,"Year 2","")</f>
        <v>Year 2</v>
      </c>
      <c r="E25" s="386" t="str">
        <f>IF(C9&gt;=3,"Year 3","")</f>
        <v>Year 3</v>
      </c>
      <c r="F25" s="386" t="str">
        <f>IF(C9&gt;=4,"Year 4","")</f>
        <v>Year 4</v>
      </c>
      <c r="G25" s="386" t="str">
        <f>IF(C9&gt;=5,"Year 5","")</f>
        <v>Year 5</v>
      </c>
      <c r="H25" s="386" t="str">
        <f>IF(C9&gt;=6,"Year 6","")</f>
        <v>Year 6</v>
      </c>
      <c r="I25" s="386" t="str">
        <f>IF(C9&gt;=7,"Year 7","")</f>
        <v>Year 7</v>
      </c>
      <c r="J25" s="387" t="s">
        <v>160</v>
      </c>
      <c r="K25" s="1"/>
      <c r="L25" s="1"/>
      <c r="M25" s="1"/>
      <c r="N25" s="1"/>
      <c r="O25" s="1"/>
    </row>
    <row r="26" spans="1:15" ht="15.45" x14ac:dyDescent="0.4">
      <c r="A26" s="358"/>
      <c r="B26" s="369"/>
      <c r="C26" s="386"/>
      <c r="D26" s="386"/>
      <c r="E26" s="386"/>
      <c r="F26" s="386"/>
      <c r="G26" s="386"/>
      <c r="H26" s="386"/>
      <c r="I26" s="386"/>
      <c r="J26" s="387"/>
      <c r="K26" s="1"/>
      <c r="L26" s="1"/>
      <c r="M26" s="1"/>
      <c r="N26" s="1"/>
      <c r="O26" s="1"/>
    </row>
    <row r="27" spans="1:15" ht="15.45" x14ac:dyDescent="0.4">
      <c r="A27" s="369" t="s">
        <v>255</v>
      </c>
      <c r="B27" s="383">
        <f>-C6</f>
        <v>-1350</v>
      </c>
      <c r="C27" s="366">
        <f t="shared" ref="C27:I27" si="4">C21+C22</f>
        <v>44.322499999999991</v>
      </c>
      <c r="D27" s="366">
        <f t="shared" si="4"/>
        <v>42.322499999999991</v>
      </c>
      <c r="E27" s="366">
        <f t="shared" si="4"/>
        <v>42.322499999999991</v>
      </c>
      <c r="F27" s="366">
        <f t="shared" si="4"/>
        <v>42.322499999999991</v>
      </c>
      <c r="G27" s="366">
        <f t="shared" si="4"/>
        <v>42.322499999999991</v>
      </c>
      <c r="H27" s="366">
        <f t="shared" si="4"/>
        <v>42.322499999999991</v>
      </c>
      <c r="I27" s="366">
        <f t="shared" si="4"/>
        <v>1043.2424999999998</v>
      </c>
      <c r="J27" s="388">
        <f>SUM(B31:I31)</f>
        <v>-202.76727967740419</v>
      </c>
      <c r="K27" s="1"/>
      <c r="L27" s="16">
        <f>IRR(B27:I27,5)</f>
        <v>-6.0587460148469052E-3</v>
      </c>
      <c r="M27" s="1" t="s">
        <v>253</v>
      </c>
      <c r="N27" s="1"/>
      <c r="O27" s="1"/>
    </row>
    <row r="28" spans="1:15" ht="15.9" thickBot="1" x14ac:dyDescent="0.45">
      <c r="A28" s="389"/>
      <c r="B28" s="389"/>
      <c r="C28" s="390"/>
      <c r="D28" s="390"/>
      <c r="E28" s="390"/>
      <c r="F28" s="390"/>
      <c r="G28" s="390"/>
      <c r="H28" s="390"/>
      <c r="I28" s="390"/>
      <c r="J28" s="390"/>
      <c r="K28" s="1"/>
      <c r="L28" s="1"/>
      <c r="M28" s="1"/>
      <c r="N28" s="1"/>
      <c r="O28" s="1"/>
    </row>
    <row r="29" spans="1:15" ht="15.9" thickTop="1" x14ac:dyDescent="0.4">
      <c r="A29" s="369"/>
      <c r="B29" s="369"/>
      <c r="C29" s="358"/>
      <c r="D29" s="358"/>
      <c r="E29" s="358"/>
      <c r="F29" s="358"/>
      <c r="G29" s="358"/>
      <c r="H29" s="358"/>
      <c r="I29" s="358"/>
      <c r="J29" s="358"/>
      <c r="K29" s="1"/>
      <c r="L29" s="1"/>
      <c r="M29" s="1"/>
      <c r="N29" s="1"/>
      <c r="O29" s="1"/>
    </row>
    <row r="30" spans="1:15" ht="15.45" x14ac:dyDescent="0.4">
      <c r="A30" s="358" t="s">
        <v>254</v>
      </c>
      <c r="B30" s="358"/>
      <c r="C30" s="358"/>
      <c r="D30" s="358"/>
      <c r="E30" s="358"/>
      <c r="F30" s="358"/>
      <c r="G30" s="358"/>
      <c r="H30" s="358"/>
      <c r="I30" s="358"/>
      <c r="J30" s="358"/>
      <c r="K30" s="1"/>
      <c r="L30" s="1"/>
      <c r="M30" s="1"/>
      <c r="N30" s="1"/>
      <c r="O30" s="1"/>
    </row>
    <row r="31" spans="1:15" ht="15.45" x14ac:dyDescent="0.4">
      <c r="A31" s="358"/>
      <c r="B31" s="383">
        <f>+B27</f>
        <v>-1350</v>
      </c>
      <c r="C31" s="366">
        <f>(C27/(1+($C$7/100)))</f>
        <v>43.453431372549012</v>
      </c>
      <c r="D31" s="366">
        <f>(D27/(1+($C$7/100))^2)</f>
        <v>40.679065743944626</v>
      </c>
      <c r="E31" s="366">
        <f>(E27/(1+($C$7/100))^3)</f>
        <v>39.881437003867283</v>
      </c>
      <c r="F31" s="366">
        <f>(F27/(1+($C$7/100))^4)</f>
        <v>39.099448043007143</v>
      </c>
      <c r="G31" s="366">
        <f>(G27/(1+($C$7/100))^5)</f>
        <v>38.332792199026606</v>
      </c>
      <c r="H31" s="366">
        <f>(H27/(1+($C$7/100))^6)</f>
        <v>37.581168822575101</v>
      </c>
      <c r="I31" s="366">
        <f>(I27/(1+($C$7/100))^7)</f>
        <v>908.20537713762599</v>
      </c>
      <c r="J31" s="358"/>
      <c r="K31" s="1"/>
      <c r="L31" s="1"/>
      <c r="M31" s="1"/>
      <c r="N31" s="1"/>
      <c r="O31" s="1"/>
    </row>
    <row r="32" spans="1:15" ht="15.45" x14ac:dyDescent="0.4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1"/>
      <c r="L32" s="1"/>
      <c r="M32" s="1"/>
      <c r="N32" s="1"/>
      <c r="O32" s="1"/>
    </row>
    <row r="33" spans="1:15" ht="15.45" x14ac:dyDescent="0.4">
      <c r="A33" s="367"/>
      <c r="B33" s="367"/>
      <c r="C33" s="367"/>
      <c r="D33" s="367"/>
      <c r="E33" s="367"/>
      <c r="F33" s="367"/>
      <c r="G33" s="367"/>
      <c r="H33" s="367"/>
      <c r="I33" s="367"/>
      <c r="J33" s="367"/>
      <c r="K33" s="1"/>
      <c r="L33" s="1"/>
      <c r="M33" s="1"/>
      <c r="N33" s="1"/>
      <c r="O33" s="1"/>
    </row>
    <row r="34" spans="1:15" ht="15.45" x14ac:dyDescent="0.4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K34" s="1"/>
      <c r="L34" s="1"/>
      <c r="M34" s="1"/>
      <c r="N34" s="1"/>
      <c r="O34" s="1"/>
    </row>
    <row r="35" spans="1:15" ht="17.600000000000001" x14ac:dyDescent="0.4">
      <c r="A35" s="369"/>
      <c r="B35" s="483" t="s">
        <v>279</v>
      </c>
      <c r="C35" s="483"/>
      <c r="D35" s="483"/>
      <c r="E35" s="483"/>
      <c r="F35" s="483"/>
      <c r="G35" s="483"/>
      <c r="H35" s="483"/>
      <c r="I35" s="483"/>
      <c r="J35" s="483"/>
      <c r="K35" s="1"/>
      <c r="L35" s="1"/>
      <c r="M35" s="1"/>
      <c r="N35" s="1"/>
      <c r="O35" s="1"/>
    </row>
    <row r="36" spans="1:15" ht="15.45" x14ac:dyDescent="0.4">
      <c r="A36" s="369"/>
      <c r="B36" s="369"/>
      <c r="C36" s="358"/>
      <c r="D36" s="358"/>
      <c r="E36" s="358"/>
      <c r="F36" s="358"/>
      <c r="G36" s="358"/>
      <c r="H36" s="358"/>
      <c r="I36" s="358"/>
      <c r="J36" s="358"/>
      <c r="K36" s="1"/>
      <c r="L36" s="1"/>
      <c r="M36" s="1"/>
      <c r="N36" s="1"/>
      <c r="O36" s="1"/>
    </row>
    <row r="37" spans="1:15" ht="15.45" x14ac:dyDescent="0.4">
      <c r="A37" s="391"/>
      <c r="B37" s="391"/>
      <c r="C37" s="391"/>
      <c r="D37" s="391"/>
      <c r="E37" s="392" t="s">
        <v>278</v>
      </c>
      <c r="F37" s="391"/>
      <c r="G37" s="391"/>
      <c r="H37" s="393">
        <f>H5</f>
        <v>1200</v>
      </c>
      <c r="I37" s="391" t="s">
        <v>86</v>
      </c>
      <c r="J37" s="391"/>
      <c r="K37" s="1"/>
      <c r="L37" s="1"/>
      <c r="M37" s="1"/>
      <c r="N37" s="1"/>
      <c r="O37" s="1"/>
    </row>
    <row r="38" spans="1:15" ht="15.45" x14ac:dyDescent="0.4">
      <c r="A38" s="392" t="s">
        <v>277</v>
      </c>
      <c r="B38" s="392"/>
      <c r="C38" s="393">
        <f>C6</f>
        <v>1350</v>
      </c>
      <c r="D38" s="391"/>
      <c r="E38" s="392" t="s">
        <v>276</v>
      </c>
      <c r="F38" s="392"/>
      <c r="G38" s="391"/>
      <c r="H38" s="393">
        <f>H6</f>
        <v>550</v>
      </c>
      <c r="I38" s="391" t="s">
        <v>86</v>
      </c>
      <c r="J38" s="394" t="s">
        <v>275</v>
      </c>
      <c r="K38" s="1"/>
      <c r="L38" s="1"/>
      <c r="M38" s="1"/>
      <c r="N38" s="1"/>
      <c r="O38" s="1"/>
    </row>
    <row r="39" spans="1:15" ht="15.45" x14ac:dyDescent="0.4">
      <c r="A39" s="391"/>
      <c r="B39" s="391"/>
      <c r="C39" s="395"/>
      <c r="D39" s="391"/>
      <c r="E39" s="392" t="s">
        <v>274</v>
      </c>
      <c r="F39" s="392"/>
      <c r="G39" s="391"/>
      <c r="H39" s="393">
        <f>H7</f>
        <v>530</v>
      </c>
      <c r="I39" s="391" t="s">
        <v>86</v>
      </c>
      <c r="J39" s="396" t="s">
        <v>160</v>
      </c>
      <c r="K39" s="1"/>
      <c r="L39" s="1"/>
      <c r="M39" s="1"/>
      <c r="N39" s="1"/>
      <c r="O39" s="1"/>
    </row>
    <row r="40" spans="1:15" ht="15.45" x14ac:dyDescent="0.4">
      <c r="A40" s="392" t="s">
        <v>273</v>
      </c>
      <c r="B40" s="392"/>
      <c r="C40" s="397"/>
      <c r="D40" s="391"/>
      <c r="E40" s="392"/>
      <c r="F40" s="391"/>
      <c r="G40" s="391"/>
      <c r="H40" s="398"/>
      <c r="I40" s="391"/>
      <c r="J40" s="399">
        <f>J59</f>
        <v>-210.03689244891973</v>
      </c>
      <c r="K40" s="1"/>
      <c r="L40" s="1"/>
      <c r="M40" s="1"/>
      <c r="N40" s="1"/>
      <c r="O40" s="1"/>
    </row>
    <row r="41" spans="1:15" ht="15.45" x14ac:dyDescent="0.4">
      <c r="A41" s="392" t="s">
        <v>272</v>
      </c>
      <c r="B41" s="392"/>
      <c r="C41" s="423">
        <f>IF((C9-1)&gt;0,(C9-1),1)</f>
        <v>6</v>
      </c>
      <c r="D41" s="391"/>
      <c r="E41" s="392" t="s">
        <v>271</v>
      </c>
      <c r="F41" s="391"/>
      <c r="G41" s="391"/>
      <c r="H41" s="400">
        <f>C7</f>
        <v>2</v>
      </c>
      <c r="I41" s="391" t="s">
        <v>6</v>
      </c>
      <c r="J41" s="391"/>
      <c r="K41" s="1"/>
      <c r="L41" s="1"/>
      <c r="M41" s="1"/>
      <c r="N41" s="1"/>
      <c r="O41" s="1"/>
    </row>
    <row r="42" spans="1:15" ht="15.45" x14ac:dyDescent="0.4">
      <c r="A42" s="392" t="s">
        <v>259</v>
      </c>
      <c r="B42" s="392"/>
      <c r="C42" s="401">
        <f>C10</f>
        <v>2018</v>
      </c>
      <c r="D42" s="402">
        <f>IF(C$41&gt;=2,(C42+1),"")</f>
        <v>2019</v>
      </c>
      <c r="E42" s="402">
        <f>IF(C$41&gt;=3,D42+1,"")</f>
        <v>2020</v>
      </c>
      <c r="F42" s="402">
        <f>IF(C$41&gt;=4,E42+1,"")</f>
        <v>2021</v>
      </c>
      <c r="G42" s="402">
        <f>IF(C$41&gt;=5,F42+1,"")</f>
        <v>2022</v>
      </c>
      <c r="H42" s="402">
        <f>IF(C$41&gt;=6,G42+1,"")</f>
        <v>2023</v>
      </c>
      <c r="I42" s="402" t="str">
        <f>IF(C$41&gt;=7,H42+1,"")</f>
        <v/>
      </c>
      <c r="J42" s="391"/>
      <c r="K42" s="1"/>
      <c r="L42" s="1"/>
      <c r="M42" s="1"/>
      <c r="N42" s="1"/>
      <c r="O42" s="1"/>
    </row>
    <row r="43" spans="1:15" ht="15.45" x14ac:dyDescent="0.4">
      <c r="A43" s="403"/>
      <c r="B43" s="403"/>
      <c r="C43" s="402" t="str">
        <f>IF(C41&gt;=1,"Year 1","")</f>
        <v>Year 1</v>
      </c>
      <c r="D43" s="402" t="str">
        <f>IF(C$41&gt;=2,"Year 2","")</f>
        <v>Year 2</v>
      </c>
      <c r="E43" s="402" t="str">
        <f>IF(C$41&gt;=3,"Year 3","")</f>
        <v>Year 3</v>
      </c>
      <c r="F43" s="402" t="str">
        <f>IF(C$41&gt;=4,"Year 4","")</f>
        <v>Year 4</v>
      </c>
      <c r="G43" s="402" t="str">
        <f>IF(C$41&gt;=5,"Year 5","")</f>
        <v>Year 5</v>
      </c>
      <c r="H43" s="402" t="str">
        <f>IF(C$41&gt;=6,"Year 6","")</f>
        <v>Year 6</v>
      </c>
      <c r="I43" s="402" t="str">
        <f>IF(C$41&gt;=7,"Year 7","")</f>
        <v/>
      </c>
      <c r="J43" s="391"/>
      <c r="K43" s="1"/>
      <c r="L43" s="1"/>
      <c r="M43" s="1"/>
      <c r="N43" s="1"/>
      <c r="O43" s="1"/>
    </row>
    <row r="44" spans="1:15" ht="15.45" x14ac:dyDescent="0.4">
      <c r="A44" s="392" t="s">
        <v>270</v>
      </c>
      <c r="B44" s="392"/>
      <c r="C44" s="401">
        <f t="shared" ref="C44:I46" si="5">C12</f>
        <v>85</v>
      </c>
      <c r="D44" s="401">
        <f t="shared" si="5"/>
        <v>85</v>
      </c>
      <c r="E44" s="401">
        <f t="shared" si="5"/>
        <v>85</v>
      </c>
      <c r="F44" s="401">
        <f t="shared" si="5"/>
        <v>85</v>
      </c>
      <c r="G44" s="401">
        <f t="shared" si="5"/>
        <v>85</v>
      </c>
      <c r="H44" s="401">
        <f t="shared" si="5"/>
        <v>85</v>
      </c>
      <c r="I44" s="401">
        <f t="shared" si="5"/>
        <v>85</v>
      </c>
      <c r="J44" s="391"/>
      <c r="K44" s="1"/>
      <c r="L44" s="18">
        <f>SUM(C44:H44)/C41</f>
        <v>85</v>
      </c>
      <c r="M44" s="1" t="s">
        <v>285</v>
      </c>
      <c r="N44" s="1"/>
      <c r="O44" s="1"/>
    </row>
    <row r="45" spans="1:15" ht="15.45" x14ac:dyDescent="0.4">
      <c r="A45" s="392" t="s">
        <v>268</v>
      </c>
      <c r="B45" s="392"/>
      <c r="C45" s="404">
        <f t="shared" si="5"/>
        <v>165.75</v>
      </c>
      <c r="D45" s="404">
        <f t="shared" si="5"/>
        <v>165</v>
      </c>
      <c r="E45" s="404">
        <f t="shared" si="5"/>
        <v>165</v>
      </c>
      <c r="F45" s="404">
        <f t="shared" si="5"/>
        <v>165</v>
      </c>
      <c r="G45" s="404">
        <f t="shared" si="5"/>
        <v>165</v>
      </c>
      <c r="H45" s="404">
        <f t="shared" si="5"/>
        <v>165</v>
      </c>
      <c r="I45" s="404">
        <f t="shared" si="5"/>
        <v>165</v>
      </c>
      <c r="J45" s="391"/>
      <c r="K45" s="1"/>
      <c r="L45" s="2">
        <f>SUM(C45:H45)/C41</f>
        <v>165.125</v>
      </c>
      <c r="M45" s="1" t="s">
        <v>284</v>
      </c>
      <c r="N45" s="1"/>
      <c r="O45" s="1"/>
    </row>
    <row r="46" spans="1:15" ht="15.45" x14ac:dyDescent="0.4">
      <c r="A46" s="392" t="s">
        <v>266</v>
      </c>
      <c r="B46" s="392"/>
      <c r="C46" s="404">
        <f t="shared" si="5"/>
        <v>151.125</v>
      </c>
      <c r="D46" s="404">
        <f t="shared" si="5"/>
        <v>151</v>
      </c>
      <c r="E46" s="404">
        <f t="shared" si="5"/>
        <v>151</v>
      </c>
      <c r="F46" s="404">
        <f t="shared" si="5"/>
        <v>151</v>
      </c>
      <c r="G46" s="404">
        <f t="shared" si="5"/>
        <v>151</v>
      </c>
      <c r="H46" s="404">
        <f t="shared" si="5"/>
        <v>151</v>
      </c>
      <c r="I46" s="404">
        <f t="shared" si="5"/>
        <v>151</v>
      </c>
      <c r="J46" s="391"/>
      <c r="K46" s="1"/>
      <c r="L46" s="1"/>
      <c r="M46" s="1"/>
      <c r="N46" s="1"/>
      <c r="O46" s="1"/>
    </row>
    <row r="47" spans="1:15" ht="15.45" x14ac:dyDescent="0.4">
      <c r="A47" s="392" t="s">
        <v>265</v>
      </c>
      <c r="B47" s="392"/>
      <c r="C47" s="405">
        <f t="shared" ref="C47:I47" si="6">ROUND(7+(C45*0.47),2)</f>
        <v>84.9</v>
      </c>
      <c r="D47" s="405">
        <f t="shared" si="6"/>
        <v>84.55</v>
      </c>
      <c r="E47" s="405">
        <f t="shared" si="6"/>
        <v>84.55</v>
      </c>
      <c r="F47" s="405">
        <f t="shared" si="6"/>
        <v>84.55</v>
      </c>
      <c r="G47" s="405">
        <f t="shared" si="6"/>
        <v>84.55</v>
      </c>
      <c r="H47" s="405">
        <f t="shared" si="6"/>
        <v>84.55</v>
      </c>
      <c r="I47" s="405">
        <f t="shared" si="6"/>
        <v>84.55</v>
      </c>
      <c r="J47" s="391"/>
      <c r="K47" s="1"/>
      <c r="L47" s="1"/>
      <c r="M47" s="1"/>
      <c r="N47" s="1"/>
      <c r="O47" s="1"/>
    </row>
    <row r="48" spans="1:15" ht="15.45" x14ac:dyDescent="0.4">
      <c r="A48" s="391"/>
      <c r="B48" s="391"/>
      <c r="C48" s="391"/>
      <c r="D48" s="391"/>
      <c r="E48" s="391"/>
      <c r="F48" s="391"/>
      <c r="G48" s="391"/>
      <c r="H48" s="391"/>
      <c r="I48" s="391"/>
      <c r="J48" s="391"/>
      <c r="K48" s="1"/>
      <c r="L48" s="1"/>
      <c r="M48" s="1"/>
      <c r="N48" s="1"/>
      <c r="O48" s="1"/>
    </row>
    <row r="49" spans="1:15" ht="15.45" x14ac:dyDescent="0.4">
      <c r="A49" s="392" t="s">
        <v>264</v>
      </c>
      <c r="B49" s="392"/>
      <c r="C49" s="406">
        <f t="shared" ref="C49:I49" si="7">IF(AND($C$9&gt;0,C$12&gt;0),ROUND(((($H$6*C45)+($H$7*C46))/100)/2*C$12*0.01,0),0)</f>
        <v>728</v>
      </c>
      <c r="D49" s="406">
        <f t="shared" si="7"/>
        <v>726</v>
      </c>
      <c r="E49" s="406">
        <f t="shared" si="7"/>
        <v>726</v>
      </c>
      <c r="F49" s="406">
        <f t="shared" si="7"/>
        <v>726</v>
      </c>
      <c r="G49" s="406">
        <f t="shared" si="7"/>
        <v>726</v>
      </c>
      <c r="H49" s="406">
        <f t="shared" si="7"/>
        <v>726</v>
      </c>
      <c r="I49" s="406">
        <f t="shared" si="7"/>
        <v>726</v>
      </c>
      <c r="J49" s="391"/>
      <c r="K49" s="1"/>
      <c r="L49" s="1"/>
      <c r="M49" s="1"/>
      <c r="N49" s="1"/>
      <c r="O49" s="1"/>
    </row>
    <row r="50" spans="1:15" ht="15.45" x14ac:dyDescent="0.4">
      <c r="A50" s="391"/>
      <c r="B50" s="391"/>
      <c r="C50" s="391"/>
      <c r="D50" s="391"/>
      <c r="E50" s="391"/>
      <c r="F50" s="391"/>
      <c r="G50" s="391"/>
      <c r="H50" s="391"/>
      <c r="I50" s="391"/>
      <c r="J50" s="391"/>
      <c r="K50" s="1"/>
      <c r="L50" s="1"/>
      <c r="M50" s="1"/>
      <c r="N50" s="1"/>
      <c r="O50" s="1"/>
    </row>
    <row r="51" spans="1:15" ht="15.45" x14ac:dyDescent="0.4">
      <c r="A51" s="392" t="s">
        <v>263</v>
      </c>
      <c r="B51" s="392"/>
      <c r="C51" s="404">
        <f t="shared" ref="C51:I51" si="8">C19</f>
        <v>683.67750000000001</v>
      </c>
      <c r="D51" s="404">
        <f t="shared" si="8"/>
        <v>683.67750000000001</v>
      </c>
      <c r="E51" s="404">
        <f t="shared" si="8"/>
        <v>683.67750000000001</v>
      </c>
      <c r="F51" s="404">
        <f t="shared" si="8"/>
        <v>683.67750000000001</v>
      </c>
      <c r="G51" s="404">
        <f t="shared" si="8"/>
        <v>683.67750000000001</v>
      </c>
      <c r="H51" s="404">
        <f t="shared" si="8"/>
        <v>683.67750000000001</v>
      </c>
      <c r="I51" s="404">
        <f t="shared" si="8"/>
        <v>683.67750000000001</v>
      </c>
      <c r="J51" s="391"/>
      <c r="K51" s="1"/>
      <c r="L51" s="2">
        <f>SUM(C51:H51)/C41</f>
        <v>683.6774999999999</v>
      </c>
      <c r="M51" s="1" t="s">
        <v>283</v>
      </c>
      <c r="N51" s="1"/>
      <c r="O51" s="1"/>
    </row>
    <row r="52" spans="1:15" ht="15.45" x14ac:dyDescent="0.4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1"/>
      <c r="L52" s="1"/>
      <c r="M52" s="1"/>
      <c r="N52" s="1"/>
      <c r="O52" s="1"/>
    </row>
    <row r="53" spans="1:15" ht="15.45" x14ac:dyDescent="0.4">
      <c r="A53" s="369" t="s">
        <v>261</v>
      </c>
      <c r="B53" s="369"/>
      <c r="C53" s="383">
        <f>IF(C41&gt;=1,+C49-C51,0)</f>
        <v>44.322499999999991</v>
      </c>
      <c r="D53" s="383">
        <f>IF(C41&gt;=2,+D49-D51,0)</f>
        <v>42.322499999999991</v>
      </c>
      <c r="E53" s="383">
        <f>IF(C41&gt;=3,+E49-E51,0)</f>
        <v>42.322499999999991</v>
      </c>
      <c r="F53" s="383">
        <f>IF(C41&gt;=4,+F49-F51,0)</f>
        <v>42.322499999999991</v>
      </c>
      <c r="G53" s="383">
        <f>IF(C41&gt;=5,+G49-G51,0)</f>
        <v>42.322499999999991</v>
      </c>
      <c r="H53" s="383">
        <f>IF(C41&gt;=6,+H49-H51,0)</f>
        <v>42.322499999999991</v>
      </c>
      <c r="I53" s="383">
        <f>IF(C41&gt;=7,+I49-I51,0)</f>
        <v>0</v>
      </c>
      <c r="J53" s="358"/>
      <c r="K53" s="1"/>
      <c r="L53" s="1"/>
      <c r="M53" s="1"/>
      <c r="N53" s="1"/>
      <c r="O53" s="1"/>
    </row>
    <row r="54" spans="1:15" ht="15.45" x14ac:dyDescent="0.4">
      <c r="A54" s="369" t="s">
        <v>260</v>
      </c>
      <c r="B54" s="369"/>
      <c r="C54" s="366">
        <f>IF(C41=1,ROUND(+C47*$H$5/100,2),0)</f>
        <v>0</v>
      </c>
      <c r="D54" s="366">
        <f>IF(C41=2,ROUND(+D47*$H$5/100,2),0)</f>
        <v>0</v>
      </c>
      <c r="E54" s="366">
        <f>IF(C41=3,ROUND(+E47*$H$5/100,2),0)</f>
        <v>0</v>
      </c>
      <c r="F54" s="366">
        <f>IF(C41=4,ROUND(+F47*$H$5/100,2),0)</f>
        <v>0</v>
      </c>
      <c r="G54" s="366">
        <f>IF(C41=5,ROUND(+G47*$H$5/100,2),0)</f>
        <v>0</v>
      </c>
      <c r="H54" s="366">
        <f>IF(C41=6,ROUND(+H47*$H$5/100,2),0)</f>
        <v>1014.6</v>
      </c>
      <c r="I54" s="366">
        <f>IF(C41=7,ROUND(+I47*$H$5/100,2),0)</f>
        <v>0</v>
      </c>
      <c r="J54" s="358"/>
      <c r="K54" s="1"/>
      <c r="L54" s="1"/>
      <c r="M54" s="1"/>
      <c r="N54" s="1"/>
      <c r="O54" s="1"/>
    </row>
    <row r="55" spans="1:15" ht="15.45" x14ac:dyDescent="0.4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1"/>
      <c r="L55" s="1"/>
      <c r="M55" s="1"/>
      <c r="N55" s="1"/>
      <c r="O55" s="1"/>
    </row>
    <row r="56" spans="1:15" ht="15.45" x14ac:dyDescent="0.4">
      <c r="A56" s="376" t="s">
        <v>259</v>
      </c>
      <c r="B56" s="358"/>
      <c r="C56" s="385">
        <f t="shared" ref="C56:I56" si="9">C42</f>
        <v>2018</v>
      </c>
      <c r="D56" s="385">
        <f t="shared" si="9"/>
        <v>2019</v>
      </c>
      <c r="E56" s="385">
        <f t="shared" si="9"/>
        <v>2020</v>
      </c>
      <c r="F56" s="385">
        <f t="shared" si="9"/>
        <v>2021</v>
      </c>
      <c r="G56" s="385">
        <f t="shared" si="9"/>
        <v>2022</v>
      </c>
      <c r="H56" s="407">
        <f t="shared" si="9"/>
        <v>2023</v>
      </c>
      <c r="I56" s="407" t="str">
        <f t="shared" si="9"/>
        <v/>
      </c>
      <c r="J56" s="367" t="s">
        <v>258</v>
      </c>
      <c r="K56" s="1"/>
      <c r="L56" s="1"/>
      <c r="M56" s="1"/>
      <c r="N56" s="1"/>
      <c r="O56" s="1"/>
    </row>
    <row r="57" spans="1:15" ht="15.45" x14ac:dyDescent="0.4">
      <c r="A57" s="358"/>
      <c r="B57" s="386" t="s">
        <v>257</v>
      </c>
      <c r="C57" s="386" t="s">
        <v>256</v>
      </c>
      <c r="D57" s="386" t="str">
        <f>IF(C41&gt;=2,"Year 2","")</f>
        <v>Year 2</v>
      </c>
      <c r="E57" s="386" t="str">
        <f>IF(C41&gt;=3,"Year 3","")</f>
        <v>Year 3</v>
      </c>
      <c r="F57" s="386" t="str">
        <f>IF(C41&gt;=4,"Year 4","")</f>
        <v>Year 4</v>
      </c>
      <c r="G57" s="386" t="str">
        <f>IF(C41&gt;=5,"Year 5","")</f>
        <v>Year 5</v>
      </c>
      <c r="H57" s="386" t="str">
        <f>IF(C41&gt;=6,"Year 6","")</f>
        <v>Year 6</v>
      </c>
      <c r="I57" s="386" t="str">
        <f>IF(C41&gt;=7,"Year 7","")</f>
        <v/>
      </c>
      <c r="J57" s="387" t="s">
        <v>160</v>
      </c>
      <c r="K57" s="1"/>
      <c r="L57" s="1"/>
      <c r="M57" s="1"/>
      <c r="N57" s="1"/>
      <c r="O57" s="1"/>
    </row>
    <row r="58" spans="1:15" ht="15.45" x14ac:dyDescent="0.4">
      <c r="A58" s="358"/>
      <c r="B58" s="369"/>
      <c r="C58" s="386"/>
      <c r="D58" s="386"/>
      <c r="E58" s="386"/>
      <c r="F58" s="386"/>
      <c r="G58" s="386"/>
      <c r="H58" s="386"/>
      <c r="I58" s="386"/>
      <c r="J58" s="387"/>
      <c r="K58" s="1"/>
      <c r="L58" s="1"/>
      <c r="M58" s="1"/>
      <c r="N58" s="1"/>
      <c r="O58" s="1"/>
    </row>
    <row r="59" spans="1:15" ht="15.45" x14ac:dyDescent="0.4">
      <c r="A59" s="369" t="s">
        <v>255</v>
      </c>
      <c r="B59" s="366">
        <f>-C38</f>
        <v>-1350</v>
      </c>
      <c r="C59" s="366">
        <f t="shared" ref="C59:I59" si="10">C53+C54</f>
        <v>44.322499999999991</v>
      </c>
      <c r="D59" s="366">
        <f t="shared" si="10"/>
        <v>42.322499999999991</v>
      </c>
      <c r="E59" s="366">
        <f t="shared" si="10"/>
        <v>42.322499999999991</v>
      </c>
      <c r="F59" s="366">
        <f t="shared" si="10"/>
        <v>42.322499999999991</v>
      </c>
      <c r="G59" s="366">
        <f t="shared" si="10"/>
        <v>42.322499999999991</v>
      </c>
      <c r="H59" s="366">
        <f t="shared" si="10"/>
        <v>1056.9225000000001</v>
      </c>
      <c r="I59" s="366">
        <f t="shared" si="10"/>
        <v>0</v>
      </c>
      <c r="J59" s="388">
        <f>SUM(B63:I63)</f>
        <v>-210.03689244891973</v>
      </c>
      <c r="K59" s="1"/>
      <c r="L59" s="16">
        <f>IRR(B59:H59,5)</f>
        <v>-1.0967160260322406E-2</v>
      </c>
      <c r="M59" s="1" t="s">
        <v>253</v>
      </c>
      <c r="N59" s="1"/>
      <c r="O59" s="1"/>
    </row>
    <row r="60" spans="1:15" ht="15.9" thickBot="1" x14ac:dyDescent="0.45">
      <c r="A60" s="389"/>
      <c r="B60" s="389"/>
      <c r="C60" s="390"/>
      <c r="D60" s="390"/>
      <c r="E60" s="390"/>
      <c r="F60" s="390"/>
      <c r="G60" s="390"/>
      <c r="H60" s="390"/>
      <c r="I60" s="390"/>
      <c r="J60" s="390"/>
      <c r="K60" s="1"/>
      <c r="L60" s="1"/>
      <c r="M60" s="1"/>
      <c r="N60" s="1"/>
      <c r="O60" s="1"/>
    </row>
    <row r="61" spans="1:15" ht="15.9" thickTop="1" x14ac:dyDescent="0.4">
      <c r="A61" s="369"/>
      <c r="B61" s="369"/>
      <c r="C61" s="358"/>
      <c r="D61" s="358"/>
      <c r="E61" s="358"/>
      <c r="F61" s="358"/>
      <c r="G61" s="358"/>
      <c r="H61" s="358"/>
      <c r="I61" s="358"/>
      <c r="J61" s="358"/>
      <c r="K61" s="1"/>
      <c r="L61" s="1"/>
      <c r="M61" s="1"/>
      <c r="N61" s="1"/>
      <c r="O61" s="1"/>
    </row>
    <row r="62" spans="1:15" ht="15.45" x14ac:dyDescent="0.4">
      <c r="A62" s="358" t="s">
        <v>254</v>
      </c>
      <c r="B62" s="358"/>
      <c r="C62" s="358"/>
      <c r="D62" s="358"/>
      <c r="E62" s="358"/>
      <c r="F62" s="358"/>
      <c r="G62" s="358"/>
      <c r="H62" s="358"/>
      <c r="I62" s="358"/>
      <c r="J62" s="358"/>
      <c r="K62" s="1"/>
      <c r="L62" s="1"/>
      <c r="M62" s="1"/>
      <c r="N62" s="1"/>
      <c r="O62" s="1"/>
    </row>
    <row r="63" spans="1:15" ht="15.45" x14ac:dyDescent="0.4">
      <c r="A63" s="358"/>
      <c r="B63" s="366">
        <f>+B59</f>
        <v>-1350</v>
      </c>
      <c r="C63" s="366">
        <f>(C59/(1+($C$7/100)))</f>
        <v>43.453431372549012</v>
      </c>
      <c r="D63" s="366">
        <f>(D59/(1+($C$7/100))^2)</f>
        <v>40.679065743944626</v>
      </c>
      <c r="E63" s="366">
        <f>(E59/(1+($C$7/100))^3)</f>
        <v>39.881437003867283</v>
      </c>
      <c r="F63" s="366">
        <f>(F59/(1+($C$7/100))^4)</f>
        <v>39.099448043007143</v>
      </c>
      <c r="G63" s="366">
        <f>(G59/(1+($C$7/100))^5)</f>
        <v>38.332792199026606</v>
      </c>
      <c r="H63" s="366">
        <f>(H59/(1+($C$7/100))^6)</f>
        <v>938.51693318868558</v>
      </c>
      <c r="I63" s="366">
        <f>(I59/(1+($C$7/100))^7)</f>
        <v>0</v>
      </c>
      <c r="J63" s="358"/>
      <c r="K63" s="1"/>
      <c r="L63" s="1"/>
      <c r="M63" s="1"/>
      <c r="N63" s="1"/>
      <c r="O63" s="1"/>
    </row>
    <row r="64" spans="1:15" ht="15.45" x14ac:dyDescent="0.4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1"/>
      <c r="L64" s="1"/>
      <c r="M64" s="1"/>
      <c r="N64" s="1"/>
      <c r="O64" s="1"/>
    </row>
    <row r="65" spans="1:15" ht="17.600000000000001" x14ac:dyDescent="0.4">
      <c r="A65" s="369"/>
      <c r="B65" s="483" t="s">
        <v>279</v>
      </c>
      <c r="C65" s="483"/>
      <c r="D65" s="483"/>
      <c r="E65" s="483"/>
      <c r="F65" s="483"/>
      <c r="G65" s="483"/>
      <c r="H65" s="483"/>
      <c r="I65" s="483"/>
      <c r="J65" s="483"/>
      <c r="K65" s="1"/>
      <c r="L65" s="1"/>
      <c r="M65" s="1"/>
      <c r="N65" s="1"/>
      <c r="O65" s="1"/>
    </row>
    <row r="66" spans="1:15" ht="15.45" x14ac:dyDescent="0.4">
      <c r="A66" s="369"/>
      <c r="B66" s="369"/>
      <c r="C66" s="358"/>
      <c r="D66" s="358"/>
      <c r="E66" s="358"/>
      <c r="F66" s="358"/>
      <c r="G66" s="358"/>
      <c r="H66" s="358"/>
      <c r="I66" s="358"/>
      <c r="J66" s="358"/>
      <c r="K66" s="1"/>
      <c r="L66" s="1"/>
      <c r="M66" s="1"/>
      <c r="N66" s="1"/>
      <c r="O66" s="1"/>
    </row>
    <row r="67" spans="1:15" ht="15.45" x14ac:dyDescent="0.4">
      <c r="A67" s="391"/>
      <c r="B67" s="391"/>
      <c r="C67" s="391"/>
      <c r="D67" s="391"/>
      <c r="E67" s="392" t="s">
        <v>278</v>
      </c>
      <c r="F67" s="391"/>
      <c r="G67" s="391"/>
      <c r="H67" s="408">
        <f>H5</f>
        <v>1200</v>
      </c>
      <c r="I67" s="391" t="s">
        <v>86</v>
      </c>
      <c r="J67" s="391"/>
      <c r="K67" s="1"/>
      <c r="L67" s="1"/>
      <c r="M67" s="1"/>
      <c r="N67" s="1"/>
      <c r="O67" s="1"/>
    </row>
    <row r="68" spans="1:15" ht="15.45" x14ac:dyDescent="0.4">
      <c r="A68" s="392" t="s">
        <v>277</v>
      </c>
      <c r="B68" s="392"/>
      <c r="C68" s="393">
        <f>C6</f>
        <v>1350</v>
      </c>
      <c r="D68" s="391"/>
      <c r="E68" s="392" t="s">
        <v>276</v>
      </c>
      <c r="F68" s="392"/>
      <c r="G68" s="391"/>
      <c r="H68" s="408">
        <f>H6</f>
        <v>550</v>
      </c>
      <c r="I68" s="391" t="s">
        <v>86</v>
      </c>
      <c r="J68" s="394" t="s">
        <v>275</v>
      </c>
      <c r="K68" s="1"/>
      <c r="L68" s="1"/>
      <c r="M68" s="1"/>
      <c r="N68" s="1"/>
      <c r="O68" s="1"/>
    </row>
    <row r="69" spans="1:15" ht="15.45" x14ac:dyDescent="0.4">
      <c r="A69" s="391"/>
      <c r="B69" s="391"/>
      <c r="C69" s="395"/>
      <c r="D69" s="391"/>
      <c r="E69" s="392" t="s">
        <v>274</v>
      </c>
      <c r="F69" s="392"/>
      <c r="G69" s="391"/>
      <c r="H69" s="408">
        <f>H7</f>
        <v>530</v>
      </c>
      <c r="I69" s="391" t="s">
        <v>86</v>
      </c>
      <c r="J69" s="396" t="s">
        <v>160</v>
      </c>
      <c r="K69" s="1"/>
      <c r="L69" s="1"/>
      <c r="M69" s="1"/>
      <c r="N69" s="1"/>
      <c r="O69" s="1"/>
    </row>
    <row r="70" spans="1:15" ht="15.45" x14ac:dyDescent="0.4">
      <c r="A70" s="392" t="s">
        <v>273</v>
      </c>
      <c r="B70" s="392"/>
      <c r="C70" s="397"/>
      <c r="D70" s="391"/>
      <c r="E70" s="392"/>
      <c r="F70" s="391"/>
      <c r="G70" s="391"/>
      <c r="H70" s="398"/>
      <c r="I70" s="391"/>
      <c r="J70" s="399">
        <f>J89</f>
        <v>-229.5993459841726</v>
      </c>
      <c r="K70" s="1"/>
      <c r="L70" s="1"/>
      <c r="M70" s="1"/>
      <c r="N70" s="1"/>
      <c r="O70" s="1"/>
    </row>
    <row r="71" spans="1:15" ht="15.45" x14ac:dyDescent="0.4">
      <c r="A71" s="392" t="s">
        <v>272</v>
      </c>
      <c r="B71" s="392"/>
      <c r="C71" s="423">
        <f>IF((C9-2)&gt;0,(C9-2),1)</f>
        <v>5</v>
      </c>
      <c r="D71" s="391"/>
      <c r="E71" s="392" t="s">
        <v>271</v>
      </c>
      <c r="F71" s="391"/>
      <c r="G71" s="391"/>
      <c r="H71" s="409">
        <f>C7</f>
        <v>2</v>
      </c>
      <c r="I71" s="391" t="s">
        <v>6</v>
      </c>
      <c r="J71" s="391"/>
      <c r="K71" s="1"/>
      <c r="L71" s="1"/>
      <c r="M71" s="1"/>
      <c r="N71" s="1"/>
      <c r="O71" s="1"/>
    </row>
    <row r="72" spans="1:15" ht="15.45" x14ac:dyDescent="0.4">
      <c r="A72" s="392" t="s">
        <v>259</v>
      </c>
      <c r="B72" s="392"/>
      <c r="C72" s="401">
        <f>C10</f>
        <v>2018</v>
      </c>
      <c r="D72" s="402">
        <f>IF(C$71&gt;=2,(C72+1),"")</f>
        <v>2019</v>
      </c>
      <c r="E72" s="402">
        <f>IF(C$71&gt;=3,D72+1,"")</f>
        <v>2020</v>
      </c>
      <c r="F72" s="402">
        <f>IF(C$71&gt;=4,E72+1,"")</f>
        <v>2021</v>
      </c>
      <c r="G72" s="402">
        <f>IF(C$71&gt;=5,F72+1,"")</f>
        <v>2022</v>
      </c>
      <c r="H72" s="402" t="str">
        <f>IF(C$71&gt;=6,G72+1,"")</f>
        <v/>
      </c>
      <c r="I72" s="402" t="str">
        <f>IF(C$71&gt;=7,H72+1,"")</f>
        <v/>
      </c>
      <c r="J72" s="391"/>
      <c r="K72" s="1"/>
      <c r="L72" s="1"/>
      <c r="M72" s="1"/>
      <c r="N72" s="1"/>
      <c r="O72" s="1"/>
    </row>
    <row r="73" spans="1:15" ht="15.45" x14ac:dyDescent="0.4">
      <c r="A73" s="403"/>
      <c r="B73" s="403"/>
      <c r="C73" s="402" t="str">
        <f>IF(C71&gt;=1,"Year 1","")</f>
        <v>Year 1</v>
      </c>
      <c r="D73" s="402" t="str">
        <f>IF(C$71&gt;=2,"Year 2","")</f>
        <v>Year 2</v>
      </c>
      <c r="E73" s="402" t="str">
        <f>IF(C$71&gt;=3,"Year 3","")</f>
        <v>Year 3</v>
      </c>
      <c r="F73" s="402" t="str">
        <f>IF(C$71&gt;=4,"Year 4","")</f>
        <v>Year 4</v>
      </c>
      <c r="G73" s="402" t="str">
        <f>IF(C$71&gt;=5,"Year 5","")</f>
        <v>Year 5</v>
      </c>
      <c r="H73" s="402" t="str">
        <f>IF(C$71&gt;=6,"Year 6","")</f>
        <v/>
      </c>
      <c r="I73" s="402" t="str">
        <f>IF(C$71&gt;=7,"Year 7","")</f>
        <v/>
      </c>
      <c r="J73" s="391"/>
      <c r="K73" s="1"/>
      <c r="L73" s="1"/>
      <c r="M73" s="1"/>
      <c r="N73" s="1"/>
      <c r="O73" s="1"/>
    </row>
    <row r="74" spans="1:15" ht="15.45" x14ac:dyDescent="0.4">
      <c r="A74" s="392" t="s">
        <v>270</v>
      </c>
      <c r="B74" s="392"/>
      <c r="C74" s="401">
        <f t="shared" ref="C74:I76" si="11">C12</f>
        <v>85</v>
      </c>
      <c r="D74" s="401">
        <f t="shared" si="11"/>
        <v>85</v>
      </c>
      <c r="E74" s="401">
        <f t="shared" si="11"/>
        <v>85</v>
      </c>
      <c r="F74" s="401">
        <f t="shared" si="11"/>
        <v>85</v>
      </c>
      <c r="G74" s="401">
        <f t="shared" si="11"/>
        <v>85</v>
      </c>
      <c r="H74" s="401">
        <f t="shared" si="11"/>
        <v>85</v>
      </c>
      <c r="I74" s="401">
        <f t="shared" si="11"/>
        <v>85</v>
      </c>
      <c r="J74" s="391"/>
      <c r="K74" s="1"/>
      <c r="L74" s="18">
        <f>SUM(C74:G74)/C71</f>
        <v>85</v>
      </c>
      <c r="M74" s="1" t="s">
        <v>282</v>
      </c>
      <c r="N74" s="1"/>
      <c r="O74" s="1"/>
    </row>
    <row r="75" spans="1:15" ht="15.45" x14ac:dyDescent="0.4">
      <c r="A75" s="392" t="s">
        <v>268</v>
      </c>
      <c r="B75" s="392"/>
      <c r="C75" s="393">
        <f t="shared" si="11"/>
        <v>165.75</v>
      </c>
      <c r="D75" s="393">
        <f t="shared" si="11"/>
        <v>165</v>
      </c>
      <c r="E75" s="393">
        <f t="shared" si="11"/>
        <v>165</v>
      </c>
      <c r="F75" s="393">
        <f t="shared" si="11"/>
        <v>165</v>
      </c>
      <c r="G75" s="393">
        <f t="shared" si="11"/>
        <v>165</v>
      </c>
      <c r="H75" s="393">
        <f t="shared" si="11"/>
        <v>165</v>
      </c>
      <c r="I75" s="393">
        <f t="shared" si="11"/>
        <v>165</v>
      </c>
      <c r="J75" s="391"/>
      <c r="K75" s="1"/>
      <c r="L75" s="2">
        <f>SUM(C75:G75)/C71</f>
        <v>165.15</v>
      </c>
      <c r="M75" s="1" t="s">
        <v>281</v>
      </c>
      <c r="N75" s="1"/>
      <c r="O75" s="1"/>
    </row>
    <row r="76" spans="1:15" ht="15.45" x14ac:dyDescent="0.4">
      <c r="A76" s="392" t="s">
        <v>266</v>
      </c>
      <c r="B76" s="392"/>
      <c r="C76" s="393">
        <f t="shared" si="11"/>
        <v>151.125</v>
      </c>
      <c r="D76" s="393">
        <f t="shared" si="11"/>
        <v>151</v>
      </c>
      <c r="E76" s="393">
        <f t="shared" si="11"/>
        <v>151</v>
      </c>
      <c r="F76" s="393">
        <f t="shared" si="11"/>
        <v>151</v>
      </c>
      <c r="G76" s="393">
        <f t="shared" si="11"/>
        <v>151</v>
      </c>
      <c r="H76" s="393">
        <f t="shared" si="11"/>
        <v>151</v>
      </c>
      <c r="I76" s="393">
        <f t="shared" si="11"/>
        <v>151</v>
      </c>
      <c r="J76" s="391"/>
      <c r="K76" s="1"/>
      <c r="L76" s="1"/>
      <c r="M76" s="1"/>
      <c r="N76" s="1"/>
      <c r="O76" s="1"/>
    </row>
    <row r="77" spans="1:15" ht="15.45" x14ac:dyDescent="0.4">
      <c r="A77" s="392" t="s">
        <v>265</v>
      </c>
      <c r="B77" s="392"/>
      <c r="C77" s="405">
        <f t="shared" ref="C77:I77" si="12">ROUND(7+(C75*0.47),2)</f>
        <v>84.9</v>
      </c>
      <c r="D77" s="405">
        <f t="shared" si="12"/>
        <v>84.55</v>
      </c>
      <c r="E77" s="405">
        <f t="shared" si="12"/>
        <v>84.55</v>
      </c>
      <c r="F77" s="405">
        <f t="shared" si="12"/>
        <v>84.55</v>
      </c>
      <c r="G77" s="405">
        <f t="shared" si="12"/>
        <v>84.55</v>
      </c>
      <c r="H77" s="405">
        <f t="shared" si="12"/>
        <v>84.55</v>
      </c>
      <c r="I77" s="405">
        <f t="shared" si="12"/>
        <v>84.55</v>
      </c>
      <c r="J77" s="391"/>
      <c r="K77" s="1"/>
      <c r="L77" s="1"/>
      <c r="M77" s="1"/>
      <c r="N77" s="1"/>
      <c r="O77" s="1"/>
    </row>
    <row r="78" spans="1:15" ht="15.45" x14ac:dyDescent="0.4">
      <c r="A78" s="391"/>
      <c r="B78" s="391"/>
      <c r="C78" s="391"/>
      <c r="D78" s="391"/>
      <c r="E78" s="391"/>
      <c r="F78" s="391"/>
      <c r="G78" s="391"/>
      <c r="H78" s="391"/>
      <c r="I78" s="391"/>
      <c r="J78" s="391"/>
      <c r="K78" s="1"/>
      <c r="L78" s="1"/>
      <c r="M78" s="1"/>
      <c r="N78" s="1"/>
      <c r="O78" s="1"/>
    </row>
    <row r="79" spans="1:15" ht="15.45" x14ac:dyDescent="0.4">
      <c r="A79" s="392" t="s">
        <v>264</v>
      </c>
      <c r="B79" s="392"/>
      <c r="C79" s="406">
        <f t="shared" ref="C79:I79" si="13">IF(AND($C$9&gt;0,C$12&gt;0),ROUND(((($H$6*C75)+($H$7*C76))/100)/2*C$12*0.01,0),0)</f>
        <v>728</v>
      </c>
      <c r="D79" s="406">
        <f t="shared" si="13"/>
        <v>726</v>
      </c>
      <c r="E79" s="406">
        <f t="shared" si="13"/>
        <v>726</v>
      </c>
      <c r="F79" s="406">
        <f t="shared" si="13"/>
        <v>726</v>
      </c>
      <c r="G79" s="406">
        <f t="shared" si="13"/>
        <v>726</v>
      </c>
      <c r="H79" s="406">
        <f t="shared" si="13"/>
        <v>726</v>
      </c>
      <c r="I79" s="406">
        <f t="shared" si="13"/>
        <v>726</v>
      </c>
      <c r="J79" s="391"/>
      <c r="K79" s="1"/>
      <c r="L79" s="1"/>
      <c r="M79" s="1"/>
      <c r="N79" s="1"/>
      <c r="O79" s="1"/>
    </row>
    <row r="80" spans="1:15" ht="15.45" x14ac:dyDescent="0.4">
      <c r="A80" s="391"/>
      <c r="B80" s="391"/>
      <c r="C80" s="391"/>
      <c r="D80" s="391"/>
      <c r="E80" s="391"/>
      <c r="F80" s="391"/>
      <c r="G80" s="391"/>
      <c r="H80" s="391"/>
      <c r="I80" s="391"/>
      <c r="J80" s="391"/>
      <c r="K80" s="1"/>
      <c r="L80" s="1"/>
      <c r="M80" s="1"/>
      <c r="N80" s="1"/>
      <c r="O80" s="1"/>
    </row>
    <row r="81" spans="1:15" ht="15.45" x14ac:dyDescent="0.4">
      <c r="A81" s="392" t="s">
        <v>263</v>
      </c>
      <c r="B81" s="392"/>
      <c r="C81" s="404">
        <f t="shared" ref="C81:I81" si="14">C51</f>
        <v>683.67750000000001</v>
      </c>
      <c r="D81" s="404">
        <f t="shared" si="14"/>
        <v>683.67750000000001</v>
      </c>
      <c r="E81" s="404">
        <f t="shared" si="14"/>
        <v>683.67750000000001</v>
      </c>
      <c r="F81" s="404">
        <f t="shared" si="14"/>
        <v>683.67750000000001</v>
      </c>
      <c r="G81" s="404">
        <f t="shared" si="14"/>
        <v>683.67750000000001</v>
      </c>
      <c r="H81" s="404">
        <f t="shared" si="14"/>
        <v>683.67750000000001</v>
      </c>
      <c r="I81" s="404">
        <f t="shared" si="14"/>
        <v>683.67750000000001</v>
      </c>
      <c r="J81" s="391"/>
      <c r="K81" s="1"/>
      <c r="L81" s="2">
        <f>SUM(C81:G81)/C71</f>
        <v>683.67750000000001</v>
      </c>
      <c r="M81" s="1" t="s">
        <v>280</v>
      </c>
      <c r="N81" s="1"/>
      <c r="O81" s="1"/>
    </row>
    <row r="82" spans="1:15" ht="15.45" x14ac:dyDescent="0.4">
      <c r="A82" s="358"/>
      <c r="B82" s="358"/>
      <c r="C82" s="358"/>
      <c r="D82" s="358"/>
      <c r="E82" s="358"/>
      <c r="F82" s="358"/>
      <c r="G82" s="358"/>
      <c r="H82" s="358"/>
      <c r="I82" s="358"/>
      <c r="J82" s="358"/>
      <c r="K82" s="1"/>
      <c r="L82" s="1"/>
      <c r="M82" s="1"/>
      <c r="N82" s="1"/>
      <c r="O82" s="1"/>
    </row>
    <row r="83" spans="1:15" ht="15.45" x14ac:dyDescent="0.4">
      <c r="A83" s="369" t="s">
        <v>261</v>
      </c>
      <c r="B83" s="369"/>
      <c r="C83" s="383">
        <f>IF(C71&gt;=1,+C79-C81,0)</f>
        <v>44.322499999999991</v>
      </c>
      <c r="D83" s="383">
        <f>IF(C71&gt;=2,+D79-D81,0)</f>
        <v>42.322499999999991</v>
      </c>
      <c r="E83" s="383">
        <f>IF(C71&gt;=3,+E79-E81,0)</f>
        <v>42.322499999999991</v>
      </c>
      <c r="F83" s="383">
        <f>IF(C71&gt;=4,+F79-F81,0)</f>
        <v>42.322499999999991</v>
      </c>
      <c r="G83" s="383">
        <f>IF(C71&gt;=5,+G79-G81,0)</f>
        <v>42.322499999999991</v>
      </c>
      <c r="H83" s="383">
        <f>IF(C71&gt;=6,+H79-H81,0)</f>
        <v>0</v>
      </c>
      <c r="I83" s="383">
        <f>IF(C71&gt;=7,+I79-I81,0)</f>
        <v>0</v>
      </c>
      <c r="J83" s="358"/>
      <c r="K83" s="1"/>
      <c r="L83" s="1"/>
      <c r="M83" s="1"/>
      <c r="N83" s="1"/>
      <c r="O83" s="1"/>
    </row>
    <row r="84" spans="1:15" ht="15.45" x14ac:dyDescent="0.4">
      <c r="A84" s="369" t="s">
        <v>260</v>
      </c>
      <c r="B84" s="369"/>
      <c r="C84" s="366">
        <f>IF(C71=1,ROUND(+C77*$H$5/100,2),0)</f>
        <v>0</v>
      </c>
      <c r="D84" s="366">
        <f>IF(C71=2,ROUND(+D77*$H$5/100,2),0)</f>
        <v>0</v>
      </c>
      <c r="E84" s="366">
        <f>IF(C71=3,ROUND(+E77*$H$5/100,2),0)</f>
        <v>0</v>
      </c>
      <c r="F84" s="366">
        <f>IF(C71=4,ROUND(+F77*$H$5/100,2),0)</f>
        <v>0</v>
      </c>
      <c r="G84" s="366">
        <f>IF(C71=5,ROUND(+G77*$H$5/100,2),0)</f>
        <v>1014.6</v>
      </c>
      <c r="H84" s="366">
        <f>IF(C71=6,ROUND(+H77*$H$5/100,2),0)</f>
        <v>0</v>
      </c>
      <c r="I84" s="366">
        <f>IF(C71=7,ROUND(+I77*$H$5/100,2),0)</f>
        <v>0</v>
      </c>
      <c r="J84" s="358"/>
      <c r="K84" s="1"/>
      <c r="L84" s="1"/>
      <c r="M84" s="1"/>
      <c r="N84" s="1"/>
      <c r="O84" s="1"/>
    </row>
    <row r="85" spans="1:15" ht="15.45" x14ac:dyDescent="0.4">
      <c r="A85" s="358"/>
      <c r="B85" s="358"/>
      <c r="C85" s="358"/>
      <c r="D85" s="358"/>
      <c r="E85" s="358"/>
      <c r="F85" s="358"/>
      <c r="G85" s="358"/>
      <c r="H85" s="358"/>
      <c r="I85" s="358"/>
      <c r="J85" s="358"/>
      <c r="K85" s="1"/>
      <c r="L85" s="1"/>
      <c r="M85" s="1"/>
      <c r="N85" s="1"/>
      <c r="O85" s="1"/>
    </row>
    <row r="86" spans="1:15" ht="15.45" x14ac:dyDescent="0.4">
      <c r="A86" s="376" t="s">
        <v>259</v>
      </c>
      <c r="B86" s="358"/>
      <c r="C86" s="385">
        <f t="shared" ref="C86:I86" si="15">C72</f>
        <v>2018</v>
      </c>
      <c r="D86" s="385">
        <f t="shared" si="15"/>
        <v>2019</v>
      </c>
      <c r="E86" s="385">
        <f t="shared" si="15"/>
        <v>2020</v>
      </c>
      <c r="F86" s="385">
        <f t="shared" si="15"/>
        <v>2021</v>
      </c>
      <c r="G86" s="385">
        <f t="shared" si="15"/>
        <v>2022</v>
      </c>
      <c r="H86" s="407" t="str">
        <f t="shared" si="15"/>
        <v/>
      </c>
      <c r="I86" s="407" t="str">
        <f t="shared" si="15"/>
        <v/>
      </c>
      <c r="J86" s="367" t="s">
        <v>258</v>
      </c>
      <c r="K86" s="1"/>
      <c r="L86" s="1"/>
      <c r="M86" s="1"/>
      <c r="N86" s="1"/>
      <c r="O86" s="1"/>
    </row>
    <row r="87" spans="1:15" ht="15.45" x14ac:dyDescent="0.4">
      <c r="A87" s="358"/>
      <c r="B87" s="386" t="s">
        <v>257</v>
      </c>
      <c r="C87" s="386" t="s">
        <v>256</v>
      </c>
      <c r="D87" s="386" t="str">
        <f>IF(C71&gt;=2,"Year 2","")</f>
        <v>Year 2</v>
      </c>
      <c r="E87" s="386" t="str">
        <f>IF(C71&gt;=3,"Year 3","")</f>
        <v>Year 3</v>
      </c>
      <c r="F87" s="386" t="str">
        <f>IF(C71&gt;=4,"Year 4","")</f>
        <v>Year 4</v>
      </c>
      <c r="G87" s="386" t="str">
        <f>IF(C71&gt;=5,"Year 5","")</f>
        <v>Year 5</v>
      </c>
      <c r="H87" s="386" t="str">
        <f>IF(C71&gt;=6,"Year 6","")</f>
        <v/>
      </c>
      <c r="I87" s="386" t="str">
        <f>IF(C71&gt;=7,"Year 7","")</f>
        <v/>
      </c>
      <c r="J87" s="387" t="s">
        <v>160</v>
      </c>
      <c r="K87" s="1"/>
      <c r="L87" s="1"/>
      <c r="M87" s="1"/>
      <c r="N87" s="1"/>
      <c r="O87" s="1"/>
    </row>
    <row r="88" spans="1:15" ht="15.45" x14ac:dyDescent="0.4">
      <c r="A88" s="358"/>
      <c r="B88" s="369"/>
      <c r="C88" s="386"/>
      <c r="D88" s="386"/>
      <c r="E88" s="386"/>
      <c r="F88" s="386"/>
      <c r="G88" s="386"/>
      <c r="H88" s="386"/>
      <c r="I88" s="386"/>
      <c r="J88" s="387"/>
      <c r="K88" s="1"/>
      <c r="L88" s="1"/>
      <c r="M88" s="1"/>
      <c r="N88" s="1"/>
      <c r="O88" s="1"/>
    </row>
    <row r="89" spans="1:15" ht="15.45" x14ac:dyDescent="0.4">
      <c r="A89" s="369" t="s">
        <v>255</v>
      </c>
      <c r="B89" s="366">
        <f>-C68</f>
        <v>-1350</v>
      </c>
      <c r="C89" s="366">
        <f t="shared" ref="C89:I89" si="16">C83+C84</f>
        <v>44.322499999999991</v>
      </c>
      <c r="D89" s="366">
        <f t="shared" si="16"/>
        <v>42.322499999999991</v>
      </c>
      <c r="E89" s="366">
        <f t="shared" si="16"/>
        <v>42.322499999999991</v>
      </c>
      <c r="F89" s="366">
        <f t="shared" si="16"/>
        <v>42.322499999999991</v>
      </c>
      <c r="G89" s="366">
        <f t="shared" si="16"/>
        <v>1056.9225000000001</v>
      </c>
      <c r="H89" s="366">
        <f t="shared" si="16"/>
        <v>0</v>
      </c>
      <c r="I89" s="366">
        <f t="shared" si="16"/>
        <v>0</v>
      </c>
      <c r="J89" s="388">
        <f>SUM(B93:I93)</f>
        <v>-229.5993459841726</v>
      </c>
      <c r="K89" s="1"/>
      <c r="L89" s="16">
        <f>IRR(B89:G89,5)</f>
        <v>-2.0091680533118716E-2</v>
      </c>
      <c r="M89" s="1" t="s">
        <v>253</v>
      </c>
      <c r="N89" s="1"/>
      <c r="O89" s="1"/>
    </row>
    <row r="90" spans="1:15" ht="15.9" thickBot="1" x14ac:dyDescent="0.45">
      <c r="A90" s="389"/>
      <c r="B90" s="389"/>
      <c r="C90" s="390"/>
      <c r="D90" s="390"/>
      <c r="E90" s="390"/>
      <c r="F90" s="390"/>
      <c r="G90" s="390"/>
      <c r="H90" s="390"/>
      <c r="I90" s="390"/>
      <c r="J90" s="390"/>
      <c r="K90" s="1"/>
      <c r="L90" s="1"/>
      <c r="M90" s="1"/>
      <c r="N90" s="1"/>
      <c r="O90" s="1"/>
    </row>
    <row r="91" spans="1:15" ht="15.9" thickTop="1" x14ac:dyDescent="0.4">
      <c r="A91" s="369"/>
      <c r="B91" s="369"/>
      <c r="C91" s="358"/>
      <c r="D91" s="358"/>
      <c r="E91" s="358"/>
      <c r="F91" s="358"/>
      <c r="G91" s="358"/>
      <c r="H91" s="358"/>
      <c r="I91" s="358"/>
      <c r="J91" s="358"/>
      <c r="K91" s="1"/>
      <c r="L91" s="1"/>
      <c r="M91" s="1"/>
      <c r="N91" s="1"/>
      <c r="O91" s="1"/>
    </row>
    <row r="92" spans="1:15" ht="15.45" x14ac:dyDescent="0.4">
      <c r="A92" s="358" t="s">
        <v>254</v>
      </c>
      <c r="B92" s="358"/>
      <c r="C92" s="358"/>
      <c r="D92" s="358"/>
      <c r="E92" s="358"/>
      <c r="F92" s="358"/>
      <c r="G92" s="358"/>
      <c r="H92" s="358"/>
      <c r="I92" s="358"/>
      <c r="J92" s="358"/>
      <c r="K92" s="1"/>
      <c r="L92" s="1"/>
      <c r="M92" s="1"/>
      <c r="N92" s="1"/>
      <c r="O92" s="1"/>
    </row>
    <row r="93" spans="1:15" ht="15.45" x14ac:dyDescent="0.4">
      <c r="A93" s="358"/>
      <c r="B93" s="366">
        <f>+B89</f>
        <v>-1350</v>
      </c>
      <c r="C93" s="366">
        <f>(C89/(1+($C$7/100)))</f>
        <v>43.453431372549012</v>
      </c>
      <c r="D93" s="366">
        <f>(D89/(1+($C$7/100))^2)</f>
        <v>40.679065743944626</v>
      </c>
      <c r="E93" s="366">
        <f>(E89/(1+($C$7/100))^3)</f>
        <v>39.881437003867283</v>
      </c>
      <c r="F93" s="366">
        <f>(F89/(1+($C$7/100))^4)</f>
        <v>39.099448043007143</v>
      </c>
      <c r="G93" s="366">
        <f>(G89/(1+($C$7/100))^5)</f>
        <v>957.28727185245941</v>
      </c>
      <c r="H93" s="366">
        <f>(H89/(1+($C$7/100))^6)</f>
        <v>0</v>
      </c>
      <c r="I93" s="366">
        <f>(I89/(1+($C$7/100))^7)</f>
        <v>0</v>
      </c>
      <c r="J93" s="358"/>
      <c r="K93" s="1"/>
      <c r="L93" s="1"/>
      <c r="M93" s="1"/>
      <c r="N93" s="1"/>
      <c r="O93" s="1"/>
    </row>
    <row r="94" spans="1:15" ht="15.45" x14ac:dyDescent="0.4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1"/>
      <c r="L94" s="1"/>
      <c r="M94" s="1"/>
      <c r="N94" s="1"/>
      <c r="O94" s="1"/>
    </row>
    <row r="95" spans="1:15" ht="17.600000000000001" x14ac:dyDescent="0.4">
      <c r="A95" s="369"/>
      <c r="B95" s="483" t="s">
        <v>279</v>
      </c>
      <c r="C95" s="483"/>
      <c r="D95" s="483"/>
      <c r="E95" s="483"/>
      <c r="F95" s="483"/>
      <c r="G95" s="483"/>
      <c r="H95" s="483"/>
      <c r="I95" s="483"/>
      <c r="J95" s="483"/>
      <c r="K95" s="1"/>
      <c r="L95" s="1"/>
      <c r="M95" s="1"/>
      <c r="N95" s="1"/>
      <c r="O95" s="1"/>
    </row>
    <row r="96" spans="1:15" ht="15.45" x14ac:dyDescent="0.4">
      <c r="A96" s="369"/>
      <c r="B96" s="369"/>
      <c r="C96" s="358"/>
      <c r="D96" s="358"/>
      <c r="E96" s="358"/>
      <c r="F96" s="358"/>
      <c r="G96" s="358"/>
      <c r="H96" s="358"/>
      <c r="I96" s="358"/>
      <c r="J96" s="358"/>
      <c r="K96" s="1"/>
      <c r="L96" s="1"/>
      <c r="M96" s="1"/>
      <c r="N96" s="1"/>
      <c r="O96" s="1"/>
    </row>
    <row r="97" spans="1:15" ht="15.45" x14ac:dyDescent="0.4">
      <c r="A97" s="391"/>
      <c r="B97" s="391"/>
      <c r="C97" s="391"/>
      <c r="D97" s="391"/>
      <c r="E97" s="392" t="s">
        <v>278</v>
      </c>
      <c r="F97" s="391"/>
      <c r="G97" s="391"/>
      <c r="H97" s="408">
        <f>H5</f>
        <v>1200</v>
      </c>
      <c r="I97" s="391" t="s">
        <v>86</v>
      </c>
      <c r="J97" s="391"/>
      <c r="K97" s="1"/>
      <c r="L97" s="1"/>
      <c r="M97" s="1"/>
      <c r="N97" s="1"/>
      <c r="O97" s="1"/>
    </row>
    <row r="98" spans="1:15" ht="15.45" x14ac:dyDescent="0.4">
      <c r="A98" s="392" t="s">
        <v>277</v>
      </c>
      <c r="B98" s="392"/>
      <c r="C98" s="393">
        <f>C6</f>
        <v>1350</v>
      </c>
      <c r="D98" s="391"/>
      <c r="E98" s="392" t="s">
        <v>276</v>
      </c>
      <c r="F98" s="392"/>
      <c r="G98" s="391"/>
      <c r="H98" s="408">
        <f>H6</f>
        <v>550</v>
      </c>
      <c r="I98" s="391" t="s">
        <v>86</v>
      </c>
      <c r="J98" s="394" t="s">
        <v>275</v>
      </c>
      <c r="K98" s="1"/>
      <c r="L98" s="1"/>
      <c r="M98" s="1"/>
      <c r="N98" s="1"/>
      <c r="O98" s="1"/>
    </row>
    <row r="99" spans="1:15" ht="15.45" x14ac:dyDescent="0.4">
      <c r="A99" s="391"/>
      <c r="B99" s="391"/>
      <c r="C99" s="395"/>
      <c r="D99" s="391"/>
      <c r="E99" s="392" t="s">
        <v>274</v>
      </c>
      <c r="F99" s="392"/>
      <c r="G99" s="391"/>
      <c r="H99" s="408">
        <f>H7</f>
        <v>530</v>
      </c>
      <c r="I99" s="391" t="s">
        <v>86</v>
      </c>
      <c r="J99" s="396" t="s">
        <v>160</v>
      </c>
      <c r="K99" s="1"/>
      <c r="L99" s="1"/>
      <c r="M99" s="1"/>
      <c r="N99" s="1"/>
      <c r="O99" s="1"/>
    </row>
    <row r="100" spans="1:15" ht="15.45" x14ac:dyDescent="0.4">
      <c r="A100" s="392" t="s">
        <v>273</v>
      </c>
      <c r="B100" s="392"/>
      <c r="C100" s="397"/>
      <c r="D100" s="391"/>
      <c r="E100" s="392"/>
      <c r="F100" s="391"/>
      <c r="G100" s="391"/>
      <c r="H100" s="398"/>
      <c r="I100" s="391"/>
      <c r="J100" s="399">
        <f>J119</f>
        <v>-249.55304859013063</v>
      </c>
      <c r="K100" s="1"/>
      <c r="L100" s="1"/>
      <c r="M100" s="1"/>
      <c r="N100" s="1"/>
      <c r="O100" s="1"/>
    </row>
    <row r="101" spans="1:15" ht="15.45" x14ac:dyDescent="0.4">
      <c r="A101" s="392" t="s">
        <v>272</v>
      </c>
      <c r="B101" s="392"/>
      <c r="C101" s="423">
        <f>IF((C9-3)&gt;0,(C9-3),1)</f>
        <v>4</v>
      </c>
      <c r="D101" s="391"/>
      <c r="E101" s="392" t="s">
        <v>271</v>
      </c>
      <c r="F101" s="391"/>
      <c r="G101" s="391"/>
      <c r="H101" s="409">
        <f>C7</f>
        <v>2</v>
      </c>
      <c r="I101" s="391" t="s">
        <v>6</v>
      </c>
      <c r="J101" s="391"/>
      <c r="K101" s="1"/>
      <c r="L101" s="1"/>
      <c r="M101" s="1"/>
      <c r="N101" s="1"/>
      <c r="O101" s="1"/>
    </row>
    <row r="102" spans="1:15" ht="15.45" x14ac:dyDescent="0.4">
      <c r="A102" s="392" t="s">
        <v>259</v>
      </c>
      <c r="B102" s="392"/>
      <c r="C102" s="422">
        <f>C10</f>
        <v>2018</v>
      </c>
      <c r="D102" s="402">
        <f>IF(C$101&gt;=2,(C102+1),"")</f>
        <v>2019</v>
      </c>
      <c r="E102" s="402">
        <f>IF(C$101&gt;=3,D102+1,"")</f>
        <v>2020</v>
      </c>
      <c r="F102" s="402">
        <f>IF(C$101&gt;=4,E102+1,"")</f>
        <v>2021</v>
      </c>
      <c r="G102" s="402" t="str">
        <f>IF(C$101&gt;=5,F102+1,"")</f>
        <v/>
      </c>
      <c r="H102" s="402" t="str">
        <f>IF(C$101&gt;=6,G102+1,"")</f>
        <v/>
      </c>
      <c r="I102" s="402" t="str">
        <f>IF(C$101&gt;=7,H102+1,"")</f>
        <v/>
      </c>
      <c r="J102" s="391"/>
      <c r="K102" s="1"/>
      <c r="L102" s="1"/>
      <c r="M102" s="1"/>
      <c r="N102" s="1"/>
      <c r="O102" s="1"/>
    </row>
    <row r="103" spans="1:15" ht="15.45" x14ac:dyDescent="0.4">
      <c r="A103" s="403"/>
      <c r="B103" s="403"/>
      <c r="C103" s="402" t="str">
        <f>IF(C101&gt;=1,"Year 1","")</f>
        <v>Year 1</v>
      </c>
      <c r="D103" s="402" t="str">
        <f>IF(C$101&gt;=2,"Year 2","")</f>
        <v>Year 2</v>
      </c>
      <c r="E103" s="402" t="str">
        <f>IF(C$101&gt;=3,"Year 3","")</f>
        <v>Year 3</v>
      </c>
      <c r="F103" s="402" t="str">
        <f>IF(C$101&gt;=4,"Year 4","")</f>
        <v>Year 4</v>
      </c>
      <c r="G103" s="402" t="str">
        <f>IF(C$101&gt;=5,"Year 5","")</f>
        <v/>
      </c>
      <c r="H103" s="402" t="str">
        <f>IF(C$101&gt;=6,"Year 6","")</f>
        <v/>
      </c>
      <c r="I103" s="402" t="str">
        <f>IF(C$101&gt;=7,"Year 7","")</f>
        <v/>
      </c>
      <c r="J103" s="391"/>
      <c r="K103" s="1"/>
      <c r="L103" s="1"/>
      <c r="M103" s="1"/>
      <c r="N103" s="1"/>
      <c r="O103" s="1"/>
    </row>
    <row r="104" spans="1:15" ht="15.45" x14ac:dyDescent="0.4">
      <c r="A104" s="392" t="s">
        <v>270</v>
      </c>
      <c r="B104" s="392"/>
      <c r="C104" s="401">
        <f t="shared" ref="C104:I106" si="17">C12</f>
        <v>85</v>
      </c>
      <c r="D104" s="401">
        <f t="shared" si="17"/>
        <v>85</v>
      </c>
      <c r="E104" s="401">
        <f t="shared" si="17"/>
        <v>85</v>
      </c>
      <c r="F104" s="401">
        <f t="shared" si="17"/>
        <v>85</v>
      </c>
      <c r="G104" s="401">
        <f t="shared" si="17"/>
        <v>85</v>
      </c>
      <c r="H104" s="401">
        <f t="shared" si="17"/>
        <v>85</v>
      </c>
      <c r="I104" s="401">
        <f t="shared" si="17"/>
        <v>85</v>
      </c>
      <c r="J104" s="391"/>
      <c r="K104" s="1"/>
      <c r="L104" s="18">
        <f>SUM(C104:F104)/C101</f>
        <v>85</v>
      </c>
      <c r="M104" s="1" t="s">
        <v>269</v>
      </c>
      <c r="N104" s="1"/>
      <c r="O104" s="1"/>
    </row>
    <row r="105" spans="1:15" ht="15.45" x14ac:dyDescent="0.4">
      <c r="A105" s="392" t="s">
        <v>268</v>
      </c>
      <c r="B105" s="392"/>
      <c r="C105" s="393">
        <f t="shared" si="17"/>
        <v>165.75</v>
      </c>
      <c r="D105" s="393">
        <f t="shared" si="17"/>
        <v>165</v>
      </c>
      <c r="E105" s="393">
        <f t="shared" si="17"/>
        <v>165</v>
      </c>
      <c r="F105" s="393">
        <f t="shared" si="17"/>
        <v>165</v>
      </c>
      <c r="G105" s="393">
        <f t="shared" si="17"/>
        <v>165</v>
      </c>
      <c r="H105" s="393">
        <f t="shared" si="17"/>
        <v>165</v>
      </c>
      <c r="I105" s="393">
        <f t="shared" si="17"/>
        <v>165</v>
      </c>
      <c r="J105" s="391"/>
      <c r="K105" s="1"/>
      <c r="L105" s="2">
        <f>SUM(C105:F105)/C101</f>
        <v>165.1875</v>
      </c>
      <c r="M105" s="1" t="s">
        <v>267</v>
      </c>
      <c r="N105" s="1"/>
      <c r="O105" s="1"/>
    </row>
    <row r="106" spans="1:15" ht="15.45" x14ac:dyDescent="0.4">
      <c r="A106" s="392" t="s">
        <v>266</v>
      </c>
      <c r="B106" s="392"/>
      <c r="C106" s="393">
        <f t="shared" si="17"/>
        <v>151.125</v>
      </c>
      <c r="D106" s="393">
        <f t="shared" si="17"/>
        <v>151</v>
      </c>
      <c r="E106" s="393">
        <f t="shared" si="17"/>
        <v>151</v>
      </c>
      <c r="F106" s="393">
        <f t="shared" si="17"/>
        <v>151</v>
      </c>
      <c r="G106" s="393">
        <f t="shared" si="17"/>
        <v>151</v>
      </c>
      <c r="H106" s="393">
        <f t="shared" si="17"/>
        <v>151</v>
      </c>
      <c r="I106" s="393">
        <f t="shared" si="17"/>
        <v>151</v>
      </c>
      <c r="J106" s="391"/>
      <c r="K106" s="1"/>
      <c r="L106" s="1"/>
      <c r="M106" s="1"/>
      <c r="N106" s="1"/>
      <c r="O106" s="1"/>
    </row>
    <row r="107" spans="1:15" ht="15.45" x14ac:dyDescent="0.4">
      <c r="A107" s="392" t="s">
        <v>265</v>
      </c>
      <c r="B107" s="392"/>
      <c r="C107" s="405">
        <f t="shared" ref="C107:I107" si="18">ROUND(7+(C105*0.47),2)</f>
        <v>84.9</v>
      </c>
      <c r="D107" s="405">
        <f t="shared" si="18"/>
        <v>84.55</v>
      </c>
      <c r="E107" s="405">
        <f t="shared" si="18"/>
        <v>84.55</v>
      </c>
      <c r="F107" s="405">
        <f t="shared" si="18"/>
        <v>84.55</v>
      </c>
      <c r="G107" s="405">
        <f t="shared" si="18"/>
        <v>84.55</v>
      </c>
      <c r="H107" s="405">
        <f t="shared" si="18"/>
        <v>84.55</v>
      </c>
      <c r="I107" s="405">
        <f t="shared" si="18"/>
        <v>84.55</v>
      </c>
      <c r="J107" s="391"/>
      <c r="K107" s="1"/>
      <c r="L107" s="1"/>
      <c r="M107" s="1"/>
      <c r="N107" s="1"/>
      <c r="O107" s="1"/>
    </row>
    <row r="108" spans="1:15" ht="15.45" x14ac:dyDescent="0.4">
      <c r="A108" s="391"/>
      <c r="B108" s="391"/>
      <c r="C108" s="391"/>
      <c r="D108" s="391"/>
      <c r="E108" s="391"/>
      <c r="F108" s="391"/>
      <c r="G108" s="391"/>
      <c r="H108" s="391"/>
      <c r="I108" s="391"/>
      <c r="J108" s="391"/>
      <c r="K108" s="1"/>
      <c r="L108" s="1"/>
      <c r="M108" s="1"/>
      <c r="N108" s="1"/>
      <c r="O108" s="1"/>
    </row>
    <row r="109" spans="1:15" ht="15.45" x14ac:dyDescent="0.4">
      <c r="A109" s="392" t="s">
        <v>264</v>
      </c>
      <c r="B109" s="392"/>
      <c r="C109" s="406">
        <f t="shared" ref="C109:I109" si="19">IF(AND($C$9&gt;0,C$12&gt;0),ROUND(((($H$6*C105)+($H$7*C106))/100)/2*C$12*0.01,0),0)</f>
        <v>728</v>
      </c>
      <c r="D109" s="406">
        <f t="shared" si="19"/>
        <v>726</v>
      </c>
      <c r="E109" s="406">
        <f t="shared" si="19"/>
        <v>726</v>
      </c>
      <c r="F109" s="406">
        <f t="shared" si="19"/>
        <v>726</v>
      </c>
      <c r="G109" s="406">
        <f t="shared" si="19"/>
        <v>726</v>
      </c>
      <c r="H109" s="406">
        <f t="shared" si="19"/>
        <v>726</v>
      </c>
      <c r="I109" s="406">
        <f t="shared" si="19"/>
        <v>726</v>
      </c>
      <c r="J109" s="391"/>
      <c r="K109" s="1"/>
      <c r="L109" s="1"/>
      <c r="M109" s="1"/>
      <c r="N109" s="1"/>
      <c r="O109" s="1"/>
    </row>
    <row r="110" spans="1:15" ht="15.45" x14ac:dyDescent="0.4">
      <c r="A110" s="391"/>
      <c r="B110" s="391"/>
      <c r="C110" s="391"/>
      <c r="D110" s="391"/>
      <c r="E110" s="391"/>
      <c r="F110" s="391"/>
      <c r="G110" s="391"/>
      <c r="H110" s="391"/>
      <c r="I110" s="391"/>
      <c r="J110" s="391"/>
      <c r="K110" s="1"/>
      <c r="L110" s="1"/>
      <c r="M110" s="1"/>
      <c r="N110" s="1"/>
      <c r="O110" s="1"/>
    </row>
    <row r="111" spans="1:15" ht="15.45" x14ac:dyDescent="0.4">
      <c r="A111" s="392" t="s">
        <v>263</v>
      </c>
      <c r="B111" s="392"/>
      <c r="C111" s="404">
        <f t="shared" ref="C111:I111" si="20">C81</f>
        <v>683.67750000000001</v>
      </c>
      <c r="D111" s="404">
        <f t="shared" si="20"/>
        <v>683.67750000000001</v>
      </c>
      <c r="E111" s="404">
        <f t="shared" si="20"/>
        <v>683.67750000000001</v>
      </c>
      <c r="F111" s="404">
        <f t="shared" si="20"/>
        <v>683.67750000000001</v>
      </c>
      <c r="G111" s="404">
        <f t="shared" si="20"/>
        <v>683.67750000000001</v>
      </c>
      <c r="H111" s="404">
        <f t="shared" si="20"/>
        <v>683.67750000000001</v>
      </c>
      <c r="I111" s="404">
        <f t="shared" si="20"/>
        <v>683.67750000000001</v>
      </c>
      <c r="J111" s="391"/>
      <c r="K111" s="1"/>
      <c r="L111" s="2">
        <f>SUM(C111:F111)/C101</f>
        <v>683.67750000000001</v>
      </c>
      <c r="M111" s="1" t="s">
        <v>262</v>
      </c>
      <c r="N111" s="1"/>
      <c r="O111" s="1"/>
    </row>
    <row r="112" spans="1:15" ht="15.45" x14ac:dyDescent="0.4">
      <c r="A112" s="358"/>
      <c r="B112" s="358"/>
      <c r="C112" s="358"/>
      <c r="D112" s="358"/>
      <c r="E112" s="358"/>
      <c r="F112" s="358"/>
      <c r="G112" s="358"/>
      <c r="H112" s="358"/>
      <c r="I112" s="358"/>
      <c r="J112" s="358"/>
      <c r="K112" s="1"/>
      <c r="L112" s="1"/>
      <c r="M112" s="1"/>
      <c r="N112" s="1"/>
      <c r="O112" s="1"/>
    </row>
    <row r="113" spans="1:15" ht="15.45" x14ac:dyDescent="0.4">
      <c r="A113" s="369" t="s">
        <v>261</v>
      </c>
      <c r="B113" s="369"/>
      <c r="C113" s="383">
        <f>IF(C101&gt;=1,+C109-C111,0)</f>
        <v>44.322499999999991</v>
      </c>
      <c r="D113" s="383">
        <f>IF(C101&gt;=2,+D109-D111,0)</f>
        <v>42.322499999999991</v>
      </c>
      <c r="E113" s="383">
        <f>IF(C101&gt;=3,+E109-E111,0)</f>
        <v>42.322499999999991</v>
      </c>
      <c r="F113" s="383">
        <f>IF(C101&gt;=4,+F109-F111,0)</f>
        <v>42.322499999999991</v>
      </c>
      <c r="G113" s="383">
        <f>IF(C101&gt;=5,+G109-G111,0)</f>
        <v>0</v>
      </c>
      <c r="H113" s="383">
        <f>IF(C101&gt;=6,+H109-H111,0)</f>
        <v>0</v>
      </c>
      <c r="I113" s="383">
        <f>IF(C101&gt;=7,+I109-I111,0)</f>
        <v>0</v>
      </c>
      <c r="J113" s="358"/>
      <c r="K113" s="1"/>
      <c r="L113" s="1"/>
      <c r="M113" s="1"/>
      <c r="N113" s="1"/>
      <c r="O113" s="1"/>
    </row>
    <row r="114" spans="1:15" ht="15.45" x14ac:dyDescent="0.4">
      <c r="A114" s="369" t="s">
        <v>260</v>
      </c>
      <c r="B114" s="369"/>
      <c r="C114" s="366">
        <f>IF(C101=1,ROUND(+C107*$H$5/100,2),0)</f>
        <v>0</v>
      </c>
      <c r="D114" s="366">
        <f>IF(C101=2,ROUND(+D107*$H$5/100,2),0)</f>
        <v>0</v>
      </c>
      <c r="E114" s="366">
        <f>IF(C101=3,ROUND(+E107*$H$5/100,2),0)</f>
        <v>0</v>
      </c>
      <c r="F114" s="366">
        <f>IF(C101=4,ROUND(+F107*$H$5/100,2),0)</f>
        <v>1014.6</v>
      </c>
      <c r="G114" s="366">
        <f>IF(C101=5,ROUND(+G107*$H$5/100,2),0)</f>
        <v>0</v>
      </c>
      <c r="H114" s="366">
        <f>IF(C101=6,ROUND(+H107*$H$5/100,2),0)</f>
        <v>0</v>
      </c>
      <c r="I114" s="366">
        <f>IF(C101=7,ROUND(+I107*$H$5/100,2),0)</f>
        <v>0</v>
      </c>
      <c r="J114" s="358"/>
      <c r="K114" s="1"/>
      <c r="L114" s="1"/>
      <c r="M114" s="1"/>
      <c r="N114" s="1"/>
      <c r="O114" s="1"/>
    </row>
    <row r="115" spans="1:15" ht="15.45" x14ac:dyDescent="0.4">
      <c r="A115" s="358"/>
      <c r="B115" s="358"/>
      <c r="C115" s="358"/>
      <c r="D115" s="358"/>
      <c r="E115" s="358"/>
      <c r="F115" s="358"/>
      <c r="G115" s="358"/>
      <c r="H115" s="358"/>
      <c r="I115" s="358"/>
      <c r="J115" s="358"/>
      <c r="K115" s="1"/>
      <c r="L115" s="1"/>
      <c r="M115" s="1"/>
      <c r="N115" s="1"/>
      <c r="O115" s="1"/>
    </row>
    <row r="116" spans="1:15" ht="15.45" x14ac:dyDescent="0.4">
      <c r="A116" s="376" t="s">
        <v>259</v>
      </c>
      <c r="B116" s="358"/>
      <c r="C116" s="385">
        <f t="shared" ref="C116:I116" si="21">C102</f>
        <v>2018</v>
      </c>
      <c r="D116" s="385">
        <f t="shared" si="21"/>
        <v>2019</v>
      </c>
      <c r="E116" s="385">
        <f t="shared" si="21"/>
        <v>2020</v>
      </c>
      <c r="F116" s="385">
        <f t="shared" si="21"/>
        <v>2021</v>
      </c>
      <c r="G116" s="385" t="str">
        <f t="shared" si="21"/>
        <v/>
      </c>
      <c r="H116" s="407" t="str">
        <f t="shared" si="21"/>
        <v/>
      </c>
      <c r="I116" s="407" t="str">
        <f t="shared" si="21"/>
        <v/>
      </c>
      <c r="J116" s="367" t="s">
        <v>258</v>
      </c>
      <c r="K116" s="1"/>
      <c r="L116" s="1"/>
      <c r="M116" s="1"/>
      <c r="N116" s="1"/>
      <c r="O116" s="1"/>
    </row>
    <row r="117" spans="1:15" ht="15.45" x14ac:dyDescent="0.4">
      <c r="A117" s="358"/>
      <c r="B117" s="386" t="s">
        <v>257</v>
      </c>
      <c r="C117" s="386" t="s">
        <v>256</v>
      </c>
      <c r="D117" s="386" t="str">
        <f>IF(C101&gt;=2,"Year 2","")</f>
        <v>Year 2</v>
      </c>
      <c r="E117" s="386" t="str">
        <f>IF(C101&gt;=3,"Year 3","")</f>
        <v>Year 3</v>
      </c>
      <c r="F117" s="386" t="str">
        <f>IF(C101&gt;=4,"Year 4","")</f>
        <v>Year 4</v>
      </c>
      <c r="G117" s="386" t="str">
        <f>IF(C101&gt;=5,"Year 5","")</f>
        <v/>
      </c>
      <c r="H117" s="386" t="str">
        <f>IF(C101&gt;=6,"Year 6","")</f>
        <v/>
      </c>
      <c r="I117" s="386" t="str">
        <f>IF(C101&gt;=7,"Year 7","")</f>
        <v/>
      </c>
      <c r="J117" s="387" t="s">
        <v>160</v>
      </c>
      <c r="K117" s="1"/>
      <c r="L117" s="1"/>
      <c r="M117" s="1"/>
      <c r="N117" s="1"/>
      <c r="O117" s="1"/>
    </row>
    <row r="118" spans="1:15" ht="15.45" x14ac:dyDescent="0.4">
      <c r="A118" s="358"/>
      <c r="B118" s="369"/>
      <c r="C118" s="386"/>
      <c r="D118" s="386"/>
      <c r="E118" s="386"/>
      <c r="F118" s="386"/>
      <c r="G118" s="386"/>
      <c r="H118" s="386"/>
      <c r="I118" s="386"/>
      <c r="J118" s="387"/>
      <c r="K118" s="1"/>
      <c r="L118" s="1"/>
      <c r="M118" s="1"/>
      <c r="N118" s="1"/>
      <c r="O118" s="1"/>
    </row>
    <row r="119" spans="1:15" ht="15.45" x14ac:dyDescent="0.4">
      <c r="A119" s="369" t="s">
        <v>255</v>
      </c>
      <c r="B119" s="366">
        <f>-C98</f>
        <v>-1350</v>
      </c>
      <c r="C119" s="366">
        <f t="shared" ref="C119:I119" si="22">C113+C114</f>
        <v>44.322499999999991</v>
      </c>
      <c r="D119" s="366">
        <f t="shared" si="22"/>
        <v>42.322499999999991</v>
      </c>
      <c r="E119" s="366">
        <f t="shared" si="22"/>
        <v>42.322499999999991</v>
      </c>
      <c r="F119" s="366">
        <f t="shared" si="22"/>
        <v>1056.9225000000001</v>
      </c>
      <c r="G119" s="366">
        <f t="shared" si="22"/>
        <v>0</v>
      </c>
      <c r="H119" s="366">
        <f t="shared" si="22"/>
        <v>0</v>
      </c>
      <c r="I119" s="366">
        <f t="shared" si="22"/>
        <v>0</v>
      </c>
      <c r="J119" s="388">
        <f>SUM(B123:I123)</f>
        <v>-249.55304859013063</v>
      </c>
      <c r="K119" s="1"/>
      <c r="L119" s="1"/>
      <c r="M119" s="1"/>
      <c r="N119" s="1"/>
      <c r="O119" s="1"/>
    </row>
    <row r="120" spans="1:15" ht="15.9" thickBot="1" x14ac:dyDescent="0.45">
      <c r="A120" s="389"/>
      <c r="B120" s="389"/>
      <c r="C120" s="390"/>
      <c r="D120" s="390"/>
      <c r="E120" s="390"/>
      <c r="F120" s="390"/>
      <c r="G120" s="390"/>
      <c r="H120" s="390"/>
      <c r="I120" s="390"/>
      <c r="J120" s="390"/>
      <c r="K120" s="1"/>
      <c r="L120" s="1"/>
      <c r="M120" s="1"/>
      <c r="N120" s="1"/>
      <c r="O120" s="1"/>
    </row>
    <row r="121" spans="1:15" ht="15.9" thickTop="1" x14ac:dyDescent="0.4">
      <c r="A121" s="369"/>
      <c r="B121" s="369"/>
      <c r="C121" s="358"/>
      <c r="D121" s="358"/>
      <c r="E121" s="358"/>
      <c r="F121" s="358"/>
      <c r="G121" s="358"/>
      <c r="H121" s="358"/>
      <c r="I121" s="358"/>
      <c r="J121" s="358"/>
      <c r="K121" s="1"/>
      <c r="L121" s="1"/>
      <c r="M121" s="1"/>
      <c r="N121" s="1"/>
      <c r="O121" s="1"/>
    </row>
    <row r="122" spans="1:15" ht="15.45" x14ac:dyDescent="0.4">
      <c r="A122" s="358" t="s">
        <v>254</v>
      </c>
      <c r="B122" s="358"/>
      <c r="C122" s="358"/>
      <c r="D122" s="358"/>
      <c r="E122" s="358"/>
      <c r="F122" s="358"/>
      <c r="G122" s="358"/>
      <c r="H122" s="358"/>
      <c r="I122" s="358"/>
      <c r="J122" s="358"/>
      <c r="K122" s="1"/>
      <c r="L122" s="1"/>
      <c r="M122" s="1"/>
      <c r="N122" s="1"/>
      <c r="O122" s="1"/>
    </row>
    <row r="123" spans="1:15" ht="15.45" x14ac:dyDescent="0.4">
      <c r="A123" s="358"/>
      <c r="B123" s="366">
        <f>+B119</f>
        <v>-1350</v>
      </c>
      <c r="C123" s="366">
        <f>(C119/(1+($C$7/100)))</f>
        <v>43.453431372549012</v>
      </c>
      <c r="D123" s="366">
        <f>(D119/(1+($C$7/100))^2)</f>
        <v>40.679065743944626</v>
      </c>
      <c r="E123" s="366">
        <f>(E119/(1+($C$7/100))^3)</f>
        <v>39.881437003867283</v>
      </c>
      <c r="F123" s="366">
        <f>(F119/(1+($C$7/100))^4)</f>
        <v>976.4330172895086</v>
      </c>
      <c r="G123" s="366">
        <f>(G119/(1+($C$7/100))^5)</f>
        <v>0</v>
      </c>
      <c r="H123" s="366">
        <f>(H119/(1+($C$7/100))^6)</f>
        <v>0</v>
      </c>
      <c r="I123" s="366">
        <f>(I119/(1+($C$7/100))^7)</f>
        <v>0</v>
      </c>
      <c r="J123" s="358"/>
      <c r="K123" s="1"/>
      <c r="L123" s="16">
        <f>IRR(B123:F123,5)</f>
        <v>-5.258061535292391E-2</v>
      </c>
      <c r="M123" s="1" t="s">
        <v>253</v>
      </c>
      <c r="N123" s="1"/>
      <c r="O123" s="1"/>
    </row>
    <row r="124" spans="1:15" ht="15.45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45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45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45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45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45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45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45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</sheetData>
  <sheetProtection sheet="1" objects="1" scenarios="1"/>
  <mergeCells count="4">
    <mergeCell ref="B35:J35"/>
    <mergeCell ref="B65:J65"/>
    <mergeCell ref="B95:J95"/>
    <mergeCell ref="A1:J1"/>
  </mergeCells>
  <phoneticPr fontId="0" type="noConversion"/>
  <printOptions horizontalCentered="1"/>
  <pageMargins left="0.5" right="0.5" top="0.5" bottom="0.7" header="0.5" footer="0.5"/>
  <pageSetup scale="77" orientation="portrait" r:id="rId1"/>
  <headerFooter alignWithMargins="0">
    <oddFooter>&amp;L&amp;10&amp;F&amp;R&amp;10Page 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K31"/>
  <sheetViews>
    <sheetView topLeftCell="A16" workbookViewId="0">
      <selection activeCell="I7" sqref="I7"/>
    </sheetView>
  </sheetViews>
  <sheetFormatPr defaultRowHeight="15" x14ac:dyDescent="0.35"/>
  <cols>
    <col min="1" max="1" width="5.25" customWidth="1"/>
    <col min="2" max="2" width="10.3125" customWidth="1"/>
    <col min="5" max="5" width="8.3125" customWidth="1"/>
    <col min="6" max="6" width="10.75" customWidth="1"/>
    <col min="7" max="7" width="4.25" customWidth="1"/>
    <col min="9" max="9" width="4.875" customWidth="1"/>
  </cols>
  <sheetData>
    <row r="1" spans="1:11" ht="17.600000000000001" x14ac:dyDescent="0.4">
      <c r="B1" s="485" t="s">
        <v>329</v>
      </c>
      <c r="C1" s="485"/>
      <c r="D1" s="485"/>
      <c r="E1" s="485"/>
      <c r="F1" s="485"/>
      <c r="G1" s="485"/>
      <c r="H1" s="485"/>
      <c r="I1" s="485"/>
      <c r="J1" s="485"/>
      <c r="K1" s="1"/>
    </row>
    <row r="2" spans="1:11" ht="15.45" x14ac:dyDescent="0.4">
      <c r="B2" s="465" t="s">
        <v>330</v>
      </c>
      <c r="C2" s="465"/>
      <c r="D2" s="465"/>
      <c r="E2" s="465"/>
      <c r="F2" s="465"/>
      <c r="G2" s="465"/>
      <c r="H2" s="465"/>
      <c r="I2" s="465"/>
      <c r="J2" s="465"/>
      <c r="K2" s="1"/>
    </row>
    <row r="3" spans="1:11" ht="15.45" x14ac:dyDescent="0.4">
      <c r="B3" s="486" t="str">
        <f>'1. Cow Calf Budget'!B3</f>
        <v>400 Cow-Calf Case Ranch Budget</v>
      </c>
      <c r="C3" s="486"/>
      <c r="D3" s="486"/>
      <c r="E3" s="486"/>
      <c r="F3" s="486"/>
      <c r="G3" s="486"/>
      <c r="H3" s="486"/>
      <c r="I3" s="486"/>
      <c r="J3" s="486"/>
      <c r="K3" s="1"/>
    </row>
    <row r="4" spans="1:11" ht="15.45" x14ac:dyDescent="0.4">
      <c r="A4" s="17"/>
      <c r="B4" s="358"/>
      <c r="C4" s="358"/>
      <c r="D4" s="358"/>
      <c r="E4" s="358"/>
      <c r="F4" s="358"/>
      <c r="G4" s="358"/>
      <c r="H4" s="358"/>
      <c r="I4" s="358"/>
      <c r="J4" s="358"/>
      <c r="K4" s="1"/>
    </row>
    <row r="5" spans="1:11" x14ac:dyDescent="0.35">
      <c r="A5" s="17"/>
      <c r="B5" s="411" t="s">
        <v>271</v>
      </c>
      <c r="C5" s="294"/>
      <c r="D5" s="294">
        <f>'9. Cow Investment Analysis'!C7</f>
        <v>2</v>
      </c>
      <c r="E5" s="294" t="s">
        <v>6</v>
      </c>
      <c r="F5" s="294"/>
      <c r="G5" s="294"/>
      <c r="H5" s="294"/>
      <c r="I5" s="294"/>
      <c r="J5" s="294"/>
      <c r="K5" s="412"/>
    </row>
    <row r="6" spans="1:11" x14ac:dyDescent="0.35">
      <c r="A6" s="17"/>
      <c r="B6" s="411" t="s">
        <v>304</v>
      </c>
      <c r="C6" s="294"/>
      <c r="D6" s="413">
        <f>'9. Cow Investment Analysis'!C6</f>
        <v>1350</v>
      </c>
      <c r="E6" s="294" t="s">
        <v>303</v>
      </c>
      <c r="F6" s="294"/>
      <c r="G6" s="294"/>
      <c r="H6" s="294"/>
      <c r="I6" s="294"/>
      <c r="J6" s="294"/>
      <c r="K6" s="412"/>
    </row>
    <row r="7" spans="1:11" x14ac:dyDescent="0.35">
      <c r="A7" s="17"/>
      <c r="B7" s="411" t="s">
        <v>302</v>
      </c>
      <c r="C7" s="294"/>
      <c r="D7" s="414">
        <f>'9. Cow Investment Analysis'!C10</f>
        <v>2018</v>
      </c>
      <c r="E7" s="294"/>
      <c r="F7" s="294" t="s">
        <v>337</v>
      </c>
      <c r="G7" s="294"/>
      <c r="H7" s="294"/>
      <c r="I7" s="294">
        <f>'9. Cow Investment Analysis'!L12</f>
        <v>85</v>
      </c>
      <c r="J7" s="294" t="s">
        <v>6</v>
      </c>
      <c r="K7" s="412"/>
    </row>
    <row r="8" spans="1:11" x14ac:dyDescent="0.35">
      <c r="A8" s="17"/>
      <c r="B8" s="294"/>
      <c r="C8" s="294"/>
      <c r="D8" s="294"/>
      <c r="E8" s="294"/>
      <c r="F8" s="294"/>
      <c r="G8" s="294"/>
      <c r="H8" s="294"/>
      <c r="I8" s="294"/>
      <c r="J8" s="294"/>
      <c r="K8" s="412"/>
    </row>
    <row r="9" spans="1:11" x14ac:dyDescent="0.35">
      <c r="A9" s="17"/>
      <c r="B9" s="415" t="s">
        <v>301</v>
      </c>
      <c r="C9" s="294"/>
      <c r="D9" s="294"/>
      <c r="E9" s="416" t="s">
        <v>275</v>
      </c>
      <c r="F9" s="416" t="s">
        <v>338</v>
      </c>
      <c r="G9" s="416"/>
      <c r="H9" s="417" t="s">
        <v>300</v>
      </c>
      <c r="I9" s="418"/>
      <c r="J9" s="417" t="s">
        <v>299</v>
      </c>
      <c r="K9" s="419"/>
    </row>
    <row r="10" spans="1:11" x14ac:dyDescent="0.35">
      <c r="A10" s="17"/>
      <c r="B10" s="415" t="s">
        <v>298</v>
      </c>
      <c r="C10" s="294"/>
      <c r="D10" s="294"/>
      <c r="E10" s="416" t="s">
        <v>160</v>
      </c>
      <c r="F10" s="417" t="s">
        <v>340</v>
      </c>
      <c r="G10" s="416"/>
      <c r="H10" s="417" t="s">
        <v>297</v>
      </c>
      <c r="I10" s="418"/>
      <c r="J10" s="417" t="s">
        <v>296</v>
      </c>
      <c r="K10" s="419"/>
    </row>
    <row r="11" spans="1:11" x14ac:dyDescent="0.35">
      <c r="A11" s="17"/>
      <c r="B11" s="415"/>
      <c r="C11" s="294"/>
      <c r="D11" s="294"/>
      <c r="E11" s="416" t="s">
        <v>295</v>
      </c>
      <c r="F11" s="417" t="s">
        <v>341</v>
      </c>
      <c r="G11" s="416"/>
      <c r="H11" s="417" t="s">
        <v>339</v>
      </c>
      <c r="I11" s="294"/>
      <c r="J11" s="416" t="s">
        <v>294</v>
      </c>
      <c r="K11" s="412"/>
    </row>
    <row r="12" spans="1:11" x14ac:dyDescent="0.35">
      <c r="A12" s="17"/>
      <c r="B12" s="294"/>
      <c r="C12" s="294">
        <f>'9. Cow Investment Analysis'!C9</f>
        <v>7</v>
      </c>
      <c r="D12" s="294"/>
      <c r="E12" s="365">
        <f>'9. Cow Investment Analysis'!J7</f>
        <v>-202.76727967740419</v>
      </c>
      <c r="F12" s="413">
        <f>IF(E12&lt;0,($D$6+E12),($D$6+E12))</f>
        <v>1147.2327203225959</v>
      </c>
      <c r="G12" s="365"/>
      <c r="H12" s="420">
        <f>'9. Cow Investment Analysis'!L27*100</f>
        <v>-0.60587460148469052</v>
      </c>
      <c r="I12" s="294"/>
      <c r="J12" s="413">
        <f>'9. Cow Investment Analysis'!L13</f>
        <v>165.10714285714286</v>
      </c>
      <c r="K12" s="412"/>
    </row>
    <row r="13" spans="1:11" x14ac:dyDescent="0.35">
      <c r="A13" s="17"/>
      <c r="B13" s="294"/>
      <c r="C13" s="294">
        <f>'9. Cow Investment Analysis'!C41</f>
        <v>6</v>
      </c>
      <c r="D13" s="294"/>
      <c r="E13" s="365">
        <f>'9. Cow Investment Analysis'!J40</f>
        <v>-210.03689244891973</v>
      </c>
      <c r="F13" s="413">
        <f>IF(E13&lt;0,($D$6+E13),($D$6+E13))</f>
        <v>1139.9631075510802</v>
      </c>
      <c r="G13" s="365"/>
      <c r="H13" s="420">
        <f>'9. Cow Investment Analysis'!L59*100</f>
        <v>-1.0967160260322406</v>
      </c>
      <c r="I13" s="294"/>
      <c r="J13" s="413">
        <f>'9. Cow Investment Analysis'!L45</f>
        <v>165.125</v>
      </c>
      <c r="K13" s="412"/>
    </row>
    <row r="14" spans="1:11" x14ac:dyDescent="0.35">
      <c r="A14" s="17"/>
      <c r="B14" s="294"/>
      <c r="C14" s="294">
        <f>'9. Cow Investment Analysis'!C71</f>
        <v>5</v>
      </c>
      <c r="D14" s="294"/>
      <c r="E14" s="365">
        <f>'9. Cow Investment Analysis'!J70</f>
        <v>-229.5993459841726</v>
      </c>
      <c r="F14" s="413">
        <f>IF(E14&lt;0,($D$6+E14),($D$6+E14))</f>
        <v>1120.4006540158275</v>
      </c>
      <c r="G14" s="365"/>
      <c r="H14" s="420">
        <f>'9. Cow Investment Analysis'!L89*100</f>
        <v>-2.0091680533118716</v>
      </c>
      <c r="I14" s="294"/>
      <c r="J14" s="413">
        <f>'9. Cow Investment Analysis'!L75</f>
        <v>165.15</v>
      </c>
      <c r="K14" s="412"/>
    </row>
    <row r="15" spans="1:11" x14ac:dyDescent="0.35">
      <c r="A15" s="17"/>
      <c r="B15" s="294"/>
      <c r="C15" s="294">
        <f>'9. Cow Investment Analysis'!C101</f>
        <v>4</v>
      </c>
      <c r="D15" s="294"/>
      <c r="E15" s="365">
        <f>'9. Cow Investment Analysis'!J100</f>
        <v>-249.55304859013063</v>
      </c>
      <c r="F15" s="413">
        <f>IF(E15&lt;0,($D$6+E15),($D$6+E15))</f>
        <v>1100.4469514098694</v>
      </c>
      <c r="G15" s="365"/>
      <c r="H15" s="420">
        <f>'9. Cow Investment Analysis'!L123*100</f>
        <v>-5.2580615352923914</v>
      </c>
      <c r="I15" s="294"/>
      <c r="J15" s="413">
        <f>'9. Cow Investment Analysis'!L105</f>
        <v>165.1875</v>
      </c>
      <c r="K15" s="412"/>
    </row>
    <row r="16" spans="1:11" x14ac:dyDescent="0.35">
      <c r="B16" s="421"/>
      <c r="C16" s="421"/>
      <c r="D16" s="421"/>
      <c r="E16" s="421"/>
      <c r="F16" s="421"/>
      <c r="G16" s="421"/>
      <c r="H16" s="421"/>
      <c r="I16" s="421"/>
      <c r="J16" s="421"/>
      <c r="K16" s="412"/>
    </row>
    <row r="17" spans="2:11" x14ac:dyDescent="0.35">
      <c r="B17" s="294" t="s">
        <v>305</v>
      </c>
      <c r="C17" s="294"/>
      <c r="D17" s="294"/>
      <c r="E17" s="294"/>
      <c r="F17" s="294"/>
      <c r="G17" s="294"/>
      <c r="H17" s="294"/>
      <c r="I17" s="294"/>
      <c r="J17" s="294"/>
      <c r="K17" s="412"/>
    </row>
    <row r="18" spans="2:11" x14ac:dyDescent="0.35">
      <c r="B18" s="294" t="s">
        <v>307</v>
      </c>
      <c r="C18" s="294"/>
      <c r="D18" s="294"/>
      <c r="E18" s="294"/>
      <c r="F18" s="294"/>
      <c r="G18" s="294"/>
      <c r="H18" s="294"/>
      <c r="I18" s="294"/>
      <c r="J18" s="294"/>
      <c r="K18" s="412"/>
    </row>
    <row r="19" spans="2:11" x14ac:dyDescent="0.35">
      <c r="B19" s="294" t="s">
        <v>306</v>
      </c>
      <c r="C19" s="294"/>
      <c r="D19" s="294"/>
      <c r="E19" s="294"/>
      <c r="F19" s="294"/>
      <c r="G19" s="294"/>
      <c r="H19" s="294"/>
      <c r="I19" s="294"/>
      <c r="J19" s="294"/>
      <c r="K19" s="412"/>
    </row>
    <row r="20" spans="2:11" x14ac:dyDescent="0.35">
      <c r="B20" s="294" t="s">
        <v>342</v>
      </c>
      <c r="C20" s="294"/>
      <c r="D20" s="294"/>
      <c r="E20" s="294"/>
      <c r="F20" s="294"/>
      <c r="G20" s="294"/>
      <c r="H20" s="294"/>
      <c r="I20" s="294"/>
      <c r="J20" s="294"/>
      <c r="K20" s="412"/>
    </row>
    <row r="21" spans="2:11" x14ac:dyDescent="0.35">
      <c r="B21" s="294" t="s">
        <v>293</v>
      </c>
      <c r="C21" s="294"/>
      <c r="D21" s="294"/>
      <c r="E21" s="294"/>
      <c r="F21" s="294"/>
      <c r="G21" s="294"/>
      <c r="H21" s="294"/>
      <c r="I21" s="294"/>
      <c r="J21" s="294"/>
      <c r="K21" s="412"/>
    </row>
    <row r="22" spans="2:11" x14ac:dyDescent="0.35">
      <c r="B22" s="294" t="s">
        <v>292</v>
      </c>
      <c r="C22" s="294"/>
      <c r="D22" s="294"/>
      <c r="E22" s="294"/>
      <c r="F22" s="294"/>
      <c r="G22" s="294"/>
      <c r="H22" s="294"/>
      <c r="I22" s="294"/>
      <c r="J22" s="294"/>
      <c r="K22" s="412"/>
    </row>
    <row r="23" spans="2:11" x14ac:dyDescent="0.35">
      <c r="B23" s="294" t="s">
        <v>291</v>
      </c>
      <c r="C23" s="294"/>
      <c r="D23" s="294"/>
      <c r="E23" s="294"/>
      <c r="F23" s="294"/>
      <c r="G23" s="294"/>
      <c r="H23" s="294"/>
      <c r="I23" s="294"/>
      <c r="J23" s="294"/>
      <c r="K23" s="412"/>
    </row>
    <row r="24" spans="2:11" ht="15.45" x14ac:dyDescent="0.4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5.45" x14ac:dyDescent="0.4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5.45" x14ac:dyDescent="0.4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5.45" x14ac:dyDescent="0.4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5.45" x14ac:dyDescent="0.4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5.45" x14ac:dyDescent="0.4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5.45" x14ac:dyDescent="0.4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5.45" x14ac:dyDescent="0.4"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3">
    <mergeCell ref="B1:J1"/>
    <mergeCell ref="B2:J2"/>
    <mergeCell ref="B3:J3"/>
  </mergeCells>
  <phoneticPr fontId="0" type="noConversion"/>
  <printOptions horizontalCentered="1"/>
  <pageMargins left="0.5" right="0.5" top="0.5" bottom="0.7" header="0.5" footer="0.5"/>
  <pageSetup orientation="portrait" r:id="rId1"/>
  <headerFooter alignWithMargins="0">
    <oddFooter>&amp;L&amp;10 &amp;F&amp;R&amp;10Page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Dialogs</vt:lpstr>
      </vt:variant>
      <vt:variant>
        <vt:i4>3</vt:i4>
      </vt:variant>
      <vt:variant>
        <vt:lpstr>Named Ranges</vt:lpstr>
      </vt:variant>
      <vt:variant>
        <vt:i4>32</vt:i4>
      </vt:variant>
    </vt:vector>
  </HeadingPairs>
  <TitlesOfParts>
    <vt:vector size="45" baseType="lpstr">
      <vt:lpstr>1. Cow Calf Budget</vt:lpstr>
      <vt:lpstr>2. Vehicles,Mach.,Equipt.</vt:lpstr>
      <vt:lpstr>3. Cattle Pricing</vt:lpstr>
      <vt:lpstr>4. Income Statement</vt:lpstr>
      <vt:lpstr>5. SPA Measures</vt:lpstr>
      <vt:lpstr>6. Prod Practice Eval</vt:lpstr>
      <vt:lpstr>7. Sensitivity</vt:lpstr>
      <vt:lpstr>9. Cow Investment Analysis</vt:lpstr>
      <vt:lpstr>10. InvestmentSummary NPV &amp; IRR</vt:lpstr>
      <vt:lpstr>8. Cow Investment Data</vt:lpstr>
      <vt:lpstr>Dlg_Data</vt:lpstr>
      <vt:lpstr>Dlg_Print</vt:lpstr>
      <vt:lpstr>Dlg_Ind</vt:lpstr>
      <vt:lpstr>BUDGET</vt:lpstr>
      <vt:lpstr>CALFPROD</vt:lpstr>
      <vt:lpstr>COSTS</vt:lpstr>
      <vt:lpstr>COSTSUM</vt:lpstr>
      <vt:lpstr>CRPC</vt:lpstr>
      <vt:lpstr>Eval</vt:lpstr>
      <vt:lpstr>INVVAL</vt:lpstr>
      <vt:lpstr>LONG</vt:lpstr>
      <vt:lpstr>'1. Cow Calf Budget'!Print_Area</vt:lpstr>
      <vt:lpstr>'10. InvestmentSummary NPV &amp; IRR'!Print_Area</vt:lpstr>
      <vt:lpstr>'2. Vehicles,Mach.,Equipt.'!Print_Area</vt:lpstr>
      <vt:lpstr>'3. Cattle Pricing'!Print_Area</vt:lpstr>
      <vt:lpstr>'4. Income Statement'!Print_Area</vt:lpstr>
      <vt:lpstr>'5. SPA Measures'!Print_Area</vt:lpstr>
      <vt:lpstr>'6. Prod Practice Eval'!Print_Area</vt:lpstr>
      <vt:lpstr>'7. Sensitivity'!Print_Area</vt:lpstr>
      <vt:lpstr>'8. Cow Investment Data'!Print_Area</vt:lpstr>
      <vt:lpstr>'9. Cow Investment Analysis'!Print_Area</vt:lpstr>
      <vt:lpstr>PRINT1</vt:lpstr>
      <vt:lpstr>PRINT10</vt:lpstr>
      <vt:lpstr>PRINT11</vt:lpstr>
      <vt:lpstr>PRINT2</vt:lpstr>
      <vt:lpstr>PRINT3</vt:lpstr>
      <vt:lpstr>PRINT4</vt:lpstr>
      <vt:lpstr>Print5</vt:lpstr>
      <vt:lpstr>Print6</vt:lpstr>
      <vt:lpstr>Print7</vt:lpstr>
      <vt:lpstr>PRINT8</vt:lpstr>
      <vt:lpstr>PRINT9</vt:lpstr>
      <vt:lpstr>SENS</vt:lpstr>
      <vt:lpstr>View6</vt:lpstr>
      <vt:lpstr>View7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M. McGrann</dc:creator>
  <cp:lastModifiedBy>Jim McGrann</cp:lastModifiedBy>
  <cp:lastPrinted>2018-07-24T02:05:18Z</cp:lastPrinted>
  <dcterms:created xsi:type="dcterms:W3CDTF">1997-06-12T20:43:13Z</dcterms:created>
  <dcterms:modified xsi:type="dcterms:W3CDTF">2018-07-24T02:05:41Z</dcterms:modified>
</cp:coreProperties>
</file>