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cgra\Documents\30. 2022 TAMU Beef DecisionAids 6-24-2022\D. Retained Ownership 4-13-2022\3-4-5  Web Finished Cattle Update 4-13-2022\5. Fed Cattle Custom Finish Closeout\"/>
    </mc:Choice>
  </mc:AlternateContent>
  <xr:revisionPtr revIDLastSave="0" documentId="13_ncr:1_{8ADBA05E-D0DE-4415-A24E-353F2BE64687}" xr6:coauthVersionLast="47" xr6:coauthVersionMax="47" xr10:uidLastSave="{00000000-0000-0000-0000-000000000000}"/>
  <bookViews>
    <workbookView xWindow="-103" yWindow="-103" windowWidth="16663" windowHeight="8863" tabRatio="902"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Data'!$B$1:$F$55</definedName>
    <definedName name="_xlnm.Print_Area" localSheetId="1">'2. Finished Cattle Close Out'!$B$1:$G$65</definedName>
    <definedName name="_xlnm.Print_Area" localSheetId="2">'3. Graphs'!$B$1:$G$50</definedName>
    <definedName name="_xlnm.Print_Area" localSheetId="3">'4.Closeout Summary'!$B$1:$E$65</definedName>
    <definedName name="_xlnm.Print_Area" localSheetId="4">'5. FinishedCattleBenchmarks'!$B$2:$D$39</definedName>
    <definedName name="_xlnm.Print_Area" localSheetId="5">'6. Definitions '!$B$1:$B$13</definedName>
    <definedName name="_xlnm.Print_Area" localSheetId="6">'7. Notes '!$B$2:$B$22</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8" l="1"/>
  <c r="C33" i="8" s="1"/>
  <c r="L42" i="7"/>
  <c r="L43" i="7" s="1"/>
  <c r="F51" i="7" s="1"/>
  <c r="D33" i="8" s="1"/>
  <c r="F50" i="7"/>
  <c r="C7" i="7"/>
  <c r="C56" i="9"/>
  <c r="D54" i="9" s="1"/>
  <c r="C45" i="9"/>
  <c r="D43" i="9" s="1"/>
  <c r="C49" i="9" l="1"/>
  <c r="D55" i="9"/>
  <c r="D51" i="9"/>
  <c r="D45" i="9"/>
  <c r="D53" i="9"/>
  <c r="D44" i="9"/>
  <c r="D52" i="9"/>
  <c r="D42" i="9"/>
  <c r="D46" i="9"/>
  <c r="D47" i="9" l="1"/>
  <c r="D48" i="9"/>
  <c r="C26" i="10"/>
  <c r="C38" i="10"/>
  <c r="F34" i="7" l="1"/>
  <c r="F33" i="7"/>
  <c r="B35" i="7"/>
  <c r="B34" i="7"/>
  <c r="B33" i="7"/>
  <c r="F34" i="10"/>
  <c r="E41" i="10" l="1"/>
  <c r="E29" i="10" l="1"/>
  <c r="E22" i="10"/>
  <c r="B27" i="7" l="1"/>
  <c r="H24" i="11" s="1"/>
  <c r="B47" i="7"/>
  <c r="C39" i="9"/>
  <c r="C38" i="9"/>
  <c r="C36" i="9"/>
  <c r="C34" i="9"/>
  <c r="C47" i="10"/>
  <c r="E13" i="10"/>
  <c r="C33" i="9" l="1"/>
  <c r="C32" i="9"/>
  <c r="E14" i="10" l="1"/>
  <c r="C31" i="9"/>
  <c r="F32" i="10" l="1"/>
  <c r="E32" i="10" s="1"/>
  <c r="F44" i="7" l="1"/>
  <c r="F39" i="10" l="1"/>
  <c r="B8" i="8" l="1"/>
  <c r="F14" i="7"/>
  <c r="F16" i="7"/>
  <c r="F12" i="7"/>
  <c r="D12" i="7"/>
  <c r="F5" i="7" l="1"/>
  <c r="F4" i="7"/>
  <c r="F3" i="7"/>
  <c r="C6" i="7"/>
  <c r="C5" i="7"/>
  <c r="C4" i="7"/>
  <c r="F8" i="7"/>
  <c r="C2" i="10"/>
  <c r="D34" i="7" l="1"/>
  <c r="E34" i="7" s="1"/>
  <c r="D33" i="7"/>
  <c r="E33" i="7" s="1"/>
  <c r="H34" i="7"/>
  <c r="H33" i="7"/>
  <c r="H44" i="7"/>
  <c r="H18" i="7"/>
  <c r="F15" i="7"/>
  <c r="C8" i="9" s="1"/>
  <c r="F62" i="7"/>
  <c r="D15" i="7"/>
  <c r="C13" i="8"/>
  <c r="H38" i="11" l="1"/>
  <c r="H23" i="11"/>
  <c r="F22" i="7" l="1"/>
  <c r="F39" i="7" l="1"/>
  <c r="F35" i="7"/>
  <c r="B32" i="7" l="1"/>
  <c r="B31" i="7"/>
  <c r="F32" i="7"/>
  <c r="F31" i="7"/>
  <c r="D16" i="7" l="1"/>
  <c r="D14" i="7"/>
  <c r="D9" i="8" s="1"/>
  <c r="D9" i="7"/>
  <c r="D11" i="7"/>
  <c r="F11" i="7" s="1"/>
  <c r="C15" i="10"/>
  <c r="L16" i="10"/>
  <c r="E43" i="10"/>
  <c r="F27" i="7"/>
  <c r="C44" i="10"/>
  <c r="C3" i="7"/>
  <c r="E3" i="8" s="1"/>
  <c r="C4" i="9" s="1"/>
  <c r="D8" i="7"/>
  <c r="D10" i="8"/>
  <c r="F30" i="7"/>
  <c r="H30" i="7" s="1"/>
  <c r="C3" i="8"/>
  <c r="C10" i="9"/>
  <c r="D44" i="8"/>
  <c r="D42" i="8"/>
  <c r="C11" i="8"/>
  <c r="C10" i="8"/>
  <c r="C8" i="8"/>
  <c r="C7" i="8"/>
  <c r="C4" i="8"/>
  <c r="D2" i="7"/>
  <c r="C2" i="8" s="1"/>
  <c r="C9" i="8" l="1"/>
  <c r="H11" i="7"/>
  <c r="L32" i="7" s="1"/>
  <c r="E15" i="10"/>
  <c r="C19" i="10"/>
  <c r="D19" i="7"/>
  <c r="C15" i="9" s="1"/>
  <c r="C16" i="10"/>
  <c r="F9" i="7"/>
  <c r="H32" i="7"/>
  <c r="H31" i="7"/>
  <c r="H39" i="7"/>
  <c r="H35" i="7"/>
  <c r="H27" i="7"/>
  <c r="C5" i="8"/>
  <c r="D39" i="7"/>
  <c r="E39" i="7" s="1"/>
  <c r="D35" i="7"/>
  <c r="E35" i="7" s="1"/>
  <c r="F36" i="7"/>
  <c r="H36" i="7" s="1"/>
  <c r="D18" i="7"/>
  <c r="N59" i="7"/>
  <c r="D41" i="8"/>
  <c r="C6" i="9"/>
  <c r="E44" i="7"/>
  <c r="P14" i="11"/>
  <c r="E27" i="7"/>
  <c r="D32" i="7"/>
  <c r="E32" i="7" s="1"/>
  <c r="E22" i="7"/>
  <c r="C5" i="9"/>
  <c r="C7" i="9"/>
  <c r="F24" i="7"/>
  <c r="D31" i="7"/>
  <c r="E31" i="7" s="1"/>
  <c r="G33" i="7" l="1"/>
  <c r="G34" i="7"/>
  <c r="D18" i="8"/>
  <c r="G32" i="7"/>
  <c r="G35" i="7"/>
  <c r="F18" i="7"/>
  <c r="D10" i="7"/>
  <c r="F10" i="7" s="1"/>
  <c r="D37" i="8" s="1"/>
  <c r="H30" i="10"/>
  <c r="L40" i="7"/>
  <c r="E6" i="9"/>
  <c r="E58" i="9" s="1"/>
  <c r="D13" i="8"/>
  <c r="C18" i="9" s="1"/>
  <c r="F61" i="7"/>
  <c r="J19" i="10"/>
  <c r="L19" i="10" s="1"/>
  <c r="L20" i="10" s="1"/>
  <c r="J20" i="10" s="1"/>
  <c r="F63" i="7"/>
  <c r="D58" i="7"/>
  <c r="D22" i="8" s="1"/>
  <c r="C22" i="9" s="1"/>
  <c r="G31" i="7"/>
  <c r="G44" i="7"/>
  <c r="G39" i="7"/>
  <c r="E11" i="10"/>
  <c r="D17" i="7"/>
  <c r="D20" i="8"/>
  <c r="G30" i="7"/>
  <c r="E30" i="7"/>
  <c r="D47" i="8"/>
  <c r="D64" i="7"/>
  <c r="D36" i="8"/>
  <c r="C11" i="9"/>
  <c r="N58" i="7"/>
  <c r="N60" i="7" s="1"/>
  <c r="D27" i="7"/>
  <c r="O8" i="11" s="1"/>
  <c r="N14" i="11" s="1"/>
  <c r="E24" i="7"/>
  <c r="F37" i="7"/>
  <c r="L37" i="7" s="1"/>
  <c r="F41" i="7"/>
  <c r="H41" i="7" s="1"/>
  <c r="F32" i="8" l="1"/>
  <c r="L31" i="7"/>
  <c r="I30" i="10"/>
  <c r="H32" i="10"/>
  <c r="I32" i="10" s="1"/>
  <c r="L17" i="10"/>
  <c r="D19" i="8"/>
  <c r="C21" i="9"/>
  <c r="F60" i="7"/>
  <c r="D60" i="7"/>
  <c r="C16" i="9"/>
  <c r="E13" i="8"/>
  <c r="F46" i="7"/>
  <c r="H46" i="7" s="1"/>
  <c r="E41" i="7"/>
  <c r="G37" i="7"/>
  <c r="N61" i="7"/>
  <c r="L41" i="7"/>
  <c r="D56" i="7"/>
  <c r="E64" i="7"/>
  <c r="C64" i="7" s="1"/>
  <c r="D16" i="8" s="1"/>
  <c r="D14" i="8"/>
  <c r="C19" i="9" s="1"/>
  <c r="C20" i="9" s="1"/>
  <c r="I41" i="7" l="1"/>
  <c r="I34" i="7"/>
  <c r="I33" i="7"/>
  <c r="I33" i="10"/>
  <c r="I43" i="10" s="1"/>
  <c r="J44" i="10" s="1"/>
  <c r="E44" i="10"/>
  <c r="C58" i="9"/>
  <c r="I31" i="7"/>
  <c r="I35" i="7"/>
  <c r="I30" i="7"/>
  <c r="I39" i="7"/>
  <c r="I46" i="7"/>
  <c r="I32" i="7"/>
  <c r="I27" i="7"/>
  <c r="I36" i="7"/>
  <c r="G46" i="7"/>
  <c r="F58" i="7" s="1"/>
  <c r="E46" i="7"/>
  <c r="D25" i="8" s="1"/>
  <c r="C23" i="9" s="1"/>
  <c r="F48" i="7"/>
  <c r="E48" i="7" s="1"/>
  <c r="C59" i="9" l="1"/>
  <c r="C60" i="9" s="1"/>
  <c r="H48" i="7"/>
  <c r="D32" i="8"/>
  <c r="C28" i="9" s="1"/>
  <c r="D43" i="8" l="1"/>
  <c r="D54" i="7"/>
  <c r="D55" i="7"/>
  <c r="D44" i="7"/>
  <c r="D41" i="7"/>
  <c r="O14" i="11" s="1"/>
  <c r="H27" i="9"/>
  <c r="C13" i="9"/>
  <c r="D46" i="7"/>
  <c r="D61" i="7"/>
  <c r="E29" i="8" s="1"/>
  <c r="C26" i="9" s="1"/>
  <c r="D22" i="7"/>
  <c r="D62" i="7"/>
  <c r="Q14" i="11" s="1"/>
  <c r="C12" i="9"/>
  <c r="E28" i="8"/>
  <c r="C25" i="9" s="1"/>
  <c r="D48" i="7"/>
  <c r="Q8" i="11" s="1"/>
  <c r="E25" i="8" l="1"/>
  <c r="P8" i="11"/>
  <c r="D24" i="7"/>
  <c r="E14" i="8" s="1"/>
  <c r="N8" i="11"/>
  <c r="E30" i="8"/>
  <c r="C27" i="9" s="1"/>
  <c r="C14" i="9"/>
  <c r="D38" i="8"/>
  <c r="D46" i="8"/>
  <c r="D13" i="7"/>
  <c r="D45" i="8"/>
  <c r="D30" i="7"/>
  <c r="S8" i="11" l="1"/>
  <c r="F13" i="7"/>
  <c r="D39" i="8"/>
  <c r="C6" i="8" l="1"/>
  <c r="D40" i="8" s="1"/>
  <c r="C9" i="9"/>
</calcChain>
</file>

<file path=xl/sharedStrings.xml><?xml version="1.0" encoding="utf-8"?>
<sst xmlns="http://schemas.openxmlformats.org/spreadsheetml/2006/main" count="416" uniqueCount="318">
  <si>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</si>
  <si>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</si>
  <si>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</si>
  <si>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</si>
  <si>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</si>
  <si>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</si>
  <si>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</si>
  <si>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</si>
  <si>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</si>
  <si>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</si>
  <si>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</si>
  <si>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</si>
  <si>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</si>
  <si>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</si>
  <si>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</si>
  <si>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</si>
  <si>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</si>
  <si>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</si>
  <si>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</si>
  <si>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</si>
  <si>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</si>
  <si>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</si>
  <si>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</si>
  <si>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</si>
  <si>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</si>
  <si>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</si>
  <si>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</si>
  <si>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</si>
  <si>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</si>
  <si>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</si>
  <si>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</si>
  <si>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</si>
  <si>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</si>
  <si>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</si>
  <si>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</si>
  <si>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</si>
  <si>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</si>
  <si>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</si>
  <si>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</si>
  <si>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</si>
  <si>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</si>
  <si>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</si>
  <si>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</si>
  <si>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</si>
  <si>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</si>
  <si>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</si>
  <si>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</si>
  <si>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</si>
  <si>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</si>
  <si>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</si>
  <si>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</si>
  <si>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</si>
  <si>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</si>
  <si>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</si>
  <si>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</si>
  <si>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</si>
  <si>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</si>
  <si>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</si>
  <si>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</si>
  <si>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</si>
  <si>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</si>
  <si>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</si>
  <si>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</si>
  <si>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</si>
  <si>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</si>
  <si>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</si>
  <si>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</si>
  <si>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</si>
  <si>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</si>
  <si>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</si>
  <si>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</si>
  <si>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</si>
  <si>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</si>
  <si>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</si>
  <si>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</si>
  <si>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</si>
  <si>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</si>
  <si>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</si>
  <si>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</si>
  <si>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</si>
  <si>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</si>
  <si>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</si>
  <si>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</si>
  <si>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</si>
  <si>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</si>
  <si>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</si>
  <si>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</si>
  <si>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</si>
  <si>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</si>
  <si>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</si>
  <si>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</si>
  <si>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</si>
  <si>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</si>
  <si>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</si>
  <si>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</si>
  <si>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</si>
  <si>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</si>
  <si>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</si>
  <si>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</si>
  <si>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</si>
  <si>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</si>
  <si>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</si>
  <si>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</si>
  <si>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</si>
  <si>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</si>
  <si>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</si>
  <si>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</si>
  <si>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</si>
  <si>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</si>
  <si>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</si>
  <si>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</si>
  <si>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</si>
  <si>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</si>
  <si>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</si>
  <si>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</si>
  <si>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</si>
  <si>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</si>
  <si>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</si>
  <si>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</si>
  <si>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</si>
  <si>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</si>
  <si>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</si>
  <si>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</si>
  <si>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</si>
  <si>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</si>
  <si>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</si>
  <si>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</si>
  <si>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</si>
  <si>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</si>
  <si>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</si>
  <si>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</si>
  <si>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</si>
  <si>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</si>
  <si>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</si>
  <si>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</si>
  <si>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</si>
  <si>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</si>
  <si>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</si>
  <si>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</si>
  <si>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</si>
  <si>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</si>
  <si>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</si>
  <si>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</si>
  <si>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</si>
  <si>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</si>
  <si>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</si>
  <si>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</si>
  <si>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</si>
  <si>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</si>
  <si>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</si>
  <si>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</si>
  <si>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</si>
  <si>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</si>
  <si>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</si>
  <si>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</si>
  <si>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</si>
  <si>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</si>
  <si>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</si>
  <si>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</si>
  <si>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</si>
  <si>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</si>
  <si>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</si>
  <si>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</si>
  <si>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</si>
  <si>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</si>
  <si>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</si>
  <si>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</si>
  <si>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</si>
  <si>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</si>
  <si>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</si>
  <si>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</si>
  <si>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</si>
  <si>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</si>
  <si>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</si>
  <si>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</si>
  <si>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</si>
  <si>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</si>
  <si>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</si>
  <si>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</si>
  <si>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</si>
  <si>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</si>
  <si>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</si>
  <si>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</si>
  <si>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</si>
  <si>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</si>
  <si>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</si>
  <si>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</si>
  <si>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</si>
  <si>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</si>
  <si>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</si>
  <si>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</si>
  <si>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</si>
  <si>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</si>
  <si>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</si>
  <si>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</si>
  <si>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</si>
  <si>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</si>
  <si>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</si>
  <si>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 xml:space="preserve">          Finished Fed Cattle Benchmark Report Definitions</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</si>
  <si>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</si>
  <si>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</si>
  <si>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</si>
  <si>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</si>
  <si>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</si>
  <si>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</si>
  <si>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</si>
  <si>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</si>
  <si>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</si>
  <si>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</si>
  <si>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</si>
  <si>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</si>
  <si>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</si>
  <si>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</si>
  <si>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</si>
  <si>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</si>
  <si>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</si>
  <si>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</si>
  <si>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</si>
  <si>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</si>
  <si>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</si>
  <si>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</si>
  <si>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</si>
  <si>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</si>
  <si>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</si>
  <si>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</si>
  <si>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</si>
  <si>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</si>
  <si>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</si>
  <si>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</si>
  <si>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</si>
  <si>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</si>
  <si>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</si>
  <si>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</si>
  <si>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</si>
  <si>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</si>
  <si>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</si>
  <si>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</si>
  <si>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</si>
  <si>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</si>
  <si>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</si>
  <si>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</si>
  <si>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</si>
  <si>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</si>
  <si>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</si>
  <si>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</si>
  <si>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</si>
  <si>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</si>
  <si>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</si>
  <si>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</si>
  <si>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</si>
  <si>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</si>
  <si>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</si>
  <si>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</si>
  <si>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</si>
  <si>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</si>
  <si>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</si>
  <si>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</si>
  <si>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</si>
  <si>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</si>
  <si>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</si>
  <si>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</si>
  <si>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</si>
  <si>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</si>
  <si>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</si>
  <si>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</si>
  <si>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</si>
  <si>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</si>
  <si>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</si>
  <si>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</si>
  <si>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</si>
  <si>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</si>
  <si>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</si>
  <si>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</si>
  <si>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</si>
  <si>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</si>
  <si>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</si>
  <si>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Steers</t>
  </si>
  <si>
    <t>Vet Medicine</t>
  </si>
  <si>
    <t xml:space="preserve">            Sales Head</t>
  </si>
  <si>
    <t>Stocker</t>
  </si>
  <si>
    <t>Hay</t>
  </si>
  <si>
    <t>Fees&amp; Other</t>
  </si>
  <si>
    <t>Grain Adjustment</t>
  </si>
  <si>
    <t>Check Off -</t>
  </si>
  <si>
    <t xml:space="preserve">   Head</t>
  </si>
  <si>
    <t xml:space="preserve">             Percent</t>
  </si>
  <si>
    <t xml:space="preserve">    $/Cwt.</t>
  </si>
  <si>
    <t>Prime</t>
  </si>
  <si>
    <t>CAB</t>
  </si>
  <si>
    <t>Choice</t>
  </si>
  <si>
    <t>Choice or More</t>
  </si>
  <si>
    <t xml:space="preserve">Select </t>
  </si>
  <si>
    <t>YG1</t>
  </si>
  <si>
    <t>YG2</t>
  </si>
  <si>
    <t>YG3</t>
  </si>
  <si>
    <t>YG4</t>
  </si>
  <si>
    <t>YG5</t>
  </si>
  <si>
    <t>No Roll</t>
  </si>
  <si>
    <t>Part of incomplete carcass data.</t>
  </si>
  <si>
    <t>Misc.</t>
  </si>
  <si>
    <t>TX Feedyard</t>
  </si>
  <si>
    <t>Angus</t>
  </si>
  <si>
    <t>Example</t>
  </si>
  <si>
    <t>Carcass Data - See Details in Sheet 5.</t>
  </si>
  <si>
    <t>Freight -</t>
  </si>
  <si>
    <t xml:space="preserve">South TX </t>
  </si>
  <si>
    <t>Other</t>
  </si>
  <si>
    <t>Tyson</t>
  </si>
  <si>
    <t>Conventional</t>
  </si>
  <si>
    <t xml:space="preserve">Annualized Return on Equity - ROE      </t>
  </si>
  <si>
    <t>% Equity</t>
  </si>
  <si>
    <t>Equity</t>
  </si>
  <si>
    <t xml:space="preserve">Annualized Return on Investment - ROI  </t>
  </si>
  <si>
    <r>
      <t>DM Fed - Feed Conversion -</t>
    </r>
    <r>
      <rPr>
        <sz val="11"/>
        <rFont val="Arial"/>
        <family val="2"/>
      </rPr>
      <t xml:space="preserve"> Based On Payweight In &amp; Out</t>
    </r>
  </si>
  <si>
    <t xml:space="preserve">Annualized Return on Equity - ROE  </t>
  </si>
  <si>
    <r>
      <t xml:space="preserve">Annualized Net Return on Equity (ROE) </t>
    </r>
    <r>
      <rPr>
        <sz val="12"/>
        <rFont val="Times New Roman"/>
        <family val="1"/>
      </rPr>
      <t xml:space="preserve">uses the same financial statement values as ROI calculations except the </t>
    </r>
    <r>
      <rPr>
        <b/>
        <sz val="12"/>
        <rFont val="Times New Roman"/>
        <family val="1"/>
      </rPr>
      <t>devisor is annualized equity invested</t>
    </r>
    <r>
      <rPr>
        <sz val="12"/>
        <rFont val="Times New Roman"/>
        <family val="1"/>
      </rPr>
      <t xml:space="preserve">. The portions of equity relative to total investment is called leverage.  If ROE is greater than interest cost, using debt is profitable. The opposite is true if ROE is less than the cost of capital. </t>
    </r>
  </si>
  <si>
    <t>Version Date 6-24-2022</t>
  </si>
  <si>
    <t>***Interest is not included in feedyard performance cost of gain in the Final Closeout.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</si>
</sst>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6" x14ac:knownFonts="1">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
      <sz val="11"/>
      <color rgb="FF3333FF"/>
      <name val="Arial"/>
      <family val="2"/>
    </font>
    <font>
      <b/>
      <sz val="12"/>
      <color rgb="FF3333FF"/>
      <name val="Arial"/>
      <family val="2"/>
    </font>
  </fonts>
  <fills count="7">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40">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applyProtection="1">
      <protection locked="0"/>
    </xf>
    <xf numFmtId="179" fontId="1" fillId="0" borderId="0" xfId="0" applyNumberFormat="1" applyFont="1" applyProtection="1">
      <protection locked="0"/>
    </xf>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68" fontId="5" fillId="0" borderId="2" xfId="1" applyNumberFormat="1" applyFont="1" applyBorder="1" applyAlignment="1" applyProtection="1">
      <alignment horizontal="right"/>
      <protection locked="0"/>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5" fontId="6" fillId="5" borderId="0" xfId="0" applyNumberFormat="1" applyFont="1" applyFill="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44" fontId="6" fillId="0" borderId="0" xfId="2"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1" fillId="0" borderId="0" xfId="0" applyFont="1" applyAlignment="1">
      <alignment horizontal="center"/>
    </xf>
    <xf numFmtId="0" fontId="32" fillId="0" borderId="0" xfId="0" applyFont="1"/>
    <xf numFmtId="0" fontId="31"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7" fontId="6" fillId="5" borderId="0" xfId="0" applyNumberFormat="1" applyFont="1" applyFill="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27" fillId="0" borderId="0" xfId="0" applyFont="1" applyProtection="1">
      <protection locked="0"/>
    </xf>
    <xf numFmtId="168" fontId="25" fillId="0" borderId="0" xfId="1" applyNumberFormat="1" applyFont="1" applyProtection="1">
      <protection locked="0"/>
    </xf>
    <xf numFmtId="170" fontId="25" fillId="0" borderId="0" xfId="0" applyNumberFormat="1" applyFont="1" applyProtection="1">
      <protection locked="0"/>
    </xf>
    <xf numFmtId="178" fontId="1" fillId="0" borderId="0" xfId="4" applyNumberFormat="1"/>
    <xf numFmtId="178" fontId="6" fillId="0" borderId="0" xfId="4" applyNumberFormat="1" applyFont="1"/>
    <xf numFmtId="8" fontId="27" fillId="0" borderId="0" xfId="0" applyNumberFormat="1" applyFont="1" applyProtection="1">
      <protection locked="0"/>
    </xf>
    <xf numFmtId="168" fontId="1" fillId="0" borderId="0" xfId="1" applyNumberFormat="1" applyFont="1" applyProtection="1"/>
    <xf numFmtId="8" fontId="0" fillId="0" borderId="0" xfId="0" applyNumberFormat="1" applyProtection="1">
      <protection locked="0"/>
    </xf>
    <xf numFmtId="2" fontId="6" fillId="0" borderId="0" xfId="0" applyNumberFormat="1" applyFont="1" applyBorder="1" applyProtection="1"/>
    <xf numFmtId="0" fontId="0" fillId="0" borderId="0" xfId="0" applyAlignment="1">
      <alignment horizontal="center"/>
    </xf>
    <xf numFmtId="0" fontId="0" fillId="0" borderId="0" xfId="0" applyFill="1"/>
    <xf numFmtId="0" fontId="35" fillId="6" borderId="22" xfId="0" applyFont="1" applyFill="1" applyBorder="1" applyProtection="1">
      <protection locked="0"/>
    </xf>
    <xf numFmtId="0" fontId="6" fillId="0" borderId="0" xfId="3" applyFont="1" applyFill="1" applyAlignment="1">
      <alignment horizontal="center"/>
    </xf>
    <xf numFmtId="178" fontId="6" fillId="0" borderId="0" xfId="0" applyNumberFormat="1" applyFont="1" applyFill="1"/>
    <xf numFmtId="9" fontId="6" fillId="5" borderId="0" xfId="4" applyFont="1" applyFill="1"/>
    <xf numFmtId="9" fontId="6" fillId="5" borderId="0" xfId="4" applyFont="1" applyFill="1" applyAlignment="1">
      <alignment horizontal="center"/>
    </xf>
    <xf numFmtId="0" fontId="30" fillId="0" borderId="0" xfId="0" applyFont="1" applyAlignment="1">
      <alignment vertical="center" wrapText="1"/>
    </xf>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8"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xf numFmtId="0" fontId="34" fillId="0" borderId="19" xfId="0" applyFont="1" applyBorder="1" applyAlignment="1" applyProtection="1">
      <protection locked="0"/>
    </xf>
    <xf numFmtId="0" fontId="34" fillId="0" borderId="20" xfId="0" applyFont="1" applyBorder="1" applyAlignment="1" applyProtection="1">
      <protection locked="0"/>
    </xf>
    <xf numFmtId="0" fontId="34" fillId="0" borderId="21" xfId="0" applyFont="1" applyBorder="1" applyAlignment="1" applyProtection="1">
      <protection locked="0"/>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3333FF"/>
      <color rgb="FF0000FF"/>
      <color rgb="FF1508B8"/>
      <color rgb="FF3333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1600.0617333333334</c:v>
                </c:pt>
                <c:pt idx="1">
                  <c:v>837.00440528634351</c:v>
                </c:pt>
                <c:pt idx="2">
                  <c:v>685.15066666666655</c:v>
                </c:pt>
                <c:pt idx="3">
                  <c:v>70.466622222222441</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837.00440528634351</c:v>
                </c:pt>
                <c:pt idx="1">
                  <c:v>650.36848360254533</c:v>
                </c:pt>
                <c:pt idx="2">
                  <c:v>42.222222222222221</c:v>
                </c:pt>
                <c:pt idx="3">
                  <c:v>70.466622222222441</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-184.10150687830668</c:v>
                </c:pt>
                <c:pt idx="1">
                  <c:v>254.56812910052932</c:v>
                </c:pt>
                <c:pt idx="2">
                  <c:v>70.466622222222441</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48</xdr:row>
      <xdr:rowOff>161925</xdr:rowOff>
    </xdr:from>
    <xdr:to>
      <xdr:col>4</xdr:col>
      <xdr:colOff>771525</xdr:colOff>
      <xdr:row>64</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5"/>
  <sheetViews>
    <sheetView tabSelected="1" zoomScaleNormal="100" workbookViewId="0">
      <selection activeCell="A50" sqref="A50"/>
    </sheetView>
  </sheetViews>
  <sheetFormatPr defaultRowHeight="15" x14ac:dyDescent="0.3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0.6875" bestFit="1" customWidth="1"/>
    <col min="10" max="10" width="13.5625" customWidth="1"/>
    <col min="11" max="11" width="17.4375" customWidth="1"/>
    <col min="12" max="12" width="9.75" customWidth="1"/>
  </cols>
  <sheetData>
    <row r="1" spans="2:14" ht="17.600000000000001" x14ac:dyDescent="0.4">
      <c r="B1" s="321" t="s">
        <v>258</v>
      </c>
      <c r="C1" s="322"/>
      <c r="D1" s="322"/>
      <c r="E1" s="322"/>
      <c r="F1" s="322"/>
    </row>
    <row r="2" spans="2:14" x14ac:dyDescent="0.35">
      <c r="B2" s="2" t="s">
        <v>0</v>
      </c>
      <c r="C2" s="3">
        <f ca="1">TODAY()</f>
        <v>44736</v>
      </c>
      <c r="E2" s="328" t="s">
        <v>302</v>
      </c>
      <c r="F2" s="329"/>
      <c r="I2" s="145" t="s">
        <v>316</v>
      </c>
    </row>
    <row r="3" spans="2:14" x14ac:dyDescent="0.35">
      <c r="B3" t="s">
        <v>16</v>
      </c>
      <c r="C3" s="301">
        <v>123</v>
      </c>
      <c r="D3" s="121"/>
      <c r="E3" s="2" t="s">
        <v>17</v>
      </c>
      <c r="F3" s="267" t="s">
        <v>301</v>
      </c>
    </row>
    <row r="4" spans="2:14" x14ac:dyDescent="0.35">
      <c r="B4" t="s">
        <v>218</v>
      </c>
      <c r="C4" s="323" t="s">
        <v>300</v>
      </c>
      <c r="D4" s="324"/>
      <c r="E4" s="4" t="s">
        <v>105</v>
      </c>
      <c r="F4" s="63">
        <v>50</v>
      </c>
    </row>
    <row r="5" spans="2:14" x14ac:dyDescent="0.35">
      <c r="B5" t="s">
        <v>18</v>
      </c>
      <c r="C5" s="325" t="s">
        <v>305</v>
      </c>
      <c r="D5" s="326"/>
      <c r="E5" s="2" t="s">
        <v>19</v>
      </c>
      <c r="F5" s="114" t="s">
        <v>276</v>
      </c>
    </row>
    <row r="6" spans="2:14" x14ac:dyDescent="0.35">
      <c r="B6" s="2" t="s">
        <v>37</v>
      </c>
      <c r="C6" s="325" t="s">
        <v>279</v>
      </c>
      <c r="D6" s="326"/>
      <c r="E6" t="s">
        <v>22</v>
      </c>
      <c r="F6" s="63">
        <v>2</v>
      </c>
    </row>
    <row r="7" spans="2:14" x14ac:dyDescent="0.35">
      <c r="B7" s="40" t="s">
        <v>62</v>
      </c>
      <c r="C7" s="327" t="s">
        <v>308</v>
      </c>
      <c r="D7" s="326"/>
      <c r="E7" s="2" t="s">
        <v>221</v>
      </c>
      <c r="F7" s="63">
        <v>2</v>
      </c>
    </row>
    <row r="8" spans="2:14" x14ac:dyDescent="0.35">
      <c r="B8" s="289" t="s">
        <v>63</v>
      </c>
      <c r="C8" s="207">
        <v>43706</v>
      </c>
      <c r="E8" s="242" t="s">
        <v>46</v>
      </c>
      <c r="F8" s="63">
        <v>227</v>
      </c>
    </row>
    <row r="9" spans="2:14" x14ac:dyDescent="0.35">
      <c r="B9" s="289"/>
      <c r="C9" s="303"/>
      <c r="E9" s="242" t="s">
        <v>267</v>
      </c>
      <c r="F9" s="63">
        <v>225</v>
      </c>
      <c r="G9" s="2" t="s">
        <v>268</v>
      </c>
    </row>
    <row r="10" spans="2:14" ht="17.600000000000001" x14ac:dyDescent="0.4">
      <c r="B10" s="289" t="s">
        <v>64</v>
      </c>
      <c r="C10" s="290">
        <v>43999</v>
      </c>
      <c r="D10" s="238"/>
      <c r="E10" s="242" t="s">
        <v>278</v>
      </c>
      <c r="F10" s="63">
        <v>223</v>
      </c>
      <c r="G10" s="10" t="s">
        <v>259</v>
      </c>
    </row>
    <row r="11" spans="2:14" x14ac:dyDescent="0.35">
      <c r="B11" s="289" t="s">
        <v>247</v>
      </c>
      <c r="C11" s="210">
        <v>57537</v>
      </c>
      <c r="E11" s="189">
        <f>IF(F8=0,0,C11/F8)</f>
        <v>253.46696035242292</v>
      </c>
      <c r="F11" t="s">
        <v>145</v>
      </c>
    </row>
    <row r="12" spans="2:14" ht="15.45" x14ac:dyDescent="0.4">
      <c r="B12" s="2" t="s">
        <v>24</v>
      </c>
      <c r="C12" s="71">
        <v>4</v>
      </c>
      <c r="D12" s="2" t="s">
        <v>3</v>
      </c>
      <c r="E12" s="10" t="s">
        <v>162</v>
      </c>
      <c r="H12" s="4"/>
      <c r="I12" s="209" t="s">
        <v>138</v>
      </c>
    </row>
    <row r="13" spans="2:14" x14ac:dyDescent="0.35">
      <c r="B13" s="233" t="s">
        <v>248</v>
      </c>
      <c r="C13" s="302">
        <v>315000</v>
      </c>
      <c r="E13" s="239">
        <f>IF(F9=0,0,C13/F9)</f>
        <v>1400</v>
      </c>
      <c r="G13" s="2" t="s">
        <v>268</v>
      </c>
      <c r="H13" s="2"/>
    </row>
    <row r="14" spans="2:14" x14ac:dyDescent="0.35">
      <c r="B14" s="233" t="s">
        <v>249</v>
      </c>
      <c r="C14" s="302">
        <v>130000</v>
      </c>
      <c r="E14" s="222">
        <f>IF(F8=0,0,C14/F8)</f>
        <v>572.68722466960355</v>
      </c>
      <c r="I14" s="4"/>
    </row>
    <row r="15" spans="2:14" ht="15.45" x14ac:dyDescent="0.4">
      <c r="B15" s="203" t="s">
        <v>135</v>
      </c>
      <c r="C15" s="204">
        <f>C13-C14</f>
        <v>185000</v>
      </c>
      <c r="E15" s="189">
        <f>IF(F9=0,0,C15/F9)</f>
        <v>822.22222222222217</v>
      </c>
      <c r="G15" s="2" t="s">
        <v>268</v>
      </c>
      <c r="I15" s="4"/>
      <c r="J15" s="130" t="s">
        <v>130</v>
      </c>
      <c r="K15" s="132"/>
      <c r="L15" s="115"/>
      <c r="M15" s="115"/>
      <c r="N15" s="116"/>
    </row>
    <row r="16" spans="2:14" ht="15.45" x14ac:dyDescent="0.4">
      <c r="B16" s="203" t="s">
        <v>136</v>
      </c>
      <c r="C16" s="205">
        <f>IF(C11=0,0,C15/C11)</f>
        <v>3.2153223143368614</v>
      </c>
      <c r="E16" s="2" t="s">
        <v>260</v>
      </c>
      <c r="F16" s="109" t="s">
        <v>307</v>
      </c>
      <c r="J16" s="131" t="s">
        <v>112</v>
      </c>
      <c r="K16" s="122"/>
      <c r="L16" s="183">
        <f>J17*J18</f>
        <v>375</v>
      </c>
      <c r="M16" s="118" t="s">
        <v>107</v>
      </c>
      <c r="N16" s="119"/>
    </row>
    <row r="17" spans="2:14" x14ac:dyDescent="0.35">
      <c r="B17" s="14" t="s">
        <v>137</v>
      </c>
      <c r="C17" s="284"/>
      <c r="G17" s="108"/>
      <c r="J17" s="184">
        <v>100</v>
      </c>
      <c r="K17" s="126" t="s">
        <v>111</v>
      </c>
      <c r="L17" s="144">
        <f>IF(C3=0,0,(L16/(J19*L19)))</f>
        <v>7.4999999999999997E-3</v>
      </c>
      <c r="M17" s="123" t="s">
        <v>2</v>
      </c>
      <c r="N17" s="122"/>
    </row>
    <row r="18" spans="2:14" ht="15.45" x14ac:dyDescent="0.4">
      <c r="B18" s="233" t="s">
        <v>144</v>
      </c>
      <c r="C18" s="302">
        <v>1105057</v>
      </c>
      <c r="G18" s="222"/>
      <c r="J18" s="185">
        <v>3.75</v>
      </c>
      <c r="K18" s="133" t="s">
        <v>106</v>
      </c>
      <c r="L18" s="186">
        <v>50000</v>
      </c>
      <c r="M18" s="117" t="s">
        <v>108</v>
      </c>
      <c r="N18" s="122"/>
    </row>
    <row r="19" spans="2:14" x14ac:dyDescent="0.35">
      <c r="B19" s="233" t="s">
        <v>147</v>
      </c>
      <c r="C19" s="208">
        <f>IF(C15=0,0,C18/C15)</f>
        <v>5.9732810810810815</v>
      </c>
      <c r="J19" s="124">
        <f>'2. Finished Cattle Close Out'!F9</f>
        <v>572.68722466960355</v>
      </c>
      <c r="K19" s="134" t="s">
        <v>131</v>
      </c>
      <c r="L19" s="125">
        <f>IF(C3=0,0,L18/J19)</f>
        <v>87.307692307692307</v>
      </c>
      <c r="M19" s="120" t="s">
        <v>110</v>
      </c>
      <c r="N19" s="126"/>
    </row>
    <row r="20" spans="2:14" ht="15.45" x14ac:dyDescent="0.4">
      <c r="B20" s="2"/>
      <c r="C20" s="136"/>
      <c r="D20" s="136"/>
      <c r="J20" s="187">
        <f>L20*F8</f>
        <v>975</v>
      </c>
      <c r="K20" s="188" t="s">
        <v>132</v>
      </c>
      <c r="L20" s="128">
        <f>IF(C3=0,0,L16/L19)</f>
        <v>4.2951541850220263</v>
      </c>
      <c r="M20" s="135" t="s">
        <v>109</v>
      </c>
      <c r="N20" s="127"/>
    </row>
    <row r="21" spans="2:14" ht="15.45" x14ac:dyDescent="0.4">
      <c r="B21" s="10" t="s">
        <v>83</v>
      </c>
      <c r="C21" s="30"/>
      <c r="D21" s="30"/>
      <c r="E21" s="83" t="s">
        <v>225</v>
      </c>
      <c r="G21" s="83" t="s">
        <v>252</v>
      </c>
    </row>
    <row r="22" spans="2:14" ht="15.45" x14ac:dyDescent="0.4">
      <c r="B22" s="2" t="s">
        <v>246</v>
      </c>
      <c r="C22" s="306">
        <v>362250</v>
      </c>
      <c r="D22" s="34"/>
      <c r="E22" s="292">
        <f>F10</f>
        <v>223</v>
      </c>
      <c r="G22" s="83" t="s">
        <v>240</v>
      </c>
    </row>
    <row r="23" spans="2:14" x14ac:dyDescent="0.35">
      <c r="B23" s="42" t="s">
        <v>41</v>
      </c>
      <c r="C23" s="237">
        <v>0</v>
      </c>
      <c r="D23" s="57"/>
    </row>
    <row r="24" spans="2:14" x14ac:dyDescent="0.35">
      <c r="B24" s="216" t="s">
        <v>283</v>
      </c>
      <c r="C24" s="237">
        <v>-450</v>
      </c>
      <c r="D24" s="57"/>
    </row>
    <row r="25" spans="2:14" x14ac:dyDescent="0.35">
      <c r="B25" s="216" t="s">
        <v>304</v>
      </c>
      <c r="C25" s="237">
        <v>-1786.11</v>
      </c>
      <c r="D25" s="57"/>
    </row>
    <row r="26" spans="2:14" ht="15.45" x14ac:dyDescent="0.4">
      <c r="B26" s="10" t="s">
        <v>166</v>
      </c>
      <c r="C26" s="33">
        <f>SUM(C22:C25)</f>
        <v>360013.89</v>
      </c>
      <c r="F26" s="83"/>
    </row>
    <row r="27" spans="2:14" ht="15.45" x14ac:dyDescent="0.4">
      <c r="C27" s="34"/>
      <c r="D27" s="34"/>
    </row>
    <row r="28" spans="2:14" ht="15.45" x14ac:dyDescent="0.4">
      <c r="B28" s="10" t="s">
        <v>163</v>
      </c>
      <c r="C28" s="27"/>
      <c r="D28" s="27"/>
      <c r="E28" s="10" t="s">
        <v>227</v>
      </c>
      <c r="H28" s="2" t="s">
        <v>183</v>
      </c>
      <c r="I28" s="2" t="s">
        <v>209</v>
      </c>
    </row>
    <row r="29" spans="2:14" ht="15.45" x14ac:dyDescent="0.4">
      <c r="B29" s="10" t="s">
        <v>223</v>
      </c>
      <c r="C29" s="27"/>
      <c r="D29" s="294">
        <v>1</v>
      </c>
      <c r="E29" s="2" t="str">
        <f>IF(D29=1,"Feedyard Priced","Accumulated Cost")</f>
        <v>Feedyard Priced</v>
      </c>
      <c r="H29" s="2" t="s">
        <v>181</v>
      </c>
      <c r="I29" s="2" t="s">
        <v>182</v>
      </c>
    </row>
    <row r="30" spans="2:14" ht="15.45" x14ac:dyDescent="0.4">
      <c r="B30" s="10" t="s">
        <v>157</v>
      </c>
      <c r="C30" s="49">
        <v>190000</v>
      </c>
      <c r="E30" s="2" t="s">
        <v>224</v>
      </c>
      <c r="H30" s="222">
        <f>'2. Finished Cattle Close Out'!L32</f>
        <v>293</v>
      </c>
      <c r="I30" s="110">
        <f>((F32*(H30/365)))</f>
        <v>152520.54794520547</v>
      </c>
    </row>
    <row r="31" spans="2:14" x14ac:dyDescent="0.35">
      <c r="B31" s="256" t="s">
        <v>179</v>
      </c>
      <c r="C31" s="49">
        <v>0</v>
      </c>
      <c r="D31" s="49"/>
      <c r="F31" s="2" t="s">
        <v>180</v>
      </c>
      <c r="H31" s="2" t="s">
        <v>185</v>
      </c>
    </row>
    <row r="32" spans="2:14" ht="15.45" x14ac:dyDescent="0.4">
      <c r="B32" s="256" t="s">
        <v>78</v>
      </c>
      <c r="C32" s="49">
        <v>0</v>
      </c>
      <c r="D32" s="49"/>
      <c r="E32" s="129">
        <f>IF(F32=0,0,F32/C14*100)</f>
        <v>146.15384615384613</v>
      </c>
      <c r="F32" s="110">
        <f>SUM(C30:C32)</f>
        <v>190000</v>
      </c>
      <c r="H32" s="265">
        <f>H30</f>
        <v>293</v>
      </c>
      <c r="I32" s="110">
        <f>((F39*0.5*(H32/365)))</f>
        <v>57660.353013698645</v>
      </c>
    </row>
    <row r="33" spans="2:10" ht="15.45" x14ac:dyDescent="0.4">
      <c r="B33" s="2" t="s">
        <v>220</v>
      </c>
      <c r="C33" s="29"/>
      <c r="D33" s="29"/>
      <c r="H33" s="4"/>
      <c r="I33" s="129">
        <f>I30+I32</f>
        <v>210180.90095890412</v>
      </c>
      <c r="J33" s="2" t="s">
        <v>184</v>
      </c>
    </row>
    <row r="34" spans="2:10" ht="15.45" x14ac:dyDescent="0.4">
      <c r="B34" s="2" t="s">
        <v>262</v>
      </c>
      <c r="C34" s="49">
        <v>139811.91</v>
      </c>
      <c r="D34" s="198"/>
      <c r="F34" s="129">
        <f>C34</f>
        <v>139811.91</v>
      </c>
      <c r="G34" s="2" t="s">
        <v>265</v>
      </c>
    </row>
    <row r="35" spans="2:10" x14ac:dyDescent="0.35">
      <c r="B35" s="304" t="s">
        <v>261</v>
      </c>
      <c r="C35" s="49">
        <v>3429.8</v>
      </c>
      <c r="D35" s="198"/>
      <c r="E35" s="110"/>
    </row>
    <row r="36" spans="2:10" x14ac:dyDescent="0.35">
      <c r="B36" s="304" t="s">
        <v>277</v>
      </c>
      <c r="C36" s="49">
        <v>313.47000000000003</v>
      </c>
      <c r="D36" s="198"/>
    </row>
    <row r="37" spans="2:10" x14ac:dyDescent="0.35">
      <c r="B37" s="304" t="s">
        <v>280</v>
      </c>
      <c r="C37" s="49">
        <v>218.1</v>
      </c>
      <c r="D37" s="198"/>
    </row>
    <row r="38" spans="2:10" x14ac:dyDescent="0.35">
      <c r="B38" s="304" t="s">
        <v>281</v>
      </c>
      <c r="C38" s="49">
        <f>289.5+17.67</f>
        <v>307.17</v>
      </c>
      <c r="D38" s="198"/>
    </row>
    <row r="39" spans="2:10" ht="15.45" x14ac:dyDescent="0.4">
      <c r="B39" s="304" t="s">
        <v>282</v>
      </c>
      <c r="C39" s="49">
        <v>-421.55</v>
      </c>
      <c r="D39" s="29"/>
      <c r="F39" s="129">
        <f>SUM(C34:C39)</f>
        <v>143658.90000000002</v>
      </c>
      <c r="G39" s="298" t="s">
        <v>263</v>
      </c>
      <c r="I39" s="110"/>
    </row>
    <row r="40" spans="2:10" x14ac:dyDescent="0.35">
      <c r="B40" s="304" t="s">
        <v>306</v>
      </c>
      <c r="C40" s="49">
        <v>0</v>
      </c>
      <c r="D40" s="59"/>
      <c r="E40" s="2" t="s">
        <v>250</v>
      </c>
    </row>
    <row r="41" spans="2:10" ht="15.45" x14ac:dyDescent="0.4">
      <c r="B41" s="10" t="s">
        <v>174</v>
      </c>
      <c r="C41" s="34">
        <v>1000</v>
      </c>
      <c r="D41" s="59"/>
      <c r="E41" s="312">
        <f>IF(F8=0,0,C41/F8)</f>
        <v>4.4052863436123344</v>
      </c>
      <c r="G41" s="2" t="s">
        <v>186</v>
      </c>
    </row>
    <row r="42" spans="2:10" ht="15.45" x14ac:dyDescent="0.4">
      <c r="B42" s="10" t="s">
        <v>91</v>
      </c>
      <c r="C42" s="56"/>
      <c r="D42" s="59"/>
      <c r="E42" s="56"/>
      <c r="G42" s="4" t="s">
        <v>117</v>
      </c>
      <c r="I42" s="206">
        <v>5</v>
      </c>
      <c r="J42" s="2" t="s">
        <v>148</v>
      </c>
    </row>
    <row r="43" spans="2:10" ht="15.45" x14ac:dyDescent="0.4">
      <c r="B43" s="2" t="s">
        <v>178</v>
      </c>
      <c r="C43" s="34">
        <v>9500</v>
      </c>
      <c r="D43" s="59"/>
      <c r="E43" s="27">
        <f>SUM(C34:C43)</f>
        <v>154158.90000000002</v>
      </c>
      <c r="G43" s="2" t="s">
        <v>177</v>
      </c>
      <c r="I43" s="143">
        <f>I33</f>
        <v>210180.90095890412</v>
      </c>
      <c r="J43" s="2" t="s">
        <v>146</v>
      </c>
    </row>
    <row r="44" spans="2:10" ht="15.45" x14ac:dyDescent="0.4">
      <c r="B44" s="10" t="s">
        <v>164</v>
      </c>
      <c r="C44" s="244">
        <f>SUM(C30:C43)</f>
        <v>344158.89999999997</v>
      </c>
      <c r="D44" s="58"/>
      <c r="E44" s="143">
        <f>'2. Finished Cattle Close Out'!L41</f>
        <v>210582.2708219178</v>
      </c>
      <c r="G44" t="s">
        <v>118</v>
      </c>
      <c r="J44" s="266">
        <f>I43*I42*0.01</f>
        <v>10509.045047945207</v>
      </c>
    </row>
    <row r="45" spans="2:10" x14ac:dyDescent="0.35">
      <c r="E45" s="48"/>
      <c r="F45" s="4"/>
    </row>
    <row r="46" spans="2:10" ht="15.45" x14ac:dyDescent="0.4">
      <c r="B46" s="10" t="s">
        <v>303</v>
      </c>
      <c r="C46" s="2"/>
      <c r="I46" s="10" t="s">
        <v>175</v>
      </c>
    </row>
    <row r="47" spans="2:10" x14ac:dyDescent="0.35">
      <c r="B47" s="2" t="s">
        <v>219</v>
      </c>
      <c r="C47" s="287">
        <f>F10</f>
        <v>223</v>
      </c>
      <c r="I47" s="83" t="s">
        <v>176</v>
      </c>
    </row>
    <row r="48" spans="2:10" x14ac:dyDescent="0.35">
      <c r="B48" s="2" t="s">
        <v>228</v>
      </c>
      <c r="C48" s="305">
        <v>1402</v>
      </c>
      <c r="F48" s="2"/>
      <c r="I48" s="83" t="s">
        <v>165</v>
      </c>
    </row>
    <row r="49" spans="2:9" x14ac:dyDescent="0.35">
      <c r="B49" s="2" t="s">
        <v>200</v>
      </c>
      <c r="C49" s="256">
        <v>894</v>
      </c>
      <c r="F49" s="2"/>
      <c r="I49" s="83" t="s">
        <v>317</v>
      </c>
    </row>
    <row r="50" spans="2:9" x14ac:dyDescent="0.35">
      <c r="B50" s="2" t="s">
        <v>194</v>
      </c>
      <c r="C50" s="285">
        <v>0.65610000000000002</v>
      </c>
    </row>
    <row r="51" spans="2:9" ht="15.45" x14ac:dyDescent="0.4">
      <c r="B51" s="10" t="s">
        <v>167</v>
      </c>
    </row>
    <row r="52" spans="2:9" x14ac:dyDescent="0.35">
      <c r="B52" s="2" t="s">
        <v>168</v>
      </c>
      <c r="C52" s="258">
        <v>0.73</v>
      </c>
    </row>
    <row r="53" spans="2:9" ht="15.45" x14ac:dyDescent="0.4">
      <c r="B53" s="10" t="s">
        <v>169</v>
      </c>
      <c r="C53" s="258"/>
    </row>
    <row r="54" spans="2:9" x14ac:dyDescent="0.35">
      <c r="B54" s="257" t="s">
        <v>170</v>
      </c>
      <c r="C54" s="259">
        <v>0.61</v>
      </c>
    </row>
    <row r="55" spans="2:9" x14ac:dyDescent="0.35">
      <c r="B55" s="257" t="s">
        <v>171</v>
      </c>
      <c r="C55" s="259">
        <v>0.12</v>
      </c>
    </row>
  </sheetData>
  <sheetProtection sheet="1" objects="1" scenarios="1"/>
  <mergeCells count="6">
    <mergeCell ref="B1:F1"/>
    <mergeCell ref="C4:D4"/>
    <mergeCell ref="C5:D5"/>
    <mergeCell ref="C6:D6"/>
    <mergeCell ref="C7:D7"/>
    <mergeCell ref="E2:F2"/>
  </mergeCells>
  <phoneticPr fontId="20" type="noConversion"/>
  <printOptions gridLines="1"/>
  <pageMargins left="0.95" right="0.45" top="0.75" bottom="0.75" header="0.3" footer="0.3"/>
  <pageSetup scale="84"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7"/>
  <sheetViews>
    <sheetView topLeftCell="A44" zoomScaleNormal="100" workbookViewId="0">
      <selection activeCell="E52" sqref="E52"/>
    </sheetView>
  </sheetViews>
  <sheetFormatPr defaultRowHeight="15" x14ac:dyDescent="0.3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x14ac:dyDescent="0.4">
      <c r="B1" s="321" t="s">
        <v>128</v>
      </c>
      <c r="C1" s="321"/>
      <c r="D1" s="321"/>
      <c r="E1" s="321"/>
      <c r="F1" s="321"/>
      <c r="G1" s="330"/>
      <c r="H1" s="227"/>
      <c r="I1" s="227"/>
      <c r="J1" s="227"/>
      <c r="K1" s="47"/>
    </row>
    <row r="2" spans="2:14" ht="17.600000000000001" x14ac:dyDescent="0.4">
      <c r="B2" s="2" t="s">
        <v>0</v>
      </c>
      <c r="D2" s="3">
        <f ca="1">TODAY()</f>
        <v>44736</v>
      </c>
      <c r="F2" s="47"/>
      <c r="G2" s="47"/>
      <c r="H2" s="226"/>
      <c r="I2" s="226"/>
      <c r="J2" s="226"/>
      <c r="K2" s="47"/>
    </row>
    <row r="3" spans="2:14" ht="17.600000000000001" x14ac:dyDescent="0.4">
      <c r="B3" t="s">
        <v>16</v>
      </c>
      <c r="C3">
        <f>'1.Custom Finish Financial Data'!C3</f>
        <v>123</v>
      </c>
      <c r="D3" s="211"/>
      <c r="E3" s="2" t="s">
        <v>17</v>
      </c>
      <c r="F3" s="142" t="str">
        <f>'1.Custom Finish Financial Data'!F3</f>
        <v>Angus</v>
      </c>
      <c r="G3" s="47"/>
      <c r="H3" s="226"/>
      <c r="I3" s="226"/>
      <c r="J3" s="226"/>
      <c r="K3" s="47"/>
    </row>
    <row r="4" spans="2:14" ht="17.600000000000001" x14ac:dyDescent="0.4">
      <c r="B4" s="2" t="s">
        <v>218</v>
      </c>
      <c r="C4" s="139" t="str">
        <f>'1.Custom Finish Financial Data'!C4:D4</f>
        <v>TX Feedyard</v>
      </c>
      <c r="D4" s="139"/>
      <c r="E4" s="4" t="s">
        <v>105</v>
      </c>
      <c r="F4" s="142">
        <f>'1.Custom Finish Financial Data'!F4</f>
        <v>50</v>
      </c>
      <c r="G4" s="47"/>
      <c r="H4" s="226"/>
      <c r="I4" s="226"/>
      <c r="J4" s="226"/>
      <c r="K4" s="47"/>
    </row>
    <row r="5" spans="2:14" ht="17.600000000000001" x14ac:dyDescent="0.4">
      <c r="B5" t="s">
        <v>18</v>
      </c>
      <c r="C5" s="139" t="str">
        <f>'1.Custom Finish Financial Data'!C5:D5</f>
        <v xml:space="preserve">South TX </v>
      </c>
      <c r="D5" s="139"/>
      <c r="E5" s="2" t="s">
        <v>19</v>
      </c>
      <c r="F5" s="142" t="str">
        <f>'1.Custom Finish Financial Data'!F5</f>
        <v>Steers</v>
      </c>
      <c r="G5" s="47"/>
      <c r="H5" s="226"/>
      <c r="I5" s="226"/>
      <c r="J5" s="226"/>
    </row>
    <row r="6" spans="2:14" ht="17.600000000000001" x14ac:dyDescent="0.4">
      <c r="B6" s="2" t="s">
        <v>37</v>
      </c>
      <c r="C6" s="139" t="str">
        <f>'1.Custom Finish Financial Data'!C6:D6</f>
        <v>Stocker</v>
      </c>
      <c r="D6" s="139"/>
      <c r="F6" s="47"/>
      <c r="G6" s="47"/>
      <c r="H6" s="226"/>
      <c r="I6" s="226"/>
      <c r="J6" s="226"/>
    </row>
    <row r="7" spans="2:14" ht="17.600000000000001" x14ac:dyDescent="0.4">
      <c r="B7" s="40" t="s">
        <v>62</v>
      </c>
      <c r="C7" s="139" t="str">
        <f>'1.Custom Finish Financial Data'!C7</f>
        <v>Conventional</v>
      </c>
      <c r="F7" s="47"/>
      <c r="G7" s="47"/>
      <c r="H7" s="226"/>
      <c r="I7" s="226"/>
      <c r="J7" s="226"/>
    </row>
    <row r="8" spans="2:14" ht="17.600000000000001" x14ac:dyDescent="0.4">
      <c r="B8" s="4" t="s">
        <v>57</v>
      </c>
      <c r="D8" s="214">
        <f>'1.Custom Finish Financial Data'!C8</f>
        <v>43706</v>
      </c>
      <c r="E8" s="2" t="s">
        <v>73</v>
      </c>
      <c r="F8" s="211">
        <f>'1.Custom Finish Financial Data'!F8</f>
        <v>227</v>
      </c>
      <c r="G8" s="47"/>
      <c r="H8" s="226"/>
      <c r="I8" s="226"/>
      <c r="J8" s="226"/>
    </row>
    <row r="9" spans="2:14" ht="17.600000000000001" x14ac:dyDescent="0.4">
      <c r="B9" s="2" t="s">
        <v>72</v>
      </c>
      <c r="C9" s="1" t="s">
        <v>28</v>
      </c>
      <c r="D9" s="213">
        <f>'1.Custom Finish Financial Data'!C14</f>
        <v>130000</v>
      </c>
      <c r="E9" s="1" t="s">
        <v>4</v>
      </c>
      <c r="F9" s="252">
        <f>IF(F8=0,0,D9/F8)</f>
        <v>572.68722466960355</v>
      </c>
      <c r="G9" s="201"/>
      <c r="H9" s="226"/>
      <c r="I9" s="226"/>
      <c r="J9" s="226"/>
    </row>
    <row r="10" spans="2:14" ht="17.600000000000001" x14ac:dyDescent="0.4">
      <c r="B10" s="4" t="s">
        <v>133</v>
      </c>
      <c r="C10" s="82" t="s">
        <v>56</v>
      </c>
      <c r="D10" s="215">
        <f>'1.Custom Finish Financial Data'!C18</f>
        <v>1105057</v>
      </c>
      <c r="E10" s="25" t="s">
        <v>55</v>
      </c>
      <c r="F10" s="95">
        <f>IF(D10=0,0,D10/D18)</f>
        <v>5.9732810810810815</v>
      </c>
      <c r="G10" s="47"/>
      <c r="H10" s="264" t="s">
        <v>197</v>
      </c>
      <c r="I10" s="264"/>
      <c r="J10" s="226"/>
    </row>
    <row r="11" spans="2:14" ht="17.600000000000001" x14ac:dyDescent="0.4">
      <c r="B11" s="2" t="s">
        <v>235</v>
      </c>
      <c r="C11" s="14" t="s">
        <v>29</v>
      </c>
      <c r="D11" s="213">
        <f>'1.Custom Finish Financial Data'!C11</f>
        <v>57537</v>
      </c>
      <c r="E11" s="38" t="s">
        <v>234</v>
      </c>
      <c r="F11" s="297">
        <f>IF(D15=0,0,D11/F8)</f>
        <v>253.46696035242292</v>
      </c>
      <c r="G11" s="47"/>
      <c r="H11" s="273">
        <f>D14-D8</f>
        <v>293</v>
      </c>
      <c r="I11" s="264" t="s">
        <v>29</v>
      </c>
      <c r="J11" s="226"/>
      <c r="K11" s="200"/>
    </row>
    <row r="12" spans="2:14" ht="17.600000000000001" x14ac:dyDescent="0.4">
      <c r="B12" t="s">
        <v>22</v>
      </c>
      <c r="C12" s="38" t="s">
        <v>27</v>
      </c>
      <c r="D12" s="240">
        <f>'1.Custom Finish Financial Data'!F6</f>
        <v>2</v>
      </c>
      <c r="E12" s="142" t="s">
        <v>188</v>
      </c>
      <c r="F12" s="241">
        <f>'1.Custom Finish Financial Data'!F7</f>
        <v>2</v>
      </c>
      <c r="G12" s="47"/>
      <c r="H12" s="226"/>
      <c r="I12" s="226"/>
      <c r="J12" s="226"/>
      <c r="K12" s="47"/>
    </row>
    <row r="13" spans="2:14" ht="17.600000000000001" x14ac:dyDescent="0.4">
      <c r="B13" s="2" t="s">
        <v>189</v>
      </c>
      <c r="C13" s="1" t="s">
        <v>190</v>
      </c>
      <c r="D13" s="112">
        <f>D12+F12</f>
        <v>4</v>
      </c>
      <c r="E13" s="40" t="s">
        <v>187</v>
      </c>
      <c r="F13" s="51">
        <f>IF(F8=0,0,((D13)/F8))</f>
        <v>1.7621145374449341E-2</v>
      </c>
      <c r="G13" s="47"/>
      <c r="H13" s="281"/>
      <c r="I13" s="281" t="s">
        <v>217</v>
      </c>
      <c r="J13" s="226"/>
      <c r="K13" s="47"/>
    </row>
    <row r="14" spans="2:14" ht="17.600000000000001" x14ac:dyDescent="0.4">
      <c r="B14" s="4" t="s">
        <v>123</v>
      </c>
      <c r="D14" s="212">
        <f>'1.Custom Finish Financial Data'!C10</f>
        <v>43999</v>
      </c>
      <c r="E14" t="s">
        <v>21</v>
      </c>
      <c r="F14" s="243" t="str">
        <f>'1.Custom Finish Financial Data'!F16</f>
        <v>Tyson</v>
      </c>
      <c r="G14" s="47"/>
      <c r="H14" s="226"/>
      <c r="I14" s="226"/>
      <c r="J14" s="226"/>
      <c r="K14" s="47"/>
    </row>
    <row r="15" spans="2:14" ht="20.149999999999999" x14ac:dyDescent="0.5">
      <c r="B15" s="40" t="s">
        <v>237</v>
      </c>
      <c r="C15" s="46" t="s">
        <v>27</v>
      </c>
      <c r="D15" s="249">
        <f>F8-D12</f>
        <v>225</v>
      </c>
      <c r="E15" s="10" t="s">
        <v>196</v>
      </c>
      <c r="F15" s="272">
        <f>F8-D12-F12</f>
        <v>223</v>
      </c>
      <c r="G15" s="47"/>
      <c r="H15" s="226"/>
      <c r="I15" s="226"/>
      <c r="J15" s="226"/>
      <c r="K15" s="47"/>
      <c r="L15" s="73"/>
      <c r="N15" s="74"/>
    </row>
    <row r="16" spans="2:14" ht="17.600000000000001" x14ac:dyDescent="0.4">
      <c r="B16" t="s">
        <v>75</v>
      </c>
      <c r="C16" s="46" t="s">
        <v>28</v>
      </c>
      <c r="D16" s="215">
        <f>'1.Custom Finish Financial Data'!C13</f>
        <v>315000</v>
      </c>
      <c r="E16" s="96" t="s">
        <v>24</v>
      </c>
      <c r="F16" s="283">
        <f>'1.Custom Finish Financial Data'!C12</f>
        <v>4</v>
      </c>
      <c r="G16" s="47"/>
      <c r="H16" s="226"/>
      <c r="I16" s="226"/>
      <c r="J16" s="226"/>
      <c r="K16" s="47"/>
      <c r="L16" s="75"/>
      <c r="M16" s="72"/>
      <c r="N16" s="10"/>
    </row>
    <row r="17" spans="2:17" ht="17.600000000000001" x14ac:dyDescent="0.4">
      <c r="B17" t="s">
        <v>76</v>
      </c>
      <c r="C17" s="46" t="s">
        <v>35</v>
      </c>
      <c r="D17" s="65">
        <f>IF(D15=0,0,D16/D15)</f>
        <v>1400</v>
      </c>
      <c r="E17" s="32"/>
      <c r="F17" s="47"/>
      <c r="G17" s="47"/>
      <c r="H17" s="226"/>
      <c r="I17" s="226"/>
      <c r="J17" s="226"/>
      <c r="K17" s="47"/>
      <c r="L17" s="76"/>
      <c r="M17" s="72"/>
      <c r="N17" s="10"/>
    </row>
    <row r="18" spans="2:17" ht="17.600000000000001" x14ac:dyDescent="0.4">
      <c r="B18" s="2" t="s">
        <v>216</v>
      </c>
      <c r="C18" s="46" t="s">
        <v>28</v>
      </c>
      <c r="D18" s="66">
        <f>D16-D9</f>
        <v>185000</v>
      </c>
      <c r="E18" t="s">
        <v>77</v>
      </c>
      <c r="F18" s="65">
        <f>IF(D15=0,0,(D18/F8))</f>
        <v>814.97797356828198</v>
      </c>
      <c r="G18" s="47"/>
      <c r="H18" s="282">
        <f>F8</f>
        <v>227</v>
      </c>
      <c r="I18" s="281" t="s">
        <v>233</v>
      </c>
      <c r="J18" s="226"/>
      <c r="K18" s="47"/>
      <c r="L18" s="70"/>
      <c r="M18" s="4"/>
      <c r="N18" s="4"/>
    </row>
    <row r="19" spans="2:17" ht="17.600000000000001" x14ac:dyDescent="0.4">
      <c r="B19" s="40" t="s">
        <v>215</v>
      </c>
      <c r="C19" s="46" t="s">
        <v>43</v>
      </c>
      <c r="D19" s="199">
        <f>IF(D11=0,0,((D16-D9)/D11))</f>
        <v>3.2153223143368614</v>
      </c>
      <c r="F19" s="47"/>
      <c r="G19" s="47"/>
      <c r="H19" s="226"/>
      <c r="I19" s="226"/>
      <c r="J19" s="226"/>
      <c r="K19" s="47"/>
      <c r="L19" s="60"/>
      <c r="M19" s="4"/>
      <c r="N19" s="4"/>
    </row>
    <row r="20" spans="2:17" x14ac:dyDescent="0.35">
      <c r="B20" s="64" t="s">
        <v>98</v>
      </c>
      <c r="C20" s="64"/>
      <c r="D20" s="64"/>
      <c r="E20" s="64"/>
      <c r="F20" s="64"/>
      <c r="G20" s="64"/>
      <c r="H20" s="64"/>
      <c r="I20" s="64"/>
      <c r="J20" s="64"/>
      <c r="K20" s="64"/>
      <c r="L20" s="61"/>
      <c r="M20" s="72"/>
      <c r="N20" s="62"/>
    </row>
    <row r="21" spans="2:17" ht="15.45" x14ac:dyDescent="0.4">
      <c r="B21" s="103" t="s">
        <v>83</v>
      </c>
      <c r="C21" s="72"/>
      <c r="D21" s="11" t="s">
        <v>1</v>
      </c>
      <c r="E21" s="104" t="s">
        <v>87</v>
      </c>
      <c r="F21" s="11" t="s">
        <v>6</v>
      </c>
      <c r="K21" s="14" t="s">
        <v>86</v>
      </c>
      <c r="L21" s="77"/>
      <c r="M21" s="72"/>
    </row>
    <row r="22" spans="2:17" x14ac:dyDescent="0.35">
      <c r="B22" s="4" t="s">
        <v>84</v>
      </c>
      <c r="C22" s="14" t="s">
        <v>5</v>
      </c>
      <c r="D22" s="31">
        <f>F22/D15</f>
        <v>1600.0617333333334</v>
      </c>
      <c r="E22" s="5">
        <f>(F22/D16)*100</f>
        <v>114.29012380952382</v>
      </c>
      <c r="F22" s="105">
        <f>'1.Custom Finish Financial Data'!C26</f>
        <v>360013.89</v>
      </c>
      <c r="L22" s="14"/>
    </row>
    <row r="23" spans="2:17" x14ac:dyDescent="0.35">
      <c r="B23" s="99"/>
      <c r="C23" s="100"/>
      <c r="D23" s="101"/>
      <c r="E23" s="101"/>
    </row>
    <row r="24" spans="2:17" ht="15.45" x14ac:dyDescent="0.4">
      <c r="B24" s="153" t="s">
        <v>85</v>
      </c>
      <c r="C24" s="156"/>
      <c r="D24" s="157">
        <f>D22-F23</f>
        <v>1600.0617333333334</v>
      </c>
      <c r="E24" s="158">
        <f>(F24/D16)*100</f>
        <v>114.29012380952382</v>
      </c>
      <c r="F24" s="159">
        <f>F22-F23</f>
        <v>360013.89</v>
      </c>
    </row>
    <row r="25" spans="2:17" ht="15.45" x14ac:dyDescent="0.4">
      <c r="B25" s="10" t="s">
        <v>88</v>
      </c>
      <c r="C25" s="4"/>
      <c r="D25" s="11"/>
      <c r="E25" s="4"/>
      <c r="F25" s="4"/>
      <c r="H25" s="1" t="s">
        <v>141</v>
      </c>
      <c r="I25" s="1" t="s">
        <v>141</v>
      </c>
      <c r="K25" s="11"/>
    </row>
    <row r="26" spans="2:17" ht="15.45" x14ac:dyDescent="0.4">
      <c r="B26" s="73" t="s">
        <v>230</v>
      </c>
      <c r="C26" s="14"/>
      <c r="D26" s="11" t="s">
        <v>1</v>
      </c>
      <c r="E26" s="11" t="s">
        <v>89</v>
      </c>
      <c r="F26" s="11" t="s">
        <v>6</v>
      </c>
      <c r="G26" s="11" t="s">
        <v>113</v>
      </c>
      <c r="H26" s="1" t="s">
        <v>142</v>
      </c>
      <c r="J26" s="228"/>
    </row>
    <row r="27" spans="2:17" ht="15.45" x14ac:dyDescent="0.4">
      <c r="B27" s="10" t="str">
        <f>'1.Custom Finish Financial Data'!E29</f>
        <v>Feedyard Priced</v>
      </c>
      <c r="C27" s="150" t="s">
        <v>47</v>
      </c>
      <c r="D27" s="166">
        <f>E27*F9*0.01</f>
        <v>837.00440528634351</v>
      </c>
      <c r="E27" s="165">
        <f>F27/D9*100</f>
        <v>146.15384615384613</v>
      </c>
      <c r="F27" s="161">
        <f>'1.Custom Finish Financial Data'!C30+'1.Custom Finish Financial Data'!C31+'1.Custom Finish Financial Data'!C32</f>
        <v>190000</v>
      </c>
      <c r="G27" s="10" t="s">
        <v>191</v>
      </c>
      <c r="H27" s="229">
        <f>F27/$F$8</f>
        <v>837.00440528634363</v>
      </c>
      <c r="I27" s="230">
        <f>H27/$H$46</f>
        <v>0.55207056972811119</v>
      </c>
      <c r="K27" s="14" t="s">
        <v>114</v>
      </c>
    </row>
    <row r="28" spans="2:17" ht="15.45" x14ac:dyDescent="0.4">
      <c r="C28" s="14"/>
      <c r="D28" s="15"/>
      <c r="E28" s="9"/>
      <c r="F28" s="105"/>
      <c r="H28" s="231"/>
      <c r="I28" s="231"/>
      <c r="K28" s="16"/>
    </row>
    <row r="29" spans="2:17" x14ac:dyDescent="0.35">
      <c r="B29" s="2"/>
      <c r="C29" s="14"/>
      <c r="D29" s="78" t="s">
        <v>50</v>
      </c>
      <c r="E29" s="67" t="s">
        <v>51</v>
      </c>
      <c r="F29" s="4"/>
      <c r="G29" s="16"/>
      <c r="H29" s="1" t="s">
        <v>142</v>
      </c>
      <c r="J29" s="16"/>
      <c r="K29" s="16"/>
      <c r="M29" s="83"/>
      <c r="Q29" s="18"/>
    </row>
    <row r="30" spans="2:17" x14ac:dyDescent="0.35">
      <c r="B30" s="2" t="s">
        <v>266</v>
      </c>
      <c r="C30" s="19" t="s">
        <v>8</v>
      </c>
      <c r="D30" s="20">
        <f>F18</f>
        <v>814.97797356828198</v>
      </c>
      <c r="E30" s="5">
        <f>F30/D18</f>
        <v>0.75574005405405409</v>
      </c>
      <c r="F30" s="36">
        <f>'1.Custom Finish Financial Data'!C34</f>
        <v>139811.91</v>
      </c>
      <c r="G30" s="5">
        <f t="shared" ref="G30:G35" si="0">IF(F30=0," ",F30/$D$18)</f>
        <v>0.75574005405405409</v>
      </c>
      <c r="H30" s="229">
        <f t="shared" ref="H30:H36" si="1">F30/$F$8</f>
        <v>615.91149779735679</v>
      </c>
      <c r="I30" s="230">
        <f>H30/$H$46</f>
        <v>0.40624232004460731</v>
      </c>
      <c r="J30" s="5"/>
      <c r="K30" s="16"/>
      <c r="L30" s="26"/>
      <c r="M30" s="87"/>
      <c r="N30" s="48"/>
      <c r="O30" s="89"/>
      <c r="P30" s="89"/>
    </row>
    <row r="31" spans="2:17" x14ac:dyDescent="0.35">
      <c r="B31" s="35" t="str">
        <f>'1.Custom Finish Financial Data'!B35</f>
        <v>Processing</v>
      </c>
      <c r="C31" s="79" t="s">
        <v>10</v>
      </c>
      <c r="D31" s="68">
        <f t="shared" ref="D31:D35" si="2">F$8</f>
        <v>227</v>
      </c>
      <c r="E31" s="5">
        <f t="shared" ref="E31:E35" si="3">F31/D31</f>
        <v>15.109251101321586</v>
      </c>
      <c r="F31" s="36">
        <f>'1.Custom Finish Financial Data'!C35</f>
        <v>3429.8</v>
      </c>
      <c r="G31" s="5">
        <f t="shared" si="0"/>
        <v>1.8539459459459461E-2</v>
      </c>
      <c r="H31" s="229">
        <f t="shared" si="1"/>
        <v>15.109251101321586</v>
      </c>
      <c r="I31" s="230">
        <f>H31/$H$46</f>
        <v>9.9657454739656617E-3</v>
      </c>
      <c r="J31" s="5"/>
      <c r="K31" s="16"/>
      <c r="L31" s="93">
        <f>'2. Finished Cattle Close Out'!F11</f>
        <v>253.46696035242292</v>
      </c>
      <c r="M31" s="2" t="s">
        <v>195</v>
      </c>
      <c r="Q31" s="17"/>
    </row>
    <row r="32" spans="2:17" x14ac:dyDescent="0.35">
      <c r="B32" s="35" t="str">
        <f>'1.Custom Finish Financial Data'!B36</f>
        <v>Vet Medicine</v>
      </c>
      <c r="C32" s="79" t="s">
        <v>10</v>
      </c>
      <c r="D32" s="68">
        <f t="shared" si="2"/>
        <v>227</v>
      </c>
      <c r="E32" s="5">
        <f t="shared" si="3"/>
        <v>1.3809251101321587</v>
      </c>
      <c r="F32" s="36">
        <f>'1.Custom Finish Financial Data'!C36</f>
        <v>313.47000000000003</v>
      </c>
      <c r="G32" s="5">
        <f t="shared" si="0"/>
        <v>1.6944324324324326E-3</v>
      </c>
      <c r="H32" s="229">
        <f t="shared" si="1"/>
        <v>1.3809251101321587</v>
      </c>
      <c r="I32" s="230">
        <f>H32/$H$46</f>
        <v>9.1082927101405792E-4</v>
      </c>
      <c r="J32" s="5"/>
      <c r="K32" s="16"/>
      <c r="L32" s="32">
        <f>H11</f>
        <v>293</v>
      </c>
      <c r="M32" s="2" t="s">
        <v>236</v>
      </c>
      <c r="Q32" s="17"/>
    </row>
    <row r="33" spans="2:17" x14ac:dyDescent="0.35">
      <c r="B33" s="35" t="str">
        <f>'1.Custom Finish Financial Data'!B37</f>
        <v>Hay</v>
      </c>
      <c r="C33" s="79" t="s">
        <v>10</v>
      </c>
      <c r="D33" s="68">
        <f t="shared" ref="D33:D34" si="4">F$8</f>
        <v>227</v>
      </c>
      <c r="E33" s="5">
        <f t="shared" ref="E33:E34" si="5">F33/D33</f>
        <v>0.96079295154185018</v>
      </c>
      <c r="F33" s="36">
        <f>'1.Custom Finish Financial Data'!C37</f>
        <v>218.1</v>
      </c>
      <c r="G33" s="5">
        <f t="shared" ref="G33:G34" si="6">IF(F33=0," ",F33/$D$18)</f>
        <v>1.178918918918919E-3</v>
      </c>
      <c r="H33" s="229">
        <f t="shared" ref="H33:H34" si="7">F33/$F$8</f>
        <v>0.96079295154185018</v>
      </c>
      <c r="I33" s="230">
        <f t="shared" ref="I33:I34" si="8">H33/$H$46</f>
        <v>6.337189013563212E-4</v>
      </c>
      <c r="J33" s="5"/>
      <c r="K33" s="16"/>
      <c r="L33" s="32"/>
      <c r="M33" s="2"/>
      <c r="Q33" s="17"/>
    </row>
    <row r="34" spans="2:17" x14ac:dyDescent="0.35">
      <c r="B34" s="35" t="str">
        <f>'1.Custom Finish Financial Data'!B38</f>
        <v>Fees&amp; Other</v>
      </c>
      <c r="C34" s="79" t="s">
        <v>10</v>
      </c>
      <c r="D34" s="68">
        <f t="shared" si="4"/>
        <v>227</v>
      </c>
      <c r="E34" s="5">
        <f t="shared" si="5"/>
        <v>1.353171806167401</v>
      </c>
      <c r="F34" s="36">
        <f>'1.Custom Finish Financial Data'!C38</f>
        <v>307.17</v>
      </c>
      <c r="G34" s="5">
        <f t="shared" si="6"/>
        <v>1.6603783783783784E-3</v>
      </c>
      <c r="H34" s="229">
        <f t="shared" si="7"/>
        <v>1.353171806167401</v>
      </c>
      <c r="I34" s="230">
        <f t="shared" si="8"/>
        <v>8.9252377317570477E-4</v>
      </c>
      <c r="J34" s="5"/>
      <c r="K34" s="16"/>
      <c r="L34" s="32"/>
      <c r="M34" s="2"/>
      <c r="Q34" s="17"/>
    </row>
    <row r="35" spans="2:17" x14ac:dyDescent="0.35">
      <c r="B35" s="35" t="str">
        <f>'1.Custom Finish Financial Data'!B39</f>
        <v>Grain Adjustment</v>
      </c>
      <c r="C35" s="79" t="s">
        <v>10</v>
      </c>
      <c r="D35" s="68">
        <f t="shared" si="2"/>
        <v>227</v>
      </c>
      <c r="E35" s="5">
        <f t="shared" si="3"/>
        <v>-1.8570484581497797</v>
      </c>
      <c r="F35" s="36">
        <f>'1.Custom Finish Financial Data'!C39</f>
        <v>-421.55</v>
      </c>
      <c r="G35" s="5">
        <f t="shared" si="0"/>
        <v>-2.2786486486486486E-3</v>
      </c>
      <c r="H35" s="229">
        <f t="shared" si="1"/>
        <v>-1.8570484581497797</v>
      </c>
      <c r="I35" s="230">
        <f>H35/$H$46</f>
        <v>-1.2248702561520276E-3</v>
      </c>
      <c r="J35" s="5"/>
      <c r="K35" s="16"/>
      <c r="Q35" s="17"/>
    </row>
    <row r="36" spans="2:17" ht="15.45" x14ac:dyDescent="0.4">
      <c r="B36" s="162" t="s">
        <v>90</v>
      </c>
      <c r="C36" s="154"/>
      <c r="D36" s="154"/>
      <c r="E36" s="154"/>
      <c r="F36" s="163">
        <f>SUM(F27:F35)</f>
        <v>333658.89999999997</v>
      </c>
      <c r="G36" s="16"/>
      <c r="H36" s="12">
        <f t="shared" si="1"/>
        <v>1469.8629955947135</v>
      </c>
      <c r="I36" s="230">
        <f>H36/$H$46</f>
        <v>0.96949083693607818</v>
      </c>
      <c r="J36" s="16"/>
      <c r="K36" s="16"/>
      <c r="L36" s="4" t="s">
        <v>94</v>
      </c>
      <c r="M36" s="4" t="s">
        <v>94</v>
      </c>
    </row>
    <row r="37" spans="2:17" ht="15.45" x14ac:dyDescent="0.4">
      <c r="B37" s="35" t="s">
        <v>93</v>
      </c>
      <c r="F37" s="163">
        <f>F36-F27</f>
        <v>143658.89999999997</v>
      </c>
      <c r="G37" s="166">
        <f>IF(F37=0," ",F37/$D$18)</f>
        <v>0.7765345945945944</v>
      </c>
      <c r="H37" s="231"/>
      <c r="I37" s="231"/>
      <c r="J37" s="16"/>
      <c r="K37" s="16"/>
      <c r="L37" s="18">
        <f>(F37+F39)*0.5*((L32/365))</f>
        <v>58061.722876712316</v>
      </c>
      <c r="M37" t="s">
        <v>7</v>
      </c>
    </row>
    <row r="38" spans="2:17" ht="15.45" x14ac:dyDescent="0.4">
      <c r="B38" s="98"/>
      <c r="C38" s="79"/>
      <c r="D38" s="68"/>
      <c r="E38" s="5"/>
      <c r="F38" s="106"/>
      <c r="G38" s="16"/>
      <c r="H38" s="231"/>
      <c r="I38" s="231"/>
      <c r="J38" s="16"/>
      <c r="K38" s="16"/>
    </row>
    <row r="39" spans="2:17" ht="15.45" x14ac:dyDescent="0.4">
      <c r="B39" s="162" t="s">
        <v>140</v>
      </c>
      <c r="C39" s="223" t="s">
        <v>10</v>
      </c>
      <c r="D39" s="224">
        <f>F$8</f>
        <v>227</v>
      </c>
      <c r="E39" s="15">
        <f>F39/D39</f>
        <v>4.4052863436123344</v>
      </c>
      <c r="F39" s="225">
        <f>'1.Custom Finish Financial Data'!C41</f>
        <v>1000</v>
      </c>
      <c r="G39" s="5">
        <f>IF(F39=0," ",F39/$D$18)</f>
        <v>5.4054054054054057E-3</v>
      </c>
      <c r="H39" s="15">
        <f>F39/$F$8</f>
        <v>4.4052863436123344</v>
      </c>
      <c r="I39" s="230">
        <f>H39/$H$46</f>
        <v>2.905634577516374E-3</v>
      </c>
      <c r="J39" s="5"/>
      <c r="P39" s="26"/>
    </row>
    <row r="40" spans="2:17" ht="15.45" x14ac:dyDescent="0.4">
      <c r="B40" s="293"/>
      <c r="D40" s="11" t="s">
        <v>42</v>
      </c>
      <c r="E40" s="11" t="s">
        <v>87</v>
      </c>
      <c r="F40" s="11" t="s">
        <v>6</v>
      </c>
      <c r="L40" s="18">
        <f>(F27)*((L32/365))</f>
        <v>152520.54794520547</v>
      </c>
      <c r="M40" t="s">
        <v>9</v>
      </c>
      <c r="N40" s="88"/>
      <c r="O40" s="26"/>
      <c r="P40" s="26"/>
      <c r="Q40" s="69"/>
    </row>
    <row r="41" spans="2:17" ht="15.45" x14ac:dyDescent="0.4">
      <c r="B41" s="153" t="s">
        <v>31</v>
      </c>
      <c r="C41" s="160"/>
      <c r="D41" s="165">
        <f>F41/$D$15</f>
        <v>1487.3728888888888</v>
      </c>
      <c r="E41" s="166">
        <f>F41/$D$16*100</f>
        <v>106.24092063492063</v>
      </c>
      <c r="F41" s="167">
        <f>F36+F39</f>
        <v>334658.89999999997</v>
      </c>
      <c r="G41" s="12"/>
      <c r="H41" s="12">
        <f>F41/$F$8</f>
        <v>1474.2682819383258</v>
      </c>
      <c r="I41" s="230">
        <f>H41/$H$46</f>
        <v>0.97239647151359443</v>
      </c>
      <c r="J41" s="12"/>
      <c r="L41" s="271">
        <f>(L37+L40)</f>
        <v>210582.2708219178</v>
      </c>
      <c r="M41" s="2" t="s">
        <v>184</v>
      </c>
      <c r="Q41" s="69"/>
    </row>
    <row r="42" spans="2:17" x14ac:dyDescent="0.35">
      <c r="L42">
        <f>E51</f>
        <v>25</v>
      </c>
      <c r="M42" s="2" t="s">
        <v>310</v>
      </c>
    </row>
    <row r="43" spans="2:17" ht="15.45" x14ac:dyDescent="0.4">
      <c r="B43" s="10" t="s">
        <v>91</v>
      </c>
      <c r="C43" s="14" t="s">
        <v>5</v>
      </c>
      <c r="D43" s="14"/>
      <c r="E43" s="4"/>
      <c r="F43" s="14" t="s">
        <v>6</v>
      </c>
      <c r="I43" s="12"/>
      <c r="K43" s="12"/>
      <c r="L43" s="147">
        <f>L41*L42*0.01</f>
        <v>52645.567705479451</v>
      </c>
      <c r="M43" s="2" t="s">
        <v>311</v>
      </c>
    </row>
    <row r="44" spans="2:17" ht="15.45" x14ac:dyDescent="0.4">
      <c r="B44" s="153" t="s">
        <v>48</v>
      </c>
      <c r="C44" s="151" t="s">
        <v>49</v>
      </c>
      <c r="D44" s="165">
        <f>F44/$D$15</f>
        <v>42.222222222222221</v>
      </c>
      <c r="E44" s="166">
        <f>F44/$D$16*100</f>
        <v>3.0158730158730158</v>
      </c>
      <c r="F44" s="295">
        <f>'1.Custom Finish Financial Data'!C43</f>
        <v>9500</v>
      </c>
      <c r="G44" s="247">
        <f>IF(F44=0," ",F44/$D$18)</f>
        <v>5.1351351351351354E-2</v>
      </c>
      <c r="H44" s="296">
        <f t="shared" ref="H44" si="9">F44/$F$8</f>
        <v>41.85022026431718</v>
      </c>
      <c r="I44" s="12"/>
      <c r="J44" s="5"/>
      <c r="K44" s="12"/>
    </row>
    <row r="45" spans="2:17" ht="15.45" x14ac:dyDescent="0.4">
      <c r="B45" s="4"/>
      <c r="C45" s="4"/>
      <c r="D45" s="11" t="s">
        <v>42</v>
      </c>
      <c r="E45" s="11" t="s">
        <v>87</v>
      </c>
      <c r="G45" s="16"/>
      <c r="H45" s="231"/>
      <c r="J45" s="16"/>
      <c r="Q45" s="21"/>
    </row>
    <row r="46" spans="2:17" ht="15.45" x14ac:dyDescent="0.4">
      <c r="B46" s="153" t="s">
        <v>92</v>
      </c>
      <c r="C46" s="151" t="s">
        <v>5</v>
      </c>
      <c r="D46" s="165">
        <f>F46/$D$15</f>
        <v>1529.595111111111</v>
      </c>
      <c r="E46" s="166">
        <f>F46/$D$16*100</f>
        <v>109.25679365079364</v>
      </c>
      <c r="F46" s="164">
        <f>F41+F44</f>
        <v>344158.89999999997</v>
      </c>
      <c r="G46" s="247">
        <f>IF(F46=0," ",(F46-F27)/$D$18)</f>
        <v>0.83329135135135113</v>
      </c>
      <c r="H46" s="232">
        <f>F46/$F$8</f>
        <v>1516.118502202643</v>
      </c>
      <c r="I46" s="230">
        <f>H46/$H$46</f>
        <v>1</v>
      </c>
      <c r="J46" s="5"/>
      <c r="Q46" s="21"/>
    </row>
    <row r="47" spans="2:17" x14ac:dyDescent="0.35">
      <c r="B47" s="291" t="str">
        <f>'1.Custom Finish Financial Data'!E29</f>
        <v>Feedyard Priced</v>
      </c>
      <c r="G47" s="14"/>
      <c r="H47" s="1" t="s">
        <v>142</v>
      </c>
      <c r="J47" s="14"/>
      <c r="Q47" s="22"/>
    </row>
    <row r="48" spans="2:17" ht="15.45" x14ac:dyDescent="0.4">
      <c r="B48" s="153" t="s">
        <v>154</v>
      </c>
      <c r="C48" s="154"/>
      <c r="D48" s="152">
        <f>F48/$D$15</f>
        <v>70.466622222222441</v>
      </c>
      <c r="E48" s="235">
        <f>(F48/($D$16*0.001))</f>
        <v>50.33330158730174</v>
      </c>
      <c r="F48" s="152">
        <f>F24-F46</f>
        <v>15854.990000000049</v>
      </c>
      <c r="G48" s="14"/>
      <c r="H48" s="236">
        <f>F48/$F$8</f>
        <v>69.845770925110344</v>
      </c>
      <c r="J48" s="14"/>
      <c r="Q48" s="22"/>
    </row>
    <row r="49" spans="1:18" ht="15.45" x14ac:dyDescent="0.4">
      <c r="F49" s="107"/>
      <c r="G49" s="14"/>
      <c r="H49" s="1"/>
      <c r="J49" s="14"/>
      <c r="Q49" s="22"/>
    </row>
    <row r="50" spans="1:18" ht="15.45" x14ac:dyDescent="0.4">
      <c r="B50" s="153" t="s">
        <v>95</v>
      </c>
      <c r="C50" s="151" t="s">
        <v>96</v>
      </c>
      <c r="D50" s="154"/>
      <c r="E50" s="154"/>
      <c r="F50" s="168">
        <f>IF(L41=0,0,((F48+F44)/L41))</f>
        <v>0.12040420070045638</v>
      </c>
      <c r="G50" s="14"/>
      <c r="H50" s="14"/>
      <c r="I50" s="14"/>
      <c r="J50" s="14"/>
      <c r="Q50" s="22"/>
    </row>
    <row r="51" spans="1:18" ht="15.45" x14ac:dyDescent="0.4">
      <c r="B51" s="153" t="s">
        <v>309</v>
      </c>
      <c r="C51" s="151" t="s">
        <v>96</v>
      </c>
      <c r="D51" s="154" t="s">
        <v>310</v>
      </c>
      <c r="E51" s="315">
        <v>25</v>
      </c>
      <c r="F51" s="168">
        <f>IF(L43=0,0,((F48+F44)/L43))</f>
        <v>0.48161680280182551</v>
      </c>
      <c r="G51" s="14"/>
      <c r="H51" s="14"/>
      <c r="I51" s="14"/>
      <c r="J51" s="14"/>
      <c r="Q51" s="22"/>
    </row>
    <row r="52" spans="1:18" ht="15.45" x14ac:dyDescent="0.4">
      <c r="A52" s="314"/>
      <c r="B52" s="10" t="s">
        <v>143</v>
      </c>
      <c r="F52" s="107"/>
      <c r="G52" s="107"/>
      <c r="H52" s="107"/>
      <c r="I52" s="107"/>
      <c r="J52" s="107"/>
      <c r="Q52" s="22"/>
    </row>
    <row r="53" spans="1:18" x14ac:dyDescent="0.35">
      <c r="G53" s="14"/>
      <c r="H53" s="14"/>
      <c r="I53" s="14"/>
      <c r="J53" s="14"/>
      <c r="Q53" s="22"/>
    </row>
    <row r="54" spans="1:18" x14ac:dyDescent="0.35">
      <c r="B54" s="40" t="s">
        <v>238</v>
      </c>
      <c r="C54" s="108" t="s">
        <v>101</v>
      </c>
      <c r="D54" s="13">
        <f>D15</f>
        <v>225</v>
      </c>
      <c r="G54" s="245"/>
      <c r="H54" s="255"/>
      <c r="I54" s="1"/>
      <c r="J54" s="14"/>
      <c r="Q54" s="22"/>
    </row>
    <row r="55" spans="1:18" ht="15.45" x14ac:dyDescent="0.4">
      <c r="B55" s="108" t="s">
        <v>58</v>
      </c>
      <c r="C55" s="80" t="s">
        <v>59</v>
      </c>
      <c r="D55" s="5">
        <f>((F37+F39+F44)/D15)</f>
        <v>685.15066666666655</v>
      </c>
      <c r="K55" s="10"/>
      <c r="Q55" s="22"/>
    </row>
    <row r="56" spans="1:18" ht="15.45" x14ac:dyDescent="0.4">
      <c r="B56" s="108" t="s">
        <v>52</v>
      </c>
      <c r="C56" s="151" t="s">
        <v>2</v>
      </c>
      <c r="D56" s="166">
        <f>(F37+F39+F44)/D18*100</f>
        <v>83.329135135135118</v>
      </c>
      <c r="K56" s="10"/>
      <c r="N56" s="11" t="s">
        <v>45</v>
      </c>
      <c r="Q56" s="22"/>
    </row>
    <row r="57" spans="1:18" ht="15.45" x14ac:dyDescent="0.4">
      <c r="B57" s="108"/>
      <c r="C57" s="14"/>
      <c r="D57" s="5"/>
      <c r="K57" s="10"/>
      <c r="N57" s="11"/>
      <c r="Q57" s="22"/>
    </row>
    <row r="58" spans="1:18" ht="15.45" x14ac:dyDescent="0.4">
      <c r="B58" s="108" t="s">
        <v>26</v>
      </c>
      <c r="C58" s="234" t="s">
        <v>150</v>
      </c>
      <c r="D58" s="247">
        <f>((F24-F27)/D18)</f>
        <v>0.91899400000000009</v>
      </c>
      <c r="E58" s="178" t="s">
        <v>149</v>
      </c>
      <c r="F58" s="246">
        <f>G46</f>
        <v>0.83329135135135113</v>
      </c>
      <c r="G58" s="5"/>
      <c r="H58" s="5"/>
      <c r="I58" s="5"/>
      <c r="J58" s="5"/>
      <c r="M58" s="145" t="s">
        <v>61</v>
      </c>
      <c r="N58" s="7">
        <f>F8*F9</f>
        <v>130000</v>
      </c>
      <c r="Q58" s="23"/>
    </row>
    <row r="59" spans="1:18" ht="15.45" x14ac:dyDescent="0.4">
      <c r="B59" s="10"/>
      <c r="C59" s="4"/>
      <c r="D59" s="15"/>
      <c r="G59" s="12"/>
      <c r="H59" s="12"/>
      <c r="I59" s="12"/>
      <c r="J59" s="12"/>
      <c r="M59" s="145" t="s">
        <v>13</v>
      </c>
      <c r="N59" s="7">
        <f>D16</f>
        <v>315000</v>
      </c>
      <c r="Q59" s="22"/>
    </row>
    <row r="60" spans="1:18" ht="15.45" x14ac:dyDescent="0.4">
      <c r="B60" s="108" t="s">
        <v>53</v>
      </c>
      <c r="C60" s="14" t="s">
        <v>1</v>
      </c>
      <c r="D60" s="86">
        <f>((F8*F9*0.01)*(E24-E27)/D15)</f>
        <v>-184.10150687830668</v>
      </c>
      <c r="F60" s="250">
        <f>E24</f>
        <v>114.29012380952382</v>
      </c>
      <c r="G60" s="85"/>
      <c r="H60" s="85"/>
      <c r="I60" s="85"/>
      <c r="J60" s="85"/>
      <c r="M60" s="145" t="s">
        <v>14</v>
      </c>
      <c r="N60" s="7">
        <f>N59-N58</f>
        <v>185000</v>
      </c>
      <c r="Q60" s="24"/>
      <c r="R60" s="24"/>
    </row>
    <row r="61" spans="1:18" ht="15.45" x14ac:dyDescent="0.4">
      <c r="B61" s="108" t="s">
        <v>115</v>
      </c>
      <c r="C61" s="14" t="s">
        <v>1</v>
      </c>
      <c r="D61" s="110">
        <f>(((E24-D56)*D18*0.01)/D15)</f>
        <v>254.56812910052932</v>
      </c>
      <c r="F61" s="26">
        <f>E27</f>
        <v>146.15384615384613</v>
      </c>
      <c r="G61" s="85"/>
      <c r="H61" s="85"/>
      <c r="I61" s="85"/>
      <c r="J61" s="85"/>
      <c r="M61" s="145" t="s">
        <v>15</v>
      </c>
      <c r="N61" s="24">
        <f>F37+F39+F44</f>
        <v>154158.89999999997</v>
      </c>
      <c r="Q61" s="24"/>
      <c r="R61" s="24"/>
    </row>
    <row r="62" spans="1:18" ht="15.45" x14ac:dyDescent="0.4">
      <c r="B62" s="10" t="s">
        <v>54</v>
      </c>
      <c r="C62" s="150" t="s">
        <v>1</v>
      </c>
      <c r="D62" s="169">
        <f>F48/D15</f>
        <v>70.466622222222441</v>
      </c>
      <c r="F62" s="23">
        <f>F8</f>
        <v>227</v>
      </c>
      <c r="G62" s="85"/>
      <c r="H62" s="85"/>
      <c r="I62" s="85"/>
      <c r="J62" s="85"/>
      <c r="Q62" s="24"/>
      <c r="R62" s="24"/>
    </row>
    <row r="63" spans="1:18" ht="15.45" x14ac:dyDescent="0.4">
      <c r="B63" s="10"/>
      <c r="C63" s="102"/>
      <c r="D63" s="38" t="s">
        <v>40</v>
      </c>
      <c r="E63" s="38" t="s">
        <v>39</v>
      </c>
      <c r="F63" s="22">
        <f>F9</f>
        <v>572.68722466960355</v>
      </c>
    </row>
    <row r="64" spans="1:18" ht="15.45" x14ac:dyDescent="0.4">
      <c r="B64" s="111" t="s">
        <v>38</v>
      </c>
      <c r="C64" s="33">
        <f>E64-D64</f>
        <v>-31.863722344322312</v>
      </c>
      <c r="D64" s="251">
        <f>E27</f>
        <v>146.15384615384613</v>
      </c>
      <c r="E64" s="251">
        <f>E24</f>
        <v>114.29012380952382</v>
      </c>
    </row>
    <row r="65" spans="2:4" ht="15.45" x14ac:dyDescent="0.4">
      <c r="B65" s="10" t="s">
        <v>97</v>
      </c>
    </row>
    <row r="67" spans="2:4" x14ac:dyDescent="0.35">
      <c r="D67" s="27"/>
    </row>
  </sheetData>
  <sheetProtection sheet="1" objects="1" scenarios="1"/>
  <mergeCells count="1">
    <mergeCell ref="B1:G1"/>
  </mergeCells>
  <phoneticPr fontId="10" type="noConversion"/>
  <printOptions gridLines="1"/>
  <pageMargins left="1" right="0.5" top="1" bottom="1" header="0.5" footer="0.5"/>
  <pageSetup scale="65" orientation="portrait" r:id="rId1"/>
  <headerFooter alignWithMargins="0">
    <oddFooter xml:space="preserve">&amp;L&amp;F&amp;R&amp;A
</oddFooter>
  </headerFooter>
  <rowBreaks count="1" manualBreakCount="1">
    <brk id="5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workbookViewId="0">
      <selection activeCell="A16" sqref="A16"/>
    </sheetView>
  </sheetViews>
  <sheetFormatPr defaultRowHeight="15" x14ac:dyDescent="0.35"/>
  <cols>
    <col min="1" max="1" width="3.0625" customWidth="1"/>
    <col min="2" max="2" width="30.0625" customWidth="1"/>
    <col min="3" max="3" width="10.875" customWidth="1"/>
    <col min="7" max="7" width="12.875" customWidth="1"/>
  </cols>
  <sheetData>
    <row r="2" spans="2:19" ht="15.45" x14ac:dyDescent="0.4">
      <c r="B2" s="10"/>
    </row>
    <row r="5" spans="2:19" x14ac:dyDescent="0.35">
      <c r="G5" s="146"/>
      <c r="H5" s="146"/>
      <c r="I5" s="146"/>
      <c r="J5" s="146"/>
    </row>
    <row r="6" spans="2:19" x14ac:dyDescent="0.35">
      <c r="G6" s="146"/>
      <c r="H6" s="146"/>
      <c r="I6" s="146"/>
      <c r="J6" s="146"/>
      <c r="N6" s="2" t="s">
        <v>231</v>
      </c>
    </row>
    <row r="7" spans="2:19" x14ac:dyDescent="0.35">
      <c r="N7" t="s">
        <v>83</v>
      </c>
      <c r="O7" t="s">
        <v>119</v>
      </c>
      <c r="P7" s="2" t="s">
        <v>156</v>
      </c>
      <c r="Q7" t="s">
        <v>120</v>
      </c>
    </row>
    <row r="8" spans="2:19" ht="15.45" x14ac:dyDescent="0.4">
      <c r="L8" s="147"/>
      <c r="M8" t="s">
        <v>1</v>
      </c>
      <c r="N8" s="148">
        <f>'2. Finished Cattle Close Out'!D22</f>
        <v>1600.0617333333334</v>
      </c>
      <c r="O8" s="148">
        <f>'2. Finished Cattle Close Out'!D27</f>
        <v>837.00440528634351</v>
      </c>
      <c r="P8" s="148">
        <f>'2. Finished Cattle Close Out'!D46-'2. Finished Cattle Close Out'!F27/'2. Finished Cattle Close Out'!D15</f>
        <v>685.15066666666655</v>
      </c>
      <c r="Q8" s="148">
        <f>'2. Finished Cattle Close Out'!D48</f>
        <v>70.466622222222441</v>
      </c>
      <c r="R8" s="87"/>
      <c r="S8" s="87">
        <f>N8-O8-P8</f>
        <v>77.906661380323385</v>
      </c>
    </row>
    <row r="11" spans="2:19" x14ac:dyDescent="0.35">
      <c r="N11" t="s">
        <v>121</v>
      </c>
    </row>
    <row r="13" spans="2:19" x14ac:dyDescent="0.35">
      <c r="N13" s="2" t="s">
        <v>232</v>
      </c>
      <c r="O13" s="2" t="s">
        <v>155</v>
      </c>
      <c r="P13" t="s">
        <v>91</v>
      </c>
      <c r="Q13" t="s">
        <v>120</v>
      </c>
    </row>
    <row r="14" spans="2:19" ht="15.45" x14ac:dyDescent="0.4">
      <c r="M14" t="s">
        <v>1</v>
      </c>
      <c r="N14" s="148">
        <f>O8</f>
        <v>837.00440528634351</v>
      </c>
      <c r="O14" s="148">
        <f>'2. Finished Cattle Close Out'!D41-O8</f>
        <v>650.36848360254533</v>
      </c>
      <c r="P14" s="149">
        <f>'2. Finished Cattle Close Out'!F44/'2. Finished Cattle Close Out'!D15</f>
        <v>42.222222222222221</v>
      </c>
      <c r="Q14" s="148">
        <f>'2. Finished Cattle Close Out'!D62</f>
        <v>70.466622222222441</v>
      </c>
    </row>
    <row r="23" spans="8:10" x14ac:dyDescent="0.35">
      <c r="H23" t="str">
        <f>'4.Closeout Summary'!B31</f>
        <v xml:space="preserve"> *No Indirect Cost Included.</v>
      </c>
    </row>
    <row r="24" spans="8:10" x14ac:dyDescent="0.35">
      <c r="H24" t="str">
        <f>'2. Finished Cattle Close Out'!B27</f>
        <v>Feedyard Priced</v>
      </c>
      <c r="J24" s="2" t="s">
        <v>229</v>
      </c>
    </row>
    <row r="35" spans="8:9" x14ac:dyDescent="0.35">
      <c r="I35" s="2" t="s">
        <v>86</v>
      </c>
    </row>
    <row r="38" spans="8:9" x14ac:dyDescent="0.35">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topLeftCell="A21" zoomScaleNormal="100" workbookViewId="0">
      <selection activeCell="B34" sqref="B34"/>
    </sheetView>
  </sheetViews>
  <sheetFormatPr defaultRowHeight="15" x14ac:dyDescent="0.3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x14ac:dyDescent="0.4">
      <c r="B1" s="321" t="s">
        <v>129</v>
      </c>
      <c r="C1" s="321"/>
      <c r="D1" s="321"/>
      <c r="E1" s="330"/>
      <c r="F1" s="47"/>
      <c r="G1" s="47"/>
    </row>
    <row r="2" spans="2:9" x14ac:dyDescent="0.35">
      <c r="B2" s="40" t="s">
        <v>0</v>
      </c>
      <c r="C2" s="180">
        <f ca="1">'2. Finished Cattle Close Out'!D2</f>
        <v>44736</v>
      </c>
      <c r="G2" s="2"/>
      <c r="H2" s="1"/>
      <c r="I2" s="84"/>
    </row>
    <row r="3" spans="2:9" x14ac:dyDescent="0.35">
      <c r="B3" s="4" t="s">
        <v>102</v>
      </c>
      <c r="C3" t="str">
        <f>'2. Finished Cattle Close Out'!C4</f>
        <v>TX Feedyard</v>
      </c>
      <c r="D3" s="4" t="s">
        <v>16</v>
      </c>
      <c r="E3" s="181">
        <f>'2. Finished Cattle Close Out'!C3</f>
        <v>123</v>
      </c>
      <c r="G3" s="2"/>
      <c r="H3" s="82"/>
      <c r="I3" s="84"/>
    </row>
    <row r="4" spans="2:9" x14ac:dyDescent="0.35">
      <c r="B4" s="2" t="s">
        <v>18</v>
      </c>
      <c r="C4" s="333" t="str">
        <f>'2. Finished Cattle Close Out'!C5</f>
        <v xml:space="preserve">South TX </v>
      </c>
      <c r="D4" s="334"/>
      <c r="H4" s="14"/>
      <c r="I4" s="84"/>
    </row>
    <row r="5" spans="2:9" x14ac:dyDescent="0.35">
      <c r="B5" t="s">
        <v>81</v>
      </c>
      <c r="C5" s="139">
        <f>'2. Finished Cattle Close Out'!F8</f>
        <v>227</v>
      </c>
      <c r="D5" s="140"/>
      <c r="H5" s="14"/>
      <c r="I5" s="84"/>
    </row>
    <row r="6" spans="2:9" x14ac:dyDescent="0.35">
      <c r="B6" s="2" t="s">
        <v>192</v>
      </c>
      <c r="C6" s="141">
        <f>'2. Finished Cattle Close Out'!F13</f>
        <v>1.7621145374449341E-2</v>
      </c>
      <c r="D6" s="140"/>
      <c r="H6" s="14"/>
      <c r="I6" s="84"/>
    </row>
    <row r="7" spans="2:9" x14ac:dyDescent="0.35">
      <c r="B7" s="2" t="s">
        <v>37</v>
      </c>
      <c r="C7" s="331" t="str">
        <f>'2. Finished Cattle Close Out'!C6</f>
        <v>Stocker</v>
      </c>
      <c r="D7" s="335"/>
      <c r="H7" s="46"/>
      <c r="I7" s="84"/>
    </row>
    <row r="8" spans="2:9" x14ac:dyDescent="0.35">
      <c r="B8" s="81" t="str">
        <f>'2. Finished Cattle Close Out'!B7</f>
        <v>Management In Yard</v>
      </c>
      <c r="C8" s="331" t="str">
        <f>'2. Finished Cattle Close Out'!C7</f>
        <v>Conventional</v>
      </c>
      <c r="D8" s="335"/>
      <c r="H8" s="46"/>
      <c r="I8" s="84"/>
    </row>
    <row r="9" spans="2:9" x14ac:dyDescent="0.35">
      <c r="B9" s="4" t="s">
        <v>122</v>
      </c>
      <c r="C9" s="155">
        <f>'2. Finished Cattle Close Out'!D8</f>
        <v>43706</v>
      </c>
      <c r="D9" s="6">
        <f>'2. Finished Cattle Close Out'!D14</f>
        <v>43999</v>
      </c>
      <c r="G9" s="37"/>
      <c r="H9" s="38"/>
      <c r="I9" s="54"/>
    </row>
    <row r="10" spans="2:9" x14ac:dyDescent="0.35">
      <c r="B10" s="4" t="s">
        <v>116</v>
      </c>
      <c r="C10" s="142" t="str">
        <f>'2. Finished Cattle Close Out'!F3</f>
        <v>Angus</v>
      </c>
      <c r="D10" s="140">
        <f>'2. Finished Cattle Close Out'!F4</f>
        <v>50</v>
      </c>
      <c r="E10" s="4" t="s">
        <v>3</v>
      </c>
      <c r="G10" s="41"/>
      <c r="H10" s="38"/>
      <c r="I10" s="54"/>
    </row>
    <row r="11" spans="2:9" x14ac:dyDescent="0.35">
      <c r="B11" s="2" t="s">
        <v>19</v>
      </c>
      <c r="C11" s="142" t="str">
        <f>'2. Finished Cattle Close Out'!F5</f>
        <v>Steers</v>
      </c>
      <c r="D11" s="140"/>
      <c r="G11" s="41"/>
      <c r="H11" s="38"/>
      <c r="I11" s="50"/>
    </row>
    <row r="12" spans="2:9" ht="15.45" x14ac:dyDescent="0.4">
      <c r="B12" s="44" t="s">
        <v>80</v>
      </c>
      <c r="C12" s="72"/>
      <c r="D12" s="11" t="s">
        <v>2</v>
      </c>
      <c r="E12" s="11" t="s">
        <v>103</v>
      </c>
      <c r="G12" s="41"/>
      <c r="H12" s="38"/>
      <c r="I12" s="50"/>
    </row>
    <row r="13" spans="2:9" x14ac:dyDescent="0.35">
      <c r="B13" s="37" t="s">
        <v>157</v>
      </c>
      <c r="C13" t="str">
        <f>'1.Custom Finish Financial Data'!E28</f>
        <v>Cattle Pricing</v>
      </c>
      <c r="D13" s="138">
        <f>'2. Finished Cattle Close Out'!E27</f>
        <v>146.15384615384613</v>
      </c>
      <c r="E13" s="87">
        <f>'2. Finished Cattle Close Out'!D27</f>
        <v>837.00440528634351</v>
      </c>
      <c r="G13" s="41"/>
      <c r="H13" s="38"/>
      <c r="I13" s="50"/>
    </row>
    <row r="14" spans="2:9" x14ac:dyDescent="0.35">
      <c r="B14" s="81" t="s">
        <v>124</v>
      </c>
      <c r="C14" s="38"/>
      <c r="D14" s="182">
        <f>'2. Finished Cattle Close Out'!E24</f>
        <v>114.29012380952382</v>
      </c>
      <c r="E14" s="137">
        <f>'2. Finished Cattle Close Out'!D24</f>
        <v>1600.0617333333334</v>
      </c>
      <c r="G14" s="41"/>
      <c r="H14" s="38"/>
      <c r="I14" s="50"/>
    </row>
    <row r="15" spans="2:9" x14ac:dyDescent="0.35">
      <c r="B15" s="37"/>
      <c r="G15" s="41"/>
      <c r="H15" s="38"/>
      <c r="I15" s="50"/>
    </row>
    <row r="16" spans="2:9" ht="15.45" x14ac:dyDescent="0.4">
      <c r="B16" s="178" t="s">
        <v>25</v>
      </c>
      <c r="C16" s="170"/>
      <c r="D16" s="171">
        <f>'2. Finished Cattle Close Out'!C64</f>
        <v>-31.863722344322312</v>
      </c>
      <c r="G16" s="41"/>
      <c r="H16" s="38"/>
      <c r="I16" s="50"/>
    </row>
    <row r="17" spans="2:9" x14ac:dyDescent="0.35">
      <c r="G17" s="41"/>
      <c r="H17" s="38"/>
      <c r="I17" s="50"/>
    </row>
    <row r="18" spans="2:9" x14ac:dyDescent="0.35">
      <c r="B18" s="299" t="s">
        <v>264</v>
      </c>
      <c r="C18" s="14" t="s">
        <v>100</v>
      </c>
      <c r="D18" s="300">
        <f>'1.Custom Finish Financial Data'!F34/'2. Finished Cattle Close Out'!D18</f>
        <v>0.75574005405405409</v>
      </c>
      <c r="G18" s="41"/>
      <c r="H18" s="38"/>
      <c r="I18" s="50"/>
    </row>
    <row r="19" spans="2:9" x14ac:dyDescent="0.35">
      <c r="B19" s="41" t="s">
        <v>44</v>
      </c>
      <c r="C19" s="14" t="s">
        <v>100</v>
      </c>
      <c r="D19" s="300">
        <f>D20-D18</f>
        <v>7.7551297297297372E-2</v>
      </c>
      <c r="E19" s="26"/>
      <c r="G19" s="41"/>
      <c r="H19" s="38"/>
      <c r="I19" s="50"/>
    </row>
    <row r="20" spans="2:9" ht="15.45" x14ac:dyDescent="0.4">
      <c r="B20" s="172" t="s">
        <v>32</v>
      </c>
      <c r="C20" s="173" t="s">
        <v>100</v>
      </c>
      <c r="D20" s="248">
        <f>'1.Custom Finish Financial Data'!E43/'2. Finished Cattle Close Out'!D18</f>
        <v>0.83329135135135146</v>
      </c>
      <c r="G20" s="41"/>
      <c r="H20" s="38"/>
      <c r="I20" s="50"/>
    </row>
    <row r="21" spans="2:9" ht="15.45" x14ac:dyDescent="0.4">
      <c r="B21" s="44"/>
      <c r="C21" s="14"/>
      <c r="D21" s="33"/>
      <c r="G21" s="41"/>
      <c r="H21" s="38"/>
      <c r="I21" s="50"/>
    </row>
    <row r="22" spans="2:9" ht="15.45" x14ac:dyDescent="0.4">
      <c r="B22" s="172" t="s">
        <v>26</v>
      </c>
      <c r="C22" s="174" t="s">
        <v>100</v>
      </c>
      <c r="D22" s="171">
        <f>'2. Finished Cattle Close Out'!D58</f>
        <v>0.91899400000000009</v>
      </c>
      <c r="G22" s="41"/>
      <c r="H22" s="38"/>
      <c r="I22" s="50"/>
    </row>
    <row r="23" spans="2:9" ht="15.45" x14ac:dyDescent="0.4">
      <c r="B23" s="44"/>
      <c r="C23" s="14"/>
      <c r="D23" s="33"/>
      <c r="G23" s="41"/>
      <c r="H23" s="38"/>
      <c r="I23" s="50"/>
    </row>
    <row r="24" spans="2:9" x14ac:dyDescent="0.35">
      <c r="B24" s="43"/>
      <c r="C24" s="38"/>
      <c r="D24" s="38" t="s">
        <v>87</v>
      </c>
      <c r="E24" s="38" t="s">
        <v>42</v>
      </c>
      <c r="F24" s="28"/>
      <c r="G24" s="41"/>
      <c r="H24" s="38"/>
      <c r="I24" s="50"/>
    </row>
    <row r="25" spans="2:9" x14ac:dyDescent="0.35">
      <c r="B25" s="43" t="s">
        <v>82</v>
      </c>
      <c r="C25" s="38"/>
      <c r="D25" s="8">
        <f>'2. Finished Cattle Close Out'!E46</f>
        <v>109.25679365079364</v>
      </c>
      <c r="E25" s="87">
        <f>'2. Finished Cattle Close Out'!D46</f>
        <v>1529.595111111111</v>
      </c>
      <c r="G25" s="41"/>
      <c r="H25" s="38"/>
      <c r="I25" s="50"/>
    </row>
    <row r="26" spans="2:9" ht="15.45" x14ac:dyDescent="0.4">
      <c r="C26" s="11"/>
      <c r="G26" s="41"/>
      <c r="H26" s="38"/>
      <c r="I26" s="50"/>
    </row>
    <row r="27" spans="2:9" ht="15.45" x14ac:dyDescent="0.4">
      <c r="B27" s="43"/>
      <c r="C27" s="11"/>
      <c r="D27" s="9"/>
      <c r="E27" s="38" t="s">
        <v>103</v>
      </c>
      <c r="G27" s="41"/>
      <c r="H27" s="38"/>
      <c r="I27" s="50"/>
    </row>
    <row r="28" spans="2:9" x14ac:dyDescent="0.35">
      <c r="B28" s="45" t="s">
        <v>11</v>
      </c>
      <c r="C28" s="38"/>
      <c r="E28" s="27">
        <f>'2. Finished Cattle Close Out'!D60</f>
        <v>-184.10150687830668</v>
      </c>
      <c r="G28" s="41"/>
      <c r="H28" s="38"/>
      <c r="I28" s="50"/>
    </row>
    <row r="29" spans="2:9" x14ac:dyDescent="0.35">
      <c r="B29" s="45" t="s">
        <v>12</v>
      </c>
      <c r="C29" s="38"/>
      <c r="E29" s="27">
        <f>'2. Finished Cattle Close Out'!D61</f>
        <v>254.56812910052932</v>
      </c>
      <c r="G29" s="41"/>
      <c r="H29" s="38"/>
      <c r="I29" s="50"/>
    </row>
    <row r="30" spans="2:9" ht="15.45" x14ac:dyDescent="0.4">
      <c r="B30" s="172" t="s">
        <v>153</v>
      </c>
      <c r="C30" s="174"/>
      <c r="D30" s="174"/>
      <c r="E30" s="175">
        <f>'2. Finished Cattle Close Out'!D62</f>
        <v>70.466622222222441</v>
      </c>
      <c r="F30" s="27"/>
      <c r="G30" s="261"/>
      <c r="H30" s="38"/>
      <c r="I30" s="50"/>
    </row>
    <row r="31" spans="2:9" x14ac:dyDescent="0.35">
      <c r="B31" s="83" t="s">
        <v>226</v>
      </c>
      <c r="F31" s="2" t="s">
        <v>69</v>
      </c>
      <c r="G31" s="41"/>
      <c r="H31" s="38"/>
      <c r="I31" s="50"/>
    </row>
    <row r="32" spans="2:9" ht="15.45" x14ac:dyDescent="0.4">
      <c r="B32" s="172" t="s">
        <v>312</v>
      </c>
      <c r="C32" s="176"/>
      <c r="D32" s="177">
        <f>'2. Finished Cattle Close Out'!F50</f>
        <v>0.12040420070045638</v>
      </c>
      <c r="F32" s="270">
        <f>'2. Finished Cattle Close Out'!F11</f>
        <v>253.46696035242292</v>
      </c>
      <c r="G32" s="41"/>
      <c r="H32" s="38"/>
      <c r="I32" s="50"/>
    </row>
    <row r="33" spans="1:9" ht="15.45" x14ac:dyDescent="0.4">
      <c r="B33" s="318" t="s">
        <v>314</v>
      </c>
      <c r="C33" s="319">
        <f>F33*0.01</f>
        <v>0.25</v>
      </c>
      <c r="D33" s="177">
        <f>'2. Finished Cattle Close Out'!F51</f>
        <v>0.48161680280182551</v>
      </c>
      <c r="F33">
        <f>'2. Finished Cattle Close Out'!E51</f>
        <v>25</v>
      </c>
      <c r="G33" s="299" t="s">
        <v>310</v>
      </c>
      <c r="H33" s="38"/>
      <c r="I33" s="50"/>
    </row>
    <row r="34" spans="1:9" ht="15.45" x14ac:dyDescent="0.4">
      <c r="A34" s="314"/>
      <c r="B34" s="218"/>
      <c r="C34" s="316"/>
      <c r="D34" s="317"/>
      <c r="E34" s="314"/>
      <c r="G34" s="41"/>
      <c r="H34" s="313"/>
      <c r="I34" s="50"/>
    </row>
    <row r="35" spans="1:9" ht="15.45" x14ac:dyDescent="0.4">
      <c r="B35" s="10" t="s">
        <v>79</v>
      </c>
      <c r="C35" s="2"/>
      <c r="D35" s="52"/>
      <c r="G35" s="41"/>
      <c r="H35" s="38"/>
      <c r="I35" s="50"/>
    </row>
    <row r="36" spans="1:9" ht="15.45" x14ac:dyDescent="0.4">
      <c r="B36" s="4" t="s">
        <v>125</v>
      </c>
      <c r="C36" s="1" t="s">
        <v>4</v>
      </c>
      <c r="D36" s="190">
        <f>'2. Finished Cattle Close Out'!F9</f>
        <v>572.68722466960355</v>
      </c>
      <c r="E36" s="140"/>
    </row>
    <row r="37" spans="1:9" ht="15.45" x14ac:dyDescent="0.4">
      <c r="B37" s="197" t="s">
        <v>74</v>
      </c>
      <c r="C37" s="179" t="s">
        <v>134</v>
      </c>
      <c r="D37" s="191">
        <f>'2. Finished Cattle Close Out'!F10</f>
        <v>5.9732810810810815</v>
      </c>
      <c r="E37" s="140"/>
      <c r="G37" s="2" t="s">
        <v>313</v>
      </c>
    </row>
    <row r="38" spans="1:9" ht="15.45" x14ac:dyDescent="0.4">
      <c r="B38" s="4" t="s">
        <v>126</v>
      </c>
      <c r="C38" s="38" t="s">
        <v>36</v>
      </c>
      <c r="D38" s="190">
        <f>'2. Finished Cattle Close Out'!F11</f>
        <v>253.46696035242292</v>
      </c>
      <c r="E38" s="140"/>
    </row>
    <row r="39" spans="1:9" x14ac:dyDescent="0.35">
      <c r="B39" t="s">
        <v>23</v>
      </c>
      <c r="C39" s="38" t="s">
        <v>27</v>
      </c>
      <c r="D39" s="190">
        <f>'2. Finished Cattle Close Out'!D13</f>
        <v>4</v>
      </c>
      <c r="E39" s="140"/>
    </row>
    <row r="40" spans="1:9" x14ac:dyDescent="0.35">
      <c r="B40" s="40" t="s">
        <v>30</v>
      </c>
      <c r="C40" s="38" t="s">
        <v>3</v>
      </c>
      <c r="D40" s="192">
        <f>C6</f>
        <v>1.7621145374449341E-2</v>
      </c>
      <c r="E40" s="140"/>
    </row>
    <row r="41" spans="1:9" x14ac:dyDescent="0.35">
      <c r="B41" t="s">
        <v>20</v>
      </c>
      <c r="C41" s="38"/>
      <c r="D41" s="193">
        <f>'2. Finished Cattle Close Out'!D14</f>
        <v>43999</v>
      </c>
      <c r="E41" s="140"/>
    </row>
    <row r="42" spans="1:9" x14ac:dyDescent="0.35">
      <c r="B42" t="s">
        <v>60</v>
      </c>
      <c r="D42" s="331" t="str">
        <f>'2. Finished Cattle Close Out'!F14</f>
        <v>Tyson</v>
      </c>
      <c r="E42" s="332"/>
    </row>
    <row r="43" spans="1:9" x14ac:dyDescent="0.35">
      <c r="B43" s="40" t="s">
        <v>193</v>
      </c>
      <c r="C43" s="46" t="s">
        <v>27</v>
      </c>
      <c r="D43" s="194">
        <f>'2. Finished Cattle Close Out'!D15</f>
        <v>225</v>
      </c>
      <c r="E43" s="140"/>
    </row>
    <row r="44" spans="1:9" x14ac:dyDescent="0.35">
      <c r="B44" t="s">
        <v>24</v>
      </c>
      <c r="C44" s="46" t="s">
        <v>3</v>
      </c>
      <c r="D44" s="268">
        <f>'2. Finished Cattle Close Out'!F16</f>
        <v>4</v>
      </c>
      <c r="E44" s="140"/>
    </row>
    <row r="45" spans="1:9" x14ac:dyDescent="0.35">
      <c r="B45" t="s">
        <v>34</v>
      </c>
      <c r="C45" s="46" t="s">
        <v>35</v>
      </c>
      <c r="D45" s="190">
        <f>'2. Finished Cattle Close Out'!D17</f>
        <v>1400</v>
      </c>
      <c r="E45" s="140"/>
    </row>
    <row r="46" spans="1:9" x14ac:dyDescent="0.35">
      <c r="B46" s="4" t="s">
        <v>127</v>
      </c>
      <c r="C46" s="46" t="s">
        <v>35</v>
      </c>
      <c r="D46" s="195">
        <f>'2. Finished Cattle Close Out'!F18</f>
        <v>814.97797356828198</v>
      </c>
      <c r="E46" s="140"/>
    </row>
    <row r="47" spans="1:9" ht="15.45" x14ac:dyDescent="0.4">
      <c r="B47" s="172" t="s">
        <v>33</v>
      </c>
      <c r="C47" s="176" t="s">
        <v>43</v>
      </c>
      <c r="D47" s="196">
        <f>'2. Finished Cattle Close Out'!D19</f>
        <v>3.2153223143368614</v>
      </c>
      <c r="E47" s="140"/>
    </row>
    <row r="48" spans="1:9" x14ac:dyDescent="0.35">
      <c r="B48" s="113" t="s">
        <v>104</v>
      </c>
      <c r="D48" s="140"/>
      <c r="E48" s="140"/>
    </row>
    <row r="49" spans="2:4" x14ac:dyDescent="0.35">
      <c r="B49" s="40"/>
      <c r="C49" s="72"/>
      <c r="D49" s="97"/>
    </row>
    <row r="73" spans="2:3" x14ac:dyDescent="0.35">
      <c r="B73" s="39"/>
      <c r="C73" s="38"/>
    </row>
    <row r="74" spans="2:3" x14ac:dyDescent="0.35">
      <c r="C74" s="38"/>
    </row>
    <row r="75" spans="2:3" x14ac:dyDescent="0.35">
      <c r="C75" s="38"/>
    </row>
  </sheetData>
  <sheetProtection sheet="1" objects="1" scenarios="1"/>
  <mergeCells count="5">
    <mergeCell ref="B1:E1"/>
    <mergeCell ref="D42:E42"/>
    <mergeCell ref="C4:D4"/>
    <mergeCell ref="C7:D7"/>
    <mergeCell ref="C8:D8"/>
  </mergeCells>
  <phoneticPr fontId="10" type="noConversion"/>
  <printOptions gridLines="1"/>
  <pageMargins left="0.95" right="0.45" top="0.75" bottom="0.75" header="0.3" footer="0.3"/>
  <pageSetup scale="70"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60"/>
  <sheetViews>
    <sheetView workbookViewId="0">
      <selection activeCell="B29" sqref="B29"/>
    </sheetView>
  </sheetViews>
  <sheetFormatPr defaultRowHeight="15" x14ac:dyDescent="0.35"/>
  <cols>
    <col min="1" max="1" width="5" customWidth="1"/>
    <col min="2" max="2" width="30" customWidth="1"/>
    <col min="3" max="3" width="11.625" customWidth="1"/>
    <col min="5" max="5" width="10.4375" customWidth="1"/>
    <col min="6" max="6" width="9.3125" bestFit="1" customWidth="1"/>
    <col min="8" max="8" width="9.75" bestFit="1" customWidth="1"/>
  </cols>
  <sheetData>
    <row r="2" spans="2:6" ht="15.45" x14ac:dyDescent="0.4">
      <c r="B2" s="336" t="s">
        <v>210</v>
      </c>
      <c r="C2" s="336"/>
      <c r="D2" s="330"/>
    </row>
    <row r="4" spans="2:6" x14ac:dyDescent="0.35">
      <c r="B4" s="2" t="s">
        <v>16</v>
      </c>
      <c r="C4" s="91">
        <f>'4.Closeout Summary'!E3</f>
        <v>123</v>
      </c>
    </row>
    <row r="5" spans="2:6" x14ac:dyDescent="0.35">
      <c r="B5" t="s">
        <v>63</v>
      </c>
      <c r="C5" s="92">
        <f>'2. Finished Cattle Close Out'!D8</f>
        <v>43706</v>
      </c>
    </row>
    <row r="6" spans="2:6" x14ac:dyDescent="0.35">
      <c r="B6" t="s">
        <v>64</v>
      </c>
      <c r="C6" s="92">
        <f>'2. Finished Cattle Close Out'!D14</f>
        <v>43999</v>
      </c>
      <c r="E6">
        <f>C6-C5</f>
        <v>293</v>
      </c>
      <c r="F6" s="2" t="s">
        <v>209</v>
      </c>
    </row>
    <row r="7" spans="2:6" x14ac:dyDescent="0.35">
      <c r="B7" t="s">
        <v>46</v>
      </c>
      <c r="C7" s="2">
        <f>'2. Finished Cattle Close Out'!F8</f>
        <v>227</v>
      </c>
    </row>
    <row r="8" spans="2:6" x14ac:dyDescent="0.35">
      <c r="B8" t="s">
        <v>208</v>
      </c>
      <c r="C8" s="93">
        <f>'2. Finished Cattle Close Out'!F15</f>
        <v>223</v>
      </c>
    </row>
    <row r="9" spans="2:6" x14ac:dyDescent="0.35">
      <c r="B9" s="2" t="s">
        <v>201</v>
      </c>
      <c r="C9" s="90">
        <f>'2. Finished Cattle Close Out'!F13</f>
        <v>1.7621145374449341E-2</v>
      </c>
    </row>
    <row r="10" spans="2:6" x14ac:dyDescent="0.35">
      <c r="B10" t="s">
        <v>65</v>
      </c>
      <c r="C10" s="2" t="str">
        <f>'2. Finished Cattle Close Out'!F5</f>
        <v>Steers</v>
      </c>
    </row>
    <row r="11" spans="2:6" x14ac:dyDescent="0.35">
      <c r="B11" t="s">
        <v>66</v>
      </c>
      <c r="C11" s="93">
        <f>'2. Finished Cattle Close Out'!F9</f>
        <v>572.68722466960355</v>
      </c>
    </row>
    <row r="12" spans="2:6" x14ac:dyDescent="0.35">
      <c r="B12" t="s">
        <v>67</v>
      </c>
      <c r="C12" s="55">
        <f>'2. Finished Cattle Close Out'!D17</f>
        <v>1400</v>
      </c>
      <c r="E12" s="2" t="s">
        <v>222</v>
      </c>
    </row>
    <row r="13" spans="2:6" x14ac:dyDescent="0.35">
      <c r="B13" t="s">
        <v>68</v>
      </c>
      <c r="C13" s="93">
        <f>'2. Finished Cattle Close Out'!F18</f>
        <v>814.97797356828198</v>
      </c>
      <c r="E13" s="2" t="s">
        <v>270</v>
      </c>
    </row>
    <row r="14" spans="2:6" x14ac:dyDescent="0.35">
      <c r="B14" t="s">
        <v>69</v>
      </c>
      <c r="C14" s="93">
        <f>'2. Finished Cattle Close Out'!F11</f>
        <v>253.46696035242292</v>
      </c>
      <c r="E14" s="2" t="s">
        <v>274</v>
      </c>
    </row>
    <row r="15" spans="2:6" x14ac:dyDescent="0.35">
      <c r="B15" t="s">
        <v>70</v>
      </c>
      <c r="C15" s="94">
        <f>'2. Finished Cattle Close Out'!D19</f>
        <v>3.2153223143368614</v>
      </c>
      <c r="E15" s="2"/>
    </row>
    <row r="16" spans="2:6" x14ac:dyDescent="0.35">
      <c r="B16" t="s">
        <v>71</v>
      </c>
      <c r="C16" s="53">
        <f>'2. Finished Cattle Close Out'!F10</f>
        <v>5.9732810810810815</v>
      </c>
    </row>
    <row r="17" spans="2:8" ht="15.45" x14ac:dyDescent="0.4">
      <c r="B17" s="44" t="s">
        <v>80</v>
      </c>
      <c r="C17" s="202"/>
      <c r="D17" s="8"/>
    </row>
    <row r="18" spans="2:8" x14ac:dyDescent="0.35">
      <c r="B18" s="37" t="s">
        <v>202</v>
      </c>
      <c r="C18" s="8">
        <f>'4.Closeout Summary'!D13</f>
        <v>146.15384615384613</v>
      </c>
      <c r="E18" s="2" t="s">
        <v>173</v>
      </c>
    </row>
    <row r="19" spans="2:8" x14ac:dyDescent="0.35">
      <c r="B19" s="37" t="s">
        <v>213</v>
      </c>
      <c r="C19" s="8">
        <f>'4.Closeout Summary'!D14</f>
        <v>114.29012380952382</v>
      </c>
      <c r="E19" s="2" t="s">
        <v>239</v>
      </c>
    </row>
    <row r="20" spans="2:8" ht="15.45" x14ac:dyDescent="0.4">
      <c r="B20" s="73" t="s">
        <v>25</v>
      </c>
      <c r="C20" s="217">
        <f>C19-C18</f>
        <v>-31.863722344322312</v>
      </c>
      <c r="E20" s="2"/>
      <c r="F20" s="2"/>
      <c r="G20" s="2"/>
    </row>
    <row r="21" spans="2:8" ht="15.45" x14ac:dyDescent="0.4">
      <c r="B21" s="218" t="s">
        <v>211</v>
      </c>
      <c r="C21" s="9">
        <f>'4.Closeout Summary'!D20</f>
        <v>0.83329135135135146</v>
      </c>
      <c r="E21" s="254"/>
      <c r="F21" s="260"/>
      <c r="G21" s="110"/>
      <c r="H21" s="274"/>
    </row>
    <row r="22" spans="2:8" ht="15.45" x14ac:dyDescent="0.4">
      <c r="B22" s="218" t="s">
        <v>212</v>
      </c>
      <c r="C22" s="219">
        <f>'4.Closeout Summary'!D22</f>
        <v>0.91899400000000009</v>
      </c>
    </row>
    <row r="23" spans="2:8" ht="15.45" x14ac:dyDescent="0.4">
      <c r="B23" s="44" t="s">
        <v>199</v>
      </c>
      <c r="C23" s="9">
        <f>'4.Closeout Summary'!D25</f>
        <v>109.25679365079364</v>
      </c>
      <c r="E23" s="2"/>
    </row>
    <row r="24" spans="2:8" x14ac:dyDescent="0.35">
      <c r="B24" s="40"/>
      <c r="C24" s="8"/>
      <c r="E24" s="2"/>
    </row>
    <row r="25" spans="2:8" x14ac:dyDescent="0.35">
      <c r="B25" s="45" t="s">
        <v>11</v>
      </c>
      <c r="C25" s="217">
        <f>'4.Closeout Summary'!E28</f>
        <v>-184.10150687830668</v>
      </c>
    </row>
    <row r="26" spans="2:8" x14ac:dyDescent="0.35">
      <c r="B26" s="220" t="s">
        <v>12</v>
      </c>
      <c r="C26" s="217">
        <f>'4.Closeout Summary'!E29</f>
        <v>254.56812910052932</v>
      </c>
      <c r="H26" s="2" t="s">
        <v>139</v>
      </c>
    </row>
    <row r="27" spans="2:8" ht="15.45" x14ac:dyDescent="0.4">
      <c r="B27" s="218" t="s">
        <v>214</v>
      </c>
      <c r="C27" s="33">
        <f>'4.Closeout Summary'!E30</f>
        <v>70.466622222222441</v>
      </c>
      <c r="D27" s="253"/>
      <c r="E27" s="2" t="s">
        <v>172</v>
      </c>
      <c r="H27">
        <f>C8</f>
        <v>223</v>
      </c>
    </row>
    <row r="28" spans="2:8" ht="15.45" x14ac:dyDescent="0.4">
      <c r="B28" s="113" t="s">
        <v>99</v>
      </c>
      <c r="C28" s="221">
        <f>'4.Closeout Summary'!D32</f>
        <v>0.12040420070045638</v>
      </c>
    </row>
    <row r="29" spans="2:8" ht="15.45" x14ac:dyDescent="0.4">
      <c r="B29" s="113"/>
      <c r="C29" s="221"/>
    </row>
    <row r="30" spans="2:8" ht="15.45" x14ac:dyDescent="0.4">
      <c r="B30" s="10" t="s">
        <v>151</v>
      </c>
      <c r="C30" s="2"/>
      <c r="D30" s="2"/>
    </row>
    <row r="31" spans="2:8" x14ac:dyDescent="0.35">
      <c r="B31" s="2" t="s">
        <v>219</v>
      </c>
      <c r="C31" s="286">
        <f>'1.Custom Finish Financial Data'!C47</f>
        <v>223</v>
      </c>
      <c r="D31" s="262"/>
      <c r="E31" s="2" t="s">
        <v>269</v>
      </c>
    </row>
    <row r="32" spans="2:8" x14ac:dyDescent="0.35">
      <c r="B32" t="s">
        <v>152</v>
      </c>
      <c r="C32" s="310">
        <f>'1.Custom Finish Financial Data'!C48</f>
        <v>1402</v>
      </c>
      <c r="D32" s="262"/>
    </row>
    <row r="33" spans="2:7" x14ac:dyDescent="0.35">
      <c r="B33" s="2" t="s">
        <v>200</v>
      </c>
      <c r="C33" s="286">
        <f>'1.Custom Finish Financial Data'!C49</f>
        <v>894</v>
      </c>
      <c r="D33" s="262"/>
    </row>
    <row r="34" spans="2:7" x14ac:dyDescent="0.35">
      <c r="B34" s="2" t="s">
        <v>194</v>
      </c>
      <c r="C34" s="288">
        <f>'1.Custom Finish Financial Data'!C50</f>
        <v>0.65610000000000002</v>
      </c>
      <c r="D34" s="275"/>
      <c r="G34" s="269"/>
    </row>
    <row r="35" spans="2:7" ht="15.45" x14ac:dyDescent="0.4">
      <c r="B35" s="10" t="s">
        <v>167</v>
      </c>
      <c r="C35" s="286"/>
      <c r="D35" s="262"/>
    </row>
    <row r="36" spans="2:7" x14ac:dyDescent="0.35">
      <c r="B36" s="2" t="s">
        <v>168</v>
      </c>
      <c r="C36" s="288">
        <f>'1.Custom Finish Financial Data'!C52</f>
        <v>0.73</v>
      </c>
      <c r="D36" s="263"/>
    </row>
    <row r="37" spans="2:7" ht="15.45" x14ac:dyDescent="0.4">
      <c r="B37" s="10" t="s">
        <v>169</v>
      </c>
      <c r="C37" s="288"/>
      <c r="D37" s="262"/>
    </row>
    <row r="38" spans="2:7" x14ac:dyDescent="0.35">
      <c r="B38" s="257" t="s">
        <v>170</v>
      </c>
      <c r="C38" s="288">
        <f>'1.Custom Finish Financial Data'!C54</f>
        <v>0.61</v>
      </c>
      <c r="D38" s="259"/>
    </row>
    <row r="39" spans="2:7" x14ac:dyDescent="0.35">
      <c r="B39" s="257" t="s">
        <v>171</v>
      </c>
      <c r="C39" s="288">
        <f>'1.Custom Finish Financial Data'!C55</f>
        <v>0.12</v>
      </c>
      <c r="D39" s="259"/>
    </row>
    <row r="40" spans="2:7" x14ac:dyDescent="0.35">
      <c r="B40" s="337" t="s">
        <v>298</v>
      </c>
      <c r="C40" s="338"/>
      <c r="D40" s="338"/>
      <c r="E40" s="339"/>
    </row>
    <row r="41" spans="2:7" ht="15.45" x14ac:dyDescent="0.4">
      <c r="B41" s="10" t="s">
        <v>167</v>
      </c>
      <c r="C41" t="s">
        <v>284</v>
      </c>
      <c r="D41" s="307" t="s">
        <v>285</v>
      </c>
      <c r="E41" s="2" t="s">
        <v>286</v>
      </c>
    </row>
    <row r="42" spans="2:7" x14ac:dyDescent="0.35">
      <c r="B42" t="s">
        <v>287</v>
      </c>
      <c r="C42" s="304">
        <v>3</v>
      </c>
      <c r="D42" s="48">
        <f>IF(C42=0,0,C42/$C$49)</f>
        <v>2.9126213592233011E-2</v>
      </c>
      <c r="E42" s="309">
        <v>15</v>
      </c>
    </row>
    <row r="43" spans="2:7" x14ac:dyDescent="0.35">
      <c r="B43" s="2" t="s">
        <v>288</v>
      </c>
      <c r="C43" s="304">
        <v>0</v>
      </c>
      <c r="D43" s="48">
        <f t="shared" ref="D43:D48" si="0">IF(C43=0,0,C43/$C$49)</f>
        <v>0</v>
      </c>
      <c r="E43" s="309">
        <v>6</v>
      </c>
    </row>
    <row r="44" spans="2:7" x14ac:dyDescent="0.35">
      <c r="B44" t="s">
        <v>289</v>
      </c>
      <c r="C44" s="304">
        <v>70</v>
      </c>
      <c r="D44" s="48">
        <f t="shared" si="0"/>
        <v>0.67961165048543692</v>
      </c>
      <c r="E44" s="309">
        <v>0</v>
      </c>
    </row>
    <row r="45" spans="2:7" ht="15.45" x14ac:dyDescent="0.4">
      <c r="B45" s="2" t="s">
        <v>290</v>
      </c>
      <c r="C45" s="10">
        <f>SUM(C42:C44)</f>
        <v>73</v>
      </c>
      <c r="D45" s="308">
        <f t="shared" si="0"/>
        <v>0.70873786407766992</v>
      </c>
      <c r="E45" s="311"/>
    </row>
    <row r="46" spans="2:7" x14ac:dyDescent="0.35">
      <c r="B46" t="s">
        <v>291</v>
      </c>
      <c r="C46" s="304">
        <v>27</v>
      </c>
      <c r="D46" s="48">
        <f t="shared" si="0"/>
        <v>0.26213592233009708</v>
      </c>
      <c r="E46" s="309">
        <v>-4.4000000000000004</v>
      </c>
    </row>
    <row r="47" spans="2:7" x14ac:dyDescent="0.35">
      <c r="B47" s="2" t="s">
        <v>297</v>
      </c>
      <c r="C47" s="304">
        <v>2</v>
      </c>
      <c r="D47" s="48">
        <f t="shared" si="0"/>
        <v>1.9417475728155338E-2</v>
      </c>
      <c r="E47" s="309">
        <v>0</v>
      </c>
    </row>
    <row r="48" spans="2:7" x14ac:dyDescent="0.35">
      <c r="B48" s="2" t="s">
        <v>299</v>
      </c>
      <c r="C48" s="304">
        <v>1</v>
      </c>
      <c r="D48" s="48">
        <f t="shared" si="0"/>
        <v>9.7087378640776691E-3</v>
      </c>
      <c r="E48" s="309">
        <v>0</v>
      </c>
    </row>
    <row r="49" spans="2:6" ht="15.45" x14ac:dyDescent="0.4">
      <c r="B49" s="10" t="s">
        <v>6</v>
      </c>
      <c r="C49" s="10">
        <f>SUM(C45:C48)</f>
        <v>103</v>
      </c>
      <c r="E49" s="311"/>
    </row>
    <row r="50" spans="2:6" ht="15.45" x14ac:dyDescent="0.4">
      <c r="B50" s="10" t="s">
        <v>169</v>
      </c>
      <c r="C50" s="216"/>
      <c r="E50" s="311"/>
    </row>
    <row r="51" spans="2:6" x14ac:dyDescent="0.35">
      <c r="B51" s="2" t="s">
        <v>292</v>
      </c>
      <c r="C51" s="304">
        <v>28</v>
      </c>
      <c r="D51" s="48">
        <f>IF(C51=0,0,C51/$C$56)</f>
        <v>0.27184466019417475</v>
      </c>
      <c r="E51" s="309">
        <v>0</v>
      </c>
    </row>
    <row r="52" spans="2:6" x14ac:dyDescent="0.35">
      <c r="B52" s="2" t="s">
        <v>293</v>
      </c>
      <c r="C52" s="304">
        <v>39</v>
      </c>
      <c r="D52" s="48">
        <f t="shared" ref="D52:D55" si="1">IF(C52=0,0,C52/$C$56)</f>
        <v>0.37864077669902912</v>
      </c>
      <c r="E52" s="309">
        <v>0</v>
      </c>
    </row>
    <row r="53" spans="2:6" x14ac:dyDescent="0.35">
      <c r="B53" s="2" t="s">
        <v>294</v>
      </c>
      <c r="C53" s="304">
        <v>27</v>
      </c>
      <c r="D53" s="48">
        <f t="shared" si="1"/>
        <v>0.26213592233009708</v>
      </c>
      <c r="E53" s="309">
        <v>0</v>
      </c>
    </row>
    <row r="54" spans="2:6" x14ac:dyDescent="0.35">
      <c r="B54" s="2" t="s">
        <v>295</v>
      </c>
      <c r="C54" s="304">
        <v>8</v>
      </c>
      <c r="D54" s="48">
        <f t="shared" si="1"/>
        <v>7.7669902912621352E-2</v>
      </c>
      <c r="E54" s="309">
        <v>-8</v>
      </c>
    </row>
    <row r="55" spans="2:6" x14ac:dyDescent="0.35">
      <c r="B55" s="2" t="s">
        <v>296</v>
      </c>
      <c r="C55" s="304">
        <v>1</v>
      </c>
      <c r="D55" s="48">
        <f t="shared" si="1"/>
        <v>9.7087378640776691E-3</v>
      </c>
      <c r="E55" s="309">
        <v>-10</v>
      </c>
    </row>
    <row r="56" spans="2:6" ht="15.45" x14ac:dyDescent="0.4">
      <c r="B56" s="10" t="s">
        <v>6</v>
      </c>
      <c r="C56" s="10">
        <f>SUM(C51:C55)</f>
        <v>103</v>
      </c>
    </row>
    <row r="57" spans="2:6" x14ac:dyDescent="0.35">
      <c r="B57" t="s">
        <v>158</v>
      </c>
    </row>
    <row r="58" spans="2:6" x14ac:dyDescent="0.35">
      <c r="B58" t="s">
        <v>159</v>
      </c>
      <c r="C58" s="26">
        <f>'2. Finished Cattle Close Out'!L41</f>
        <v>210582.2708219178</v>
      </c>
      <c r="E58">
        <f>E6</f>
        <v>293</v>
      </c>
      <c r="F58" s="2" t="s">
        <v>29</v>
      </c>
    </row>
    <row r="59" spans="2:6" x14ac:dyDescent="0.35">
      <c r="B59" t="s">
        <v>160</v>
      </c>
      <c r="C59" s="87">
        <f>'2. Finished Cattle Close Out'!F48+'2. Finished Cattle Close Out'!F44</f>
        <v>25354.990000000049</v>
      </c>
    </row>
    <row r="60" spans="2:6" x14ac:dyDescent="0.35">
      <c r="B60" t="s">
        <v>161</v>
      </c>
      <c r="C60" s="48">
        <f>IF(C58=0,0,C59/C58)</f>
        <v>0.12040420070045638</v>
      </c>
    </row>
  </sheetData>
  <sheetProtection sheet="1" objects="1" scenarios="1"/>
  <mergeCells count="2">
    <mergeCell ref="B2:D2"/>
    <mergeCell ref="B40:E40"/>
  </mergeCells>
  <phoneticPr fontId="10" type="noConversion"/>
  <printOptions gridLines="1"/>
  <pageMargins left="1" right="0.5" top="1" bottom="1" header="0.5" footer="0.5"/>
  <pageSetup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3"/>
  <sheetViews>
    <sheetView workbookViewId="0">
      <selection activeCell="D2" sqref="D2"/>
    </sheetView>
  </sheetViews>
  <sheetFormatPr defaultRowHeight="15" x14ac:dyDescent="0.35"/>
  <cols>
    <col min="1" max="1" width="3.9375" customWidth="1"/>
    <col min="2" max="2" width="59.3125" customWidth="1"/>
  </cols>
  <sheetData>
    <row r="1" spans="2:2" ht="15.55" customHeight="1" x14ac:dyDescent="0.35">
      <c r="B1" s="276" t="s">
        <v>198</v>
      </c>
    </row>
    <row r="2" spans="2:2" ht="80.05" customHeight="1" x14ac:dyDescent="0.35">
      <c r="B2" s="278" t="s">
        <v>203</v>
      </c>
    </row>
    <row r="3" spans="2:2" ht="65.05" customHeight="1" x14ac:dyDescent="0.4">
      <c r="B3" s="279" t="s">
        <v>275</v>
      </c>
    </row>
    <row r="4" spans="2:2" ht="15.45" x14ac:dyDescent="0.4">
      <c r="B4" s="279"/>
    </row>
    <row r="5" spans="2:2" ht="96" customHeight="1" x14ac:dyDescent="0.4">
      <c r="B5" s="279" t="s">
        <v>204</v>
      </c>
    </row>
    <row r="6" spans="2:2" ht="15.45" x14ac:dyDescent="0.4">
      <c r="B6" s="279"/>
    </row>
    <row r="7" spans="2:2" ht="110.05" customHeight="1" x14ac:dyDescent="0.4">
      <c r="B7" s="279" t="s">
        <v>205</v>
      </c>
    </row>
    <row r="8" spans="2:2" ht="15.45" x14ac:dyDescent="0.4">
      <c r="B8" s="279"/>
    </row>
    <row r="9" spans="2:2" ht="110.05" customHeight="1" x14ac:dyDescent="0.4">
      <c r="B9" s="279" t="s">
        <v>206</v>
      </c>
    </row>
    <row r="10" spans="2:2" x14ac:dyDescent="0.35">
      <c r="B10" s="277"/>
    </row>
    <row r="11" spans="2:2" ht="140.05000000000001" customHeight="1" x14ac:dyDescent="0.4">
      <c r="B11" s="280" t="s">
        <v>207</v>
      </c>
    </row>
    <row r="13" spans="2:2" ht="77.150000000000006" x14ac:dyDescent="0.35">
      <c r="B13" s="320" t="s">
        <v>315</v>
      </c>
    </row>
  </sheetData>
  <sheetProtection sheet="1" objects="1" scenarios="1"/>
  <pageMargins left="0.95" right="0.45" top="0.75" bottom="0.75" header="0.3" footer="0.3"/>
  <pageSetup scale="90"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x14ac:dyDescent="0.35"/>
  <cols>
    <col min="1" max="1" width="2.1875" customWidth="1"/>
    <col min="2" max="2" width="66.75" customWidth="1"/>
  </cols>
  <sheetData>
    <row r="2" spans="2:3" ht="15.45" x14ac:dyDescent="0.4">
      <c r="B2" s="10" t="s">
        <v>271</v>
      </c>
    </row>
    <row r="4" spans="2:3" x14ac:dyDescent="0.35">
      <c r="B4" s="2" t="s">
        <v>242</v>
      </c>
    </row>
    <row r="5" spans="2:3" x14ac:dyDescent="0.35">
      <c r="B5" s="2"/>
    </row>
    <row r="6" spans="2:3" ht="15.45" x14ac:dyDescent="0.4">
      <c r="B6" s="10" t="s">
        <v>241</v>
      </c>
    </row>
    <row r="7" spans="2:3" ht="15.45" x14ac:dyDescent="0.4">
      <c r="B7" s="2" t="s">
        <v>251</v>
      </c>
    </row>
    <row r="9" spans="2:3" ht="15.45" x14ac:dyDescent="0.4">
      <c r="B9" s="2" t="s">
        <v>244</v>
      </c>
    </row>
    <row r="10" spans="2:3" x14ac:dyDescent="0.35">
      <c r="B10" s="2"/>
    </row>
    <row r="11" spans="2:3" ht="15.45" x14ac:dyDescent="0.4">
      <c r="B11" s="2" t="s">
        <v>273</v>
      </c>
      <c r="C11" s="2"/>
    </row>
    <row r="12" spans="2:3" x14ac:dyDescent="0.35">
      <c r="B12" s="2" t="s">
        <v>272</v>
      </c>
    </row>
    <row r="14" spans="2:3" ht="15.45" x14ac:dyDescent="0.4">
      <c r="B14" s="2" t="s">
        <v>253</v>
      </c>
    </row>
    <row r="15" spans="2:3" x14ac:dyDescent="0.35">
      <c r="B15" s="2" t="s">
        <v>254</v>
      </c>
    </row>
    <row r="16" spans="2:3" x14ac:dyDescent="0.35">
      <c r="B16" s="2"/>
    </row>
    <row r="17" spans="2:2" x14ac:dyDescent="0.35">
      <c r="B17" s="2" t="s">
        <v>255</v>
      </c>
    </row>
    <row r="18" spans="2:2" ht="15.45" x14ac:dyDescent="0.4">
      <c r="B18" s="2" t="s">
        <v>245</v>
      </c>
    </row>
    <row r="19" spans="2:2" x14ac:dyDescent="0.35">
      <c r="B19" s="2" t="s">
        <v>257</v>
      </c>
    </row>
    <row r="20" spans="2:2" x14ac:dyDescent="0.35">
      <c r="B20" s="2" t="s">
        <v>256</v>
      </c>
    </row>
    <row r="21" spans="2:2" x14ac:dyDescent="0.35">
      <c r="B21" s="2"/>
    </row>
    <row r="22" spans="2:2" x14ac:dyDescent="0.35">
      <c r="B22" s="2" t="s">
        <v>243</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mcgra</cp:lastModifiedBy>
  <cp:lastPrinted>2022-06-24T18:08:36Z</cp:lastPrinted>
  <dcterms:created xsi:type="dcterms:W3CDTF">2008-07-17T16:45:37Z</dcterms:created>
  <dcterms:modified xsi:type="dcterms:W3CDTF">2022-06-24T19:15:16Z</dcterms:modified>
</cp:coreProperties>
</file>